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4.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20.xml" ContentType="application/vnd.openxmlformats-officedocument.drawingml.chart+xml"/>
  <Override PartName="/xl/charts/chart21.xml" ContentType="application/vnd.openxmlformats-officedocument.drawingml.chart+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yumashev\Box Sync\ICE-ARC\PAGE\PAGE-ICE\PAGE-ICE v6 Arctic tipping points\"/>
    </mc:Choice>
  </mc:AlternateContent>
  <bookViews>
    <workbookView xWindow="0" yWindow="0" windowWidth="19200" windowHeight="6470" activeTab="2"/>
  </bookViews>
  <sheets>
    <sheet name="Readme" sheetId="61" r:id="rId1"/>
    <sheet name="Cockpit" sheetId="41" r:id="rId2"/>
    <sheet name="Results" sheetId="57" r:id="rId3"/>
    <sheet name="Base data" sheetId="1" r:id="rId4"/>
    <sheet name="Library data" sheetId="2" r:id="rId5"/>
    <sheet name="Policy A" sheetId="3" r:id="rId6"/>
    <sheet name="Policy B" sheetId="27" r:id="rId7"/>
    <sheet name="Policy A-B" sheetId="31" r:id="rId8"/>
    <sheet name="Emissions A" sheetId="5" r:id="rId9"/>
    <sheet name="Emissions B" sheetId="28" r:id="rId10"/>
    <sheet name="Emissions A-B" sheetId="32" r:id="rId11"/>
    <sheet name="Climate A" sheetId="4" r:id="rId12"/>
    <sheet name="Climate B" sheetId="29" r:id="rId13"/>
    <sheet name="Climate A-B" sheetId="40" r:id="rId14"/>
    <sheet name="Economy A" sheetId="58" r:id="rId15"/>
    <sheet name="Economy B" sheetId="59" r:id="rId16"/>
    <sheet name="Economy A-B" sheetId="60" r:id="rId17"/>
    <sheet name="Preventative costs A" sheetId="8" r:id="rId18"/>
    <sheet name="Preventative costs B" sheetId="38" r:id="rId19"/>
    <sheet name="Preventative costs A-B" sheetId="39" r:id="rId20"/>
    <sheet name="Adaptive costs A" sheetId="7" r:id="rId21"/>
    <sheet name="Adaptive costs B" sheetId="35" r:id="rId22"/>
    <sheet name="Adaptive costs A-B" sheetId="37" r:id="rId23"/>
    <sheet name="Impacts A" sheetId="6" r:id="rId24"/>
    <sheet name="Impacts B" sheetId="30" r:id="rId25"/>
    <sheet name="Impacts A-B" sheetId="34" r:id="rId26"/>
    <sheet name="Totals" sheetId="9" r:id="rId27"/>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act">'Adaptive costs A'!$B$170:$K$177</definedName>
    <definedName name="aact_b">'Adaptive costs B'!$B$170:$K$177</definedName>
    <definedName name="aact_g">'Adaptive costs A'!$B$178:$K$178</definedName>
    <definedName name="aact_g_ab">'Adaptive costs A-B'!$B$178:$K$178</definedName>
    <definedName name="aact_g_b">'Adaptive costs B'!$B$178:$K$178</definedName>
    <definedName name="aact_gt">'Adaptive costs A'!$L$178</definedName>
    <definedName name="aact_gt_b">'Adaptive costs B'!$L$178</definedName>
    <definedName name="ac_1">'Adaptive costs A'!$B$72:$K$79</definedName>
    <definedName name="ac_1_b">'Adaptive costs B'!$B$72:$K$79</definedName>
    <definedName name="ac_1_g">'Adaptive costs A'!$B$80:$K$80</definedName>
    <definedName name="ac_1_g_b">'Adaptive costs B'!$B$80:$K$80</definedName>
    <definedName name="ac_2">'Adaptive costs A'!$B$102:$K$109</definedName>
    <definedName name="ac_2_b">'Adaptive costs B'!$B$102:$K$109</definedName>
    <definedName name="ac_2_g">'Adaptive costs A'!$B$110:$K$110</definedName>
    <definedName name="ac_2_g_b">'Adaptive costs B'!$B$110:$K$110</definedName>
    <definedName name="ac_s">'Adaptive costs A'!$B$42:$K$49</definedName>
    <definedName name="ac_s_b">'Adaptive costs B'!$B$42:$K$49</definedName>
    <definedName name="ac_s_g">'Adaptive costs A'!$B$50:$K$50</definedName>
    <definedName name="ac_s_g_b">'Adaptive costs B'!$B$50:$K$50</definedName>
    <definedName name="aci_1">'Adaptive costs A'!$B$62:$K$69</definedName>
    <definedName name="aci_1_b">'Adaptive costs B'!$B$62:$K$69</definedName>
    <definedName name="aci_1_g">'Adaptive costs A'!$B$70:$K$70</definedName>
    <definedName name="aci_1_g_b">'Adaptive costs B'!$B$70:$K$70</definedName>
    <definedName name="aci_2">'Adaptive costs A'!$B$92:$K$99</definedName>
    <definedName name="aci_2_b">'Adaptive costs B'!$B$92:$K$99</definedName>
    <definedName name="aci_2_g">'Adaptive costs A'!$B$100:$K$100</definedName>
    <definedName name="aci_2_g_b">'Adaptive costs B'!$B$100:$K$100</definedName>
    <definedName name="aci_s">'Adaptive costs A'!$B$32:$K$39</definedName>
    <definedName name="aci_s_b">'Adaptive costs B'!$B$32:$K$39</definedName>
    <definedName name="aci_s_g">'Adaptive costs A'!$B$40:$K$40</definedName>
    <definedName name="aci_s_g_b">'Adaptive costs B'!$B$40:$K$40</definedName>
    <definedName name="acp_1">'Adaptive costs A'!$B$52:$K$59</definedName>
    <definedName name="acp_1_b">'Adaptive costs B'!$B$52:$K$59</definedName>
    <definedName name="acp_1_g">'Adaptive costs A'!$B$60:$K$60</definedName>
    <definedName name="acp_1_g_b">'Adaptive costs B'!$B$60:$K$60</definedName>
    <definedName name="acp_2">'Adaptive costs A'!$B$82:$K$89</definedName>
    <definedName name="acp_2_b">'Adaptive costs B'!$B$82:$K$89</definedName>
    <definedName name="acp_2_g">'Adaptive costs A'!$B$90:$K$90</definedName>
    <definedName name="acp_2_g_b">'Adaptive costs B'!$B$90:$K$90</definedName>
    <definedName name="acp_s">'Adaptive costs A'!$B$22:$K$29</definedName>
    <definedName name="acp_s_b">'Adaptive costs B'!$B$22:$K$29</definedName>
    <definedName name="acp_s_g">'Adaptive costs A'!$B$30:$K$30</definedName>
    <definedName name="acp_s_g_b">'Adaptive costs B'!$B$30:$K$30</definedName>
    <definedName name="act">'Adaptive costs A'!$B$112:$K$119</definedName>
    <definedName name="act_b">'Adaptive costs B'!$B$112:$K$119</definedName>
    <definedName name="act_g">'Adaptive costs A'!$B$120:$K$120</definedName>
    <definedName name="act_g_b">'Adaptive costs B'!$B$120:$K$120</definedName>
    <definedName name="act_per_cap">'Adaptive costs A'!$B$122:$K$129</definedName>
    <definedName name="act_per_cap_b">'Adaptive costs B'!$B$122:$K$129</definedName>
    <definedName name="act_per_cap_g">'Adaptive costs A'!$B$130:$K$130</definedName>
    <definedName name="act_per_cap_g_b">'Adaptive costs B'!$B$130:$K$130</definedName>
    <definedName name="addt">'Impacts A'!$C$429:$L$436</definedName>
    <definedName name="addt_b">'Impacts B'!$C$429:$L$436</definedName>
    <definedName name="addt_g">'Impacts A'!$C$437:$L$437</definedName>
    <definedName name="addt_g_ab">'Impacts A-B'!$C$437:$L$437</definedName>
    <definedName name="addt_g_b">'Impacts B'!$C$437:$L$437</definedName>
    <definedName name="addt_gt">'Impacts A'!$M$437</definedName>
    <definedName name="addt_gt_b">'Impacts B'!$M$437</definedName>
    <definedName name="addtt">'Impacts A'!$M$429:$M$436</definedName>
    <definedName name="addtt_b">'Impacts B'!$M$429:$M$436</definedName>
    <definedName name="ahi_ch4">'Preventative costs A'!$B$506:$K$513</definedName>
    <definedName name="ahi_ch4_b">'Preventative costs B'!$B$506:$K$513</definedName>
    <definedName name="ahi_co2">'Preventative costs A'!$B$497:$K$504</definedName>
    <definedName name="ahi_co2_b">'Preventative costs B'!$B$497:$K$504</definedName>
    <definedName name="ahi_glin">'Preventative costs A'!$B$524:$K$531</definedName>
    <definedName name="ahi_glin_b">'Preventative costs B'!$B$524:$K$531</definedName>
    <definedName name="ahi_n2o">'Preventative costs A'!$B$515:$K$522</definedName>
    <definedName name="ahi_n2o_b">'Preventative costs B'!$B$515:$K$522</definedName>
    <definedName name="AIR_CH4">'Base data'!$C$17</definedName>
    <definedName name="AIR_GLIN">'Base data'!$E$17</definedName>
    <definedName name="AIR_N2O">'Base data'!$D$17</definedName>
    <definedName name="ALB_EMULATOR_RAND">'Library data'!$C$33</definedName>
    <definedName name="alb_fsaf">'Climate A'!$D$174:$M$174</definedName>
    <definedName name="alb_fsaf_adjust_1">'Climate A'!$D$168</definedName>
    <definedName name="alb_fsaf_adjust_1_b">'Climate B'!$D$168</definedName>
    <definedName name="alb_fsaf_adjust_not_1">'Climate A'!$E$168:$M$168</definedName>
    <definedName name="alb_fsaf_adjust_not_1_b">'Climate B'!$E$168:$M$168</definedName>
    <definedName name="alb_fsaf_b">'Climate B'!$D$174:$M$174</definedName>
    <definedName name="alb_fsaf_diff">'Climate A'!$D$200:$M$200</definedName>
    <definedName name="alb_fsaf_diff_b">'Climate B'!$D$200:$M$200</definedName>
    <definedName name="ALB_FSAF_ECS">'Climate A'!$D$29</definedName>
    <definedName name="ALB_FSAF_T_SWITCH">'Climate A'!$D$31</definedName>
    <definedName name="ALB_FSAF_Y0">'Climate A'!$D$27</definedName>
    <definedName name="alb_saf">'Climate A'!$D$175:$M$175</definedName>
    <definedName name="alb_saf_adjust">'Climate A'!$D$167:$M$167</definedName>
    <definedName name="ALB_SAF_ADJUST_0">'Climate A'!$C$167</definedName>
    <definedName name="alb_saf_adjust_b">'Climate B'!$D$167:$M$167</definedName>
    <definedName name="alb_saf_approx">'Climate A'!$D$166:$M$166</definedName>
    <definedName name="ALB_SAF_APPROX_0">'Climate A'!$C$166</definedName>
    <definedName name="alb_saf_approx_1">'Climate A'!$D$166</definedName>
    <definedName name="alb_saf_approx_1_b">'Climate B'!$D$166</definedName>
    <definedName name="alb_saf_approx_b">'Climate B'!$D$166:$M$166</definedName>
    <definedName name="alb_saf_approx_not_1">'Climate A'!$E$166:$M$166</definedName>
    <definedName name="alb_saf_approx_not_1_b">'Climate B'!$E$166:$M$166</definedName>
    <definedName name="alb_saf_b">'Climate B'!$D$175:$M$175</definedName>
    <definedName name="ALB_SAF_ECS">'Climate A'!$D$30</definedName>
    <definedName name="ALB_SAF_LIN_MEAN">'Base data'!$D$107</definedName>
    <definedName name="ALB_SAF_LIN_STD">'Base data'!$D$108</definedName>
    <definedName name="ALB_SAF_QUADR_MEAN_T0_COEFF">'Base data'!$D$105</definedName>
    <definedName name="ALB_SAF_QUADR_MEAN_T1_COEFF">'Base data'!$D$104</definedName>
    <definedName name="ALB_SAF_QUADR_MEAN_T2_COEFF">'Base data'!$D$103</definedName>
    <definedName name="ALB_SAF_QUADR_STD">'Base data'!$D$106</definedName>
    <definedName name="ALB_SAF_Y0">'Climate A'!$D$28</definedName>
    <definedName name="ALB_T_SWITCH">'Base data'!$D$102</definedName>
    <definedName name="ALO_CH4">'Preventative costs A'!$B$434:$K$441</definedName>
    <definedName name="ALO_CO2">'Preventative costs A'!$B$425:$K$432</definedName>
    <definedName name="ALO_GLIN">'Preventative costs A'!$B$452:$K$459</definedName>
    <definedName name="ALO_N2O">'Preventative costs A'!$B$443:$K$450</definedName>
    <definedName name="AMPF">'Library data'!$C$24:$C$31</definedName>
    <definedName name="anthr_ce_co2">'Climate A'!$D$73:$M$73</definedName>
    <definedName name="ANTHR_CE_CO2_0">'Base data'!$B$20</definedName>
    <definedName name="anthr_ce_co2_b">'Climate B'!$D$73:$M$73</definedName>
    <definedName name="anthr_teay_ch4">'Climate A'!$D$97:$M$97</definedName>
    <definedName name="anthr_teay_ch4_b">'Climate B'!$D$97:$M$97</definedName>
    <definedName name="AREA">'Base data'!$C$26:$C$33</definedName>
    <definedName name="AREA_E">'Base data'!$D$55</definedName>
    <definedName name="AREA_L">'Base data'!$D$56</definedName>
    <definedName name="asymp_comp_co2_proj">'Climate A'!$D$82:$M$82</definedName>
    <definedName name="asymp_comp_co2_proj_b">'Climate B'!$D$82:$M$82</definedName>
    <definedName name="atl_1">'Impacts A'!$C$43:$L$50</definedName>
    <definedName name="atl_1_b">'Impacts B'!$C$43:$L$50</definedName>
    <definedName name="atl_2">'Impacts A'!$C$52:$L$59</definedName>
    <definedName name="atl_2_b">'Impacts B'!$C$52:$L$59</definedName>
    <definedName name="atl_s">'Impacts A'!$C$34:$L$41</definedName>
    <definedName name="atl_s_b">'Impacts B'!$C$34:$L$41</definedName>
    <definedName name="AUTO">'Library data'!$C$195</definedName>
    <definedName name="AUTOFAC">'Preventative costs A'!$B$233:$K$233</definedName>
    <definedName name="AUTOMULT">'Library data'!$C$194</definedName>
    <definedName name="BAU_CH4">'Base data'!$C$219:$L$226</definedName>
    <definedName name="BAU_CO2">'Base data'!$C$210:$L$217</definedName>
    <definedName name="BAU_GLIN">'Base data'!$C$237:$L$244</definedName>
    <definedName name="BAU_N2O">'Base data'!$C$228:$L$235</definedName>
    <definedName name="BHI_CH4">'Preventative costs A'!$B$470:$K$477</definedName>
    <definedName name="BHI_CO2">'Preventative costs A'!$B$461:$K$468</definedName>
    <definedName name="BHI_GLIN">'Preventative costs A'!$B$488:$K$495</definedName>
    <definedName name="BHI_N2O">'Preventative costs A'!$B$479:$K$486</definedName>
    <definedName name="BLO_CH4">'Preventative costs A'!$B$398:$K$405</definedName>
    <definedName name="BLO_CO2">'Preventative costs A'!$B$389:$K$396</definedName>
    <definedName name="BLO_GLIN">'Preventative costs A'!$B$416:$K$423</definedName>
    <definedName name="BLO_N2O">'Preventative costs A'!$B$407:$K$414</definedName>
    <definedName name="C_0">'Base data'!$B$19:$E$19</definedName>
    <definedName name="c_ch4">'Climate A'!$D$104:$M$104</definedName>
    <definedName name="C_CH4_0">'Base data'!$C$19</definedName>
    <definedName name="c_ch4_b">'Climate B'!$D$104:$M$104</definedName>
    <definedName name="c_co2">'Climate A'!$D$91:$M$91</definedName>
    <definedName name="C_CO2_0">'Base data'!$B$19</definedName>
    <definedName name="c_co2_b">'Climate B'!$D$91:$M$91</definedName>
    <definedName name="c_co2_no_ccff">'Climate A'!$D$88:$M$88</definedName>
    <definedName name="C_CO2_NO_CCFF_0">'Climate A'!$C$88</definedName>
    <definedName name="c_co2_no_ccff_b">'Climate B'!$D$88:$M$88</definedName>
    <definedName name="c_glin">'Climate A'!$D$128:$M$128</definedName>
    <definedName name="C_GLIN_0">'Base data'!$E$19</definedName>
    <definedName name="c_glin_b">'Climate B'!$D$128:$M$128</definedName>
    <definedName name="c_n2o">'Climate A'!$D$114:$M$114</definedName>
    <definedName name="C_N2O_0">'Base data'!$D$19</definedName>
    <definedName name="c_n2o_b">'Climate B'!$D$114:$M$114</definedName>
    <definedName name="C0_CH4">'Preventative costs A'!$B$236:$K$236</definedName>
    <definedName name="C0_CO2">'Preventative costs A'!$B$235:$K$235</definedName>
    <definedName name="C0_GLIN">'Preventative costs A'!$B$238:$K$238</definedName>
    <definedName name="C0_INIT_CH4">'Library data'!$C$140</definedName>
    <definedName name="C0_INIT_CO2">'Library data'!$C$133</definedName>
    <definedName name="C0_INIT_GLIN">'Library data'!$C$154</definedName>
    <definedName name="C0_INIT_N2O">'Library data'!$C$147</definedName>
    <definedName name="C0_N2O">'Preventative costs A'!$B$237:$K$237</definedName>
    <definedName name="C0G">'Library data'!$C$186</definedName>
    <definedName name="C0MULT">'Library data'!$C$185</definedName>
    <definedName name="cb_ch4">'Preventative costs A'!$B$94:$K$101</definedName>
    <definedName name="cb_ch4_b">'Preventative costs B'!$B$94:$K$101</definedName>
    <definedName name="cb_co2">'Preventative costs A'!$B$85:$K$92</definedName>
    <definedName name="cb_co2_b">'Preventative costs B'!$B$85:$K$92</definedName>
    <definedName name="cb_glin">'Preventative costs A'!$B$112:$K$119</definedName>
    <definedName name="cb_glin_b">'Preventative costs B'!$B$112:$K$119</definedName>
    <definedName name="cb_n2o">'Preventative costs A'!$B$103:$K$110</definedName>
    <definedName name="cb_n2o_b">'Preventative costs B'!$B$103:$K$110</definedName>
    <definedName name="cbe_ch4">'Preventative costs A'!$B$130:$K$137</definedName>
    <definedName name="cbe_ch4_b">'Preventative costs B'!$B$130:$K$137</definedName>
    <definedName name="cbe_co2">'Preventative costs A'!$B$121:$K$128</definedName>
    <definedName name="cbe_co2_b">'Preventative costs B'!$B$121:$K$128</definedName>
    <definedName name="cbe_glin">'Preventative costs A'!$B$148:$K$155</definedName>
    <definedName name="cbe_glin_b">'Preventative costs B'!$B$148:$K$155</definedName>
    <definedName name="cbe_n2o">'Preventative costs A'!$B$139:$K$146</definedName>
    <definedName name="cbe_n2o_b">'Preventative costs B'!$B$139:$K$146</definedName>
    <definedName name="CCF">'Library data'!$C$10</definedName>
    <definedName name="ccff">'Climate A'!$D$90:$M$90</definedName>
    <definedName name="CCFF_0">'Climate A'!$C$90</definedName>
    <definedName name="ccff_1">'Climate A'!$D$90</definedName>
    <definedName name="ccff_1_b">'Climate B'!$D$90</definedName>
    <definedName name="ccff_b">'Climate B'!$D$90:$M$90</definedName>
    <definedName name="ccff_not_1">'Climate A'!$E$90:$M$90</definedName>
    <definedName name="ccff_not_1_b">'Climate B'!$E$90:$M$90</definedName>
    <definedName name="CCFFMAX">'Library data'!$C$11</definedName>
    <definedName name="CF">'Library data'!$C$121:$C$127</definedName>
    <definedName name="CI_1">'Adaptive costs A'!$E$5:$E$12</definedName>
    <definedName name="CI_1_1">'Library data'!$C$118</definedName>
    <definedName name="CI_2">'Adaptive costs A'!$G$5:$G$12</definedName>
    <definedName name="CI_2_1">'Library data'!$C$120</definedName>
    <definedName name="CI_S">'Adaptive costs A'!$C$5:$C$12</definedName>
    <definedName name="CI_S_1">'Library data'!$C$116</definedName>
    <definedName name="CIV_VALUE">'Library data'!$C$87</definedName>
    <definedName name="cmax_ch4">'Preventative costs A'!$B$362:$K$369</definedName>
    <definedName name="cmax_ch4_b">'Preventative costs B'!$B$362:$K$369</definedName>
    <definedName name="cmax_co2">'Preventative costs A'!$B$353:$K$360</definedName>
    <definedName name="cmax_co2_b">'Preventative costs B'!$B$353:$K$360</definedName>
    <definedName name="cmax_glin">'Preventative costs A'!$B$380:$K$387</definedName>
    <definedName name="cmax_glin_b">'Preventative costs B'!$B$380:$K$387</definedName>
    <definedName name="CMAX_INIT_CH4">'Preventative costs A'!$C$31:$C$38</definedName>
    <definedName name="CMAX_INIT_CH4_1">'Library data'!$C$142</definedName>
    <definedName name="CMAX_INIT_CO2">'Preventative costs A'!$B$31:$B$38</definedName>
    <definedName name="CMAX_INIT_CO2_1">'Library data'!$C$135</definedName>
    <definedName name="CMAX_INIT_GLIN">'Preventative costs A'!$E$31:$E$38</definedName>
    <definedName name="CMAX_INIT_GLIN_1">'Library data'!$C$156</definedName>
    <definedName name="CMAX_INIT_N2O">'Preventative costs A'!$D$31:$D$38</definedName>
    <definedName name="CMAX_INIT_N2O_1">'Library data'!$C$149</definedName>
    <definedName name="cmax_n2o">'Preventative costs A'!$B$371:$K$378</definedName>
    <definedName name="cmax_n2o_b">'Preventative costs B'!$B$371:$K$378</definedName>
    <definedName name="CMAXF">'Library data'!$C$175:$C$181</definedName>
    <definedName name="CONS_PER_CAP">'Economy A'!$C$37:$L$44</definedName>
    <definedName name="CONS_PER_CAP_0">'Economy A'!$B$37:$B$44</definedName>
    <definedName name="cons_per_cap_after_costs">'Impacts A'!$C$130:$L$137</definedName>
    <definedName name="cons_per_cap_after_costs_b">'Impacts B'!$C$130:$L$137</definedName>
    <definedName name="CONS_PER_CAP_B">'Economy B'!$C$37:$L$44</definedName>
    <definedName name="CONS_PER_CAP_FOCUS">'Economy A'!$C$37:$L$37</definedName>
    <definedName name="CONS_PER_CAP_FOCUS_0">'Economy A'!$B$37</definedName>
    <definedName name="CONS_PER_CAP_FOCUS_B">'Economy B'!$C$37:$L$37</definedName>
    <definedName name="CONS_PER_CAP_G">'Economy A'!$C$45:$L$45</definedName>
    <definedName name="CONS_PER_CAP_G_0">'Economy A'!$B$45</definedName>
    <definedName name="CONS_PER_CAP_G_1">'Economy A'!$C$45</definedName>
    <definedName name="CONS_PER_CAP_G_1_B">'Economy B'!$C$45</definedName>
    <definedName name="CONS_PER_CAP_G_B">'Economy B'!$C$45:$L$45</definedName>
    <definedName name="CONS_PER_CAP_G_NOT_1">'Economy A'!$D$45:$L$45</definedName>
    <definedName name="CONS_PER_CAP_G_NOT_1_B">'Economy B'!$D$45:$L$45</definedName>
    <definedName name="CORRECT_RE_CO2_0">'Climate A'!$D$14</definedName>
    <definedName name="CORRECT_RE_CO2_0_b">'Climate B'!$B$14</definedName>
    <definedName name="CP_1">'Adaptive costs A'!$D$5:$D$12</definedName>
    <definedName name="CP_1_1">'Library data'!$C$117</definedName>
    <definedName name="CP_2">'Adaptive costs A'!$F$5:$F$12</definedName>
    <definedName name="CP_2_1">'Library data'!$C$119</definedName>
    <definedName name="CP_S">'Adaptive costs A'!$B$5:$B$12</definedName>
    <definedName name="CP_S_1">'Library data'!$C$115</definedName>
    <definedName name="CROSS">'Library data'!$C$191</definedName>
    <definedName name="cumcbe_ch4">'Preventative costs A'!$B$167:$K$174</definedName>
    <definedName name="cumcbe_ch4_b">'Preventative costs B'!$B$167:$K$174</definedName>
    <definedName name="cumcbe_ch4_g">'Preventative costs A'!$B$175:$K$175</definedName>
    <definedName name="cumcbe_ch4_g_b">'Preventative costs B'!$B$175:$K$175</definedName>
    <definedName name="cumcbe_co2">'Preventative costs A'!$B$157:$K$164</definedName>
    <definedName name="cumcbe_co2_b">'Preventative costs B'!$B$157:$K$164</definedName>
    <definedName name="cumcbe_co2_g">'Preventative costs A'!$B$165:$K$165</definedName>
    <definedName name="cumcbe_co2_g_b">'Preventative costs B'!$B$165:$K$165</definedName>
    <definedName name="cumcbe_glin">'Preventative costs A'!$B$187:$K$194</definedName>
    <definedName name="cumcbe_glin_b">'Preventative costs B'!$B$187:$K$194</definedName>
    <definedName name="cumcbe_glin_g">'Preventative costs A'!$B$195:$K$195</definedName>
    <definedName name="cumcbe_glin_g_b">'Preventative costs B'!$B$195:$K$195</definedName>
    <definedName name="cumcbe_n2o">'Preventative costs A'!$B$177:$K$184</definedName>
    <definedName name="cumcbe_n2o_b">'Preventative costs B'!$B$177:$K$184</definedName>
    <definedName name="cumcbe_n2o_g">'Preventative costs A'!$B$185:$K$185</definedName>
    <definedName name="cumcbe_n2o_g_b">'Preventative costs B'!$B$185:$K$185</definedName>
    <definedName name="CURRENCY_NAME">'Base data'!$D$35</definedName>
    <definedName name="CURVE_ABOVE">'Library data'!$C$190</definedName>
    <definedName name="CURVE_BELOW">'Library data'!$C$189</definedName>
    <definedName name="D">'Library data'!$C$13</definedName>
    <definedName name="delta_rtg_tpoints">'Climate A'!$D$201:$M$201</definedName>
    <definedName name="DEN">'Base data'!$B$14:$E$14</definedName>
    <definedName name="DEN_CH4">'Base data'!$C$14</definedName>
    <definedName name="DEN_CO2">'Base data'!$B$14</definedName>
    <definedName name="DEN_GLIN">'Base data'!$E$14</definedName>
    <definedName name="DEN_N2O">'Base data'!$D$14</definedName>
    <definedName name="DF">'Economy A'!$C$67:$L$74</definedName>
    <definedName name="DFC">'Economy A'!$C$58:$L$65</definedName>
    <definedName name="DFC_B">'Economy B'!$C$58:$L$65</definedName>
    <definedName name="DISTAU">'Library data'!$C$85</definedName>
    <definedName name="DR">'Base data'!$C$163:$L$170</definedName>
    <definedName name="DR_1">'Base data'!$C$163:$C$170</definedName>
    <definedName name="DR_1_B">'Base data'!$C$196:$C$203</definedName>
    <definedName name="DR_B">'Base data'!$C$196:$L$203</definedName>
    <definedName name="DR_NOT_1">'Base data'!$D$163:$L$170</definedName>
    <definedName name="DR_NOT_1_B">'Base data'!$D$196:$L$203</definedName>
    <definedName name="DROP">'Base data'!$M$4</definedName>
    <definedName name="e_ch4">'Emissions A'!$C$36:$L$43</definedName>
    <definedName name="E_CH4_0">'Base data'!$G$26:$G$33</definedName>
    <definedName name="e_ch4_b">'Emissions B'!$C$36:$L$43</definedName>
    <definedName name="e_ch4_g">'Emissions A'!$C$44:$L$44</definedName>
    <definedName name="E_CH4_G_0">'Emissions A'!$B$44</definedName>
    <definedName name="e_ch4_g_b">'Emissions B'!$C$44:$L$44</definedName>
    <definedName name="e_co2">'Emissions A'!$C$5:$L$12</definedName>
    <definedName name="E_CO2_0">'Base data'!$F$26:$F$33</definedName>
    <definedName name="e_co2_b">'Emissions B'!$C$5:$L$12</definedName>
    <definedName name="e_co2_g">'Emissions A'!$C$14:$L$14</definedName>
    <definedName name="E_CO2_G_0">'Base data'!$F$34</definedName>
    <definedName name="e_co2_g_b">'Emissions B'!$C$14:$L$14</definedName>
    <definedName name="e_co2_g_b_no_scc">'Emissions B'!$C$13:$L$13</definedName>
    <definedName name="e_co2_g_not_1">'Emissions A'!$D$14:$L$14</definedName>
    <definedName name="e_co2_g_not_1_b">'Emissions B'!$D$14:$L$14</definedName>
    <definedName name="E_GLIN_0">'Base data'!$I$26:$I$33</definedName>
    <definedName name="e_glin_g">'Emissions A'!$C$106:$L$106</definedName>
    <definedName name="E_GLIN_G_0">'Emissions A'!$B$106</definedName>
    <definedName name="e_glin_g_b">'Emissions B'!$C$106:$L$106</definedName>
    <definedName name="e_n2o">'Emissions A'!$C$67:$L$74</definedName>
    <definedName name="E_N2O_0">'Base data'!$H$26:$H$33</definedName>
    <definedName name="e_n2o_b">'Emissions B'!$C$67:$L$74</definedName>
    <definedName name="e_n2o_g">'Emissions A'!$C$75:$L$75</definedName>
    <definedName name="E_N2O_G_0">'Emissions A'!$B$75</definedName>
    <definedName name="e_n2o_g_b">'Emissions B'!$C$75:$L$75</definedName>
    <definedName name="eact_per_cap">'Adaptive costs A'!$B$132:$K$139</definedName>
    <definedName name="eact_per_cap_b">'Adaptive costs B'!$B$132:$K$139</definedName>
    <definedName name="ECON_IMPF">Cockpit!$B$36</definedName>
    <definedName name="ECON_IMPF_BURKE_LAG1_CONSUM">Cockpit!$E$37</definedName>
    <definedName name="ECON_IMPF_BURKE_LAG2_CONSUM">Cockpit!$E$38</definedName>
    <definedName name="ECON_IMPF_PAGE09_BURKE_MIMIC">Cockpit!$E$42</definedName>
    <definedName name="ECON_IMPF_PAGE09_DEFAULT">Cockpit!$E$39</definedName>
    <definedName name="ECON_IMPF_PAGE09_DELL_MIMIC">Cockpit!$E$41</definedName>
    <definedName name="ECON_IMPF_PAGE09_IPCCAR5_BURKE">Cockpit!$E$40</definedName>
    <definedName name="ECON_IMPF_SWITCH">Cockpit!$B$59</definedName>
    <definedName name="ECS">'Library data'!$C$22</definedName>
    <definedName name="ecs_alb_adj">'Climate A'!$D$169:$M$169</definedName>
    <definedName name="ECS_ALB_ADJ_0">'Climate A'!$C$169</definedName>
    <definedName name="ecs_alb_adj_1">'Climate A'!$D$169</definedName>
    <definedName name="ecs_alb_adj_1_b">'Climate B'!$D$169</definedName>
    <definedName name="ecs_alb_adj_b">'Climate B'!$D$169:$M$169</definedName>
    <definedName name="ecs_alb_adj_not_1">'Climate A'!$E$169:$M$169</definedName>
    <definedName name="ecs_alb_adj_not_1_b">'Climate B'!$E$169:$M$169</definedName>
    <definedName name="EMIT_CH4">'Preventative costs A'!$C$5:$C$12</definedName>
    <definedName name="EMIT_CH4_1">'Library data'!$C$138</definedName>
    <definedName name="EMIT_CO2">'Preventative costs A'!$B$5:$B$12</definedName>
    <definedName name="EMIT_CO2_1">'Library data'!$C$131</definedName>
    <definedName name="EMIT_GLIN">'Preventative costs A'!$E$5:$E$12</definedName>
    <definedName name="EMIT_GLIN_1">'Library data'!$C$152</definedName>
    <definedName name="EMIT_N2O">'Preventative costs A'!$D$5:$D$12</definedName>
    <definedName name="EMIT_N2O_1">'Library data'!$C$145</definedName>
    <definedName name="EMIT_NAME">'Base data'!$F$35</definedName>
    <definedName name="EMITF">'Library data'!$C$159:$C$165</definedName>
    <definedName name="EMUC">'Base data'!$B$11</definedName>
    <definedName name="EQUITY">'Economy A'!$C$48:$L$55</definedName>
    <definedName name="EQUITY_0">'Economy A'!$B$48:$B$55</definedName>
    <definedName name="EQUITY_B">'Economy B'!$C$48:$L$55</definedName>
    <definedName name="EQUITY_G">'Economy A'!$C$56:$L$56</definedName>
    <definedName name="EQUITY_G_0">'Economy A'!$B$56</definedName>
    <definedName name="EQUITY_PROP">'Library data'!$C$196</definedName>
    <definedName name="EQUITY_SWITCH">Cockpit!$B$61</definedName>
    <definedName name="er_ch4_1_a">'Policy A'!$B$14:$B$21</definedName>
    <definedName name="er_ch4_1_b">'Policy B'!$B$14:$B$21</definedName>
    <definedName name="er_ch4_a">'Policy A'!$B$14:$K$21</definedName>
    <definedName name="er_ch4_b">'Policy B'!$B$14:$K$21</definedName>
    <definedName name="er_ch4_final_a">'Policy A'!$K$14:$K$21</definedName>
    <definedName name="er_ch4_final_b">'Policy B'!$K$14:$K$21</definedName>
    <definedName name="er_ch4_not_1_a">'Policy A'!$C$14:$K$21</definedName>
    <definedName name="er_ch4_not_1_b">'Policy B'!$C$14:$K$21</definedName>
    <definedName name="er_co2_1_a">'Policy A'!$B$5:$B$12</definedName>
    <definedName name="er_co2_1_b">'Policy B'!$B$5:$B$12</definedName>
    <definedName name="er_co2_a">'Policy A'!$B$5:$K$12</definedName>
    <definedName name="er_co2_b">'Policy B'!$B$5:$K$12</definedName>
    <definedName name="er_co2_final_a">'Policy A'!$K$5:$K$12</definedName>
    <definedName name="er_co2_final_b">'Policy B'!$K$5:$K$12</definedName>
    <definedName name="er_co2_not_1_a">'Policy A'!$C$5:$K$12</definedName>
    <definedName name="er_co2_not_1_b">'Policy B'!$C$5:$K$12</definedName>
    <definedName name="er_glin_1_a">'Policy A'!$B$32:$B$39</definedName>
    <definedName name="er_glin_1_b">'Policy B'!$B$32:$B$39</definedName>
    <definedName name="er_glin_a">'Policy A'!$B$32:$K$39</definedName>
    <definedName name="er_glin_b">'Policy B'!$B$32:$K$39</definedName>
    <definedName name="er_glin_final_a">'Policy A'!$K$32:$K$39</definedName>
    <definedName name="er_glin_final_b">'Policy B'!$K$32:$K$39</definedName>
    <definedName name="er_glin_not_1_a">'Policy A'!$C$32:$K$39</definedName>
    <definedName name="er_glin_not_1_b">'Policy B'!$C$32:$K$39</definedName>
    <definedName name="er_n2o_1_a">'Policy A'!$B$23:$B$30</definedName>
    <definedName name="er_n2o_1_b">'Policy B'!$B$23:$B$30</definedName>
    <definedName name="er_n2o_a">'Policy A'!$B$23:$K$30</definedName>
    <definedName name="er_n2o_b">'Policy B'!$B$23:$K$30</definedName>
    <definedName name="er_n2o_final_a">'Policy A'!$K$23:$K$30</definedName>
    <definedName name="er_n2o_final_b">'Policy B'!$K$23:$K$30</definedName>
    <definedName name="er_n2o_not_1_a">'Policy A'!$C$23:$K$30</definedName>
    <definedName name="er_n2o_not_1_b">'Policy B'!$C$23:$K$30</definedName>
    <definedName name="er_scc">'Emissions B'!$C$2:$L$2</definedName>
    <definedName name="es">'Climate A'!$D$189:$M$189</definedName>
    <definedName name="ES_0">'Climate A'!$C$189</definedName>
    <definedName name="es_1">'Climate A'!$D$189</definedName>
    <definedName name="es_1_b">'Climate B'!$D$189</definedName>
    <definedName name="es_b">'Climate B'!$D$189:$M$189</definedName>
    <definedName name="es_not_1">'Climate A'!$E$189:$M$189</definedName>
    <definedName name="es_not_1_b">'Climate B'!$E$189:$M$189</definedName>
    <definedName name="EXC">'Climate A'!$D$7:$G$7</definedName>
    <definedName name="EXC_CH4">'Climate A'!$E$7</definedName>
    <definedName name="EXC_CO2">'Climate A'!$D$7</definedName>
    <definedName name="EXC_GLIN">'Climate A'!$G$7</definedName>
    <definedName name="EXC_N2O">'Climate A'!$F$7</definedName>
    <definedName name="EXF_0">'Emissions A'!$B$141</definedName>
    <definedName name="exf_a">'Emissions A'!$C$141:$L$141</definedName>
    <definedName name="exf_b">'Emissions B'!$C$141:$L$141</definedName>
    <definedName name="EXPERIMENT">Cockpit!$B$4</definedName>
    <definedName name="EXPERIMENT_BOTHFEED">Cockpit!$E$8</definedName>
    <definedName name="EXPERIMENT_LANDPERM">Cockpit!$E$6</definedName>
    <definedName name="EXPERIMENT_QC">Cockpit!$E$5</definedName>
    <definedName name="EXPERIMENT_SAF">Cockpit!$E$7</definedName>
    <definedName name="EXPERIMENT_SCC_BOTHFEED">Cockpit!$E$12</definedName>
    <definedName name="EXPERIMENT_SCC_LANDPERM">Cockpit!$E$10</definedName>
    <definedName name="EXPERIMENT_SCC_LEGFEED">Cockpit!$E$9</definedName>
    <definedName name="EXPERIMENT_SCC_SAF">Cockpit!$E$11</definedName>
    <definedName name="EXPERIMENT_TWOSCEN_BOTHFEED">Cockpit!$E$14</definedName>
    <definedName name="EXPERIMENT_TWOSCEN_LEGFEED">Cockpit!$E$13</definedName>
    <definedName name="EXPF_CH4">'Climate A'!$D$100:$M$100</definedName>
    <definedName name="EXPF_CH4_NOT_1">'Climate A'!$E$100:$M$100</definedName>
    <definedName name="EXPF_GLIN">'Climate A'!$D$124:$M$124</definedName>
    <definedName name="EXPF_GLIN_NOT_1">'Climate A'!$E$124:$M$124</definedName>
    <definedName name="EXPF_N2O">'Climate A'!$D$110:$M$110</definedName>
    <definedName name="EXPF_N2O_NOT_1">'Climate A'!$E$110:$M$110</definedName>
    <definedName name="EXPFDIS">'Impacts A'!$C$126:$L$126</definedName>
    <definedName name="EXPFDIS_1">'Impacts A'!$C$126</definedName>
    <definedName name="EXPFDIS_NOT_1">'Impacts A'!$D$126:$L$126</definedName>
    <definedName name="EXPFS">'Climate A'!$D$190:$M$190</definedName>
    <definedName name="EXPFS_1">'Climate A'!$D$190</definedName>
    <definedName name="EXPFS_NOT_1">'Climate A'!$E$190:$M$190</definedName>
    <definedName name="EXTRA_ABATE_END">Cockpit!$B$67</definedName>
    <definedName name="EXTRA_ABATE_FACTOR_COMPOUND">'Base data'!$C$591:$L$591</definedName>
    <definedName name="EXTRA_ABATE_FACTOR_COMPOUND_B">'Base data'!$C$647:$L$647</definedName>
    <definedName name="EXTRA_ABATE_FACTOR_PERIOD">'Base data'!$C$590:$L$590</definedName>
    <definedName name="EXTRA_ABATE_FACTOR_PERIOD_1">'Base data'!$C$590</definedName>
    <definedName name="EXTRA_ABATE_FACTOR_PERIOD_1_B">'Base data'!$C$646</definedName>
    <definedName name="EXTRA_ABATE_FACTOR_PERIOD_NOT_1">'Base data'!$D$590:$L$590</definedName>
    <definedName name="EXTRA_ABATE_FACTOR_PERIOD_NOT_1_B">'Base data'!$D$646:$L$646</definedName>
    <definedName name="EXTRA_ABATE_RATE">Cockpit!$B$65</definedName>
    <definedName name="EXTRA_ABATE_RATE_15C">Cockpit!$H$65</definedName>
    <definedName name="EXTRA_ABATE_RATE_2C">Cockpit!$H$66</definedName>
    <definedName name="EXTRA_ABATE_RATE_B">Cockpit!$B$70</definedName>
    <definedName name="EXTRA_ABATE_START">Cockpit!$B$66</definedName>
    <definedName name="f_ch4">'Climate A'!$D$118:$M$118</definedName>
    <definedName name="F_CH4_0">'Base data'!$C$21</definedName>
    <definedName name="f_ch4_b">'Climate B'!$D$118:$M$118</definedName>
    <definedName name="f_ch4_no_over">'Climate A'!$D$105:$M$105</definedName>
    <definedName name="f_ch4_no_over_b">'Climate B'!$D$105:$M$105</definedName>
    <definedName name="f_co2">'Climate A'!$D$92:$M$92</definedName>
    <definedName name="F_CO2_0">'Base data'!$B$21</definedName>
    <definedName name="f_co2_b">'Climate B'!$D$92:$M$92</definedName>
    <definedName name="f_glin">'Climate A'!$D$129:$M$129</definedName>
    <definedName name="F_GLIN_0">'Base data'!$E$21</definedName>
    <definedName name="f_glin_b">'Climate B'!$D$129:$M$129</definedName>
    <definedName name="f_n2o">'Climate A'!$D$119:$M$119</definedName>
    <definedName name="F_N2O_0">'Base data'!$D$21</definedName>
    <definedName name="f_n2o_b">'Climate B'!$D$119:$M$119</definedName>
    <definedName name="f_n2o_no_over">'Climate A'!$D$115:$M$115</definedName>
    <definedName name="f_n2o_no_over_b">'Climate B'!$D$115:$M$115</definedName>
    <definedName name="fgt">'Climate A'!$D$161:$M$161</definedName>
    <definedName name="FGT_0">'Climate A'!$C$161</definedName>
    <definedName name="fgt_1">'Climate A'!$D$161</definedName>
    <definedName name="fgt_1_b">'Climate B'!$D$161</definedName>
    <definedName name="fgt_b">'Climate B'!$D$161:$M$161</definedName>
    <definedName name="fgt_not_1">'Climate A'!$E$161:$M$161</definedName>
    <definedName name="fgt_not_1_b">'Climate B'!$E$161:$M$161</definedName>
    <definedName name="FRT">'Library data'!$C$21</definedName>
    <definedName name="frt_alb_adj">'Climate A'!$D$170:$M$170</definedName>
    <definedName name="FRT_ALB_ADJ_0">'Climate A'!$C$170</definedName>
    <definedName name="frt_alb_adj_1">'Climate A'!$D$170</definedName>
    <definedName name="frt_alb_adj_1_b">'Climate B'!$D$170</definedName>
    <definedName name="frt_alb_adj_b">'Climate B'!$D$170:$M$170</definedName>
    <definedName name="frt_alb_adj_not_1">'Climate A'!$E$170:$M$170</definedName>
    <definedName name="frt_alb_adj_not_1_b">'Climate B'!$E$170:$M$170</definedName>
    <definedName name="fs">'Climate A'!$D$151:$M$158</definedName>
    <definedName name="fs_1">'Climate A'!$D$151:$D$158</definedName>
    <definedName name="fs_1_b">'Climate B'!$D$151:$D$158</definedName>
    <definedName name="fs_b">'Climate B'!$D$151:$M$158</definedName>
    <definedName name="fs_g">'Climate A'!$D$159:$M$159</definedName>
    <definedName name="fs_g_1">'Climate A'!$D$159</definedName>
    <definedName name="fs_g_1_b">'Climate B'!$D$159</definedName>
    <definedName name="fs_g_b">'Climate B'!$D$159:$M$159</definedName>
    <definedName name="fs_g_not_1">'Climate A'!$E$159:$M$159</definedName>
    <definedName name="fs_g_not_1_b">'Climate B'!$E$159:$M$159</definedName>
    <definedName name="fs_not_1">'Climate A'!$E$151:$M$158</definedName>
    <definedName name="fs_not_1_b">'Climate B'!$E$151:$M$158</definedName>
    <definedName name="fsd" localSheetId="13">'Climate A-B'!$D$133:$M$140</definedName>
    <definedName name="fsd">'Climate A'!$D$133:$M$140</definedName>
    <definedName name="FSD_0" localSheetId="13">'Climate A-B'!$C$133:$C$140</definedName>
    <definedName name="FSD_0">'Climate A'!$C$133:$C$140</definedName>
    <definedName name="fsd_b">'Climate B'!$D$133:$M$140</definedName>
    <definedName name="fsd_g">'Climate A'!$D$141:$M$141</definedName>
    <definedName name="FSD_G_0">'Climate A'!$C$141</definedName>
    <definedName name="fsd_g_b">'Climate B'!$D$141:$M$141</definedName>
    <definedName name="fsi">'Climate A'!$D$142:$M$149</definedName>
    <definedName name="FSI_0">'Climate A'!$C$142:$C$149</definedName>
    <definedName name="fsi_b">'Climate B'!$D$142:$M$149</definedName>
    <definedName name="fsi_g">'Climate A'!$D$150:$M$150</definedName>
    <definedName name="FSI_G_0">'Climate A'!$C$150</definedName>
    <definedName name="fsi_g_b">'Climate B'!$D$150:$M$150</definedName>
    <definedName name="FSLOPE_CH4">'Base data'!$C$15</definedName>
    <definedName name="FSLOPE_CO2">'Base data'!$B$15</definedName>
    <definedName name="FSLOPE_GLIN">'Base data'!$E$15</definedName>
    <definedName name="FSLOPE_N2O">'Base data'!$D$15</definedName>
    <definedName name="ft">'Climate A'!$D$131:$M$131</definedName>
    <definedName name="FT_0">'Climate A'!$C$131</definedName>
    <definedName name="ft_1">'Climate A'!$D$131</definedName>
    <definedName name="ft_1_b">'Climate B'!$D$131</definedName>
    <definedName name="ft_b">'Climate B'!$D$131:$M$131</definedName>
    <definedName name="ft_not_1">'Climate A'!$E$131:$M$131</definedName>
    <definedName name="ft_not_1_b">'Climate B'!$E$131:$M$131</definedName>
    <definedName name="gain">'Climate A'!$D$89:$M$89</definedName>
    <definedName name="GAIN_0">'Climate A'!$C$89</definedName>
    <definedName name="gain_b">'Climate B'!$D$89:$M$89</definedName>
    <definedName name="GDP">'Economy A'!$C$4:$L$11</definedName>
    <definedName name="GDP_0">'Base data'!$D$26:$D$33</definedName>
    <definedName name="GDP_B">'Economy B'!$C$4:$L$11</definedName>
    <definedName name="GDP_G">'Economy A'!$C$12:$L$12</definedName>
    <definedName name="GDP_G_0">'Economy A'!$B$12</definedName>
    <definedName name="GDP_G_1">'Economy A'!$C$12</definedName>
    <definedName name="GDP_G_1_B">'Economy B'!$C$12</definedName>
    <definedName name="GDP_G_B">'Economy B'!$C$12:$L$12</definedName>
    <definedName name="GDP_G_NOT_1">'Economy A'!$D$12:$L$12</definedName>
    <definedName name="GDP_G_NOT_1_B">'Economy B'!$D$12:$L$12</definedName>
    <definedName name="GDP_NOT_1">'Economy A'!$D$4:$L$11</definedName>
    <definedName name="GDP_NOT_1_B">'Economy B'!$D$4:$L$11</definedName>
    <definedName name="GDP_PER_CAP">'Economy A'!$C$26:$L$33</definedName>
    <definedName name="GDP_PER_CAP_0">'Economy A'!$B$26:$B$33</definedName>
    <definedName name="gdp_per_cap_after_costs">'Impacts A'!$C$139:$L$146</definedName>
    <definedName name="gdp_per_cap_after_costs_b">'Impacts B'!$C$139:$L$146</definedName>
    <definedName name="GDP_PER_CAP_B">'Economy B'!$C$26:$L$33</definedName>
    <definedName name="GDP_PER_CAP_FOCUS_0">'Economy A'!$B$26</definedName>
    <definedName name="GDP_PER_CAP_G">'Economy A'!$C$34:$L$34</definedName>
    <definedName name="GDP_PER_CAP_G_0">'Economy A'!$B$34</definedName>
    <definedName name="GDP_PER_CAP_G_B">'Economy B'!$C$34:$L$34</definedName>
    <definedName name="GLIN_NAME">'Base data'!$E$12</definedName>
    <definedName name="GRW">'Base data'!$C$143:$L$150</definedName>
    <definedName name="GRW_1">'Base data'!$C$143:$C$150</definedName>
    <definedName name="GRW_1_B">'Base data'!$C$176:$C$183</definedName>
    <definedName name="GRW_B">'Base data'!$C$176:$L$183</definedName>
    <definedName name="GRW_G">'Economy A'!$C$13:$L$13</definedName>
    <definedName name="GRW_G_B">'Economy B'!$C$13:$L$13</definedName>
    <definedName name="GRW_NOT_1">'Base data'!$D$143:$L$150</definedName>
    <definedName name="GRW_NOT_1_B">'Base data'!$D$176:$L$183</definedName>
    <definedName name="i_1">'Impacts A'!$C$106:$L$113</definedName>
    <definedName name="i_1_b">'Impacts B'!$C$106:$L$113</definedName>
    <definedName name="i_1_burke">'Impacts A'!$C$97:$L$104</definedName>
    <definedName name="i_1_burke_1">'Impacts A'!$C$97:$C$104</definedName>
    <definedName name="i_1_burke_1_b">'Impacts B'!$C$97:$C$104</definedName>
    <definedName name="i_1_burke_b">'Impacts B'!$C$97:$L$104</definedName>
    <definedName name="i_1_burke_not_1">'Impacts A'!$D$97:$L$104</definedName>
    <definedName name="i_1_burke_not_1_b">'Impacts B'!$D$97:$L$104</definedName>
    <definedName name="i_1_log">'Impacts A'!$C$202:$L$209</definedName>
    <definedName name="i_1_log_b">'Impacts B'!$C$202:$L$209</definedName>
    <definedName name="I_1_NAME">'Base data'!$B$7</definedName>
    <definedName name="i_2">'Impacts A'!$C$115:$L$122</definedName>
    <definedName name="i_2_b">'Impacts B'!$C$115:$L$122</definedName>
    <definedName name="I_2_NAME">'Base data'!$B$8</definedName>
    <definedName name="I_D_NAME">'Base data'!$B$9</definedName>
    <definedName name="i_dis">'Impacts A'!$C$124:$L$124</definedName>
    <definedName name="i_dis_b">'Impacts B'!$C$124:$L$124</definedName>
    <definedName name="i_s">'Impacts A'!$C$88:$L$95</definedName>
    <definedName name="i_s_b">'Impacts B'!$C$88:$L$95</definedName>
    <definedName name="I_S_NAME">'Base data'!$B$6</definedName>
    <definedName name="IBEN_1">'Library data'!$C$71</definedName>
    <definedName name="IBEN_2">'Library data'!$C$79</definedName>
    <definedName name="IBEN_S">'Library data'!$C$66</definedName>
    <definedName name="IES_CH4">'Library data'!$C$143</definedName>
    <definedName name="IES_CO2">'Library data'!$C$136</definedName>
    <definedName name="IES_GLIN">'Library data'!$C$157</definedName>
    <definedName name="IES_N2O">'Library data'!$C$150</definedName>
    <definedName name="igdp_1">'Impacts A'!$C$238:$L$245</definedName>
    <definedName name="igdp_1_b">'Impacts B'!$C$238:$L$245</definedName>
    <definedName name="igdp_2">'Impacts A'!$C$301:$L$308</definedName>
    <definedName name="igdp_2_b">'Impacts B'!$C$301:$L$308</definedName>
    <definedName name="igdp_s">'Impacts A'!$C$157:$L$164</definedName>
    <definedName name="igdp_s_b">'Impacts B'!$C$157:$L$164</definedName>
    <definedName name="igdpdis">'Impacts A'!$C$364:$L$371</definedName>
    <definedName name="igdpdis_1">'Impacts A'!$C$364:$C$371</definedName>
    <definedName name="igdpdis_1_b">'Impacts B'!$C$364:$C$371</definedName>
    <definedName name="igdpdis_b">'Impacts B'!$C$364:$L$371</definedName>
    <definedName name="igdpdis_not_1">'Impacts A'!$D$364:$L$371</definedName>
    <definedName name="igdpdis_not_1_b">'Impacts B'!$D$364:$L$371</definedName>
    <definedName name="igdpeqdis">'Impacts A'!$C$355:$L$362</definedName>
    <definedName name="igdpeqdis_1">'Impacts A'!$C$355:$C$362</definedName>
    <definedName name="igdpeqdis_1_b">'Impacts B'!$C$355:$C$362</definedName>
    <definedName name="igdpeqdis_b">'Impacts B'!$C$355:$L$362</definedName>
    <definedName name="igdpeqdis_not_1">'Impacts A'!$D$355:$L$362</definedName>
    <definedName name="igdpeqdis_not_1_b">'Impacts B'!$D$355:$L$362</definedName>
    <definedName name="imp_1">'Impacts A'!$C$70:$L$77</definedName>
    <definedName name="imp_1_b">'Impacts B'!$C$70:$L$77</definedName>
    <definedName name="imp_2">'Impacts A'!$C$79:$L$86</definedName>
    <definedName name="imp_2_b">'Impacts B'!$C$79:$L$86</definedName>
    <definedName name="imp_s">'Impacts A'!$C$61:$L$68</definedName>
    <definedName name="imp_s_b">'Impacts B'!$C$61:$L$68</definedName>
    <definedName name="IMPF_COEFF_LIN">'Library data'!$C$76</definedName>
    <definedName name="IMPF_COEFF_QUADR">'Library data'!$C$77</definedName>
    <definedName name="impmax_1_a">'Policy A'!$I$69:$I$76</definedName>
    <definedName name="impmax_1_b">'Policy B'!$I$69:$I$76</definedName>
    <definedName name="impmax_2_a">'Policy A'!$I$82:$I$89</definedName>
    <definedName name="impmax_2_b">'Policy B'!$I$82:$I$89</definedName>
    <definedName name="impmax_s_a">'Policy A'!$I$56:$I$63</definedName>
    <definedName name="impmax_s_b">'Policy B'!$I$56:$I$63</definedName>
    <definedName name="impred_1_a">'Policy A'!$F$69:$F$76</definedName>
    <definedName name="impred_1_b">'Policy B'!$F$69:$F$76</definedName>
    <definedName name="impred_2_a">'Policy A'!$F$82:$F$89</definedName>
    <definedName name="impred_2_b">'Policy B'!$F$82:$F$89</definedName>
    <definedName name="impred_s_a">'Policy A'!$F$56:$F$63</definedName>
    <definedName name="impred_s_b">'Policy B'!$F$56:$F$63</definedName>
    <definedName name="IND">'Library data'!$C$14</definedName>
    <definedName name="IPOW_1">'Library data'!$C$74</definedName>
    <definedName name="IPOW_2">'Library data'!$C$82</definedName>
    <definedName name="IPOW_S">'Library data'!$C$69</definedName>
    <definedName name="IPOWDIS">'Library data'!$C$84</definedName>
    <definedName name="iref_1">'Impacts A'!$C$229:$L$236</definedName>
    <definedName name="iref_1_b">'Impacts B'!$C$229:$L$236</definedName>
    <definedName name="iref_1_burke">'Impacts A'!$C$211:$L$218</definedName>
    <definedName name="iref_1_burke_b">'Impacts B'!$C$211:$L$218</definedName>
    <definedName name="iref_1_page">'Impacts A'!$C$220:$L$227</definedName>
    <definedName name="iref_1_page_b">'Impacts B'!$C$220:$L$227</definedName>
    <definedName name="iref_2">'Impacts A'!$C$292:$L$299</definedName>
    <definedName name="iref_2_b">'Impacts B'!$C$292:$L$299</definedName>
    <definedName name="iref_s">'Impacts A'!$C$148:$L$155</definedName>
    <definedName name="iref_s_b">'Impacts B'!$C$148:$L$155</definedName>
    <definedName name="IREFEQDIS">'Impacts A'!$C$346:$L$353</definedName>
    <definedName name="ISAT">'Library data'!$C$86</definedName>
    <definedName name="isat_1">'Impacts A'!$C$247:$L$254</definedName>
    <definedName name="isat_1_b">'Impacts B'!$C$247:$L$254</definedName>
    <definedName name="isat_2">'Impacts A'!$C$310:$L$317</definedName>
    <definedName name="isat_2_b">'Impacts B'!$C$310:$L$317</definedName>
    <definedName name="isat_2_per_cap">'Impacts A'!$C$319:$L$326</definedName>
    <definedName name="isat_2_per_cap_b">'Impacts B'!$C$319:$L$326</definedName>
    <definedName name="isat_s">'Impacts A'!$C$166:$L$173</definedName>
    <definedName name="isat_s_b">'Impacts B'!$C$166:$L$173</definedName>
    <definedName name="isat_s_per_cap">'Impacts A'!$C$175:$L$182</definedName>
    <definedName name="isat_s_per_cap_b">'Impacts B'!$C$175:$L$182</definedName>
    <definedName name="isatad_1">'Impacts A'!$C$256:$L$263</definedName>
    <definedName name="isatad_1_b">'Impacts B'!$C$256:$L$263</definedName>
    <definedName name="isatad_1_per_cap">'Impacts A'!$C$265:$L$272</definedName>
    <definedName name="isatad_1_per_cap_b">'Impacts B'!$C$265:$L$272</definedName>
    <definedName name="isatdis">'Impacts A'!$C$373:$L$380</definedName>
    <definedName name="isatdis_b">'Impacts B'!$C$373:$L$380</definedName>
    <definedName name="isatdis_per_cap">'Impacts A'!$C$382:$L$389</definedName>
    <definedName name="isatdis_per_cap_b">'Impacts B'!$C$382:$L$389</definedName>
    <definedName name="ISATG">'Impacts A'!$C$24</definedName>
    <definedName name="istart_1_a">'Policy A'!$G$69:$G$76</definedName>
    <definedName name="istart_1_b">'Policy B'!$G$69:$G$76</definedName>
    <definedName name="istart_2_a">'Policy A'!$G$82:$G$89</definedName>
    <definedName name="istart_2_b">'Policy B'!$G$82:$G$89</definedName>
    <definedName name="istart_s_a">'Policy A'!$G$56:$G$63</definedName>
    <definedName name="istart_s_b">'Policy B'!$G$56:$G$63</definedName>
    <definedName name="iyears_1_a">'Policy A'!$H$69:$H$76</definedName>
    <definedName name="iyears_1_b">'Policy B'!$H$69:$H$76</definedName>
    <definedName name="iyears_2_a">'Policy A'!$H$82:$H$89</definedName>
    <definedName name="iyears_2_b">'Policy B'!$H$82:$H$89</definedName>
    <definedName name="iyears_s_a">'Policy A'!$H$56:$H$63</definedName>
    <definedName name="iyears_s_b">'Policy B'!$H$56:$H$63</definedName>
    <definedName name="land_comp_co2_proj">'Climate A'!$D$85:$M$85</definedName>
    <definedName name="land_comp_co2_proj_b">'Climate B'!$D$85:$M$85</definedName>
    <definedName name="LEARN">'Library data'!$C$192</definedName>
    <definedName name="learnfac_ch4">'Preventative costs A'!$B$206:$K$213</definedName>
    <definedName name="learnfac_ch4_b">'Preventative costs B'!$B$206:$K$213</definedName>
    <definedName name="learnfac_co2">'Preventative costs A'!$B$197:$K$204</definedName>
    <definedName name="learnfac_co2_b">'Preventative costs B'!$B$197:$K$204</definedName>
    <definedName name="learnfac_glin">'Preventative costs A'!$B$224:$K$231</definedName>
    <definedName name="learnfac_glin_b">'Preventative costs B'!$B$224:$K$231</definedName>
    <definedName name="learnfac_n2o">'Preventative costs A'!$B$215:$K$222</definedName>
    <definedName name="learnfac_n2o_b">'Preventative costs B'!$B$215:$K$222</definedName>
    <definedName name="mc_ch4">'Preventative costs A'!$B$578:$K$585</definedName>
    <definedName name="mc_ch4_b">'Preventative costs B'!$B$578:$K$585</definedName>
    <definedName name="mc_co2">'Preventative costs A'!$B$569:$K$576</definedName>
    <definedName name="mc_co2_b">'Preventative costs B'!$B$569:$K$576</definedName>
    <definedName name="mc_glin">'Preventative costs A'!$B$596:$K$603</definedName>
    <definedName name="mc_glin_b">'Preventative costs B'!$B$596:$K$603</definedName>
    <definedName name="mc_n2o">'Preventative costs A'!$B$587:$K$594</definedName>
    <definedName name="mc_n2o_b">'Preventative costs B'!$B$587:$K$594</definedName>
    <definedName name="MODEL_NAME">'Base data'!$A$1</definedName>
    <definedName name="natur_teay_ch4">'Climate A'!$D$96:$M$96</definedName>
    <definedName name="natur_teay_ch4_b">'Climate B'!$D$96:$M$96</definedName>
    <definedName name="NF_0">'Base data'!$K$26:$K$33</definedName>
    <definedName name="nte_ch4">'Climate A'!$D$94:$M$94</definedName>
    <definedName name="NTE_CH4_0">'Climate A'!$C$94</definedName>
    <definedName name="nte_ch4_b">'Climate B'!$D$94:$M$94</definedName>
    <definedName name="nte_ch4_not_1">'Climate A'!$E$94:$M$94</definedName>
    <definedName name="nte_ch4_not_1_b">'Climate B'!$E$94:$M$94</definedName>
    <definedName name="nte_glin">'Climate A'!$D$121:$M$121</definedName>
    <definedName name="NTE_GLIN_0">'Climate A'!$C$121</definedName>
    <definedName name="nte_glin_b">'Climate B'!$D$121:$M$121</definedName>
    <definedName name="nte_n2o">'Climate A'!$D$107:$M$107</definedName>
    <definedName name="NTE_N2O_0">'Climate A'!$C$107</definedName>
    <definedName name="nte_n2o_b">'Climate B'!$D$107:$M$107</definedName>
    <definedName name="occur_dis">'Impacts A'!$C$127:$L$127</definedName>
    <definedName name="occur_dis_1">'Impacts A'!$C$127</definedName>
    <definedName name="occur_dis_1_b">'Impacts B'!$C$127</definedName>
    <definedName name="occur_dis_b">'Impacts B'!$C$127:$L$127</definedName>
    <definedName name="occur_dis_not_1">'Impacts A'!$D$127:$L$127</definedName>
    <definedName name="occur_dis_not_1_b">'Impacts B'!$D$127:$L$127</definedName>
    <definedName name="OCCUR_SCC">'Base data'!$C$4:$L$4</definedName>
    <definedName name="ocean_co2_flux_annual">'Climate A'!$D$213:$M$213</definedName>
    <definedName name="ocean_co2_flux_annual_b">'Climate B'!$D$214:$M$214</definedName>
    <definedName name="ocean_long_comp_co2_proj">'Climate A'!$D$83:$M$83</definedName>
    <definedName name="ocean_long_comp_co2_proj_b">'Climate B'!$D$83:$M$83</definedName>
    <definedName name="OCEAN_PROP">'Base data'!$D$57</definedName>
    <definedName name="ocean_short_comp_co2_proj">'Climate A'!$D$84:$M$84</definedName>
    <definedName name="ocean_short_comp_co2_proj_b">'Climate B'!$D$84:$M$84</definedName>
    <definedName name="OptimizationAdjustableCellAddresses" hidden="1">#REF!</definedName>
    <definedName name="over_ch4">'Climate A'!$D$116:$M$116</definedName>
    <definedName name="over_ch4_b">'Climate B'!$D$116:$M$116</definedName>
    <definedName name="over_n2o">'Climate A'!$D$117:$M$117</definedName>
    <definedName name="over_n2o_b">'Climate B'!$D$117:$M$117</definedName>
    <definedName name="PAIR_15C">Cockpit!$E$20</definedName>
    <definedName name="PAIR_25C">Cockpit!$E$22</definedName>
    <definedName name="PAIR_2C">Cockpit!$E$21</definedName>
    <definedName name="PAIR_BAU">Cockpit!$E$25</definedName>
    <definedName name="PAIR_NDC">Cockpit!$E$23</definedName>
    <definedName name="PAIR_NDC_PART">Cockpit!$E$24</definedName>
    <definedName name="PAIR_RCP26">Cockpit!$E$26</definedName>
    <definedName name="PAIR_RCP45">Cockpit!$E$27</definedName>
    <definedName name="PAIR_RCP85">Cockpit!$E$28</definedName>
    <definedName name="PAIR_ZERO">Cockpit!$E$19</definedName>
    <definedName name="Pal_Workbook_GUID" hidden="1">"IFFU95UGL1TENSCVCVM3E7H4"</definedName>
    <definedName name="PARAM_ECON_IMPF_PAGE09_BURKE_MIMIC">'Base data'!$F$133:$H$136</definedName>
    <definedName name="PARAM_ECON_IMPF_PAGE09_DEFAULT">'Base data'!$F$115:$H$118</definedName>
    <definedName name="PARAM_ECON_IMPF_PAGE09_DELL_MIMIC">'Base data'!$F$127:$H$130</definedName>
    <definedName name="PARAM_ECON_IMPF_PAGE09_IPCCAR5_BURKE">'Base data'!$F$121:$H$124</definedName>
    <definedName name="pcdat">'Preventative costs A'!$B$697:$K$704</definedName>
    <definedName name="pcdat_b">'Preventative costs B'!$B$697:$K$704</definedName>
    <definedName name="pcdat_g">'Preventative costs A'!$B$705:$K$705</definedName>
    <definedName name="pcdat_g_ab">'Preventative costs A-B'!$B$705:$K$705</definedName>
    <definedName name="pcdat_g_b">'Preventative costs B'!$B$705:$K$705</definedName>
    <definedName name="pcdat_gt">'Preventative costs A'!$L$705</definedName>
    <definedName name="pcdat_gt_b">'Preventative costs B'!$L$705</definedName>
    <definedName name="pcdt">'Preventative costs A'!$B$687:$K$694</definedName>
    <definedName name="pcdt_b">'Preventative costs B'!$B$687:$K$694</definedName>
    <definedName name="pcdt_g">'Preventative costs A'!$B$695:$K$695</definedName>
    <definedName name="pcdt_g_ab">'Preventative costs A-B'!$B$695:$K$695</definedName>
    <definedName name="pcdt_g_b">'Preventative costs B'!$B$695:$K$695</definedName>
    <definedName name="pct">'Preventative costs A'!$B$677:$K$684</definedName>
    <definedName name="pct_b">'Preventative costs B'!$B$677:$K$684</definedName>
    <definedName name="pct_g">'Preventative costs A'!$B$685:$K$685</definedName>
    <definedName name="pct_g_ab">'Preventative costs A-B'!$B$685:$K$685</definedName>
    <definedName name="pct_g_b">'Preventative costs B'!$B$685:$K$685</definedName>
    <definedName name="pct_per_cap">'Preventative costs A'!$B$668:$K$675</definedName>
    <definedName name="pct_per_cap_b">'Preventative costs B'!$B$668:$K$675</definedName>
    <definedName name="PDIS">'Library data'!$C$59</definedName>
    <definedName name="PERCENT_CO2_LAND">'Library data'!$C$6</definedName>
    <definedName name="PERCENT_CO2_OCEAN_LONG">'Library data'!$C$4</definedName>
    <definedName name="PERCENT_CO2_OCEAN_SHORT">'Library data'!$C$5</definedName>
    <definedName name="PERCENT_CO2_STAY">'Climate A'!$D$12</definedName>
    <definedName name="PERM_INITIAL_C_STOCK_UNCERTAINTY">'Library data'!$C$36</definedName>
    <definedName name="PERM_JUL_AF">'Library data'!$C$48</definedName>
    <definedName name="PERM_JUL_CE_C_0">'Climate A'!$D$22</definedName>
    <definedName name="perm_jul_ce_c_co2">'Climate A'!$D$60:$M$60</definedName>
    <definedName name="PERM_JUL_CE_C_CO2_0">'Base data'!$D$84</definedName>
    <definedName name="perm_jul_ce_c_co2_1">'Climate A'!$D$60</definedName>
    <definedName name="perm_jul_ce_c_co2_1_b">'Climate B'!$D$60</definedName>
    <definedName name="perm_jul_ce_c_co2_b">'Climate B'!$D$60:$M$60</definedName>
    <definedName name="perm_jul_ce_c_co2_not_1">'Climate A'!$E$60:$M$60</definedName>
    <definedName name="perm_jul_ce_c_co2_not_1_b">'Climate B'!$E$60:$M$60</definedName>
    <definedName name="perm_jul_ce_ch4">'Climate A'!$D$64:$M$64</definedName>
    <definedName name="PERM_JUL_CE_CH4_0">'Climate A'!$D$24</definedName>
    <definedName name="perm_jul_ce_ch4_b">'Climate B'!$D$64:$M$64</definedName>
    <definedName name="perm_jul_ce_co2">'Climate A'!$D$61:$M$61</definedName>
    <definedName name="PERM_JUL_CE_CO2_0">'Climate A'!$D$23</definedName>
    <definedName name="perm_jul_ce_co2_b">'Climate B'!$D$61:$M$61</definedName>
    <definedName name="PERM_JUL_CH4_CO2_C_RATIO">'Library data'!$C$53</definedName>
    <definedName name="perm_jul_e_co2">'Climate A'!$D$62:$M$62</definedName>
    <definedName name="PERM_JUL_E_CO2_0">'Climate A'!$C$62</definedName>
    <definedName name="perm_jul_e_co2_b">'Climate B'!$D$62:$M$62</definedName>
    <definedName name="perm_jul_equilib_c_co2">'Climate A'!$D$59:$M$59</definedName>
    <definedName name="PERM_JUL_EQUILIB_C_CO2_0">'Climate A'!$C$59</definedName>
    <definedName name="perm_jul_equilib_c_co2_1">'Climate A'!$D$59</definedName>
    <definedName name="perm_jul_equilib_c_co2_1_b">'Climate B'!$D$59</definedName>
    <definedName name="perm_jul_equilib_c_co2_b">'Climate B'!$D$59:$M$59</definedName>
    <definedName name="perm_jul_equilib_c_co2_not_1">'Climate A'!$E$59:$M$59</definedName>
    <definedName name="perm_jul_equilib_c_co2_not_1_b">'Climate B'!$E$59:$M$59</definedName>
    <definedName name="PERM_JUL_LAG_C_CO2">'Library data'!$C$50</definedName>
    <definedName name="perm_jul_lag_c_co2_correct">'Climate A'!$D$57:$M$57</definedName>
    <definedName name="PERM_JUL_LAG_C_CO2_CORRECT_0">'Climate A'!$C$57</definedName>
    <definedName name="perm_jul_lag_c_co2_correct_1">'Climate A'!$D$57</definedName>
    <definedName name="perm_jul_lag_c_co2_correct_1_b">'Climate B'!$D$57</definedName>
    <definedName name="perm_jul_lag_c_co2_correct_b">'Climate B'!$D$57:$M$57</definedName>
    <definedName name="perm_jul_lag_c_co2_correct_not_1">'Climate A'!$E$57:$M$57</definedName>
    <definedName name="perm_jul_lag_c_co2_correct_not_1_b">'Climate B'!$E$57:$M$57</definedName>
    <definedName name="PERM_JUL_LAG_SLOPE_VS_T_CO2">'Base data'!$D$92</definedName>
    <definedName name="PERM_JUL_LIMIT_C">'Base data'!$D$86</definedName>
    <definedName name="PERM_JUL_LIMIT_T">'Base data'!$D$87</definedName>
    <definedName name="PERM_JUL_POW_C_CO2">'Library data'!$C$51</definedName>
    <definedName name="perm_jul_pow_c_co2_correct">'Climate A'!$D$58:$M$58</definedName>
    <definedName name="PERM_JUL_POW_C_CO2_CORRECT_0">'Climate A'!$C$58</definedName>
    <definedName name="perm_jul_pow_c_co2_correct_1">'Climate A'!$D$58</definedName>
    <definedName name="perm_jul_pow_c_co2_correct_1_b">'Climate B'!$D$58</definedName>
    <definedName name="perm_jul_pow_c_co2_correct_b">'Climate B'!$D$58:$M$58</definedName>
    <definedName name="perm_jul_pow_c_co2_correct_not_1">'Climate A'!$E$58:$M$58</definedName>
    <definedName name="perm_jul_pow_c_co2_correct_not_1_b">'Climate B'!$E$58:$M$58</definedName>
    <definedName name="PERM_JUL_POW_SLOPE_VS_T_CO2">'Base data'!$D$93</definedName>
    <definedName name="PERM_JUL_SENS_C_CO2">'Library data'!$C$49</definedName>
    <definedName name="perm_jul_sens_c_co2_correct">'Climate A'!$D$56:$M$56</definedName>
    <definedName name="PERM_JUL_SENS_C_CO2_CORRECT_0">'Climate A'!$C$56</definedName>
    <definedName name="perm_jul_sens_c_co2_correct_1">'Climate A'!$D$56</definedName>
    <definedName name="perm_jul_sens_c_co2_correct_1_b">'Climate B'!$D$56</definedName>
    <definedName name="perm_jul_sens_c_co2_correct_b">'Climate B'!$D$56:$M$56</definedName>
    <definedName name="perm_jul_sens_c_co2_correct_not_1">'Climate A'!$E$56:$M$56</definedName>
    <definedName name="perm_jul_sens_c_co2_correct_not_1_b">'Climate B'!$E$56:$M$56</definedName>
    <definedName name="PERM_JUL_SENS_SLOPE_VS_T_CO2">'Base data'!$D$91</definedName>
    <definedName name="perm_jul_temp">'Climate A'!$D$55:$M$55</definedName>
    <definedName name="PERM_JUL_TEMP_0">'Climate A'!$C$55</definedName>
    <definedName name="perm_jul_temp_b">'Climate B'!$D$55:$M$55</definedName>
    <definedName name="PERM_SIB_AF">'Library data'!$C$38</definedName>
    <definedName name="PERM_SIB_CE_C_0">'Climate A'!$D$17</definedName>
    <definedName name="perm_sib_ce_c_ch4">'Climate A'!$D$51:$M$51</definedName>
    <definedName name="PERM_SIB_CE_C_CH4_0">'Base data'!$D$66</definedName>
    <definedName name="perm_sib_ce_c_ch4_b">'Climate B'!$D$51:$M$51</definedName>
    <definedName name="perm_sib_ce_c_co2">'Climate A'!$D$43:$M$43</definedName>
    <definedName name="PERM_SIB_CE_C_CO2_0">'Base data'!$D$65</definedName>
    <definedName name="perm_sib_ce_c_co2_1">'Climate A'!$D$43</definedName>
    <definedName name="perm_sib_ce_c_co2_1_b">'Climate B'!$D$43</definedName>
    <definedName name="perm_sib_ce_c_co2_b">'Climate B'!$D$43:$M$43</definedName>
    <definedName name="perm_sib_ce_c_co2_not_1">'Climate A'!$E$43:$M$43</definedName>
    <definedName name="perm_sib_ce_c_co2_not_1_b">'Climate B'!$E$43:$M$43</definedName>
    <definedName name="perm_sib_ce_ch4">'Climate A'!$D$52:$M$52</definedName>
    <definedName name="PERM_SIB_CE_CH4_0">'Climate A'!$D$19</definedName>
    <definedName name="perm_sib_ce_ch4_1">'Climate A'!$D$52</definedName>
    <definedName name="perm_sib_ce_ch4_1_b">'Climate B'!$D$52</definedName>
    <definedName name="perm_sib_ce_ch4_b">'Climate B'!$D$52:$M$52</definedName>
    <definedName name="perm_sib_ce_ch4_not_1">'Climate A'!$E$52:$M$52</definedName>
    <definedName name="perm_sib_ce_ch4_not_1_b">'Climate B'!$E$52:$M$52</definedName>
    <definedName name="perm_sib_ce_co2">'Climate A'!$D$44:$M$44</definedName>
    <definedName name="PERM_SIB_CE_CO2_0">'Climate A'!$D$18</definedName>
    <definedName name="perm_sib_ce_co2_1_b">'Climate B'!$D$44</definedName>
    <definedName name="perm_sib_ce_co2_b">'Climate B'!$D$44:$M$44</definedName>
    <definedName name="perm_sib_ce_co2_not_1_b">'Climate B'!$E$44:$M$44</definedName>
    <definedName name="perm_sib_e_co2">'Climate A'!$D$45:$M$45</definedName>
    <definedName name="PERM_SIB_E_CO2_0">'Climate A'!$C$45</definedName>
    <definedName name="PERM_SIB_E_CO2_0_b">'Climate B'!$C$45</definedName>
    <definedName name="perm_sib_e_co2_b">'Climate B'!$D$45:$M$45</definedName>
    <definedName name="perm_sib_equilib_c_ch4_1">'Climate A'!$D$50</definedName>
    <definedName name="perm_sib_equilib_c_ch4_1_b">'Climate B'!$D$50</definedName>
    <definedName name="perm_sib_equilib_c_ch4_not_1">'Climate A'!$E$50:$M$50</definedName>
    <definedName name="perm_sib_equilib_c_ch4_not_1_b">'Climate B'!$E$50:$M$50</definedName>
    <definedName name="perm_sib_equilib_c_co2">'Climate A'!$D$42:$M$42</definedName>
    <definedName name="PERM_SIB_EQUILIB_C_CO2_0">'Climate A'!$C$42</definedName>
    <definedName name="perm_sib_equilib_c_co2_1">'Climate A'!$D$42</definedName>
    <definedName name="perm_sib_equilib_c_co2_1_b">'Climate B'!$D$42</definedName>
    <definedName name="perm_sib_equilib_c_co2_b">'Climate B'!$D$42:$M$42</definedName>
    <definedName name="perm_sib_equilib_c_co2_not_1">'Climate A'!$E$42:$M$42</definedName>
    <definedName name="perm_sib_equilib_c_co2_not_1_b">'Climate B'!$E$42:$M$42</definedName>
    <definedName name="PERM_SIB_LAG_C_CH4">'Library data'!$C$44</definedName>
    <definedName name="perm_sib_lag_c_ch4_correct">'Climate A'!$D$48:$M$48</definedName>
    <definedName name="PERM_SIB_LAG_C_CH4_CORRECT_0">'Climate A'!$C$48</definedName>
    <definedName name="perm_sib_lag_c_ch4_correct_1">'Climate A'!$D$48</definedName>
    <definedName name="perm_sib_lag_c_ch4_correct_1_b">'Climate B'!$D$48</definedName>
    <definedName name="perm_sib_lag_c_ch4_correct_b">'Climate B'!$D$48:$M$48</definedName>
    <definedName name="perm_sib_lag_c_ch4_correct_not_1">'Climate A'!$E$48:$M$48</definedName>
    <definedName name="perm_sib_lag_c_ch4_correct_not_1_b">'Climate B'!$E$48:$M$48</definedName>
    <definedName name="PERM_SIB_LAG_C_CO2">'Library data'!$C$40</definedName>
    <definedName name="perm_sib_lag_c_co2_correct">'Climate A'!$D$40:$M$40</definedName>
    <definedName name="PERM_SIB_LAG_C_CO2_CORRECT_0">'Climate A'!$C$40</definedName>
    <definedName name="perm_sib_lag_c_co2_correct_1">'Climate A'!$D$40</definedName>
    <definedName name="perm_sib_lag_c_co2_correct_1_b">'Climate B'!$D$40</definedName>
    <definedName name="perm_sib_lag_c_co2_correct_b">'Climate B'!$D$40:$M$40</definedName>
    <definedName name="perm_sib_lag_c_co2_correct_not_1">'Climate A'!$E$40:$M$40</definedName>
    <definedName name="perm_sib_lag_c_co2_correct_not_1_b">'Climate B'!$E$40:$M$40</definedName>
    <definedName name="PERM_SIB_LAG_SLOPE_VS_T_CH4">'Base data'!$D$79</definedName>
    <definedName name="PERM_SIB_LAG_SLOPE_VS_T_CO2">'Base data'!$D$75</definedName>
    <definedName name="PERM_SIB_LIMIT_C">'Base data'!$D$68</definedName>
    <definedName name="PERM_SIB_LIMIT_T">'Base data'!$D$69</definedName>
    <definedName name="PERM_SIB_POW_C_CH4">'Library data'!$C$45</definedName>
    <definedName name="perm_sib_pow_c_ch4_correct">'Climate A'!$D$49:$M$49</definedName>
    <definedName name="PERM_SIB_POW_C_CH4_CORRECT_0">'Climate A'!$C$49</definedName>
    <definedName name="perm_sib_pow_c_ch4_correct_1">'Climate A'!$D$49</definedName>
    <definedName name="perm_sib_pow_c_ch4_correct_1_b">'Climate B'!$D$49</definedName>
    <definedName name="perm_sib_pow_c_ch4_correct_b">'Climate B'!$D$49:$M$49</definedName>
    <definedName name="perm_sib_pow_c_ch4_correct_not_1">'Climate A'!$E$49:$M$49</definedName>
    <definedName name="perm_sib_pow_c_ch4_correct_not_1_b">'Climate B'!$E$49:$M$49</definedName>
    <definedName name="PERM_SIB_POW_C_CO2">'Library data'!$C$41</definedName>
    <definedName name="perm_sib_pow_c_co2_correct">'Climate A'!$D$41:$M$41</definedName>
    <definedName name="PERM_SIB_POW_C_CO2_CORRECT_0">'Climate A'!$C$41</definedName>
    <definedName name="perm_sib_pow_c_co2_correct_1">'Climate A'!$D$41</definedName>
    <definedName name="perm_sib_pow_c_co2_correct_1_b">'Climate B'!$D$41</definedName>
    <definedName name="perm_sib_pow_c_co2_correct_b">'Climate B'!$D$41:$M$41</definedName>
    <definedName name="perm_sib_pow_c_co2_correct_not_1">'Climate A'!$E$41:$M$41</definedName>
    <definedName name="perm_sib_pow_c_co2_correct_not_1_b">'Climate B'!$E$41:$M$41</definedName>
    <definedName name="PERM_SIB_POW_SLOPE_VS_T_CH4">'Base data'!$D$80</definedName>
    <definedName name="PERM_SIB_POW_SLOPE_VS_T_CO2">'Base data'!$D$76</definedName>
    <definedName name="PERM_SIB_SENS_C_CH4">'Library data'!$C$43</definedName>
    <definedName name="perm_sib_sens_c_ch4_correct">'Climate A'!$D$47:$M$47</definedName>
    <definedName name="PERM_SIB_SENS_C_CH4_CORRECT_0">'Climate A'!$C$47</definedName>
    <definedName name="perm_sib_sens_c_ch4_correct_1">'Climate A'!$D$47</definedName>
    <definedName name="perm_sib_sens_c_ch4_correct_1_b">'Climate B'!$D$47</definedName>
    <definedName name="perm_sib_sens_c_ch4_correct_b">'Climate B'!$D$47:$M$47</definedName>
    <definedName name="perm_sib_sens_c_ch4_correct_not_1">'Climate A'!$E$47:$M$47</definedName>
    <definedName name="perm_sib_sens_c_ch4_correct_not_1_b">'Climate B'!$E$47:$M$47</definedName>
    <definedName name="PERM_SIB_SENS_C_CO2">'Library data'!$C$39</definedName>
    <definedName name="perm_sib_sens_c_co2_correct">'Climate A'!$D$39:$M$39</definedName>
    <definedName name="PERM_SIB_SENS_C_CO2_CORRECT_0">'Climate A'!$C$39</definedName>
    <definedName name="perm_sib_sens_c_co2_correct_1">'Climate A'!$D$39</definedName>
    <definedName name="perm_sib_sens_c_co2_correct_1_b">'Climate B'!$D$39</definedName>
    <definedName name="perm_sib_sens_c_co2_correct_b">'Climate B'!$D$39:$M$39</definedName>
    <definedName name="perm_sib_sens_c_co2_correct_not_1">'Climate A'!$E$39:$M$39</definedName>
    <definedName name="perm_sib_sens_c_co2_correct_not_1_b">'Climate B'!$E$39:$M$39</definedName>
    <definedName name="PERM_SIB_SENS_SLOPE_VS_T_CH4">'Base data'!$D$78</definedName>
    <definedName name="PERM_SIB_SENS_SLOPE_VS_T_CO2">'Base data'!$D$74</definedName>
    <definedName name="perm_sib_temp">'Climate A'!$D$38:$M$38</definedName>
    <definedName name="PERM_SIB_TEMP_0">'Climate A'!$C$38</definedName>
    <definedName name="perm_sib_temp_1">'Climate A'!$D$38</definedName>
    <definedName name="perm_sib_temp_1_b">'Climate B'!$D$38</definedName>
    <definedName name="perm_sib_temp_b">'Climate B'!$D$38:$M$38</definedName>
    <definedName name="perm_sib_temp_not_1">'Climate A'!$E$38:$M$38</definedName>
    <definedName name="perm_sib_temp_not_1_b">'Climate B'!$E$38:$M$38</definedName>
    <definedName name="perm_teay_ch4">'Climate A'!$D$98:$M$98</definedName>
    <definedName name="perm_teay_ch4_b">'Climate B'!$D$98:$M$98</definedName>
    <definedName name="perm_tot_ce_ch4">'Climate A'!$D$70:$M$70</definedName>
    <definedName name="PERM_TOT_CE_CH4_0">'Climate A'!$C$70</definedName>
    <definedName name="PERM_TOT_CE_CH4_0_b">'Climate B'!$C$70</definedName>
    <definedName name="perm_tot_ce_ch4_1">'Climate A'!$D$70</definedName>
    <definedName name="perm_tot_ce_ch4_1_b">'Climate B'!$D$70</definedName>
    <definedName name="perm_tot_ce_ch4_b">'Climate B'!$D$70:$M$70</definedName>
    <definedName name="perm_tot_ce_ch4_not_1">'Climate A'!$E$70:$M$70</definedName>
    <definedName name="perm_tot_ce_ch4_not_1_b">'Climate B'!$E$70:$M$70</definedName>
    <definedName name="perm_tot_ce_co2">'Climate A'!$D$67:$M$67</definedName>
    <definedName name="PERM_TOT_CE_CO2_0">'Climate A'!$C$67</definedName>
    <definedName name="PERM_TOT_CE_CO2_0_b">'Climate B'!$C$67</definedName>
    <definedName name="perm_tot_ce_co2_b">'Climate B'!$D$67:$M$67</definedName>
    <definedName name="perm_tot_e_co2">'Climate A'!$D$68:$M$68</definedName>
    <definedName name="PERM_TOT_E_CO2_0">'Climate A'!$C$68</definedName>
    <definedName name="PERM_TOT_E_CO2_0_b">'Climate B'!$C$68</definedName>
    <definedName name="perm_tot_e_co2_b">'Climate B'!$D$68:$M$68</definedName>
    <definedName name="PEXF_0">'Base data'!$B$23</definedName>
    <definedName name="pexf_1_a">'Policy A'!$B$50</definedName>
    <definedName name="pexf_1_b">'Policy B'!$B$50</definedName>
    <definedName name="pexf_a">'Policy A'!$B$50:$K$50</definedName>
    <definedName name="pexf_b">'Policy B'!$B$50:$K$50</definedName>
    <definedName name="pexf_final_a">'Policy A'!$K$50</definedName>
    <definedName name="pexf_final_b">'Policy B'!$K$50</definedName>
    <definedName name="pexf_not_1_a">'Policy A'!$C$50:$K$50</definedName>
    <definedName name="pexf_not_1_b">'Policy B'!$C$50:$K$50</definedName>
    <definedName name="PIC">'Base data'!$B$13:$E$13</definedName>
    <definedName name="PIC_CH4">'Base data'!$C$13</definedName>
    <definedName name="PIC_CO2">'Base data'!$B$13</definedName>
    <definedName name="PIC_GLIN">'Base data'!$E$13</definedName>
    <definedName name="PIC_N2O">'Base data'!$D$13</definedName>
    <definedName name="plateau_1_a">'Policy A'!$B$69:$B$76</definedName>
    <definedName name="plateau_1_b">'Policy B'!$B$69:$B$76</definedName>
    <definedName name="plateau_2_a">'Policy A'!$B$82:$B$89</definedName>
    <definedName name="plateau_2_b">'Policy B'!$B$82:$B$89</definedName>
    <definedName name="plateau_s_a">'Policy A'!$B$56:$B$63</definedName>
    <definedName name="plateau_s_b">'Policy B'!$B$56:$B$63</definedName>
    <definedName name="POP">'Economy A'!$C$15:$L$22</definedName>
    <definedName name="POP_0">'Base data'!$E$26:$E$33</definedName>
    <definedName name="POP_B">'Economy B'!$C$15:$L$22</definedName>
    <definedName name="POP_G">'Economy A'!$C$23:$L$23</definedName>
    <definedName name="POP_G_0">'Economy A'!$B$23</definedName>
    <definedName name="POP_G_1">'Economy A'!$C$23</definedName>
    <definedName name="POP_G_1_B">'Economy B'!$C$23</definedName>
    <definedName name="POP_G_B">'Economy B'!$C$23:$L$23</definedName>
    <definedName name="POP_G_NOT_1">'Economy A'!$D$23:$L$23</definedName>
    <definedName name="POP_G_NOT_1_B">'Economy B'!$D$23:$L$23</definedName>
    <definedName name="POP_GRW">'Base data'!$C$152:$L$159</definedName>
    <definedName name="POP_GRW_1">'Base data'!$C$152:$C$159</definedName>
    <definedName name="POP_GRW_1_B">'Base data'!$C$185:$C$192</definedName>
    <definedName name="POP_GRW_B">'Base data'!$C$185:$L$192</definedName>
    <definedName name="POP_GRW_G">'Economy A'!$C$24:$L$24</definedName>
    <definedName name="POP_GRW_G_B">'Economy B'!$C$24:$L$24</definedName>
    <definedName name="POP_GRW_NOT_1">'Base data'!$D$152:$L$159</definedName>
    <definedName name="POP_GRW_NOT_1_B">'Base data'!$D$185:$L$192</definedName>
    <definedName name="POP_NOT_1">'Economy A'!$D$15:$L$22</definedName>
    <definedName name="POP_NOT_1_B">'Economy B'!$D$15:$L$22</definedName>
    <definedName name="POP_UNIT_NAME">'Base data'!$E$35</definedName>
    <definedName name="POW_1">'Library data'!$C$73</definedName>
    <definedName name="POW_2">'Library data'!$C$81</definedName>
    <definedName name="POW_S">'Library data'!$C$68</definedName>
    <definedName name="prob_dis">'Impacts A'!$C$125:$L$125</definedName>
    <definedName name="prob_dis_b">'Impacts B'!$C$125:$L$125</definedName>
    <definedName name="pse_1_a">'Policy A'!$B$41:$B$48</definedName>
    <definedName name="pse_1_b">'Policy B'!$B$41:$B$48</definedName>
    <definedName name="pse_a">'Policy A'!$B$41:$K$48</definedName>
    <definedName name="pse_b">'Policy B'!$B$41:$K$48</definedName>
    <definedName name="pse_final_a">'Policy A'!$K$41:$K$48</definedName>
    <definedName name="pse_final_b">'Policy B'!$K$41:$K$48</definedName>
    <definedName name="pse_not_1_a">'Policy A'!$C$41:$K$48</definedName>
    <definedName name="pse_not_1_b">'Policy B'!$C$41:$K$48</definedName>
    <definedName name="pstart_1_a">'Policy A'!$C$69:$C$76</definedName>
    <definedName name="pstart_1_b">'Policy B'!$C$69:$C$76</definedName>
    <definedName name="pstart_2_a">'Policy A'!$C$82:$C$89</definedName>
    <definedName name="pstart_2_b">'Policy B'!$C$82:$C$89</definedName>
    <definedName name="pstart_s_a">'Policy A'!$C$56:$C$63</definedName>
    <definedName name="pstart_s_b">'Policy B'!$C$56:$C$63</definedName>
    <definedName name="pt_g">'Climate A'!$D$164:$M$164</definedName>
    <definedName name="pt_g_1">'Climate A'!$D$164</definedName>
    <definedName name="pt_g_1_b">'Climate B'!$D$164</definedName>
    <definedName name="pt_g_b">'Climate B'!$D$164:$M$164</definedName>
    <definedName name="pt_g_not_1">'Climate A'!$E$164:$M$164</definedName>
    <definedName name="pt_g_not_1_b">'Climate B'!$E$164:$M$164</definedName>
    <definedName name="PTP">'Base data'!$B$10</definedName>
    <definedName name="pyears_1_a">'Policy A'!$D$69:$D$76</definedName>
    <definedName name="pyears_1_b">'Policy B'!$D$69:$D$76</definedName>
    <definedName name="pyears_2_a">'Policy A'!$D$82:$D$89</definedName>
    <definedName name="pyears_2_b">'Policy B'!$D$82:$D$89</definedName>
    <definedName name="pyears_s_a">'Policy A'!$D$56:$D$63</definedName>
    <definedName name="pyears_s_b">'Policy B'!$D$56:$D$63</definedName>
    <definedName name="Q0_CH4">'Preventative costs A'!$B$290:$K$297</definedName>
    <definedName name="Q0_CO2">'Preventative costs A'!$B$281:$K$288</definedName>
    <definedName name="Q0_GLIN">'Preventative costs A'!$B$308:$K$315</definedName>
    <definedName name="Q0_N2O">'Preventative costs A'!$B$299:$K$306</definedName>
    <definedName name="Q0_PROP_CH4">'Preventative costs A'!$B$254:$K$261</definedName>
    <definedName name="Q0_PROP_CO2">'Preventative costs A'!$B$245:$K$252</definedName>
    <definedName name="Q0_PROP_GLIN">'Preventative costs A'!$B$272:$K$279</definedName>
    <definedName name="Q0_PROP_INIT_CH4">'Preventative costs A'!$C$18:$C$25</definedName>
    <definedName name="Q0_PROP_INIT_CH4_1">'Library data'!$C$139</definedName>
    <definedName name="Q0_PROP_INIT_CO2">'Preventative costs A'!$B$18:$B$25</definedName>
    <definedName name="Q0_PROP_INIT_CO2_1">'Library data'!$C$132</definedName>
    <definedName name="Q0_PROP_INIT_GLIN">'Preventative costs A'!$E$18:$E$25</definedName>
    <definedName name="Q0_PROP_INIT_GLIN_1">'Library data'!$C$153</definedName>
    <definedName name="Q0_PROP_INIT_N2O">'Preventative costs A'!$D$18:$D$25</definedName>
    <definedName name="Q0_PROP_INIT_N2O_1">'Library data'!$C$146</definedName>
    <definedName name="Q0_PROP_N2O">'Preventative costs A'!$B$263:$K$270</definedName>
    <definedName name="Q0F">'Library data'!$C$167:$C$173</definedName>
    <definedName name="Q0PROPG">'Library data'!$C$184</definedName>
    <definedName name="Q0PROPMULT">'Library data'!$C$183</definedName>
    <definedName name="QMAX_CH4">'Preventative costs A'!$B$326:$K$333</definedName>
    <definedName name="QMAX_CO2">'Preventative costs A'!$B$317:$K$324</definedName>
    <definedName name="QMAX_GLIN">'Preventative costs A'!$B$344:$K$351</definedName>
    <definedName name="QMAX_MINUS_Q0_PROP_CH4">'Preventative costs A'!$B$241:$K$241</definedName>
    <definedName name="QMAX_MINUS_Q0_PROP_CO2">'Preventative costs A'!$B$240:$K$240</definedName>
    <definedName name="QMAX_MINUS_Q0_PROP_GLIN">'Preventative costs A'!$B$243:$K$243</definedName>
    <definedName name="QMAX_MINUS_Q0_PROP_INIT_CH4">'Library data'!$C$141</definedName>
    <definedName name="QMAX_MINUS_Q0_PROP_INIT_CO2">'Library data'!$C$134</definedName>
    <definedName name="QMAX_MINUS_Q0_PROP_INIT_GLIN">'Library data'!$C$155</definedName>
    <definedName name="QMAX_MINUS_Q0_PROP_INIT_N2O">'Library data'!$C$148</definedName>
    <definedName name="QMAX_MINUS_Q0_PROP_N2O">'Preventative costs A'!$B$242:$K$242</definedName>
    <definedName name="QMAX_MINUS_Q0_PROPG">'Library data'!$C$188</definedName>
    <definedName name="QMAX_MINUS_Q0_PROPMULT">'Library data'!$C$187</definedName>
    <definedName name="QMAX_N2O">'Preventative costs A'!$B$335:$K$342</definedName>
    <definedName name="R_CODE">'Base data'!$B$26:$B$33</definedName>
    <definedName name="R_CODE_1">'Base data'!$B$26</definedName>
    <definedName name="R_CODE_NOT_1">'Base data'!$B$27:$B$33</definedName>
    <definedName name="R_NAME">'Base data'!$A$26:$A$33</definedName>
    <definedName name="R_NAME_1">'Base data'!$A$26</definedName>
    <definedName name="RAND_DIS">'Library data'!$C$57</definedName>
    <definedName name="rate_fgt">'Climate A'!$D$162:$M$162</definedName>
    <definedName name="rate_fgt_b">'Climate B'!$D$162:$M$162</definedName>
    <definedName name="rcons_1_per_cap">'Impacts A'!$C$274:$L$281</definedName>
    <definedName name="rcons_1_per_cap_b">'Impacts B'!$C$274:$L$281</definedName>
    <definedName name="rcons_2_per_cap">'Impacts A'!$C$328:$L$335</definedName>
    <definedName name="rcons_2_per_cap_b">'Impacts B'!$C$328:$L$335</definedName>
    <definedName name="rcons_s_per_cap">'Impacts A'!$C$184:$L$191</definedName>
    <definedName name="rcons_s_per_cap_b">'Impacts B'!$C$184:$L$191</definedName>
    <definedName name="rconsdis_per_cap">'Impacts A'!$C$391:$L$398</definedName>
    <definedName name="rconsdis_per_cap_b">'Impacts B'!$C$391:$L$398</definedName>
    <definedName name="RCP26_CH4">'Base data'!$C$445:$L$452</definedName>
    <definedName name="RCP26_CH4_1">'Base data'!$C$445:$C$452</definedName>
    <definedName name="RCP26_CH4_NOT_1">'Base data'!$D$445:$L$452</definedName>
    <definedName name="RCP26_CO2">'Base data'!$C$436:$L$443</definedName>
    <definedName name="RCP26_CO2_1">'Base data'!$C$436:$C$443</definedName>
    <definedName name="RCP26_CO2_2100">'Base data'!$H$436:$H$443</definedName>
    <definedName name="RCP26_CO2_NOT_1">'Base data'!$D$436:$L$443</definedName>
    <definedName name="RCP26_Excess">'Base data'!$C$481:$L$481</definedName>
    <definedName name="RCP26_Lin">'Base data'!$C$463:$L$470</definedName>
    <definedName name="RCP26_Lin_1">'Base data'!$C$463:$C$470</definedName>
    <definedName name="RCP26_Lin_NOT_1">'Base data'!$D$463:$L$470</definedName>
    <definedName name="RCP26_N2O">'Base data'!$C$454:$L$461</definedName>
    <definedName name="RCP26_N2O_1">'Base data'!$C$454:$C$461</definedName>
    <definedName name="RCP26_N2O_NOT_1">'Base data'!$D$454:$L$461</definedName>
    <definedName name="RCP26_sulph">'Base data'!$C$472:$L$479</definedName>
    <definedName name="RCP26_sulph_1">'Base data'!$C$472:$C$479</definedName>
    <definedName name="RCP26_sulph_NOT_1">'Base data'!$D$472:$L$479</definedName>
    <definedName name="RCP26extra_CH4">'Base data'!$C$602:$L$609</definedName>
    <definedName name="RCP26extra_CH4_B">'Base data'!$C$658:$L$665</definedName>
    <definedName name="RCP26extra_CO2">'Base data'!$C$593:$L$600</definedName>
    <definedName name="RCP26extra_CO2_B">'Base data'!$C$649:$L$656</definedName>
    <definedName name="RCP26extra_Excess">'Base data'!$C$638:$L$638</definedName>
    <definedName name="RCP26extra_Excess_B">'Base data'!$C$694:$L$694</definedName>
    <definedName name="RCP26extra_Lin">'Base data'!$C$620:$L$627</definedName>
    <definedName name="RCP26extra_Lin_B">'Base data'!$C$676:$L$683</definedName>
    <definedName name="RCP26extra_N2O">'Base data'!$C$611:$L$618</definedName>
    <definedName name="RCP26extra_N2O_B">'Base data'!$C$667:$L$674</definedName>
    <definedName name="RCP26extra_sulph">'Base data'!$C$629:$L$636</definedName>
    <definedName name="RCP26extra_sulph_B">'Base data'!$C$685:$L$692</definedName>
    <definedName name="RCP45_CH4">'Base data'!$C$495:$L$502</definedName>
    <definedName name="RCP45_CO2">'Base data'!$C$486:$L$493</definedName>
    <definedName name="RCP45_Excess">'Base data'!$C$531:$L$531</definedName>
    <definedName name="RCP45_Lin">'Base data'!$C$513:$L$520</definedName>
    <definedName name="RCP45_N2O">'Base data'!$C$504:$L$511</definedName>
    <definedName name="RCP45_sulph">'Base data'!$C$522:$L$529</definedName>
    <definedName name="RCP85_CH4">'Base data'!$C$545:$L$552</definedName>
    <definedName name="RCP85_CO2">'Base data'!$C$536:$L$543</definedName>
    <definedName name="RCP85_Excess">'Base data'!$C$581:$L$581</definedName>
    <definedName name="RCP85_Lin">'Base data'!$C$563:$L$570</definedName>
    <definedName name="RCP85_N2O">'Base data'!$C$554:$L$561</definedName>
    <definedName name="RCP85_sulph">'Base data'!$C$572:$L$579</definedName>
    <definedName name="RCPW_CH4">'Base data'!$C$708:$L$715</definedName>
    <definedName name="RCPW_CH4_B">'Base data'!$C$758:$L$765</definedName>
    <definedName name="RCPW_CO2">'Base data'!$C$699:$L$706</definedName>
    <definedName name="RCPW_CO2_B">'Base data'!$C$749:$L$756</definedName>
    <definedName name="RCPW_Excess">'Base data'!$C$744:$L$744</definedName>
    <definedName name="RCPW_Excess_B">'Base data'!$C$794:$L$794</definedName>
    <definedName name="RCPW_Lin">'Base data'!$C$726:$L$733</definedName>
    <definedName name="RCPW_Lin_B">'Base data'!$C$776:$L$783</definedName>
    <definedName name="RCPW_N2O">'Base data'!$C$717:$L$724</definedName>
    <definedName name="RCPW_N2O_B">'Base data'!$C$767:$L$774</definedName>
    <definedName name="RCPW_sulph">'Base data'!$C$735:$L$742</definedName>
    <definedName name="RCPW_sulph_B">'Base data'!$C$785:$L$792</definedName>
    <definedName name="re_ch4">'Climate A'!$D$103:$M$103</definedName>
    <definedName name="RE_CH4_0">'Climate A'!$E$8</definedName>
    <definedName name="re_ch4_b">'Climate B'!$D$103:$M$103</definedName>
    <definedName name="re_co2">'Climate A'!$D$212:$M$212</definedName>
    <definedName name="RE_CO2_0">'Climate A'!$D$8</definedName>
    <definedName name="re_co2_1">'Climate A'!$D$212</definedName>
    <definedName name="re_co2_1_b">'Climate B'!$D$212</definedName>
    <definedName name="re_co2_b">'Climate B'!$D$212:$M$212</definedName>
    <definedName name="RE_CO2_NO_CCF_0">'Climate A'!$D$9</definedName>
    <definedName name="re_co2_no_ccff">'Climate A'!$D$87:$M$87</definedName>
    <definedName name="re_co2_no_ccff_b">'Climate B'!$D$87:$M$87</definedName>
    <definedName name="re_co2_not_1">'Climate A'!$E$212:$M$212</definedName>
    <definedName name="re_co2_not_1_b">'Climate B'!$E$212:$M$212</definedName>
    <definedName name="re_glin">'Climate A'!$D$127:$M$127</definedName>
    <definedName name="RE_GLIN_0">'Climate A'!$G$8</definedName>
    <definedName name="re_glin_b">'Climate B'!$D$127:$M$127</definedName>
    <definedName name="re_n2o">'Climate A'!$D$113:$M$113</definedName>
    <definedName name="RE_N2O_0">'Climate A'!$F$8</definedName>
    <definedName name="re_n2o_b">'Climate B'!$D$113:$M$113</definedName>
    <definedName name="ref_ch4">'Climate A'!$D$101:$M$101</definedName>
    <definedName name="ref_ch4_b">'Climate B'!$D$101:$M$101</definedName>
    <definedName name="ref_glin">'Climate A'!$D$125:$M$125</definedName>
    <definedName name="ref_glin_b">'Climate B'!$D$125:$M$125</definedName>
    <definedName name="ref_n2o">'Climate A'!$D$111:$M$111</definedName>
    <definedName name="ref_n2o_b">'Climate B'!$D$111:$M$111</definedName>
    <definedName name="RES_CH4">'Base data'!$C$18</definedName>
    <definedName name="RES_GLIN">'Base data'!$E$18</definedName>
    <definedName name="RES_N2O">'Base data'!$D$18</definedName>
    <definedName name="rgdp_1_per_cap">'Impacts A'!$C$283:$L$290</definedName>
    <definedName name="rgdp_1_per_cap_b">'Impacts B'!$C$283:$L$290</definedName>
    <definedName name="rgdp_2_per_cap">'Impacts A'!$C$337:$L$344</definedName>
    <definedName name="rgdp_2_per_cap_b">'Impacts B'!$C$337:$L$344</definedName>
    <definedName name="rgdp_s_per_cap">'Impacts A'!$C$193:$L$200</definedName>
    <definedName name="rgdp_s_per_cap_b">'Impacts B'!$C$193:$L$200</definedName>
    <definedName name="rgdpdis_per_cap">'Impacts A'!$C$400:$L$407</definedName>
    <definedName name="rgdpdis_per_cap_b">'Impacts B'!$C$400:$L$407</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"$C$480"</definedName>
    <definedName name="RiskSelectedNameCell1" hidden="1">"$A$480"</definedName>
    <definedName name="RiskSelectedNameCell2" hidden="1">"$C$471"</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t_g">'Climate A'!$D$172:$M$172</definedName>
    <definedName name="RT_G_0">'Base data'!$D$38</definedName>
    <definedName name="RT_G_0_MEAN">'Base data'!$I$38</definedName>
    <definedName name="rt_g_1">'Climate A'!$D$172</definedName>
    <definedName name="rt_g_1_b">'Climate B'!$D$172</definedName>
    <definedName name="rt_g_2">'Climate A'!$E$172</definedName>
    <definedName name="rt_g_b">'Climate B'!$D$172:$M$172</definedName>
    <definedName name="RT_G_CMIP5_BASE">'Base data'!$D$39</definedName>
    <definedName name="rt_g_not_1">'Climate A'!$E$172:$M$172</definedName>
    <definedName name="rt_g_not_1_b">'Climate B'!$E$172:$M$172</definedName>
    <definedName name="rt_g_not_2">'Climate A'!$F$172:$M$172</definedName>
    <definedName name="rtl">'Climate A'!$D$177:$M$184</definedName>
    <definedName name="RTL_0">'Base data'!$L$26:$L$33</definedName>
    <definedName name="rtl_1_b">'Climate B'!$D$177:$D$184</definedName>
    <definedName name="RTL_ABS_0">'Impacts A'!$C$4:$C$11</definedName>
    <definedName name="RTL_ABS_CMIP5_BASE">'Base data'!$D$42:$D$49</definedName>
    <definedName name="rtl_b">'Climate B'!$D$177:$M$184</definedName>
    <definedName name="rtl_g">'Climate A'!$D$185:$M$185</definedName>
    <definedName name="RTL_G_0">'Base data'!$D$58</definedName>
    <definedName name="rtl_g_b">'Climate B'!$D$185:$M$185</definedName>
    <definedName name="rtl_not_1_b">'Climate B'!$E$177:$M$184</definedName>
    <definedName name="rto_g">'Climate A'!$D$187:$M$187</definedName>
    <definedName name="RTO_G_0">'Climate A'!$C$187</definedName>
    <definedName name="s">'Climate A'!$D$191:$M$191</definedName>
    <definedName name="S_0">'Library data'!$C$15</definedName>
    <definedName name="s_a">'Climate A'!$V$191</definedName>
    <definedName name="s_b">'Climate B'!$D$191:$M$191</definedName>
    <definedName name="SAVE">'Library data'!$C$62</definedName>
    <definedName name="SCAL">'Library data'!$C$63</definedName>
    <definedName name="SCCO2">'Impacts A-B'!$M$443</definedName>
    <definedName name="SCENARIO_PAIR">Cockpit!$B$18</definedName>
    <definedName name="SCENARIO_PAIR_B">Cockpit!$B$53</definedName>
    <definedName name="SCENARIO_PAIR_B_PRELIM">Cockpit!$B$20</definedName>
    <definedName name="SCENARIO_SWITCH">Cockpit!$B$56</definedName>
    <definedName name="SCENARIO_SWITCH_B">Cockpit!$B$57</definedName>
    <definedName name="SE_0">'Base data'!$J$26:$J$33</definedName>
    <definedName name="sfx">'Emissions A'!$C$129:$L$136</definedName>
    <definedName name="SFX_0">'Emissions A'!$B$129:$B$136</definedName>
    <definedName name="sfx_b">'Emissions B'!$C$129:$L$136</definedName>
    <definedName name="sfx_g">'Emissions A'!$C$137:$L$137</definedName>
    <definedName name="SFX_G_0">'Emissions A'!$B$137</definedName>
    <definedName name="sfx_g_b">'Emissions B'!$C$137:$L$137</definedName>
    <definedName name="SLA">'Library data'!$C$17</definedName>
    <definedName name="SLTAU">'Library data'!$C$18</definedName>
    <definedName name="SLTEMP">'Library data'!$C$16</definedName>
    <definedName name="solver_cvg" localSheetId="3" hidden="1">0.0001</definedName>
    <definedName name="solver_cvg" localSheetId="11" hidden="1">0.0001</definedName>
    <definedName name="solver_drv" localSheetId="3" hidden="1">1</definedName>
    <definedName name="solver_drv" localSheetId="11" hidden="1">2</definedName>
    <definedName name="solver_eng" localSheetId="3" hidden="1">1</definedName>
    <definedName name="solver_eng" localSheetId="11" hidden="1">1</definedName>
    <definedName name="solver_est" localSheetId="3" hidden="1">1</definedName>
    <definedName name="solver_est" localSheetId="11" hidden="1">1</definedName>
    <definedName name="solver_itr" localSheetId="3" hidden="1">2147483647</definedName>
    <definedName name="solver_itr" localSheetId="11" hidden="1">2147483647</definedName>
    <definedName name="solver_mip" localSheetId="3" hidden="1">2147483647</definedName>
    <definedName name="solver_mip" localSheetId="11" hidden="1">2147483647</definedName>
    <definedName name="solver_mni" localSheetId="3" hidden="1">30</definedName>
    <definedName name="solver_mni" localSheetId="11" hidden="1">30</definedName>
    <definedName name="solver_mrt" localSheetId="3" hidden="1">0.075</definedName>
    <definedName name="solver_mrt" localSheetId="11" hidden="1">0.075</definedName>
    <definedName name="solver_msl" localSheetId="3" hidden="1">2</definedName>
    <definedName name="solver_msl" localSheetId="11" hidden="1">2</definedName>
    <definedName name="solver_neg" localSheetId="3" hidden="1">1</definedName>
    <definedName name="solver_neg" localSheetId="11" hidden="1">1</definedName>
    <definedName name="solver_nod" localSheetId="3" hidden="1">2147483647</definedName>
    <definedName name="solver_nod" localSheetId="11" hidden="1">2147483647</definedName>
    <definedName name="solver_num" localSheetId="3" hidden="1">0</definedName>
    <definedName name="solver_num" localSheetId="11" hidden="1">0</definedName>
    <definedName name="solver_nwt" localSheetId="3" hidden="1">1</definedName>
    <definedName name="solver_nwt" localSheetId="11" hidden="1">1</definedName>
    <definedName name="solver_opt" localSheetId="11" hidden="1">'Base data'!$I$14</definedName>
    <definedName name="solver_pre" localSheetId="3" hidden="1">0.000001</definedName>
    <definedName name="solver_pre" localSheetId="11" hidden="1">0.000001</definedName>
    <definedName name="solver_rbv" localSheetId="3" hidden="1">1</definedName>
    <definedName name="solver_rbv" localSheetId="11" hidden="1">2</definedName>
    <definedName name="solver_rlx" localSheetId="3" hidden="1">2</definedName>
    <definedName name="solver_rlx" localSheetId="11" hidden="1">2</definedName>
    <definedName name="solver_rsd" localSheetId="3" hidden="1">0</definedName>
    <definedName name="solver_rsd" localSheetId="11" hidden="1">0</definedName>
    <definedName name="solver_scl" localSheetId="3" hidden="1">1</definedName>
    <definedName name="solver_scl" localSheetId="11" hidden="1">2</definedName>
    <definedName name="solver_sho" localSheetId="3" hidden="1">2</definedName>
    <definedName name="solver_sho" localSheetId="11" hidden="1">2</definedName>
    <definedName name="solver_ssz" localSheetId="3" hidden="1">100</definedName>
    <definedName name="solver_ssz" localSheetId="11" hidden="1">100</definedName>
    <definedName name="solver_tim" localSheetId="3" hidden="1">2147483647</definedName>
    <definedName name="solver_tim" localSheetId="11" hidden="1">2147483647</definedName>
    <definedName name="solver_tol" localSheetId="3" hidden="1">0.01</definedName>
    <definedName name="solver_tol" localSheetId="11" hidden="1">0.01</definedName>
    <definedName name="solver_typ" localSheetId="3" hidden="1">3</definedName>
    <definedName name="solver_typ" localSheetId="11" hidden="1">3</definedName>
    <definedName name="solver_val" localSheetId="3" hidden="1">0</definedName>
    <definedName name="solver_val" localSheetId="11" hidden="1">0</definedName>
    <definedName name="solver_ver" localSheetId="3" hidden="1">3</definedName>
    <definedName name="solver_ver" localSheetId="11" hidden="1">3</definedName>
    <definedName name="SSP1_GDP_RATE">'Base data'!$C$256:$L$263</definedName>
    <definedName name="SSP1_POP_RATE">'Base data'!$C$265:$L$272</definedName>
    <definedName name="SSP2_GDP_RATE">'Base data'!$C$278:$L$285</definedName>
    <definedName name="SSP2_POP_RATE">'Base data'!$C$287:$L$294</definedName>
    <definedName name="SSP234_GDP_RATE">'Base data'!$C$367:$L$374</definedName>
    <definedName name="SSP234_POP_RATE">'Base data'!$C$376:$L$383</definedName>
    <definedName name="SSP3_GDP_RATE">'Base data'!$C$300:$L$307</definedName>
    <definedName name="SSP3_POP_RATE">'Base data'!$C$309:$L$316</definedName>
    <definedName name="SSP4_GDP_RATE">'Base data'!$C$322:$L$329</definedName>
    <definedName name="SSP4_POP_RATE">'Base data'!$C$331:$L$338</definedName>
    <definedName name="SSP5_GDP_RATE">'Base data'!$C$344:$L$351</definedName>
    <definedName name="SSP5_POP_RATE">'Base data'!$C$353:$L$360</definedName>
    <definedName name="SSPW_GDP_RATE">'Base data'!$C$389:$L$396</definedName>
    <definedName name="SSPW_GDP_RATE_B">'Base data'!$C$411:$L$418</definedName>
    <definedName name="SSPW_POP_RATE">'Base data'!$C$398:$L$405</definedName>
    <definedName name="SSPW_POP_RATE_B">'Base data'!$C$420:$L$427</definedName>
    <definedName name="STIM_CH4">'Base data'!$C$16</definedName>
    <definedName name="STIM_GLIN">'Base data'!$E$16</definedName>
    <definedName name="STIM_N2O">'Base data'!$D$16</definedName>
    <definedName name="switch_perm">'Climate A'!$B$3</definedName>
    <definedName name="switch_perm_b">'Climate B'!$B$3</definedName>
    <definedName name="switch_seaice">'Climate A'!$B$4</definedName>
    <definedName name="switch_seaice_b">'Climate B'!$B$4</definedName>
    <definedName name="tac">'Adaptive costs A'!$L$179</definedName>
    <definedName name="tac_ab">'Adaptive costs A-B'!$L$179</definedName>
    <definedName name="tac_b">'Adaptive costs B'!$L$179</definedName>
    <definedName name="tc_ch4">'Preventative costs A'!$B$614:$K$621</definedName>
    <definedName name="tc_ch4_b">'Preventative costs B'!$B$614:$K$621</definedName>
    <definedName name="tc_co2">'Preventative costs A'!$B$605:$K$612</definedName>
    <definedName name="tc_co2_b">'Preventative costs B'!$B$605:$K$612</definedName>
    <definedName name="tc_glin">'Preventative costs A'!$B$632:$K$639</definedName>
    <definedName name="tc_glin_b">'Preventative costs B'!$B$632:$K$639</definedName>
    <definedName name="tc_n2o">'Preventative costs A'!$B$623:$K$630</definedName>
    <definedName name="tc_n2o_b">'Preventative costs B'!$B$623:$K$630</definedName>
    <definedName name="TCAL">'Library data'!$C$64</definedName>
    <definedName name="TCAL_BURKE">'Base data'!$D$51</definedName>
    <definedName name="TCQ0_CH4">'Preventative costs A'!$B$542:$K$549</definedName>
    <definedName name="TCQ0_CO2">'Preventative costs A'!$B$533:$K$540</definedName>
    <definedName name="TCQ0_GLIN">'Preventative costs A'!$B$560:$K$567</definedName>
    <definedName name="TCQ0_N2O">'Preventative costs A'!$B$551:$K$558</definedName>
    <definedName name="TCR">'Library data'!$C$20</definedName>
    <definedName name="tct">'Preventative costs A'!$B$641:$K$648</definedName>
    <definedName name="tct_b">'Preventative costs B'!$B$641:$K$648</definedName>
    <definedName name="tct_g">'Preventative costs A'!$B$710:$K$710</definedName>
    <definedName name="tct_per_cap">'Preventative costs A'!$B$650:$K$657</definedName>
    <definedName name="tct_per_cap_b">'Preventative costs B'!$B$650:$K$657</definedName>
    <definedName name="td">'Impacts A'!$M$438</definedName>
    <definedName name="td_ab">'Impacts A-B'!$M$438</definedName>
    <definedName name="td_b">'Impacts B'!$M$438</definedName>
    <definedName name="TDIS">'Library data'!$C$58</definedName>
    <definedName name="tdu">'Impacts A'!$M$442</definedName>
    <definedName name="tdu_b">'Impacts B'!$M$442</definedName>
    <definedName name="te_a">Totals!$L$12</definedName>
    <definedName name="te_ab">Totals!$L$34</definedName>
    <definedName name="te_b">Totals!$L$23</definedName>
    <definedName name="tea_ch4">'Climate A'!$D$95:$M$95</definedName>
    <definedName name="TEA_CH4_0">'Climate A'!$C$95</definedName>
    <definedName name="tea_ch4_b">'Climate B'!$D$95:$M$95</definedName>
    <definedName name="tea_ch4_not_1">'Climate A'!$E$95:$M$95</definedName>
    <definedName name="tea_ch4_not_1_b">'Climate B'!$E$95:$M$95</definedName>
    <definedName name="tea_glin">'Climate A'!$D$122:$M$122</definedName>
    <definedName name="TEA_GLIN_0">'Climate A'!$C$122</definedName>
    <definedName name="tea_glin_b">'Climate B'!$D$122:$M$122</definedName>
    <definedName name="tea_glin_not_1">'Climate A'!$E$122:$M$122</definedName>
    <definedName name="tea_glin_not_1_b">'Climate B'!$E$122:$M$122</definedName>
    <definedName name="tea_n2o">'Climate A'!$D$108:$M$108</definedName>
    <definedName name="TEA_N2O_0">'Climate A'!$C$108</definedName>
    <definedName name="tea_n2o_b">'Climate B'!$D$108:$M$108</definedName>
    <definedName name="tea_n2o_not_1">'Climate A'!$E$108:$M$108</definedName>
    <definedName name="tea_n2o_not_1_b">'Climate B'!$E$108:$M$108</definedName>
    <definedName name="teay_ch4">'Climate A'!$D$99:$M$99</definedName>
    <definedName name="teay_ch4_b">'Climate B'!$D$99:$M$99</definedName>
    <definedName name="teay_glin">'Climate A'!$D$123:$M$123</definedName>
    <definedName name="teay_glin_b">'Climate B'!$D$123:$M$123</definedName>
    <definedName name="teay_n2o">'Climate A'!$D$109:$M$109</definedName>
    <definedName name="teay_n2o_b">'Climate B'!$D$109:$M$109</definedName>
    <definedName name="teay_perm_anthr_co2">'Climate A'!$D$211:$M$211</definedName>
    <definedName name="teay_perm_anthr_co2_1">'Climate A'!$D$211</definedName>
    <definedName name="teay_perm_anthr_co2_1_b">'Climate B'!$D$211</definedName>
    <definedName name="teay_perm_anthr_co2_b">'Climate B'!$D$211:$M$211</definedName>
    <definedName name="teay_perm_anthr_co2_not_1">'Climate A'!$E$211:$M$211</definedName>
    <definedName name="teay_perm_anthr_co2_not_1_b">'Climate B'!$E$211:$M$211</definedName>
    <definedName name="thipf_ch4_b">'Climate B'!$D$102:$M$102</definedName>
    <definedName name="thispf_ch4">'Climate A'!$D$102:$M$102</definedName>
    <definedName name="thispf_glin">'Climate A'!$D$126:$M$126</definedName>
    <definedName name="thispf_glin_b">'Climate B'!$D$126:$M$126</definedName>
    <definedName name="thispf_n2o">'Climate A'!$D$112:$M$112</definedName>
    <definedName name="thispf_n2o_b">'Climate B'!$D$112:$M$112</definedName>
    <definedName name="TIME_CO2_HIST">'Climate A'!$D$13</definedName>
    <definedName name="TIME_CO2_HIST_b">'Climate B'!$B$13</definedName>
    <definedName name="TIME_CO2_LAND">'Library data'!$C$9</definedName>
    <definedName name="TIME_CO2_OCEAN_LONG">'Library data'!$C$7</definedName>
    <definedName name="TIME_CO2_OCEAN_SHORT">'Library data'!$C$8</definedName>
    <definedName name="TOTAL_CE_CO2_0">'Climate A'!$C$75</definedName>
    <definedName name="TOTAL_CE_CO2_0_b">'Climate B'!$C$75</definedName>
    <definedName name="total_e_co2">'Climate A'!$D$76:$M$76</definedName>
    <definedName name="TOTAL_E_CO2_0">'Climate A'!$C$76</definedName>
    <definedName name="TOTAL_E_CO2_0_b">'Climate B'!$C$76</definedName>
    <definedName name="total_e_co2_1">'Climate A'!$D$76</definedName>
    <definedName name="total_e_co2_1_b">'Climate B'!$D$76</definedName>
    <definedName name="total_e_co2_b">'Climate B'!$D$76:$M$76</definedName>
    <definedName name="total_e_co2_not_1">'Climate A'!$E$76:$M$76</definedName>
    <definedName name="total_e_co2_not_1_b">'Climate B'!$E$76:$M$76</definedName>
    <definedName name="tpc">'Preventative costs A'!$L$706</definedName>
    <definedName name="tpc_ab">'Preventative costs A-B'!$L$706</definedName>
    <definedName name="tpc_b">'Preventative costs B'!$L$706</definedName>
    <definedName name="UDF">'Impacts A'!$C$440:$L$440</definedName>
    <definedName name="UDFT">'Impacts A'!$M$440:$M$440</definedName>
    <definedName name="VERSION">'Base data'!$C$1</definedName>
    <definedName name="VERSION_DATE">'Base data'!$J$1</definedName>
    <definedName name="VERSION_PARENT">'Base data'!$N$1</definedName>
    <definedName name="W_1">'Library data'!$C$72</definedName>
    <definedName name="W_2">'Library data'!$C$80</definedName>
    <definedName name="W_S">'Library data'!$C$67</definedName>
    <definedName name="wacdt">'Adaptive costs A'!$B$160:$K$167</definedName>
    <definedName name="wacdt_b">'Adaptive costs B'!$B$160:$K$167</definedName>
    <definedName name="wacdt_g">'Adaptive costs A'!$B$168:$K$168</definedName>
    <definedName name="wacdt_g_ab">'Adaptive costs A-B'!$B$168:$K$168</definedName>
    <definedName name="wacdt_g_b">'Adaptive costs B'!$B$168:$K$168</definedName>
    <definedName name="wact">'Adaptive costs A'!$B$150:$K$157</definedName>
    <definedName name="wact_b">'Adaptive costs B'!$B$150:$K$157</definedName>
    <definedName name="wact_g">'Adaptive costs A'!$B$158:$K$158</definedName>
    <definedName name="wact_g_ab">'Adaptive costs A-B'!$B$158:$K$158</definedName>
    <definedName name="wact_g_b">'Adaptive costs B'!$B$158:$K$158</definedName>
    <definedName name="wact_per_cap">'Adaptive costs A'!$B$141:$K$148</definedName>
    <definedName name="wact_per_cap_b">'Adaptive costs B'!$B$141:$K$148</definedName>
    <definedName name="WDIS">'Library data'!$C$83</definedName>
    <definedName name="WEIGHT_25C">Cockpit!$H$74</definedName>
    <definedName name="WEIGHT_BAU">Cockpit!$H$77</definedName>
    <definedName name="WEIGHT_NDC">Cockpit!$H$75</definedName>
    <definedName name="WEIGHT_NDC_PART">Cockpit!$H$76</definedName>
    <definedName name="WEIGHT_SCENARIOS">Cockpit!$B$74</definedName>
    <definedName name="WEIGHT_SCENARIOS_B">Cockpit!$B$77</definedName>
    <definedName name="WEIGHTING_AND_DISCOUNTING">Cockpit!$B$46</definedName>
    <definedName name="WEIGHTING_WITH_EQUITY">Cockpit!$E$47</definedName>
    <definedName name="WEIGHTING_WITHOUT_EQUITY">Cockpit!$E$48</definedName>
    <definedName name="WF_1">'Library data'!$C$97:$C$103</definedName>
    <definedName name="WF_2">'Library data'!$C$105:$C$111</definedName>
    <definedName name="WF_S">'Library data'!$C$89:$C$95</definedName>
    <definedName name="widt">'Impacts A'!$C$419:$L$426</definedName>
    <definedName name="widt_b">'Impacts B'!$C$419:$L$426</definedName>
    <definedName name="widt_g">'Impacts A'!$C$427:$L$427</definedName>
    <definedName name="widt_g_ab">'Impacts A-B'!$C$427:$L$427</definedName>
    <definedName name="widt_g_b">'Impacts B'!$C$427:$L$427</definedName>
    <definedName name="WINCF_1">'Impacts A'!$E$15:$E$22</definedName>
    <definedName name="WINCF_2">'Impacts A'!$G$15:$G$22</definedName>
    <definedName name="WINCF_S">'Impacts A'!$C$15:$C$22</definedName>
    <definedName name="wit">'Impacts A'!$C$409:$L$416</definedName>
    <definedName name="wit_b">'Impacts B'!$C$409:$L$416</definedName>
    <definedName name="wit_g">'Impacts A'!$C$417:$L$417</definedName>
    <definedName name="wit_g_ab">'Impacts A-B'!$C$417:$L$417</definedName>
    <definedName name="wit_g_b">'Impacts B'!$C$417:$L$417</definedName>
    <definedName name="WORLDB_GDPPOP_CHOICE">Cockpit!$B$22</definedName>
    <definedName name="WORLDB_GDPPOP_SWITCH">Cockpit!$B$54</definedName>
    <definedName name="WORLDB_OPTION_NO">Cockpit!$E$32</definedName>
    <definedName name="WORLDB_OPTION_YES">Cockpit!$E$31</definedName>
    <definedName name="wtct_per_cap">'Preventative costs A'!$B$659:$K$666</definedName>
    <definedName name="wtct_per_cap_b">'Preventative costs B'!$B$659:$K$666</definedName>
    <definedName name="Y">'Base data'!$C$3:$L$3</definedName>
    <definedName name="Y_0">'Base data'!$B$2</definedName>
    <definedName name="Y_1">'Base data'!$C$3</definedName>
    <definedName name="Y_HI">'Impacts A'!$C$28:$L$28</definedName>
    <definedName name="Y_LAST">'Base data'!$L$3</definedName>
    <definedName name="Y_LAST_SSP">'Base data'!$H$3</definedName>
    <definedName name="Y_LO">'Impacts A'!$C$29:$L$29</definedName>
    <definedName name="Y_NOT_1">'Base data'!$D$3:$L$3</definedName>
    <definedName name="Y_SCC">'Base data'!$B$4</definedName>
    <definedName name="YAGG">'Impacts A'!$C$30:$L$30</definedName>
    <definedName name="YMINUSY0">'Preventative costs A'!$B$46:$K$46</definedName>
    <definedName name="YMINUSY0_LAST">'Preventative costs A'!$K$46</definedName>
    <definedName name="YP">'Climate A'!$D$35:$M$35</definedName>
    <definedName name="YP_1">'Climate A'!$D$35</definedName>
    <definedName name="YP_2">'Climate A'!$E$35</definedName>
    <definedName name="YP_NOT_1">'Climate A'!$E$35:$M$35</definedName>
    <definedName name="YP_NOT_2">'Climate A'!$F$35:$M$35</definedName>
    <definedName name="ZC_CH4">'Preventative costs A'!$B$58:$K$65</definedName>
    <definedName name="ZC_CH4_1">'Preventative costs A'!$B$58:$B$65</definedName>
    <definedName name="ZC_CH4_NOT_1">'Preventative costs A'!$C$58:$K$65</definedName>
    <definedName name="ZC_CO2">'Preventative costs A'!$B$49:$K$56</definedName>
    <definedName name="ZC_CO2_1">'Preventative costs A'!$B$49:$B$56</definedName>
    <definedName name="ZC_CO2_NOT_1">'Preventative costs A'!$C$49:$K$56</definedName>
    <definedName name="ZC_GLIN">'Preventative costs A'!$B$76:$K$83</definedName>
    <definedName name="ZC_GLIN_1">'Preventative costs A'!$B$76:$B$83</definedName>
    <definedName name="ZC_GLIN_NOT_1">'Preventative costs A'!$C$76:$K$83</definedName>
    <definedName name="ZC_N2O">'Preventative costs A'!$B$67:$K$74</definedName>
    <definedName name="ZC_N2O_1">'Preventative costs A'!$B$67:$B$74</definedName>
    <definedName name="ZC_N2O_NOT_1">'Preventative costs A'!$C$67:$K$74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443" i="34" l="1"/>
  <c r="C194" i="2"/>
  <c r="C195" i="2" s="1"/>
  <c r="C196" i="2"/>
  <c r="C189" i="2"/>
  <c r="C190" i="2"/>
  <c r="C191" i="2"/>
  <c r="C192" i="2"/>
  <c r="C187" i="2"/>
  <c r="C188" i="2" s="1"/>
  <c r="C185" i="2"/>
  <c r="C183" i="2"/>
  <c r="C175" i="2"/>
  <c r="C176" i="2"/>
  <c r="C177" i="2"/>
  <c r="C178" i="2"/>
  <c r="C179" i="2"/>
  <c r="C180" i="2"/>
  <c r="C181" i="2"/>
  <c r="C167" i="2"/>
  <c r="C168" i="2"/>
  <c r="C169" i="2"/>
  <c r="C170" i="2"/>
  <c r="C171" i="2"/>
  <c r="C172" i="2"/>
  <c r="C173" i="2"/>
  <c r="C159" i="2"/>
  <c r="C160" i="2"/>
  <c r="C161" i="2"/>
  <c r="C162" i="2"/>
  <c r="C163" i="2"/>
  <c r="C164" i="2"/>
  <c r="C165" i="2"/>
  <c r="C152" i="2"/>
  <c r="C153" i="2"/>
  <c r="C154" i="2"/>
  <c r="C155" i="2"/>
  <c r="C156" i="2"/>
  <c r="E32" i="38" s="1" a="1"/>
  <c r="C157" i="2"/>
  <c r="C145" i="2"/>
  <c r="C146" i="2"/>
  <c r="C147" i="2"/>
  <c r="C148" i="2"/>
  <c r="C149" i="2"/>
  <c r="D31" i="8" s="1"/>
  <c r="C150" i="2"/>
  <c r="C138" i="2"/>
  <c r="C5" i="38" s="1"/>
  <c r="C139" i="2"/>
  <c r="C140" i="2"/>
  <c r="C141" i="2"/>
  <c r="C142" i="2"/>
  <c r="C31" i="8" s="1"/>
  <c r="C143" i="2"/>
  <c r="C131" i="2"/>
  <c r="C132" i="2"/>
  <c r="C133" i="2"/>
  <c r="C134" i="2"/>
  <c r="C135" i="2"/>
  <c r="B31" i="8" s="1"/>
  <c r="C136" i="2"/>
  <c r="C115" i="2"/>
  <c r="C116" i="2"/>
  <c r="C117" i="2"/>
  <c r="C118" i="2"/>
  <c r="E5" i="35" s="1"/>
  <c r="C119" i="2"/>
  <c r="F5" i="35" s="1"/>
  <c r="C120" i="2"/>
  <c r="G5" i="35" s="1"/>
  <c r="C121" i="2"/>
  <c r="C122" i="2"/>
  <c r="C123" i="2"/>
  <c r="C124" i="2"/>
  <c r="C125" i="2"/>
  <c r="C126" i="2"/>
  <c r="C127" i="2"/>
  <c r="C105" i="2"/>
  <c r="C106" i="2"/>
  <c r="C107" i="2"/>
  <c r="C108" i="2"/>
  <c r="C109" i="2"/>
  <c r="C110" i="2"/>
  <c r="C111" i="2"/>
  <c r="C97" i="2"/>
  <c r="C98" i="2"/>
  <c r="C99" i="2"/>
  <c r="C100" i="2"/>
  <c r="C101" i="2"/>
  <c r="C102" i="2"/>
  <c r="C103" i="2"/>
  <c r="C89" i="2"/>
  <c r="C90" i="2"/>
  <c r="C91" i="2"/>
  <c r="C92" i="2"/>
  <c r="C93" i="2"/>
  <c r="C94" i="2"/>
  <c r="C95" i="2"/>
  <c r="C79" i="2"/>
  <c r="C80" i="2"/>
  <c r="C81" i="2"/>
  <c r="C82" i="2"/>
  <c r="C83" i="2"/>
  <c r="C84" i="2"/>
  <c r="C85" i="2"/>
  <c r="C126" i="30" s="1" a="1"/>
  <c r="C86" i="2"/>
  <c r="C87" i="2"/>
  <c r="C76" i="2"/>
  <c r="C77" i="2"/>
  <c r="C71" i="2"/>
  <c r="C72" i="2"/>
  <c r="C73" i="2"/>
  <c r="C74" i="2"/>
  <c r="C66" i="2"/>
  <c r="C67" i="2"/>
  <c r="C68" i="2"/>
  <c r="C69" i="2"/>
  <c r="C62" i="2"/>
  <c r="L43" i="59" s="1"/>
  <c r="C63" i="2"/>
  <c r="C64" i="2"/>
  <c r="C57" i="2"/>
  <c r="C58" i="2"/>
  <c r="C59" i="2"/>
  <c r="C53" i="2"/>
  <c r="C48" i="2"/>
  <c r="C49" i="2"/>
  <c r="C50" i="2"/>
  <c r="C51" i="2"/>
  <c r="C43" i="2"/>
  <c r="C44" i="2"/>
  <c r="C45" i="2"/>
  <c r="C38" i="2"/>
  <c r="C39" i="2"/>
  <c r="C40" i="2"/>
  <c r="C41" i="2"/>
  <c r="C36" i="2"/>
  <c r="C33" i="2"/>
  <c r="D31" i="4" s="1"/>
  <c r="C24" i="2"/>
  <c r="C25" i="2"/>
  <c r="C26" i="2"/>
  <c r="C27" i="2"/>
  <c r="C28" i="2"/>
  <c r="C29" i="2"/>
  <c r="C30" i="2"/>
  <c r="C31" i="2"/>
  <c r="C20" i="2"/>
  <c r="C21" i="2"/>
  <c r="C13" i="2"/>
  <c r="C133" i="4" s="1" a="1"/>
  <c r="C14" i="2"/>
  <c r="D142" i="29" s="1" a="1"/>
  <c r="C15" i="2"/>
  <c r="C16" i="2"/>
  <c r="C17" i="2"/>
  <c r="C18" i="2"/>
  <c r="D190" i="4" s="1" a="1"/>
  <c r="C4" i="2"/>
  <c r="C5" i="2"/>
  <c r="C6" i="2"/>
  <c r="C7" i="2"/>
  <c r="C8" i="2"/>
  <c r="C9" i="2"/>
  <c r="C10" i="2"/>
  <c r="C11" i="2"/>
  <c r="D84" i="1"/>
  <c r="C60" i="4" s="1"/>
  <c r="D65" i="1"/>
  <c r="C44" i="29" s="1"/>
  <c r="D66" i="1"/>
  <c r="D42" i="1"/>
  <c r="D43" i="1"/>
  <c r="D44" i="1"/>
  <c r="D45" i="1"/>
  <c r="D46" i="1"/>
  <c r="D47" i="1"/>
  <c r="D48" i="1"/>
  <c r="D49" i="1"/>
  <c r="D38" i="1"/>
  <c r="C164" i="29" s="1"/>
  <c r="B20" i="1"/>
  <c r="C73" i="4" s="1"/>
  <c r="B10" i="1"/>
  <c r="B11" i="1"/>
  <c r="C142" i="4" a="1"/>
  <c r="C145" i="4" s="1"/>
  <c r="C191" i="4"/>
  <c r="E5" i="7"/>
  <c r="A29" i="61"/>
  <c r="A1" i="61"/>
  <c r="B54" i="41"/>
  <c r="N1" i="1"/>
  <c r="N1" i="57"/>
  <c r="B53" i="41"/>
  <c r="B4" i="29"/>
  <c r="B3" i="29"/>
  <c r="B4" i="4"/>
  <c r="B3" i="4"/>
  <c r="F1" i="41"/>
  <c r="E1" i="61"/>
  <c r="A1" i="41"/>
  <c r="B61" i="41"/>
  <c r="D42" i="41"/>
  <c r="D41" i="41"/>
  <c r="D40" i="41"/>
  <c r="D39" i="41"/>
  <c r="D38" i="41"/>
  <c r="D37" i="41"/>
  <c r="D36" i="41"/>
  <c r="C3" i="60" a="1"/>
  <c r="B3" i="60"/>
  <c r="A48" i="60" a="1"/>
  <c r="A37" i="60" a="1"/>
  <c r="A37" i="60"/>
  <c r="A26" i="60" a="1"/>
  <c r="N23" i="60"/>
  <c r="N22" i="60"/>
  <c r="N21" i="60"/>
  <c r="N20" i="60"/>
  <c r="N19" i="60"/>
  <c r="N18" i="60"/>
  <c r="N17" i="60"/>
  <c r="N16" i="60"/>
  <c r="N15" i="60"/>
  <c r="A15" i="60" a="1"/>
  <c r="A22" i="60"/>
  <c r="A4" i="60" a="1"/>
  <c r="A4" i="60"/>
  <c r="A67" i="60" a="1"/>
  <c r="A74" i="60"/>
  <c r="A58" i="60" a="1"/>
  <c r="A65" i="60"/>
  <c r="A1" i="60"/>
  <c r="A74" i="59"/>
  <c r="A67" i="59" a="1"/>
  <c r="A71" i="59"/>
  <c r="A58" i="59" a="1"/>
  <c r="A65" i="59"/>
  <c r="C3" i="59" a="1"/>
  <c r="L3" i="59"/>
  <c r="B3" i="59"/>
  <c r="A48" i="59" a="1"/>
  <c r="A49" i="59"/>
  <c r="A37" i="59" a="1"/>
  <c r="A43" i="59"/>
  <c r="B26" i="59" a="1"/>
  <c r="B31" i="59"/>
  <c r="A26" i="59" a="1"/>
  <c r="A32" i="59"/>
  <c r="N23" i="59"/>
  <c r="N22" i="59"/>
  <c r="N21" i="59"/>
  <c r="N20" i="59"/>
  <c r="N19" i="59"/>
  <c r="N18" i="59"/>
  <c r="N17" i="59"/>
  <c r="N16" i="59"/>
  <c r="N15" i="59"/>
  <c r="B15" i="59" a="1"/>
  <c r="B22" i="59"/>
  <c r="A15" i="59" a="1"/>
  <c r="B4" i="59" a="1"/>
  <c r="B6" i="59"/>
  <c r="A4" i="59" a="1"/>
  <c r="A9" i="59"/>
  <c r="A67" i="58" a="1"/>
  <c r="A70" i="58"/>
  <c r="A58" i="58" a="1"/>
  <c r="A65" i="58"/>
  <c r="C3" i="58" a="1"/>
  <c r="J3" i="58"/>
  <c r="B3" i="58"/>
  <c r="A1" i="59"/>
  <c r="A1" i="58"/>
  <c r="A48" i="58" a="1"/>
  <c r="A37" i="58" a="1"/>
  <c r="A43" i="58"/>
  <c r="B26" i="58" a="1"/>
  <c r="B30" i="58"/>
  <c r="A26" i="58" a="1"/>
  <c r="N23" i="58"/>
  <c r="N22" i="58"/>
  <c r="N21" i="58"/>
  <c r="N20" i="58"/>
  <c r="N19" i="58"/>
  <c r="N18" i="58"/>
  <c r="N17" i="58"/>
  <c r="N16" i="58"/>
  <c r="N15" i="58"/>
  <c r="B15" i="58" a="1"/>
  <c r="A15" i="58" a="1"/>
  <c r="A15" i="58"/>
  <c r="B4" i="58" a="1"/>
  <c r="B8" i="58"/>
  <c r="A4" i="58" a="1"/>
  <c r="C410" i="1" a="1"/>
  <c r="D409" i="1" a="1"/>
  <c r="K409" i="1"/>
  <c r="C409" i="1"/>
  <c r="C195" i="1" a="1"/>
  <c r="L195" i="1"/>
  <c r="D194" i="1" a="1"/>
  <c r="K194" i="1"/>
  <c r="C194" i="1"/>
  <c r="C175" i="1" a="1"/>
  <c r="L175" i="1"/>
  <c r="D174" i="1" a="1"/>
  <c r="K174" i="1"/>
  <c r="C174" i="1"/>
  <c r="B196" i="1" a="1"/>
  <c r="B203" i="1"/>
  <c r="B185" i="1" a="1"/>
  <c r="B192" i="1"/>
  <c r="B176" i="1" a="1"/>
  <c r="B183" i="1"/>
  <c r="C1" i="1"/>
  <c r="C1" i="61"/>
  <c r="C748" i="1" a="1"/>
  <c r="C644" i="1" a="1"/>
  <c r="I644" i="1"/>
  <c r="D643" i="1" a="1"/>
  <c r="J643" i="1"/>
  <c r="C643" i="1"/>
  <c r="A685" i="1" a="1"/>
  <c r="A690" i="1"/>
  <c r="A676" i="1" a="1"/>
  <c r="A680" i="1"/>
  <c r="A667" i="1" a="1"/>
  <c r="A658" i="1" a="1"/>
  <c r="A664" i="1"/>
  <c r="A649" i="1" a="1"/>
  <c r="A656" i="1"/>
  <c r="A82" i="27" a="1"/>
  <c r="A69" i="27" a="1"/>
  <c r="A73" i="27"/>
  <c r="A56" i="27" a="1"/>
  <c r="A63" i="27"/>
  <c r="A115" i="34" a="1"/>
  <c r="A117" i="34"/>
  <c r="A106" i="34" a="1"/>
  <c r="A97" i="34" a="1"/>
  <c r="A88" i="34" a="1"/>
  <c r="A95" i="34"/>
  <c r="A115" i="30" a="1"/>
  <c r="A106" i="30" a="1"/>
  <c r="A112" i="30"/>
  <c r="A97" i="30" a="1"/>
  <c r="A88" i="30" a="1"/>
  <c r="A115" i="6" a="1"/>
  <c r="A106" i="6" a="1"/>
  <c r="A97" i="6" a="1"/>
  <c r="A99" i="6"/>
  <c r="A88" i="6" a="1"/>
  <c r="B1" i="57"/>
  <c r="M4" i="1"/>
  <c r="N177" i="40"/>
  <c r="N178" i="40"/>
  <c r="N172" i="40"/>
  <c r="B56" i="41"/>
  <c r="C152" i="1" a="1"/>
  <c r="E198" i="2"/>
  <c r="F198" i="2"/>
  <c r="D198" i="2"/>
  <c r="B59" i="41"/>
  <c r="C220" i="30" a="1"/>
  <c r="N18" i="2"/>
  <c r="O18" i="2"/>
  <c r="F34" i="1"/>
  <c r="C91" i="4"/>
  <c r="D35" i="4"/>
  <c r="A709" i="8"/>
  <c r="D35" i="1"/>
  <c r="N7" i="58"/>
  <c r="B712" i="8" a="1"/>
  <c r="A713" i="8" a="1"/>
  <c r="B194" i="2"/>
  <c r="B185" i="2"/>
  <c r="B187" i="2"/>
  <c r="B183" i="2"/>
  <c r="B152" i="2"/>
  <c r="B145" i="2"/>
  <c r="B138" i="2"/>
  <c r="B131" i="2"/>
  <c r="M2" i="28"/>
  <c r="D7" i="4" a="1"/>
  <c r="A196" i="57"/>
  <c r="A171" i="57"/>
  <c r="A157" i="57"/>
  <c r="D254" i="1" a="1"/>
  <c r="C255" i="1" a="1"/>
  <c r="A118" i="1"/>
  <c r="A117" i="1"/>
  <c r="A116" i="1"/>
  <c r="A115" i="1"/>
  <c r="A114" i="1"/>
  <c r="A92" i="57"/>
  <c r="A57" i="57"/>
  <c r="J1" i="57"/>
  <c r="A229" i="34" a="1"/>
  <c r="A229" i="30" a="1"/>
  <c r="A229" i="6" a="1"/>
  <c r="A256" i="34" a="1"/>
  <c r="A211" i="34" a="1"/>
  <c r="A202" i="34" a="1"/>
  <c r="A256" i="30" a="1"/>
  <c r="A256" i="30"/>
  <c r="A211" i="30" a="1"/>
  <c r="A211" i="30"/>
  <c r="A202" i="30" a="1"/>
  <c r="A206" i="30"/>
  <c r="A256" i="6" a="1"/>
  <c r="A202" i="6" a="1"/>
  <c r="A211" i="6" a="1"/>
  <c r="B77" i="2"/>
  <c r="B76" i="2"/>
  <c r="A36" i="41"/>
  <c r="A4" i="6" a="1"/>
  <c r="B105" i="2" a="1"/>
  <c r="B97" i="2" a="1"/>
  <c r="B89" i="2" a="1"/>
  <c r="A42" i="1" a="1"/>
  <c r="R143" i="1"/>
  <c r="R144" i="1"/>
  <c r="R145" i="1"/>
  <c r="R146" i="1"/>
  <c r="R147" i="1"/>
  <c r="R148" i="1"/>
  <c r="R149" i="1"/>
  <c r="R150" i="1"/>
  <c r="R151" i="1"/>
  <c r="R152" i="1"/>
  <c r="P143" i="1"/>
  <c r="P144" i="1"/>
  <c r="P145" i="1"/>
  <c r="P146" i="1"/>
  <c r="P147" i="1"/>
  <c r="P148" i="1"/>
  <c r="P149" i="1"/>
  <c r="P150" i="1"/>
  <c r="P151" i="1"/>
  <c r="P152" i="1"/>
  <c r="P142" i="1"/>
  <c r="B74" i="41"/>
  <c r="B65" i="41"/>
  <c r="C376" i="1" a="1"/>
  <c r="I326" i="1"/>
  <c r="J326" i="1"/>
  <c r="K326" i="1"/>
  <c r="L326" i="1"/>
  <c r="I301" i="1"/>
  <c r="J301" i="1"/>
  <c r="K301" i="1"/>
  <c r="L301" i="1"/>
  <c r="J300" i="1"/>
  <c r="K300" i="1"/>
  <c r="L300" i="1"/>
  <c r="I300" i="1"/>
  <c r="M62" i="57"/>
  <c r="Y91" i="29"/>
  <c r="M64" i="57"/>
  <c r="M65" i="57"/>
  <c r="M66" i="57"/>
  <c r="N87" i="40"/>
  <c r="C82" i="40"/>
  <c r="C83" i="40"/>
  <c r="C84" i="40"/>
  <c r="C85" i="40"/>
  <c r="D56" i="1"/>
  <c r="D57" i="1"/>
  <c r="E56" i="1"/>
  <c r="B58" i="1"/>
  <c r="E58" i="1"/>
  <c r="A44" i="57"/>
  <c r="C198" i="57" a="1"/>
  <c r="H198" i="57"/>
  <c r="C388" i="1" a="1"/>
  <c r="I388" i="1"/>
  <c r="D387" i="1" a="1"/>
  <c r="C387" i="1"/>
  <c r="C160" i="57" a="1"/>
  <c r="E160" i="57"/>
  <c r="C77" i="57" a="1"/>
  <c r="K77" i="57"/>
  <c r="C184" i="57" a="1"/>
  <c r="G184" i="57"/>
  <c r="C174" i="57" a="1"/>
  <c r="C149" i="57" a="1"/>
  <c r="C149" i="57"/>
  <c r="C139" i="57" a="1"/>
  <c r="C132" i="57" a="1"/>
  <c r="D34" i="1"/>
  <c r="E34" i="1"/>
  <c r="G34" i="1"/>
  <c r="H34" i="1"/>
  <c r="I34" i="1"/>
  <c r="J34" i="1"/>
  <c r="C34" i="1"/>
  <c r="B141" i="28"/>
  <c r="B129" i="28" a="1"/>
  <c r="B129" i="28"/>
  <c r="B98" i="28" a="1"/>
  <c r="B67" i="28" a="1"/>
  <c r="B36" i="28" a="1"/>
  <c r="B5" i="28" a="1"/>
  <c r="B141" i="5"/>
  <c r="B129" i="5" a="1"/>
  <c r="B131" i="5"/>
  <c r="B98" i="5" a="1"/>
  <c r="B99" i="5"/>
  <c r="B67" i="5" a="1"/>
  <c r="B36" i="5" a="1"/>
  <c r="B5" i="5" a="1"/>
  <c r="B6" i="5"/>
  <c r="M137" i="32"/>
  <c r="M136" i="32"/>
  <c r="M135" i="32"/>
  <c r="M134" i="32"/>
  <c r="M133" i="32"/>
  <c r="M132" i="32"/>
  <c r="M131" i="32"/>
  <c r="M130" i="32"/>
  <c r="M129" i="32"/>
  <c r="A129" i="32" a="1"/>
  <c r="A133" i="32"/>
  <c r="A129" i="28" a="1"/>
  <c r="A132" i="28"/>
  <c r="M129" i="28"/>
  <c r="M130" i="28"/>
  <c r="M131" i="28"/>
  <c r="M132" i="28"/>
  <c r="M133" i="28"/>
  <c r="M134" i="28"/>
  <c r="M135" i="28"/>
  <c r="M136" i="28"/>
  <c r="M137" i="28"/>
  <c r="A129" i="5" a="1"/>
  <c r="A130" i="5"/>
  <c r="M129" i="5"/>
  <c r="M130" i="5"/>
  <c r="M131" i="5"/>
  <c r="M132" i="5"/>
  <c r="M133" i="5"/>
  <c r="M134" i="5"/>
  <c r="M135" i="5"/>
  <c r="M136" i="5"/>
  <c r="M137" i="5"/>
  <c r="A112" i="1"/>
  <c r="A132" i="1"/>
  <c r="A136" i="1"/>
  <c r="A135" i="1"/>
  <c r="A134" i="1"/>
  <c r="A133" i="1"/>
  <c r="A130" i="1"/>
  <c r="A129" i="1"/>
  <c r="A128" i="1"/>
  <c r="A127" i="1"/>
  <c r="A126" i="1"/>
  <c r="A120" i="1"/>
  <c r="A124" i="1"/>
  <c r="A123" i="1"/>
  <c r="A122" i="1"/>
  <c r="A121" i="1"/>
  <c r="B72" i="2"/>
  <c r="C366" i="1" a="1"/>
  <c r="D365" i="1" a="1"/>
  <c r="C365" i="1"/>
  <c r="C698" i="1" a="1"/>
  <c r="D698" i="1"/>
  <c r="M744" i="1"/>
  <c r="M742" i="1"/>
  <c r="M741" i="1"/>
  <c r="M740" i="1"/>
  <c r="M739" i="1"/>
  <c r="M738" i="1"/>
  <c r="M737" i="1"/>
  <c r="M736" i="1"/>
  <c r="M735" i="1"/>
  <c r="M733" i="1"/>
  <c r="M732" i="1"/>
  <c r="M731" i="1"/>
  <c r="M730" i="1"/>
  <c r="M729" i="1"/>
  <c r="M728" i="1"/>
  <c r="M727" i="1"/>
  <c r="M726" i="1"/>
  <c r="M724" i="1"/>
  <c r="M723" i="1"/>
  <c r="M722" i="1"/>
  <c r="M721" i="1"/>
  <c r="M720" i="1"/>
  <c r="M719" i="1"/>
  <c r="M718" i="1"/>
  <c r="M717" i="1"/>
  <c r="M715" i="1"/>
  <c r="M714" i="1"/>
  <c r="M713" i="1"/>
  <c r="M712" i="1"/>
  <c r="M711" i="1"/>
  <c r="M710" i="1"/>
  <c r="M709" i="1"/>
  <c r="M708" i="1"/>
  <c r="M706" i="1"/>
  <c r="M705" i="1"/>
  <c r="M704" i="1"/>
  <c r="M703" i="1"/>
  <c r="C588" i="1" a="1"/>
  <c r="C95" i="57" a="1"/>
  <c r="C105" i="57" a="1"/>
  <c r="K105" i="57"/>
  <c r="C112" i="57" a="1"/>
  <c r="F112" i="57"/>
  <c r="C122" i="57" a="1"/>
  <c r="L122" i="57"/>
  <c r="C59" i="57" a="1"/>
  <c r="D59" i="57"/>
  <c r="B59" i="57"/>
  <c r="A443" i="34"/>
  <c r="I260" i="1"/>
  <c r="J260" i="1"/>
  <c r="K260" i="1"/>
  <c r="L260" i="1"/>
  <c r="C254" i="1"/>
  <c r="N443" i="34"/>
  <c r="D587" i="1" a="1"/>
  <c r="I587" i="1"/>
  <c r="C587" i="1"/>
  <c r="P344" i="1"/>
  <c r="C343" i="1" a="1"/>
  <c r="D342" i="1" a="1"/>
  <c r="C342" i="1"/>
  <c r="C277" i="1" a="1"/>
  <c r="D276" i="1" a="1"/>
  <c r="C276" i="1"/>
  <c r="D140" i="1"/>
  <c r="G3" i="3"/>
  <c r="A629" i="1" a="1"/>
  <c r="A629" i="1"/>
  <c r="A735" i="1"/>
  <c r="A620" i="1" a="1"/>
  <c r="A611" i="1" a="1"/>
  <c r="A613" i="1"/>
  <c r="A719" i="1"/>
  <c r="A602" i="1" a="1"/>
  <c r="A593" i="1" a="1"/>
  <c r="C237" i="1" a="1"/>
  <c r="C228" i="1" a="1"/>
  <c r="C219" i="1" a="1"/>
  <c r="C210" i="1" a="1"/>
  <c r="C213" i="1"/>
  <c r="M486" i="1"/>
  <c r="M536" i="1"/>
  <c r="M487" i="1"/>
  <c r="M537" i="1"/>
  <c r="M488" i="1"/>
  <c r="M538" i="1"/>
  <c r="M489" i="1"/>
  <c r="M539" i="1"/>
  <c r="M490" i="1"/>
  <c r="M540" i="1"/>
  <c r="M491" i="1"/>
  <c r="M541" i="1"/>
  <c r="M492" i="1"/>
  <c r="M542" i="1"/>
  <c r="M493" i="1"/>
  <c r="M543" i="1"/>
  <c r="M495" i="1"/>
  <c r="M545" i="1"/>
  <c r="M496" i="1"/>
  <c r="M546" i="1"/>
  <c r="M497" i="1"/>
  <c r="M547" i="1"/>
  <c r="M498" i="1"/>
  <c r="M548" i="1"/>
  <c r="M499" i="1"/>
  <c r="M549" i="1"/>
  <c r="M500" i="1"/>
  <c r="M550" i="1"/>
  <c r="M501" i="1"/>
  <c r="M551" i="1"/>
  <c r="M502" i="1"/>
  <c r="M552" i="1"/>
  <c r="M504" i="1"/>
  <c r="M554" i="1"/>
  <c r="M505" i="1"/>
  <c r="M555" i="1"/>
  <c r="M506" i="1"/>
  <c r="M556" i="1"/>
  <c r="M507" i="1"/>
  <c r="M557" i="1"/>
  <c r="M508" i="1"/>
  <c r="M558" i="1"/>
  <c r="M509" i="1"/>
  <c r="M559" i="1"/>
  <c r="M510" i="1"/>
  <c r="M560" i="1"/>
  <c r="M511" i="1"/>
  <c r="M561" i="1"/>
  <c r="M513" i="1"/>
  <c r="M563" i="1"/>
  <c r="M514" i="1"/>
  <c r="M564" i="1"/>
  <c r="M515" i="1"/>
  <c r="M565" i="1"/>
  <c r="M516" i="1"/>
  <c r="M566" i="1"/>
  <c r="M517" i="1"/>
  <c r="M567" i="1"/>
  <c r="M518" i="1"/>
  <c r="M568" i="1"/>
  <c r="M519" i="1"/>
  <c r="M569" i="1"/>
  <c r="M520" i="1"/>
  <c r="M570" i="1"/>
  <c r="M522" i="1"/>
  <c r="M572" i="1"/>
  <c r="M523" i="1"/>
  <c r="M573" i="1"/>
  <c r="M524" i="1"/>
  <c r="M574" i="1"/>
  <c r="M525" i="1"/>
  <c r="M575" i="1"/>
  <c r="M526" i="1"/>
  <c r="M576" i="1"/>
  <c r="M527" i="1"/>
  <c r="M577" i="1"/>
  <c r="M528" i="1"/>
  <c r="M578" i="1"/>
  <c r="M529" i="1"/>
  <c r="M579" i="1"/>
  <c r="M531" i="1"/>
  <c r="M581" i="1"/>
  <c r="A472" i="1" a="1"/>
  <c r="A473" i="1"/>
  <c r="A523" i="1"/>
  <c r="A573" i="1"/>
  <c r="A463" i="1" a="1"/>
  <c r="A470" i="1"/>
  <c r="A520" i="1"/>
  <c r="A570" i="1"/>
  <c r="A454" i="1" a="1"/>
  <c r="A445" i="1" a="1"/>
  <c r="A436" i="1" a="1"/>
  <c r="A443" i="1"/>
  <c r="A493" i="1"/>
  <c r="A543" i="1"/>
  <c r="C435" i="1" a="1"/>
  <c r="K435" i="1"/>
  <c r="B4" i="3" a="1"/>
  <c r="F4" i="3"/>
  <c r="P353" i="1"/>
  <c r="M345" i="1"/>
  <c r="M368" i="1"/>
  <c r="M390" i="1"/>
  <c r="M412" i="1"/>
  <c r="M346" i="1"/>
  <c r="M369" i="1"/>
  <c r="M391" i="1"/>
  <c r="M413" i="1"/>
  <c r="M347" i="1"/>
  <c r="M370" i="1"/>
  <c r="M392" i="1"/>
  <c r="M414" i="1"/>
  <c r="M348" i="1"/>
  <c r="M371" i="1"/>
  <c r="M393" i="1"/>
  <c r="M415" i="1"/>
  <c r="M349" i="1"/>
  <c r="M372" i="1"/>
  <c r="M394" i="1"/>
  <c r="M416" i="1"/>
  <c r="M350" i="1"/>
  <c r="M373" i="1"/>
  <c r="M395" i="1"/>
  <c r="M417" i="1"/>
  <c r="M351" i="1"/>
  <c r="M374" i="1"/>
  <c r="M396" i="1"/>
  <c r="M418" i="1"/>
  <c r="M353" i="1"/>
  <c r="M376" i="1"/>
  <c r="M398" i="1"/>
  <c r="M420" i="1"/>
  <c r="M354" i="1"/>
  <c r="M377" i="1"/>
  <c r="M399" i="1"/>
  <c r="M421" i="1"/>
  <c r="M355" i="1"/>
  <c r="M378" i="1"/>
  <c r="M400" i="1"/>
  <c r="M422" i="1"/>
  <c r="M356" i="1"/>
  <c r="M379" i="1"/>
  <c r="M401" i="1"/>
  <c r="M423" i="1"/>
  <c r="M357" i="1"/>
  <c r="M380" i="1"/>
  <c r="M402" i="1"/>
  <c r="M424" i="1"/>
  <c r="M358" i="1"/>
  <c r="M381" i="1"/>
  <c r="M403" i="1"/>
  <c r="M425" i="1"/>
  <c r="M359" i="1"/>
  <c r="M382" i="1"/>
  <c r="M404" i="1"/>
  <c r="M426" i="1"/>
  <c r="M360" i="1"/>
  <c r="M383" i="1"/>
  <c r="M405" i="1"/>
  <c r="M427" i="1"/>
  <c r="B343" i="1"/>
  <c r="B366" i="1"/>
  <c r="B388" i="1"/>
  <c r="B410" i="1"/>
  <c r="A352" i="1"/>
  <c r="A375" i="1"/>
  <c r="A397" i="1"/>
  <c r="A419" i="1"/>
  <c r="B342" i="1"/>
  <c r="B365" i="1"/>
  <c r="B387" i="1"/>
  <c r="B409" i="1"/>
  <c r="A342" i="1"/>
  <c r="A365" i="1"/>
  <c r="A387" i="1"/>
  <c r="A409" i="1"/>
  <c r="B287" i="1" a="1"/>
  <c r="B291" i="1"/>
  <c r="B357" i="1"/>
  <c r="B380" i="1"/>
  <c r="B402" i="1"/>
  <c r="B424" i="1"/>
  <c r="B278" i="1" a="1"/>
  <c r="B281" i="1"/>
  <c r="B347" i="1"/>
  <c r="B370" i="1"/>
  <c r="B392" i="1"/>
  <c r="B414" i="1"/>
  <c r="C96" i="40"/>
  <c r="C97" i="40"/>
  <c r="C98" i="40"/>
  <c r="C99" i="40"/>
  <c r="C177" i="40" a="1"/>
  <c r="N185" i="29"/>
  <c r="N184" i="29"/>
  <c r="N183" i="29"/>
  <c r="N182" i="29"/>
  <c r="N181" i="29"/>
  <c r="N180" i="29"/>
  <c r="N179" i="29"/>
  <c r="N178" i="29"/>
  <c r="N172" i="29"/>
  <c r="C177" i="29" a="1"/>
  <c r="M18" i="2"/>
  <c r="C177" i="4" a="1"/>
  <c r="C184" i="4"/>
  <c r="C151" i="4" a="1"/>
  <c r="C155" i="4"/>
  <c r="C151" i="29" a="1"/>
  <c r="C157" i="29"/>
  <c r="C91" i="29"/>
  <c r="C92" i="4"/>
  <c r="C92" i="29"/>
  <c r="C100" i="40"/>
  <c r="C101" i="40"/>
  <c r="C102" i="40"/>
  <c r="C104" i="4"/>
  <c r="C104" i="29"/>
  <c r="C105" i="4"/>
  <c r="C105" i="29"/>
  <c r="C109" i="40"/>
  <c r="C110" i="40"/>
  <c r="C111" i="40"/>
  <c r="C112" i="40"/>
  <c r="C114" i="4"/>
  <c r="C114" i="29"/>
  <c r="C115" i="4"/>
  <c r="C115" i="29"/>
  <c r="C116" i="40"/>
  <c r="C117" i="40"/>
  <c r="C118" i="4"/>
  <c r="C118" i="29"/>
  <c r="C119" i="4"/>
  <c r="C119" i="29"/>
  <c r="C123" i="40"/>
  <c r="C124" i="40"/>
  <c r="C125" i="40"/>
  <c r="C126" i="40"/>
  <c r="C128" i="4"/>
  <c r="C128" i="29"/>
  <c r="C129" i="4"/>
  <c r="C129" i="40"/>
  <c r="C129" i="29"/>
  <c r="C190" i="40"/>
  <c r="D35" i="40"/>
  <c r="E35" i="40" a="1"/>
  <c r="N185" i="40"/>
  <c r="N184" i="40"/>
  <c r="N183" i="40"/>
  <c r="N182" i="40"/>
  <c r="N181" i="40"/>
  <c r="N180" i="40"/>
  <c r="N179" i="40"/>
  <c r="N164" i="40"/>
  <c r="N158" i="40"/>
  <c r="N157" i="40"/>
  <c r="N156" i="40"/>
  <c r="N155" i="40"/>
  <c r="N154" i="40"/>
  <c r="N153" i="40"/>
  <c r="N152" i="40"/>
  <c r="N151" i="40"/>
  <c r="N149" i="40"/>
  <c r="N148" i="40"/>
  <c r="N147" i="40"/>
  <c r="N146" i="40"/>
  <c r="N145" i="40"/>
  <c r="N144" i="40"/>
  <c r="N143" i="40"/>
  <c r="N142" i="40"/>
  <c r="B142" i="40" a="1"/>
  <c r="N140" i="40"/>
  <c r="N139" i="40"/>
  <c r="N138" i="40"/>
  <c r="N137" i="40"/>
  <c r="N136" i="40"/>
  <c r="N135" i="40"/>
  <c r="N134" i="40"/>
  <c r="N133" i="40"/>
  <c r="B133" i="40" a="1"/>
  <c r="N131" i="40"/>
  <c r="N129" i="40"/>
  <c r="A129" i="40"/>
  <c r="F19" i="1"/>
  <c r="N114" i="40"/>
  <c r="A128" i="40"/>
  <c r="G35" i="1"/>
  <c r="A127" i="40"/>
  <c r="A126" i="40"/>
  <c r="A125" i="40"/>
  <c r="A124" i="40"/>
  <c r="A123" i="40"/>
  <c r="A122" i="40"/>
  <c r="A121" i="40"/>
  <c r="N118" i="40"/>
  <c r="N117" i="40"/>
  <c r="N116" i="40"/>
  <c r="N115" i="40"/>
  <c r="N105" i="40"/>
  <c r="N92" i="40"/>
  <c r="N91" i="40"/>
  <c r="N90" i="40"/>
  <c r="N88" i="40"/>
  <c r="D34" i="40" a="1"/>
  <c r="C34" i="40"/>
  <c r="A1" i="40"/>
  <c r="E35" i="4" a="1"/>
  <c r="C4" i="1"/>
  <c r="D4" i="1"/>
  <c r="E4" i="1"/>
  <c r="F4" i="1"/>
  <c r="G4" i="1"/>
  <c r="H4" i="1"/>
  <c r="I4" i="1"/>
  <c r="J4" i="1"/>
  <c r="K4" i="1"/>
  <c r="M5" i="1"/>
  <c r="A697" i="38" a="1"/>
  <c r="A687" i="38" a="1"/>
  <c r="A677" i="38" a="1"/>
  <c r="A684" i="38"/>
  <c r="A668" i="38" a="1"/>
  <c r="A670" i="38"/>
  <c r="A659" i="38" a="1"/>
  <c r="A660" i="38"/>
  <c r="A650" i="38" a="1"/>
  <c r="A652" i="38"/>
  <c r="A641" i="38" a="1"/>
  <c r="A632" i="38" a="1"/>
  <c r="A623" i="38" a="1"/>
  <c r="A629" i="38"/>
  <c r="A614" i="38" a="1"/>
  <c r="A605" i="38" a="1"/>
  <c r="A596" i="38" a="1"/>
  <c r="A587" i="38" a="1"/>
  <c r="A593" i="38"/>
  <c r="A578" i="38" a="1"/>
  <c r="A569" i="38" a="1"/>
  <c r="A574" i="38"/>
  <c r="A560" i="38" a="1"/>
  <c r="A565" i="38"/>
  <c r="A551" i="38" a="1"/>
  <c r="A542" i="38" a="1"/>
  <c r="A533" i="38" a="1"/>
  <c r="A536" i="38"/>
  <c r="A524" i="38" a="1"/>
  <c r="A515" i="38" a="1"/>
  <c r="A521" i="38"/>
  <c r="A506" i="38" a="1"/>
  <c r="A497" i="38" a="1"/>
  <c r="A497" i="38"/>
  <c r="M495" i="38"/>
  <c r="M494" i="38"/>
  <c r="M493" i="38"/>
  <c r="M492" i="38"/>
  <c r="M491" i="38"/>
  <c r="M490" i="38"/>
  <c r="M489" i="38"/>
  <c r="M488" i="38"/>
  <c r="A488" i="38" a="1"/>
  <c r="M486" i="38"/>
  <c r="M485" i="38"/>
  <c r="M484" i="38"/>
  <c r="M483" i="38"/>
  <c r="M482" i="38"/>
  <c r="M481" i="38"/>
  <c r="M480" i="38"/>
  <c r="M479" i="38"/>
  <c r="A479" i="38" a="1"/>
  <c r="A483" i="38"/>
  <c r="M477" i="38"/>
  <c r="M476" i="38"/>
  <c r="M475" i="38"/>
  <c r="M474" i="38"/>
  <c r="M473" i="38"/>
  <c r="M472" i="38"/>
  <c r="M471" i="38"/>
  <c r="M470" i="38"/>
  <c r="A470" i="38" a="1"/>
  <c r="M468" i="38"/>
  <c r="M467" i="38"/>
  <c r="M466" i="38"/>
  <c r="M465" i="38"/>
  <c r="M464" i="38"/>
  <c r="M463" i="38"/>
  <c r="M462" i="38"/>
  <c r="M461" i="38"/>
  <c r="A461" i="38" a="1"/>
  <c r="A461" i="38"/>
  <c r="A452" i="38" a="1"/>
  <c r="A455" i="38"/>
  <c r="A443" i="38" a="1"/>
  <c r="A434" i="38" a="1"/>
  <c r="A435" i="38"/>
  <c r="A425" i="38" a="1"/>
  <c r="M423" i="38"/>
  <c r="M422" i="38"/>
  <c r="M421" i="38"/>
  <c r="M420" i="38"/>
  <c r="M419" i="38"/>
  <c r="M418" i="38"/>
  <c r="M417" i="38"/>
  <c r="M416" i="38"/>
  <c r="A416" i="38" a="1"/>
  <c r="A417" i="38"/>
  <c r="M414" i="38"/>
  <c r="M413" i="38"/>
  <c r="M412" i="38"/>
  <c r="M411" i="38"/>
  <c r="M410" i="38"/>
  <c r="M409" i="38"/>
  <c r="M408" i="38"/>
  <c r="M407" i="38"/>
  <c r="A407" i="38" a="1"/>
  <c r="M405" i="38"/>
  <c r="M404" i="38"/>
  <c r="M403" i="38"/>
  <c r="M402" i="38"/>
  <c r="M401" i="38"/>
  <c r="M400" i="38"/>
  <c r="M399" i="38"/>
  <c r="M398" i="38"/>
  <c r="A398" i="38" a="1"/>
  <c r="A401" i="38"/>
  <c r="M396" i="38"/>
  <c r="M395" i="38"/>
  <c r="M394" i="38"/>
  <c r="M393" i="38"/>
  <c r="M392" i="38"/>
  <c r="M391" i="38"/>
  <c r="M390" i="38"/>
  <c r="M389" i="38"/>
  <c r="A389" i="38" a="1"/>
  <c r="A394" i="38"/>
  <c r="A380" i="38" a="1"/>
  <c r="A384" i="38"/>
  <c r="A371" i="38" a="1"/>
  <c r="A362" i="38" a="1"/>
  <c r="A353" i="38" a="1"/>
  <c r="A359" i="38"/>
  <c r="M351" i="38"/>
  <c r="M350" i="38"/>
  <c r="M349" i="38"/>
  <c r="M348" i="38"/>
  <c r="M347" i="38"/>
  <c r="M346" i="38"/>
  <c r="M345" i="38"/>
  <c r="M344" i="38"/>
  <c r="A344" i="38" a="1"/>
  <c r="A348" i="38"/>
  <c r="M342" i="38"/>
  <c r="M341" i="38"/>
  <c r="M340" i="38"/>
  <c r="M339" i="38"/>
  <c r="M338" i="38"/>
  <c r="M337" i="38"/>
  <c r="M336" i="38"/>
  <c r="M335" i="38"/>
  <c r="A335" i="38" a="1"/>
  <c r="M333" i="38"/>
  <c r="M332" i="38"/>
  <c r="M331" i="38"/>
  <c r="M330" i="38"/>
  <c r="M329" i="38"/>
  <c r="M328" i="38"/>
  <c r="M327" i="38"/>
  <c r="M326" i="38"/>
  <c r="A326" i="38" a="1"/>
  <c r="A328" i="38"/>
  <c r="M324" i="38"/>
  <c r="M323" i="38"/>
  <c r="M322" i="38"/>
  <c r="M321" i="38"/>
  <c r="M320" i="38"/>
  <c r="M319" i="38"/>
  <c r="M318" i="38"/>
  <c r="M317" i="38"/>
  <c r="A317" i="38" a="1"/>
  <c r="M315" i="38"/>
  <c r="M314" i="38"/>
  <c r="M313" i="38"/>
  <c r="M312" i="38"/>
  <c r="M311" i="38"/>
  <c r="M310" i="38"/>
  <c r="M309" i="38"/>
  <c r="M308" i="38"/>
  <c r="A308" i="38" a="1"/>
  <c r="A308" i="38"/>
  <c r="M306" i="38"/>
  <c r="M305" i="38"/>
  <c r="M304" i="38"/>
  <c r="M303" i="38"/>
  <c r="M302" i="38"/>
  <c r="M301" i="38"/>
  <c r="M300" i="38"/>
  <c r="M299" i="38"/>
  <c r="A299" i="38" a="1"/>
  <c r="A305" i="38"/>
  <c r="M297" i="38"/>
  <c r="M296" i="38"/>
  <c r="M295" i="38"/>
  <c r="M294" i="38"/>
  <c r="M293" i="38"/>
  <c r="M292" i="38"/>
  <c r="M291" i="38"/>
  <c r="M290" i="38"/>
  <c r="A290" i="38" a="1"/>
  <c r="M288" i="38"/>
  <c r="M287" i="38"/>
  <c r="M286" i="38"/>
  <c r="M285" i="38"/>
  <c r="M284" i="38"/>
  <c r="M283" i="38"/>
  <c r="M282" i="38"/>
  <c r="M281" i="38"/>
  <c r="A281" i="38" a="1"/>
  <c r="M279" i="38"/>
  <c r="M278" i="38"/>
  <c r="M277" i="38"/>
  <c r="M276" i="38"/>
  <c r="M275" i="38"/>
  <c r="M274" i="38"/>
  <c r="M273" i="38"/>
  <c r="M272" i="38"/>
  <c r="A272" i="38" a="1"/>
  <c r="M270" i="38"/>
  <c r="M269" i="38"/>
  <c r="M268" i="38"/>
  <c r="M267" i="38"/>
  <c r="M266" i="38"/>
  <c r="M265" i="38"/>
  <c r="M264" i="38"/>
  <c r="M263" i="38"/>
  <c r="A263" i="38" a="1"/>
  <c r="A269" i="38"/>
  <c r="M261" i="38"/>
  <c r="M260" i="38"/>
  <c r="M259" i="38"/>
  <c r="M258" i="38"/>
  <c r="M257" i="38"/>
  <c r="M256" i="38"/>
  <c r="M255" i="38"/>
  <c r="M254" i="38"/>
  <c r="A254" i="38" a="1"/>
  <c r="A259" i="38"/>
  <c r="M252" i="38"/>
  <c r="M251" i="38"/>
  <c r="M250" i="38"/>
  <c r="M249" i="38"/>
  <c r="M248" i="38"/>
  <c r="M247" i="38"/>
  <c r="M246" i="38"/>
  <c r="M245" i="38"/>
  <c r="A245" i="38" a="1"/>
  <c r="A251" i="38"/>
  <c r="M243" i="38"/>
  <c r="A243" i="38"/>
  <c r="M242" i="38"/>
  <c r="M241" i="38"/>
  <c r="M240" i="38"/>
  <c r="A238" i="38"/>
  <c r="A224" i="38" a="1"/>
  <c r="A215" i="38" a="1"/>
  <c r="A206" i="38" a="1"/>
  <c r="A197" i="38" a="1"/>
  <c r="M195" i="38"/>
  <c r="B187" i="38" a="1"/>
  <c r="M194" i="38"/>
  <c r="M193" i="38"/>
  <c r="M192" i="38"/>
  <c r="M191" i="38"/>
  <c r="M190" i="38"/>
  <c r="M189" i="38"/>
  <c r="M188" i="38"/>
  <c r="M187" i="38"/>
  <c r="A187" i="38" a="1"/>
  <c r="M185" i="38"/>
  <c r="B177" i="38" a="1"/>
  <c r="B183" i="38"/>
  <c r="M184" i="38"/>
  <c r="M183" i="38"/>
  <c r="M182" i="38"/>
  <c r="M181" i="38"/>
  <c r="M180" i="38"/>
  <c r="M179" i="38"/>
  <c r="M178" i="38"/>
  <c r="M177" i="38"/>
  <c r="A177" i="38" a="1"/>
  <c r="M175" i="38"/>
  <c r="B167" i="38" a="1"/>
  <c r="B173" i="38"/>
  <c r="M174" i="38"/>
  <c r="M173" i="38"/>
  <c r="M172" i="38"/>
  <c r="M171" i="38"/>
  <c r="M170" i="38"/>
  <c r="M169" i="38"/>
  <c r="M168" i="38"/>
  <c r="M167" i="38"/>
  <c r="A167" i="38" a="1"/>
  <c r="M165" i="38"/>
  <c r="B157" i="38" a="1"/>
  <c r="M164" i="38"/>
  <c r="M163" i="38"/>
  <c r="M162" i="38"/>
  <c r="M161" i="38"/>
  <c r="M160" i="38"/>
  <c r="M159" i="38"/>
  <c r="M158" i="38"/>
  <c r="M157" i="38"/>
  <c r="A157" i="38" a="1"/>
  <c r="M155" i="38"/>
  <c r="M154" i="38"/>
  <c r="M153" i="38"/>
  <c r="M152" i="38"/>
  <c r="M151" i="38"/>
  <c r="M150" i="38"/>
  <c r="M149" i="38"/>
  <c r="M148" i="38"/>
  <c r="A148" i="38" a="1"/>
  <c r="A148" i="38"/>
  <c r="M146" i="38"/>
  <c r="M145" i="38"/>
  <c r="M144" i="38"/>
  <c r="M143" i="38"/>
  <c r="M142" i="38"/>
  <c r="M141" i="38"/>
  <c r="M140" i="38"/>
  <c r="M139" i="38"/>
  <c r="A139" i="38" a="1"/>
  <c r="M137" i="38"/>
  <c r="M136" i="38"/>
  <c r="M135" i="38"/>
  <c r="M134" i="38"/>
  <c r="M133" i="38"/>
  <c r="M132" i="38"/>
  <c r="M131" i="38"/>
  <c r="M130" i="38"/>
  <c r="A130" i="38" a="1"/>
  <c r="A130" i="38"/>
  <c r="M128" i="38"/>
  <c r="M127" i="38"/>
  <c r="M126" i="38"/>
  <c r="M125" i="38"/>
  <c r="M124" i="38"/>
  <c r="M123" i="38"/>
  <c r="M122" i="38"/>
  <c r="M121" i="38"/>
  <c r="A121" i="38" a="1"/>
  <c r="A122" i="38"/>
  <c r="M119" i="38"/>
  <c r="M118" i="38"/>
  <c r="M117" i="38"/>
  <c r="M116" i="38"/>
  <c r="M115" i="38"/>
  <c r="M114" i="38"/>
  <c r="M113" i="38"/>
  <c r="M112" i="38"/>
  <c r="A112" i="38" a="1"/>
  <c r="M110" i="38"/>
  <c r="M109" i="38"/>
  <c r="M108" i="38"/>
  <c r="M107" i="38"/>
  <c r="M106" i="38"/>
  <c r="M105" i="38"/>
  <c r="M104" i="38"/>
  <c r="M103" i="38"/>
  <c r="A103" i="38" a="1"/>
  <c r="A106" i="38"/>
  <c r="M101" i="38"/>
  <c r="M100" i="38"/>
  <c r="M99" i="38"/>
  <c r="M98" i="38"/>
  <c r="M97" i="38"/>
  <c r="M96" i="38"/>
  <c r="M95" i="38"/>
  <c r="M94" i="38"/>
  <c r="A94" i="38" a="1"/>
  <c r="M92" i="38"/>
  <c r="M91" i="38"/>
  <c r="M90" i="38"/>
  <c r="M89" i="38"/>
  <c r="M88" i="38"/>
  <c r="M87" i="38"/>
  <c r="M86" i="38"/>
  <c r="M85" i="38"/>
  <c r="A85" i="38" a="1"/>
  <c r="M83" i="38"/>
  <c r="M82" i="38"/>
  <c r="M81" i="38"/>
  <c r="M80" i="38"/>
  <c r="M79" i="38"/>
  <c r="M78" i="38"/>
  <c r="M77" i="38"/>
  <c r="M76" i="38"/>
  <c r="A76" i="38" a="1"/>
  <c r="A79" i="38"/>
  <c r="M74" i="38"/>
  <c r="M73" i="38"/>
  <c r="M72" i="38"/>
  <c r="M71" i="38"/>
  <c r="M70" i="38"/>
  <c r="M69" i="38"/>
  <c r="M68" i="38"/>
  <c r="M67" i="38"/>
  <c r="A67" i="38" a="1"/>
  <c r="A70" i="38"/>
  <c r="M65" i="38"/>
  <c r="M64" i="38"/>
  <c r="M63" i="38"/>
  <c r="M62" i="38"/>
  <c r="M61" i="38"/>
  <c r="M60" i="38"/>
  <c r="M59" i="38"/>
  <c r="M58" i="38"/>
  <c r="A58" i="38" a="1"/>
  <c r="A64" i="38"/>
  <c r="M56" i="38"/>
  <c r="M55" i="38"/>
  <c r="M54" i="38"/>
  <c r="M53" i="38"/>
  <c r="M52" i="38"/>
  <c r="M51" i="38"/>
  <c r="M50" i="38"/>
  <c r="M49" i="38"/>
  <c r="A49" i="38" a="1"/>
  <c r="B46" i="38" a="1"/>
  <c r="C28" i="6" a="1"/>
  <c r="C29" i="6"/>
  <c r="D29" i="6" a="1"/>
  <c r="D29" i="6"/>
  <c r="L28" i="6"/>
  <c r="B41" i="38" a="1"/>
  <c r="B41" i="38"/>
  <c r="A31" i="38" a="1"/>
  <c r="E29" i="38"/>
  <c r="E26" i="38"/>
  <c r="D26" i="38"/>
  <c r="C26" i="38"/>
  <c r="B26" i="38"/>
  <c r="A18" i="38" a="1"/>
  <c r="E16" i="38"/>
  <c r="E13" i="38"/>
  <c r="D13" i="38"/>
  <c r="C13" i="38"/>
  <c r="B13" i="38"/>
  <c r="A5" i="38" a="1"/>
  <c r="A5" i="38"/>
  <c r="E3" i="38"/>
  <c r="A2" i="38"/>
  <c r="A1" i="38"/>
  <c r="N90" i="4"/>
  <c r="N118" i="29"/>
  <c r="N117" i="29"/>
  <c r="N116" i="29"/>
  <c r="N118" i="4"/>
  <c r="N117" i="4"/>
  <c r="N116" i="4"/>
  <c r="L4" i="1"/>
  <c r="I89" i="31"/>
  <c r="H89" i="31"/>
  <c r="G89" i="31"/>
  <c r="F89" i="31"/>
  <c r="I88" i="31"/>
  <c r="H88" i="31"/>
  <c r="G88" i="31"/>
  <c r="F88" i="31"/>
  <c r="I87" i="31"/>
  <c r="H87" i="31"/>
  <c r="G87" i="31"/>
  <c r="F87" i="31"/>
  <c r="I86" i="31"/>
  <c r="H86" i="31"/>
  <c r="G86" i="31"/>
  <c r="F86" i="31"/>
  <c r="I85" i="31"/>
  <c r="H85" i="31"/>
  <c r="G85" i="31"/>
  <c r="F85" i="31"/>
  <c r="I84" i="31"/>
  <c r="H84" i="31"/>
  <c r="F84" i="31"/>
  <c r="I83" i="31"/>
  <c r="G83" i="31"/>
  <c r="F83" i="31"/>
  <c r="I82" i="31"/>
  <c r="H82" i="31"/>
  <c r="G82" i="31"/>
  <c r="F82" i="31"/>
  <c r="D89" i="31"/>
  <c r="C89" i="31"/>
  <c r="B89" i="31"/>
  <c r="D88" i="31"/>
  <c r="C88" i="31"/>
  <c r="B88" i="31"/>
  <c r="D87" i="31"/>
  <c r="C87" i="31"/>
  <c r="B87" i="31"/>
  <c r="D86" i="31"/>
  <c r="C86" i="31"/>
  <c r="B86" i="31"/>
  <c r="D85" i="31"/>
  <c r="C85" i="31"/>
  <c r="B85" i="31"/>
  <c r="D84" i="31"/>
  <c r="C84" i="31"/>
  <c r="B84" i="31"/>
  <c r="B83" i="31"/>
  <c r="D82" i="31"/>
  <c r="C82" i="31"/>
  <c r="B82" i="31"/>
  <c r="I76" i="31"/>
  <c r="H76" i="31"/>
  <c r="G76" i="31"/>
  <c r="F76" i="31"/>
  <c r="I75" i="31"/>
  <c r="H75" i="31"/>
  <c r="G75" i="31"/>
  <c r="F75" i="31"/>
  <c r="I74" i="31"/>
  <c r="H74" i="31"/>
  <c r="G74" i="31"/>
  <c r="F74" i="31"/>
  <c r="I73" i="31"/>
  <c r="H73" i="31"/>
  <c r="G73" i="31"/>
  <c r="F73" i="31"/>
  <c r="I72" i="31"/>
  <c r="H72" i="31"/>
  <c r="F72" i="31"/>
  <c r="I71" i="31"/>
  <c r="H71" i="31"/>
  <c r="G71" i="31"/>
  <c r="I70" i="31"/>
  <c r="H70" i="31"/>
  <c r="G70" i="31"/>
  <c r="F70" i="31"/>
  <c r="I69" i="31"/>
  <c r="G69" i="31"/>
  <c r="F69" i="31"/>
  <c r="D76" i="31"/>
  <c r="C76" i="31"/>
  <c r="B76" i="31"/>
  <c r="D75" i="31"/>
  <c r="C75" i="31"/>
  <c r="B75" i="31"/>
  <c r="D74" i="31"/>
  <c r="C74" i="31"/>
  <c r="B74" i="31"/>
  <c r="D73" i="31"/>
  <c r="C73" i="31"/>
  <c r="D72" i="31"/>
  <c r="C72" i="31"/>
  <c r="B72" i="31"/>
  <c r="D71" i="31"/>
  <c r="C71" i="31"/>
  <c r="B71" i="31"/>
  <c r="D70" i="31"/>
  <c r="C70" i="31"/>
  <c r="D69" i="31"/>
  <c r="C69" i="31"/>
  <c r="B69" i="31"/>
  <c r="I63" i="31"/>
  <c r="H63" i="31"/>
  <c r="G63" i="31"/>
  <c r="F63" i="31"/>
  <c r="I62" i="31"/>
  <c r="H62" i="31"/>
  <c r="G62" i="31"/>
  <c r="F62" i="31"/>
  <c r="I61" i="31"/>
  <c r="H61" i="31"/>
  <c r="G61" i="31"/>
  <c r="F61" i="31"/>
  <c r="I60" i="31"/>
  <c r="H60" i="31"/>
  <c r="G60" i="31"/>
  <c r="F60" i="31"/>
  <c r="I59" i="31"/>
  <c r="H59" i="31"/>
  <c r="G59" i="31"/>
  <c r="F59" i="31"/>
  <c r="I58" i="31"/>
  <c r="H58" i="31"/>
  <c r="G58" i="31"/>
  <c r="F58" i="31"/>
  <c r="I57" i="31"/>
  <c r="H57" i="31"/>
  <c r="F57" i="31"/>
  <c r="I56" i="31"/>
  <c r="G56" i="31"/>
  <c r="C63" i="31"/>
  <c r="B63" i="31"/>
  <c r="D62" i="31"/>
  <c r="C62" i="31"/>
  <c r="B62" i="31"/>
  <c r="D61" i="31"/>
  <c r="C61" i="31"/>
  <c r="B61" i="31"/>
  <c r="D60" i="31"/>
  <c r="C60" i="31"/>
  <c r="B60" i="31"/>
  <c r="D59" i="31"/>
  <c r="C59" i="31"/>
  <c r="B59" i="31"/>
  <c r="D58" i="31"/>
  <c r="B58" i="31"/>
  <c r="D57" i="31"/>
  <c r="C57" i="31"/>
  <c r="B57" i="31"/>
  <c r="D56" i="31"/>
  <c r="C56" i="31"/>
  <c r="B56" i="31"/>
  <c r="B3" i="27"/>
  <c r="B237" i="1" a="1"/>
  <c r="A237" i="1" a="1"/>
  <c r="B228" i="1" a="1"/>
  <c r="B235" i="1"/>
  <c r="B219" i="1" a="1"/>
  <c r="B210" i="1" a="1"/>
  <c r="C209" i="1" a="1"/>
  <c r="K209" i="1"/>
  <c r="B152" i="1" a="1"/>
  <c r="B143" i="1" a="1"/>
  <c r="C142" i="1" a="1"/>
  <c r="D141" i="1" a="1"/>
  <c r="L141" i="1"/>
  <c r="C141" i="1"/>
  <c r="A409" i="34" a="1"/>
  <c r="A409" i="30" a="1"/>
  <c r="A416" i="30"/>
  <c r="A409" i="6" a="1"/>
  <c r="A139" i="34" a="1"/>
  <c r="A130" i="34" a="1"/>
  <c r="A139" i="30" a="1"/>
  <c r="A130" i="30" a="1"/>
  <c r="A139" i="6" a="1"/>
  <c r="A130" i="6" a="1"/>
  <c r="A132" i="37" a="1"/>
  <c r="A132" i="35" a="1"/>
  <c r="A139" i="35"/>
  <c r="A132" i="7" a="1"/>
  <c r="A697" i="39" a="1"/>
  <c r="A703" i="39"/>
  <c r="A687" i="39" a="1"/>
  <c r="A694" i="39"/>
  <c r="A677" i="39" a="1"/>
  <c r="A668" i="39" a="1"/>
  <c r="A675" i="39"/>
  <c r="A659" i="39" a="1"/>
  <c r="A665" i="39"/>
  <c r="A650" i="39" a="1"/>
  <c r="A654" i="39"/>
  <c r="A641" i="39" a="1"/>
  <c r="A648" i="39"/>
  <c r="A632" i="39" a="1"/>
  <c r="A623" i="39" a="1"/>
  <c r="A627" i="39"/>
  <c r="A614" i="39" a="1"/>
  <c r="A605" i="39" a="1"/>
  <c r="A596" i="39" a="1"/>
  <c r="A587" i="39" a="1"/>
  <c r="A594" i="39"/>
  <c r="A578" i="39" a="1"/>
  <c r="A569" i="39" a="1"/>
  <c r="A570" i="39"/>
  <c r="A560" i="39" a="1"/>
  <c r="A551" i="39" a="1"/>
  <c r="A555" i="39"/>
  <c r="A542" i="39" a="1"/>
  <c r="A533" i="39" a="1"/>
  <c r="A524" i="39" a="1"/>
  <c r="A515" i="39" a="1"/>
  <c r="A506" i="39" a="1"/>
  <c r="A512" i="39"/>
  <c r="A497" i="39" a="1"/>
  <c r="M495" i="39"/>
  <c r="M494" i="39"/>
  <c r="M493" i="39"/>
  <c r="M492" i="39"/>
  <c r="M491" i="39"/>
  <c r="M490" i="39"/>
  <c r="M489" i="39"/>
  <c r="M488" i="39"/>
  <c r="A488" i="39" a="1"/>
  <c r="A489" i="39"/>
  <c r="M486" i="39"/>
  <c r="M485" i="39"/>
  <c r="M484" i="39"/>
  <c r="M483" i="39"/>
  <c r="M482" i="39"/>
  <c r="M481" i="39"/>
  <c r="M480" i="39"/>
  <c r="M479" i="39"/>
  <c r="A479" i="39" a="1"/>
  <c r="A483" i="39"/>
  <c r="M477" i="39"/>
  <c r="M476" i="39"/>
  <c r="M475" i="39"/>
  <c r="M474" i="39"/>
  <c r="M473" i="39"/>
  <c r="M472" i="39"/>
  <c r="M471" i="39"/>
  <c r="M470" i="39"/>
  <c r="A470" i="39" a="1"/>
  <c r="A474" i="39"/>
  <c r="M468" i="39"/>
  <c r="M467" i="39"/>
  <c r="M466" i="39"/>
  <c r="M465" i="39"/>
  <c r="M464" i="39"/>
  <c r="M463" i="39"/>
  <c r="M462" i="39"/>
  <c r="M461" i="39"/>
  <c r="A461" i="39" a="1"/>
  <c r="A468" i="39"/>
  <c r="A452" i="39" a="1"/>
  <c r="A457" i="39"/>
  <c r="A443" i="39" a="1"/>
  <c r="A434" i="39" a="1"/>
  <c r="A425" i="39" a="1"/>
  <c r="M423" i="39"/>
  <c r="M422" i="39"/>
  <c r="M421" i="39"/>
  <c r="M420" i="39"/>
  <c r="M419" i="39"/>
  <c r="M418" i="39"/>
  <c r="M417" i="39"/>
  <c r="M416" i="39"/>
  <c r="A416" i="39" a="1"/>
  <c r="A416" i="39"/>
  <c r="M414" i="39"/>
  <c r="M413" i="39"/>
  <c r="M412" i="39"/>
  <c r="M411" i="39"/>
  <c r="M410" i="39"/>
  <c r="M409" i="39"/>
  <c r="M408" i="39"/>
  <c r="M407" i="39"/>
  <c r="A407" i="39" a="1"/>
  <c r="M405" i="39"/>
  <c r="M404" i="39"/>
  <c r="M403" i="39"/>
  <c r="M402" i="39"/>
  <c r="M401" i="39"/>
  <c r="M400" i="39"/>
  <c r="M399" i="39"/>
  <c r="M398" i="39"/>
  <c r="A398" i="39" a="1"/>
  <c r="M396" i="39"/>
  <c r="M395" i="39"/>
  <c r="M394" i="39"/>
  <c r="M393" i="39"/>
  <c r="M392" i="39"/>
  <c r="M391" i="39"/>
  <c r="M390" i="39"/>
  <c r="M389" i="39"/>
  <c r="A389" i="39" a="1"/>
  <c r="A392" i="39"/>
  <c r="A380" i="39" a="1"/>
  <c r="A382" i="39"/>
  <c r="A371" i="39" a="1"/>
  <c r="A362" i="39" a="1"/>
  <c r="A362" i="39"/>
  <c r="A353" i="39" a="1"/>
  <c r="A360" i="39"/>
  <c r="M351" i="39"/>
  <c r="M350" i="39"/>
  <c r="M349" i="39"/>
  <c r="M348" i="39"/>
  <c r="M347" i="39"/>
  <c r="M346" i="39"/>
  <c r="M345" i="39"/>
  <c r="M344" i="39"/>
  <c r="A344" i="39" a="1"/>
  <c r="M342" i="39"/>
  <c r="M341" i="39"/>
  <c r="M340" i="39"/>
  <c r="M339" i="39"/>
  <c r="M338" i="39"/>
  <c r="M337" i="39"/>
  <c r="M336" i="39"/>
  <c r="M335" i="39"/>
  <c r="A335" i="39" a="1"/>
  <c r="A335" i="39"/>
  <c r="M333" i="39"/>
  <c r="M332" i="39"/>
  <c r="M331" i="39"/>
  <c r="M330" i="39"/>
  <c r="M329" i="39"/>
  <c r="M328" i="39"/>
  <c r="M327" i="39"/>
  <c r="M326" i="39"/>
  <c r="A326" i="39" a="1"/>
  <c r="A329" i="39"/>
  <c r="M324" i="39"/>
  <c r="M323" i="39"/>
  <c r="M322" i="39"/>
  <c r="M321" i="39"/>
  <c r="M320" i="39"/>
  <c r="M319" i="39"/>
  <c r="M318" i="39"/>
  <c r="M317" i="39"/>
  <c r="A317" i="39" a="1"/>
  <c r="M315" i="39"/>
  <c r="M314" i="39"/>
  <c r="M313" i="39"/>
  <c r="M312" i="39"/>
  <c r="M311" i="39"/>
  <c r="M310" i="39"/>
  <c r="M309" i="39"/>
  <c r="M308" i="39"/>
  <c r="A308" i="39" a="1"/>
  <c r="M306" i="39"/>
  <c r="M305" i="39"/>
  <c r="M304" i="39"/>
  <c r="M303" i="39"/>
  <c r="M302" i="39"/>
  <c r="M301" i="39"/>
  <c r="M300" i="39"/>
  <c r="M299" i="39"/>
  <c r="A299" i="39" a="1"/>
  <c r="A302" i="39"/>
  <c r="M297" i="39"/>
  <c r="M296" i="39"/>
  <c r="M295" i="39"/>
  <c r="M294" i="39"/>
  <c r="M293" i="39"/>
  <c r="M292" i="39"/>
  <c r="M291" i="39"/>
  <c r="M290" i="39"/>
  <c r="A290" i="39" a="1"/>
  <c r="M288" i="39"/>
  <c r="M287" i="39"/>
  <c r="M286" i="39"/>
  <c r="M285" i="39"/>
  <c r="M284" i="39"/>
  <c r="M283" i="39"/>
  <c r="M282" i="39"/>
  <c r="M281" i="39"/>
  <c r="A281" i="39" a="1"/>
  <c r="A288" i="39"/>
  <c r="M279" i="39"/>
  <c r="M278" i="39"/>
  <c r="M277" i="39"/>
  <c r="M276" i="39"/>
  <c r="M275" i="39"/>
  <c r="M274" i="39"/>
  <c r="M273" i="39"/>
  <c r="M272" i="39"/>
  <c r="A272" i="39" a="1"/>
  <c r="M270" i="39"/>
  <c r="M269" i="39"/>
  <c r="M268" i="39"/>
  <c r="M267" i="39"/>
  <c r="M266" i="39"/>
  <c r="M265" i="39"/>
  <c r="M264" i="39"/>
  <c r="M263" i="39"/>
  <c r="A263" i="39" a="1"/>
  <c r="A263" i="39"/>
  <c r="M261" i="39"/>
  <c r="M260" i="39"/>
  <c r="M259" i="39"/>
  <c r="M258" i="39"/>
  <c r="M257" i="39"/>
  <c r="M256" i="39"/>
  <c r="M255" i="39"/>
  <c r="M254" i="39"/>
  <c r="A254" i="39" a="1"/>
  <c r="A258" i="39"/>
  <c r="M252" i="39"/>
  <c r="M251" i="39"/>
  <c r="M250" i="39"/>
  <c r="M249" i="39"/>
  <c r="M248" i="39"/>
  <c r="M247" i="39"/>
  <c r="M246" i="39"/>
  <c r="M245" i="39"/>
  <c r="A245" i="39" a="1"/>
  <c r="M243" i="39"/>
  <c r="A243" i="39"/>
  <c r="M242" i="39"/>
  <c r="M241" i="39"/>
  <c r="M240" i="39"/>
  <c r="A238" i="39"/>
  <c r="A224" i="39" a="1"/>
  <c r="A231" i="39"/>
  <c r="A215" i="39" a="1"/>
  <c r="A206" i="39" a="1"/>
  <c r="A212" i="39"/>
  <c r="A197" i="39" a="1"/>
  <c r="A198" i="39"/>
  <c r="M195" i="39"/>
  <c r="M194" i="39"/>
  <c r="M193" i="39"/>
  <c r="M192" i="39"/>
  <c r="M191" i="39"/>
  <c r="M190" i="39"/>
  <c r="M189" i="39"/>
  <c r="M188" i="39"/>
  <c r="M187" i="39"/>
  <c r="A187" i="39" a="1"/>
  <c r="M185" i="39"/>
  <c r="M184" i="39"/>
  <c r="M183" i="39"/>
  <c r="M182" i="39"/>
  <c r="M181" i="39"/>
  <c r="M180" i="39"/>
  <c r="M179" i="39"/>
  <c r="M178" i="39"/>
  <c r="M177" i="39"/>
  <c r="A177" i="39" a="1"/>
  <c r="A177" i="39"/>
  <c r="M175" i="39"/>
  <c r="M174" i="39"/>
  <c r="M173" i="39"/>
  <c r="M172" i="39"/>
  <c r="M171" i="39"/>
  <c r="M170" i="39"/>
  <c r="M169" i="39"/>
  <c r="M168" i="39"/>
  <c r="M167" i="39"/>
  <c r="A167" i="39" a="1"/>
  <c r="M165" i="39"/>
  <c r="M164" i="39"/>
  <c r="M163" i="39"/>
  <c r="M162" i="39"/>
  <c r="M161" i="39"/>
  <c r="M160" i="39"/>
  <c r="M159" i="39"/>
  <c r="M158" i="39"/>
  <c r="M157" i="39"/>
  <c r="A157" i="39" a="1"/>
  <c r="A160" i="39"/>
  <c r="M155" i="39"/>
  <c r="M154" i="39"/>
  <c r="M153" i="39"/>
  <c r="M152" i="39"/>
  <c r="M151" i="39"/>
  <c r="M150" i="39"/>
  <c r="M149" i="39"/>
  <c r="M148" i="39"/>
  <c r="A148" i="39" a="1"/>
  <c r="A150" i="39"/>
  <c r="M146" i="39"/>
  <c r="M145" i="39"/>
  <c r="M144" i="39"/>
  <c r="M143" i="39"/>
  <c r="M142" i="39"/>
  <c r="M141" i="39"/>
  <c r="M140" i="39"/>
  <c r="M139" i="39"/>
  <c r="A139" i="39" a="1"/>
  <c r="M137" i="39"/>
  <c r="M136" i="39"/>
  <c r="M135" i="39"/>
  <c r="M134" i="39"/>
  <c r="M133" i="39"/>
  <c r="M132" i="39"/>
  <c r="M131" i="39"/>
  <c r="M130" i="39"/>
  <c r="A130" i="39" a="1"/>
  <c r="A130" i="39"/>
  <c r="M128" i="39"/>
  <c r="M127" i="39"/>
  <c r="M126" i="39"/>
  <c r="M125" i="39"/>
  <c r="M124" i="39"/>
  <c r="M123" i="39"/>
  <c r="M122" i="39"/>
  <c r="M121" i="39"/>
  <c r="A121" i="39" a="1"/>
  <c r="A125" i="39"/>
  <c r="M119" i="39"/>
  <c r="M118" i="39"/>
  <c r="M117" i="39"/>
  <c r="M116" i="39"/>
  <c r="M115" i="39"/>
  <c r="M114" i="39"/>
  <c r="M113" i="39"/>
  <c r="M112" i="39"/>
  <c r="A112" i="39" a="1"/>
  <c r="A119" i="39"/>
  <c r="M110" i="39"/>
  <c r="M109" i="39"/>
  <c r="M108" i="39"/>
  <c r="M107" i="39"/>
  <c r="M106" i="39"/>
  <c r="M105" i="39"/>
  <c r="M104" i="39"/>
  <c r="M103" i="39"/>
  <c r="A103" i="39" a="1"/>
  <c r="M101" i="39"/>
  <c r="M100" i="39"/>
  <c r="M99" i="39"/>
  <c r="M98" i="39"/>
  <c r="M97" i="39"/>
  <c r="M96" i="39"/>
  <c r="M95" i="39"/>
  <c r="M94" i="39"/>
  <c r="A94" i="39" a="1"/>
  <c r="A100" i="39"/>
  <c r="M92" i="39"/>
  <c r="M91" i="39"/>
  <c r="M90" i="39"/>
  <c r="M89" i="39"/>
  <c r="M88" i="39"/>
  <c r="M87" i="39"/>
  <c r="M86" i="39"/>
  <c r="M85" i="39"/>
  <c r="A85" i="39" a="1"/>
  <c r="A88" i="39"/>
  <c r="M83" i="39"/>
  <c r="M82" i="39"/>
  <c r="M81" i="39"/>
  <c r="M80" i="39"/>
  <c r="M79" i="39"/>
  <c r="M78" i="39"/>
  <c r="M77" i="39"/>
  <c r="M76" i="39"/>
  <c r="A76" i="39" a="1"/>
  <c r="M74" i="39"/>
  <c r="M73" i="39"/>
  <c r="M72" i="39"/>
  <c r="M71" i="39"/>
  <c r="M70" i="39"/>
  <c r="M69" i="39"/>
  <c r="M68" i="39"/>
  <c r="M67" i="39"/>
  <c r="A67" i="39" a="1"/>
  <c r="A68" i="39"/>
  <c r="M65" i="39"/>
  <c r="M64" i="39"/>
  <c r="M63" i="39"/>
  <c r="M62" i="39"/>
  <c r="M61" i="39"/>
  <c r="M60" i="39"/>
  <c r="M59" i="39"/>
  <c r="M58" i="39"/>
  <c r="A58" i="39" a="1"/>
  <c r="M56" i="39"/>
  <c r="M55" i="39"/>
  <c r="M54" i="39"/>
  <c r="M53" i="39"/>
  <c r="M52" i="39"/>
  <c r="M51" i="39"/>
  <c r="M50" i="39"/>
  <c r="M49" i="39"/>
  <c r="A49" i="39" a="1"/>
  <c r="A56" i="39"/>
  <c r="B41" i="39" a="1"/>
  <c r="C41" i="39"/>
  <c r="A31" i="39" a="1"/>
  <c r="A32" i="39"/>
  <c r="E29" i="39"/>
  <c r="E26" i="39"/>
  <c r="D26" i="39"/>
  <c r="C26" i="39"/>
  <c r="B26" i="39"/>
  <c r="A18" i="39" a="1"/>
  <c r="A24" i="39"/>
  <c r="E16" i="39"/>
  <c r="E13" i="39"/>
  <c r="D13" i="39"/>
  <c r="C13" i="39"/>
  <c r="B13" i="39"/>
  <c r="A5" i="39" a="1"/>
  <c r="A6" i="39"/>
  <c r="E3" i="39"/>
  <c r="A2" i="39"/>
  <c r="A1" i="39"/>
  <c r="A170" i="37" a="1"/>
  <c r="A160" i="37" a="1"/>
  <c r="A150" i="37" a="1"/>
  <c r="A152" i="37"/>
  <c r="A141" i="37" a="1"/>
  <c r="A142" i="37"/>
  <c r="A122" i="37" a="1"/>
  <c r="A123" i="37"/>
  <c r="A112" i="37" a="1"/>
  <c r="A110" i="37"/>
  <c r="A102" i="37" a="1"/>
  <c r="A106" i="37"/>
  <c r="A100" i="37"/>
  <c r="A92" i="37" a="1"/>
  <c r="A90" i="37"/>
  <c r="A82" i="37" a="1"/>
  <c r="A80" i="37"/>
  <c r="A72" i="37" a="1"/>
  <c r="A70" i="37"/>
  <c r="A62" i="37" a="1"/>
  <c r="A60" i="37"/>
  <c r="A52" i="37" a="1"/>
  <c r="A42" i="37" a="1"/>
  <c r="A32" i="37" a="1"/>
  <c r="A22" i="37" a="1"/>
  <c r="A25" i="37"/>
  <c r="B15" i="37" a="1"/>
  <c r="G13" i="37"/>
  <c r="F13" i="37"/>
  <c r="E13" i="37"/>
  <c r="D13" i="37"/>
  <c r="C13" i="37"/>
  <c r="B13" i="37"/>
  <c r="A5" i="37" a="1"/>
  <c r="G2" i="37"/>
  <c r="F2" i="37"/>
  <c r="E2" i="37"/>
  <c r="D2" i="37"/>
  <c r="A1" i="37"/>
  <c r="A170" i="35" a="1"/>
  <c r="A176" i="35"/>
  <c r="A160" i="35" a="1"/>
  <c r="A150" i="35" a="1"/>
  <c r="A152" i="35"/>
  <c r="A141" i="35" a="1"/>
  <c r="A122" i="35" a="1"/>
  <c r="A112" i="35" a="1"/>
  <c r="A110" i="35"/>
  <c r="A102" i="35" a="1"/>
  <c r="A100" i="35"/>
  <c r="A92" i="35" a="1"/>
  <c r="A90" i="35"/>
  <c r="A82" i="35" a="1"/>
  <c r="A80" i="35"/>
  <c r="A72" i="35" a="1"/>
  <c r="A70" i="35"/>
  <c r="A62" i="35" a="1"/>
  <c r="A62" i="35"/>
  <c r="A60" i="35"/>
  <c r="A52" i="35" a="1"/>
  <c r="A42" i="35" a="1"/>
  <c r="A49" i="35"/>
  <c r="A32" i="35" a="1"/>
  <c r="A36" i="35"/>
  <c r="A22" i="35" a="1"/>
  <c r="A26" i="35"/>
  <c r="B15" i="35" a="1"/>
  <c r="J15" i="35"/>
  <c r="G13" i="35"/>
  <c r="F13" i="35"/>
  <c r="E13" i="35"/>
  <c r="D13" i="35"/>
  <c r="C13" i="35"/>
  <c r="B13" i="35"/>
  <c r="A5" i="35" a="1"/>
  <c r="G2" i="35"/>
  <c r="F2" i="35"/>
  <c r="E2" i="35"/>
  <c r="D2" i="35"/>
  <c r="A1" i="35"/>
  <c r="A650" i="8" a="1"/>
  <c r="A641" i="8" a="1"/>
  <c r="A646" i="8"/>
  <c r="A687" i="8" a="1"/>
  <c r="A677" i="8" a="1"/>
  <c r="A668" i="8" a="1"/>
  <c r="A675" i="8"/>
  <c r="A659" i="8" a="1"/>
  <c r="A663" i="8"/>
  <c r="B3" i="9" a="1"/>
  <c r="K3" i="9"/>
  <c r="A1" i="9"/>
  <c r="A170" i="7" a="1"/>
  <c r="A174" i="7"/>
  <c r="A160" i="7" a="1"/>
  <c r="A165" i="7"/>
  <c r="A150" i="7" a="1"/>
  <c r="A154" i="7"/>
  <c r="A122" i="7" a="1"/>
  <c r="A141" i="7" a="1"/>
  <c r="A112" i="7" a="1"/>
  <c r="A110" i="7"/>
  <c r="A102" i="7" a="1"/>
  <c r="A80" i="7"/>
  <c r="A72" i="7" a="1"/>
  <c r="A76" i="7"/>
  <c r="A42" i="7" a="1"/>
  <c r="A100" i="7"/>
  <c r="A92" i="7" a="1"/>
  <c r="A99" i="7"/>
  <c r="A90" i="7"/>
  <c r="A82" i="7" a="1"/>
  <c r="A70" i="7"/>
  <c r="A62" i="7" a="1"/>
  <c r="A60" i="7"/>
  <c r="A52" i="7" a="1"/>
  <c r="A32" i="7" a="1"/>
  <c r="A22" i="7" a="1"/>
  <c r="B15" i="7" a="1"/>
  <c r="A5" i="7" a="1"/>
  <c r="G2" i="7"/>
  <c r="F2" i="7"/>
  <c r="E2" i="7"/>
  <c r="D2" i="7"/>
  <c r="B116" i="2"/>
  <c r="B115" i="2"/>
  <c r="A1" i="8"/>
  <c r="A1" i="7"/>
  <c r="A1" i="34"/>
  <c r="A1" i="30"/>
  <c r="A1" i="6"/>
  <c r="A697" i="8" a="1"/>
  <c r="A632" i="8" a="1"/>
  <c r="A637" i="8"/>
  <c r="A623" i="8" a="1"/>
  <c r="A614" i="8" a="1"/>
  <c r="A614" i="8"/>
  <c r="A605" i="8" a="1"/>
  <c r="A596" i="8" a="1"/>
  <c r="A598" i="8"/>
  <c r="A587" i="8" a="1"/>
  <c r="A578" i="8" a="1"/>
  <c r="A569" i="8" a="1"/>
  <c r="A570" i="8"/>
  <c r="A560" i="8" a="1"/>
  <c r="A561" i="8"/>
  <c r="A551" i="8" a="1"/>
  <c r="A554" i="8"/>
  <c r="A542" i="8" a="1"/>
  <c r="A548" i="8"/>
  <c r="A533" i="8" a="1"/>
  <c r="A524" i="8" a="1"/>
  <c r="A515" i="8" a="1"/>
  <c r="A519" i="8"/>
  <c r="A506" i="8" a="1"/>
  <c r="A497" i="8" a="1"/>
  <c r="A501" i="8"/>
  <c r="M495" i="8"/>
  <c r="M494" i="8"/>
  <c r="M493" i="8"/>
  <c r="M492" i="8"/>
  <c r="M491" i="8"/>
  <c r="M490" i="8"/>
  <c r="M489" i="8"/>
  <c r="M488" i="8"/>
  <c r="A488" i="8" a="1"/>
  <c r="A490" i="8"/>
  <c r="M486" i="8"/>
  <c r="M485" i="8"/>
  <c r="M484" i="8"/>
  <c r="M483" i="8"/>
  <c r="M482" i="8"/>
  <c r="M481" i="8"/>
  <c r="M480" i="8"/>
  <c r="M479" i="8"/>
  <c r="A479" i="8" a="1"/>
  <c r="M477" i="8"/>
  <c r="M476" i="8"/>
  <c r="M475" i="8"/>
  <c r="M474" i="8"/>
  <c r="M473" i="8"/>
  <c r="M472" i="8"/>
  <c r="M471" i="8"/>
  <c r="M470" i="8"/>
  <c r="A470" i="8" a="1"/>
  <c r="M468" i="8"/>
  <c r="M467" i="8"/>
  <c r="M466" i="8"/>
  <c r="M465" i="8"/>
  <c r="M464" i="8"/>
  <c r="M463" i="8"/>
  <c r="M462" i="8"/>
  <c r="M461" i="8"/>
  <c r="A461" i="8" a="1"/>
  <c r="A465" i="8"/>
  <c r="A452" i="8" a="1"/>
  <c r="A443" i="8" a="1"/>
  <c r="A444" i="8"/>
  <c r="A434" i="8" a="1"/>
  <c r="A425" i="8" a="1"/>
  <c r="M423" i="8"/>
  <c r="M422" i="8"/>
  <c r="M421" i="8"/>
  <c r="M420" i="8"/>
  <c r="M419" i="8"/>
  <c r="M418" i="8"/>
  <c r="M417" i="8"/>
  <c r="M416" i="8"/>
  <c r="M414" i="8"/>
  <c r="M413" i="8"/>
  <c r="M412" i="8"/>
  <c r="M411" i="8"/>
  <c r="M410" i="8"/>
  <c r="M409" i="8"/>
  <c r="M408" i="8"/>
  <c r="M407" i="8"/>
  <c r="M405" i="8"/>
  <c r="M404" i="8"/>
  <c r="M403" i="8"/>
  <c r="M402" i="8"/>
  <c r="M401" i="8"/>
  <c r="M400" i="8"/>
  <c r="M399" i="8"/>
  <c r="M398" i="8"/>
  <c r="M396" i="8"/>
  <c r="M395" i="8"/>
  <c r="M394" i="8"/>
  <c r="M393" i="8"/>
  <c r="M392" i="8"/>
  <c r="M391" i="8"/>
  <c r="M390" i="8"/>
  <c r="M389" i="8"/>
  <c r="A416" i="8" a="1"/>
  <c r="A407" i="8" a="1"/>
  <c r="A398" i="8" a="1"/>
  <c r="A389" i="8" a="1"/>
  <c r="A391" i="8"/>
  <c r="A362" i="8" a="1"/>
  <c r="A380" i="8" a="1"/>
  <c r="A371" i="8" a="1"/>
  <c r="A353" i="8" a="1"/>
  <c r="M243" i="8"/>
  <c r="M242" i="8"/>
  <c r="M241" i="8"/>
  <c r="M240" i="8"/>
  <c r="A243" i="8"/>
  <c r="M351" i="8"/>
  <c r="M350" i="8"/>
  <c r="M349" i="8"/>
  <c r="M348" i="8"/>
  <c r="M347" i="8"/>
  <c r="M346" i="8"/>
  <c r="M345" i="8"/>
  <c r="M344" i="8"/>
  <c r="A344" i="8" a="1"/>
  <c r="M342" i="8"/>
  <c r="M341" i="8"/>
  <c r="M340" i="8"/>
  <c r="M339" i="8"/>
  <c r="M338" i="8"/>
  <c r="M337" i="8"/>
  <c r="M336" i="8"/>
  <c r="M335" i="8"/>
  <c r="A335" i="8" a="1"/>
  <c r="M333" i="8"/>
  <c r="M332" i="8"/>
  <c r="M331" i="8"/>
  <c r="M330" i="8"/>
  <c r="M329" i="8"/>
  <c r="M328" i="8"/>
  <c r="M327" i="8"/>
  <c r="M326" i="8"/>
  <c r="A326" i="8" a="1"/>
  <c r="M324" i="8"/>
  <c r="M323" i="8"/>
  <c r="M322" i="8"/>
  <c r="M321" i="8"/>
  <c r="M320" i="8"/>
  <c r="M319" i="8"/>
  <c r="M318" i="8"/>
  <c r="M317" i="8"/>
  <c r="A317" i="8" a="1"/>
  <c r="A238" i="8"/>
  <c r="B167" i="2" a="1"/>
  <c r="M315" i="8"/>
  <c r="M314" i="8"/>
  <c r="M313" i="8"/>
  <c r="M312" i="8"/>
  <c r="M311" i="8"/>
  <c r="M310" i="8"/>
  <c r="M309" i="8"/>
  <c r="M308" i="8"/>
  <c r="M306" i="8"/>
  <c r="M305" i="8"/>
  <c r="M304" i="8"/>
  <c r="M303" i="8"/>
  <c r="M302" i="8"/>
  <c r="M301" i="8"/>
  <c r="M300" i="8"/>
  <c r="M299" i="8"/>
  <c r="M297" i="8"/>
  <c r="M296" i="8"/>
  <c r="M295" i="8"/>
  <c r="M294" i="8"/>
  <c r="M293" i="8"/>
  <c r="M292" i="8"/>
  <c r="M291" i="8"/>
  <c r="M290" i="8"/>
  <c r="M288" i="8"/>
  <c r="M287" i="8"/>
  <c r="M286" i="8"/>
  <c r="M285" i="8"/>
  <c r="M284" i="8"/>
  <c r="M283" i="8"/>
  <c r="M282" i="8"/>
  <c r="M281" i="8"/>
  <c r="A308" i="8" a="1"/>
  <c r="A299" i="8" a="1"/>
  <c r="A290" i="8" a="1"/>
  <c r="A292" i="8"/>
  <c r="A281" i="8" a="1"/>
  <c r="A283" i="8"/>
  <c r="M279" i="8"/>
  <c r="M278" i="8"/>
  <c r="M277" i="8"/>
  <c r="M276" i="8"/>
  <c r="M275" i="8"/>
  <c r="M274" i="8"/>
  <c r="M273" i="8"/>
  <c r="M272" i="8"/>
  <c r="A272" i="8" a="1"/>
  <c r="A273" i="8"/>
  <c r="A276" i="8"/>
  <c r="M270" i="8"/>
  <c r="M269" i="8"/>
  <c r="M268" i="8"/>
  <c r="M267" i="8"/>
  <c r="M266" i="8"/>
  <c r="M265" i="8"/>
  <c r="M264" i="8"/>
  <c r="M263" i="8"/>
  <c r="A263" i="8" a="1"/>
  <c r="M261" i="8"/>
  <c r="M260" i="8"/>
  <c r="M259" i="8"/>
  <c r="M258" i="8"/>
  <c r="M257" i="8"/>
  <c r="M256" i="8"/>
  <c r="M255" i="8"/>
  <c r="M254" i="8"/>
  <c r="A254" i="8" a="1"/>
  <c r="M252" i="8"/>
  <c r="M251" i="8"/>
  <c r="M250" i="8"/>
  <c r="M249" i="8"/>
  <c r="M248" i="8"/>
  <c r="M247" i="8"/>
  <c r="M246" i="8"/>
  <c r="M245" i="8"/>
  <c r="A245" i="8" a="1"/>
  <c r="A224" i="8" a="1"/>
  <c r="A226" i="8"/>
  <c r="A215" i="8" a="1"/>
  <c r="A206" i="8" a="1"/>
  <c r="A209" i="8"/>
  <c r="A197" i="8" a="1"/>
  <c r="A199" i="8"/>
  <c r="M195" i="8"/>
  <c r="M185" i="8"/>
  <c r="M175" i="8"/>
  <c r="M165" i="8"/>
  <c r="B187" i="8" a="1"/>
  <c r="B177" i="8" a="1"/>
  <c r="B180" i="8"/>
  <c r="B167" i="8" a="1"/>
  <c r="B171" i="8"/>
  <c r="B157" i="8" a="1"/>
  <c r="M194" i="8"/>
  <c r="M193" i="8"/>
  <c r="M192" i="8"/>
  <c r="M191" i="8"/>
  <c r="M190" i="8"/>
  <c r="M189" i="8"/>
  <c r="M188" i="8"/>
  <c r="M187" i="8"/>
  <c r="A187" i="8" a="1"/>
  <c r="A194" i="8"/>
  <c r="M184" i="8"/>
  <c r="M183" i="8"/>
  <c r="M182" i="8"/>
  <c r="M181" i="8"/>
  <c r="M180" i="8"/>
  <c r="M179" i="8"/>
  <c r="M178" i="8"/>
  <c r="M177" i="8"/>
  <c r="A177" i="8" a="1"/>
  <c r="M174" i="8"/>
  <c r="M173" i="8"/>
  <c r="M172" i="8"/>
  <c r="M171" i="8"/>
  <c r="M170" i="8"/>
  <c r="M169" i="8"/>
  <c r="M168" i="8"/>
  <c r="M167" i="8"/>
  <c r="A167" i="8" a="1"/>
  <c r="A173" i="8"/>
  <c r="M164" i="8"/>
  <c r="M163" i="8"/>
  <c r="M162" i="8"/>
  <c r="M161" i="8"/>
  <c r="M160" i="8"/>
  <c r="M159" i="8"/>
  <c r="M158" i="8"/>
  <c r="M157" i="8"/>
  <c r="A157" i="8" a="1"/>
  <c r="M155" i="8"/>
  <c r="M154" i="8"/>
  <c r="M153" i="8"/>
  <c r="M152" i="8"/>
  <c r="M151" i="8"/>
  <c r="M150" i="8"/>
  <c r="M149" i="8"/>
  <c r="M148" i="8"/>
  <c r="M146" i="8"/>
  <c r="M145" i="8"/>
  <c r="M144" i="8"/>
  <c r="M143" i="8"/>
  <c r="M142" i="8"/>
  <c r="M141" i="8"/>
  <c r="M140" i="8"/>
  <c r="M139" i="8"/>
  <c r="M137" i="8"/>
  <c r="M136" i="8"/>
  <c r="M135" i="8"/>
  <c r="M134" i="8"/>
  <c r="M133" i="8"/>
  <c r="M132" i="8"/>
  <c r="M131" i="8"/>
  <c r="M130" i="8"/>
  <c r="M128" i="8"/>
  <c r="M127" i="8"/>
  <c r="M126" i="8"/>
  <c r="M125" i="8"/>
  <c r="M124" i="8"/>
  <c r="M123" i="8"/>
  <c r="M122" i="8"/>
  <c r="M121" i="8"/>
  <c r="A148" i="8" a="1"/>
  <c r="A152" i="8"/>
  <c r="A139" i="8" a="1"/>
  <c r="A130" i="8" a="1"/>
  <c r="A135" i="8"/>
  <c r="A121" i="8" a="1"/>
  <c r="A31" i="8" a="1"/>
  <c r="A32" i="8"/>
  <c r="E29" i="8"/>
  <c r="A2" i="8"/>
  <c r="E16" i="8"/>
  <c r="E3" i="8"/>
  <c r="A18" i="8" a="1"/>
  <c r="A5" i="8" a="1"/>
  <c r="E26" i="8"/>
  <c r="D26" i="8"/>
  <c r="C26" i="8"/>
  <c r="B26" i="8"/>
  <c r="B175" i="2" a="1"/>
  <c r="B159" i="2" a="1"/>
  <c r="B151" i="2"/>
  <c r="G157" i="2"/>
  <c r="G150" i="2"/>
  <c r="G143" i="2"/>
  <c r="G136" i="2"/>
  <c r="I35" i="1"/>
  <c r="H35" i="1"/>
  <c r="A112" i="8" a="1"/>
  <c r="M119" i="8"/>
  <c r="M118" i="8"/>
  <c r="M117" i="8"/>
  <c r="M116" i="8"/>
  <c r="M115" i="8"/>
  <c r="M114" i="8"/>
  <c r="M113" i="8"/>
  <c r="M112" i="8"/>
  <c r="A103" i="8" a="1"/>
  <c r="A94" i="8" a="1"/>
  <c r="A85" i="8" a="1"/>
  <c r="A91" i="8"/>
  <c r="A76" i="8" a="1"/>
  <c r="M83" i="8"/>
  <c r="M82" i="8"/>
  <c r="M81" i="8"/>
  <c r="M80" i="8"/>
  <c r="M79" i="8"/>
  <c r="M78" i="8"/>
  <c r="M77" i="8"/>
  <c r="M76" i="8"/>
  <c r="A67" i="8" a="1"/>
  <c r="A69" i="8"/>
  <c r="A58" i="8" a="1"/>
  <c r="A49" i="8" a="1"/>
  <c r="D13" i="8"/>
  <c r="B46" i="8" a="1"/>
  <c r="B41" i="8" a="1"/>
  <c r="D41" i="8"/>
  <c r="B127" i="34"/>
  <c r="A429" i="34" a="1"/>
  <c r="A419" i="34" a="1"/>
  <c r="A400" i="34" a="1"/>
  <c r="A391" i="34" a="1"/>
  <c r="A391" i="34"/>
  <c r="A382" i="34" a="1"/>
  <c r="A373" i="34" a="1"/>
  <c r="A380" i="34"/>
  <c r="A364" i="34" a="1"/>
  <c r="A364" i="34"/>
  <c r="A355" i="34" a="1"/>
  <c r="A346" i="34" a="1"/>
  <c r="A337" i="34" a="1"/>
  <c r="A339" i="34"/>
  <c r="A328" i="34" a="1"/>
  <c r="A319" i="34" a="1"/>
  <c r="A310" i="34" a="1"/>
  <c r="A312" i="34"/>
  <c r="A301" i="34" a="1"/>
  <c r="A306" i="34"/>
  <c r="A292" i="34" a="1"/>
  <c r="A283" i="34" a="1"/>
  <c r="A283" i="34"/>
  <c r="A274" i="34" a="1"/>
  <c r="A265" i="34" a="1"/>
  <c r="A247" i="34" a="1"/>
  <c r="A247" i="34"/>
  <c r="A238" i="34" a="1"/>
  <c r="A220" i="34" a="1"/>
  <c r="A193" i="34" a="1"/>
  <c r="A184" i="34" a="1"/>
  <c r="A175" i="34" a="1"/>
  <c r="A166" i="34" a="1"/>
  <c r="A157" i="34" a="1"/>
  <c r="A148" i="34" a="1"/>
  <c r="A153" i="34"/>
  <c r="A79" i="34" a="1"/>
  <c r="A70" i="34" a="1"/>
  <c r="A61" i="34" a="1"/>
  <c r="A62" i="34"/>
  <c r="A52" i="34" a="1"/>
  <c r="A55" i="34"/>
  <c r="A43" i="34" a="1"/>
  <c r="A34" i="34" a="1"/>
  <c r="C26" i="34" a="1"/>
  <c r="D26" i="34"/>
  <c r="B26" i="34"/>
  <c r="M106" i="32"/>
  <c r="A106" i="32"/>
  <c r="M105" i="32"/>
  <c r="M104" i="32"/>
  <c r="M103" i="32"/>
  <c r="M102" i="32"/>
  <c r="M101" i="32"/>
  <c r="M100" i="32"/>
  <c r="M99" i="32"/>
  <c r="M98" i="32"/>
  <c r="A98" i="32" a="1"/>
  <c r="M75" i="32"/>
  <c r="A75" i="32"/>
  <c r="M74" i="32"/>
  <c r="M73" i="32"/>
  <c r="M72" i="32"/>
  <c r="M71" i="32"/>
  <c r="M70" i="32"/>
  <c r="M69" i="32"/>
  <c r="M68" i="32"/>
  <c r="M67" i="32"/>
  <c r="A67" i="32" a="1"/>
  <c r="M44" i="32"/>
  <c r="A44" i="32"/>
  <c r="M43" i="32"/>
  <c r="M42" i="32"/>
  <c r="M41" i="32"/>
  <c r="M40" i="32"/>
  <c r="M39" i="32"/>
  <c r="M38" i="32"/>
  <c r="M37" i="32"/>
  <c r="M36" i="32"/>
  <c r="A36" i="32" a="1"/>
  <c r="M14" i="32"/>
  <c r="A14" i="32"/>
  <c r="M12" i="32"/>
  <c r="M11" i="32"/>
  <c r="M10" i="32"/>
  <c r="M9" i="32"/>
  <c r="M8" i="32"/>
  <c r="M7" i="32"/>
  <c r="M6" i="32"/>
  <c r="M5" i="32"/>
  <c r="A5" i="32" a="1"/>
  <c r="C4" i="32" a="1"/>
  <c r="B4" i="32"/>
  <c r="A1" i="32"/>
  <c r="A82" i="31" a="1"/>
  <c r="A69" i="31" a="1"/>
  <c r="A75" i="31"/>
  <c r="A56" i="31" a="1"/>
  <c r="A58" i="31"/>
  <c r="A41" i="31" a="1"/>
  <c r="A32" i="31" a="1"/>
  <c r="A23" i="31" a="1"/>
  <c r="A25" i="31"/>
  <c r="A14" i="31" a="1"/>
  <c r="A14" i="31"/>
  <c r="A5" i="31" a="1"/>
  <c r="A6" i="31"/>
  <c r="B4" i="31" a="1"/>
  <c r="A1" i="31"/>
  <c r="A429" i="30" a="1"/>
  <c r="A419" i="30" a="1"/>
  <c r="A400" i="30" a="1"/>
  <c r="A404" i="30"/>
  <c r="A391" i="30" a="1"/>
  <c r="A382" i="30" a="1"/>
  <c r="A373" i="30" a="1"/>
  <c r="A374" i="30"/>
  <c r="A364" i="30" a="1"/>
  <c r="A355" i="30" a="1"/>
  <c r="A356" i="30"/>
  <c r="A346" i="30" a="1"/>
  <c r="A337" i="30" a="1"/>
  <c r="A344" i="30"/>
  <c r="A328" i="30" a="1"/>
  <c r="A332" i="30"/>
  <c r="A319" i="30" a="1"/>
  <c r="A325" i="30"/>
  <c r="A310" i="30" a="1"/>
  <c r="A315" i="30"/>
  <c r="A301" i="30" a="1"/>
  <c r="A292" i="30" a="1"/>
  <c r="A294" i="30"/>
  <c r="A283" i="30" a="1"/>
  <c r="A274" i="30" a="1"/>
  <c r="A276" i="30"/>
  <c r="A265" i="30" a="1"/>
  <c r="A267" i="30"/>
  <c r="A268" i="30"/>
  <c r="A247" i="30" a="1"/>
  <c r="A252" i="30"/>
  <c r="A238" i="30" a="1"/>
  <c r="A220" i="30" a="1"/>
  <c r="A193" i="30" a="1"/>
  <c r="A184" i="30" a="1"/>
  <c r="A188" i="30"/>
  <c r="A175" i="30" a="1"/>
  <c r="A175" i="30"/>
  <c r="A166" i="30" a="1"/>
  <c r="A172" i="30"/>
  <c r="A157" i="30" a="1"/>
  <c r="A148" i="30" a="1"/>
  <c r="A79" i="30" a="1"/>
  <c r="A70" i="30" a="1"/>
  <c r="A61" i="30" a="1"/>
  <c r="A52" i="30" a="1"/>
  <c r="A43" i="30" a="1"/>
  <c r="A34" i="30" a="1"/>
  <c r="A35" i="30"/>
  <c r="D29" i="30" a="1"/>
  <c r="C29" i="30"/>
  <c r="L28" i="30"/>
  <c r="C28" i="30" a="1"/>
  <c r="G28" i="30"/>
  <c r="C26" i="30" a="1"/>
  <c r="B26" i="30"/>
  <c r="N158" i="29"/>
  <c r="N157" i="29"/>
  <c r="N156" i="29"/>
  <c r="N155" i="29"/>
  <c r="N154" i="29"/>
  <c r="N153" i="29"/>
  <c r="N152" i="29"/>
  <c r="N151" i="29"/>
  <c r="N149" i="29"/>
  <c r="N148" i="29"/>
  <c r="N147" i="29"/>
  <c r="N146" i="29"/>
  <c r="N145" i="29"/>
  <c r="N144" i="29"/>
  <c r="N143" i="29"/>
  <c r="N142" i="29"/>
  <c r="B142" i="29" a="1"/>
  <c r="N140" i="29"/>
  <c r="N139" i="29"/>
  <c r="N138" i="29"/>
  <c r="N137" i="29"/>
  <c r="N136" i="29"/>
  <c r="N135" i="29"/>
  <c r="N134" i="29"/>
  <c r="N133" i="29"/>
  <c r="B133" i="29" a="1"/>
  <c r="N131" i="29"/>
  <c r="N129" i="29"/>
  <c r="A129" i="29"/>
  <c r="A128" i="29"/>
  <c r="A127" i="29"/>
  <c r="A126" i="29"/>
  <c r="A125" i="29"/>
  <c r="A124" i="29"/>
  <c r="A123" i="29"/>
  <c r="A122" i="29"/>
  <c r="A121" i="29"/>
  <c r="N115" i="29"/>
  <c r="N105" i="29"/>
  <c r="N92" i="29"/>
  <c r="N91" i="29"/>
  <c r="N88" i="29"/>
  <c r="N87" i="29"/>
  <c r="E35" i="29" a="1"/>
  <c r="D34" i="29" a="1"/>
  <c r="C34" i="29"/>
  <c r="B8" i="29"/>
  <c r="B7" i="29"/>
  <c r="A1" i="29"/>
  <c r="M106" i="28"/>
  <c r="A106" i="28"/>
  <c r="M105" i="28"/>
  <c r="M104" i="28"/>
  <c r="M103" i="28"/>
  <c r="M102" i="28"/>
  <c r="M101" i="28"/>
  <c r="M100" i="28"/>
  <c r="M99" i="28"/>
  <c r="M98" i="28"/>
  <c r="A98" i="28" a="1"/>
  <c r="M75" i="28"/>
  <c r="A75" i="28"/>
  <c r="M74" i="28"/>
  <c r="M73" i="28"/>
  <c r="M72" i="28"/>
  <c r="M71" i="28"/>
  <c r="M70" i="28"/>
  <c r="M69" i="28"/>
  <c r="M68" i="28"/>
  <c r="M67" i="28"/>
  <c r="A67" i="28" a="1"/>
  <c r="M44" i="28"/>
  <c r="A44" i="28"/>
  <c r="M43" i="28"/>
  <c r="M42" i="28"/>
  <c r="M41" i="28"/>
  <c r="M40" i="28"/>
  <c r="M39" i="28"/>
  <c r="M38" i="28"/>
  <c r="M37" i="28"/>
  <c r="M36" i="28"/>
  <c r="A36" i="28" a="1"/>
  <c r="A42" i="28"/>
  <c r="M13" i="28"/>
  <c r="A14" i="28"/>
  <c r="M12" i="28"/>
  <c r="M11" i="28"/>
  <c r="M10" i="28"/>
  <c r="M9" i="28"/>
  <c r="M8" i="28"/>
  <c r="M7" i="28"/>
  <c r="M6" i="28"/>
  <c r="M5" i="28"/>
  <c r="A5" i="28" a="1"/>
  <c r="A5" i="28"/>
  <c r="C4" i="28" a="1"/>
  <c r="B4" i="28"/>
  <c r="A1" i="28"/>
  <c r="A41" i="27" a="1"/>
  <c r="A45" i="27"/>
  <c r="A32" i="27" a="1"/>
  <c r="A23" i="27" a="1"/>
  <c r="A14" i="27" a="1"/>
  <c r="A5" i="27" a="1"/>
  <c r="B4" i="27" a="1"/>
  <c r="A1" i="27"/>
  <c r="A419" i="6" a="1"/>
  <c r="A419" i="6"/>
  <c r="A429" i="6" a="1"/>
  <c r="A15" i="6" a="1"/>
  <c r="A391" i="6" a="1"/>
  <c r="A400" i="6" a="1"/>
  <c r="A402" i="6"/>
  <c r="A382" i="6" a="1"/>
  <c r="A385" i="6"/>
  <c r="A364" i="6" a="1"/>
  <c r="A373" i="6" a="1"/>
  <c r="A355" i="6" a="1"/>
  <c r="A346" i="6" a="1"/>
  <c r="A328" i="6" a="1"/>
  <c r="A337" i="6" a="1"/>
  <c r="A319" i="6" a="1"/>
  <c r="A320" i="6"/>
  <c r="A310" i="6" a="1"/>
  <c r="A301" i="6" a="1"/>
  <c r="A308" i="6"/>
  <c r="A292" i="6" a="1"/>
  <c r="A274" i="6" a="1"/>
  <c r="A278" i="6"/>
  <c r="A283" i="6" a="1"/>
  <c r="A287" i="6"/>
  <c r="A265" i="6" a="1"/>
  <c r="A247" i="6" a="1"/>
  <c r="A238" i="6" a="1"/>
  <c r="A245" i="6"/>
  <c r="A220" i="6" a="1"/>
  <c r="C79" i="6" a="1"/>
  <c r="L83" i="6"/>
  <c r="A79" i="6" a="1"/>
  <c r="A83" i="6"/>
  <c r="C70" i="6" a="1"/>
  <c r="A70" i="6" a="1"/>
  <c r="C61" i="6" a="1"/>
  <c r="E67" i="6"/>
  <c r="A61" i="6" a="1"/>
  <c r="A193" i="6" a="1"/>
  <c r="A184" i="6" a="1"/>
  <c r="A175" i="6" a="1"/>
  <c r="A166" i="6" a="1"/>
  <c r="A157" i="6" a="1"/>
  <c r="A148" i="6" a="1"/>
  <c r="B81" i="2"/>
  <c r="B73" i="2"/>
  <c r="B74" i="2"/>
  <c r="B82" i="2"/>
  <c r="B79" i="2"/>
  <c r="B71" i="2"/>
  <c r="B80" i="2"/>
  <c r="A52" i="6" a="1"/>
  <c r="C34" i="6" a="1"/>
  <c r="F37" i="6"/>
  <c r="A34" i="6" a="1"/>
  <c r="C52" i="6" a="1"/>
  <c r="C57" i="6"/>
  <c r="C43" i="6" a="1"/>
  <c r="A43" i="6" a="1"/>
  <c r="A45" i="6"/>
  <c r="B26" i="6"/>
  <c r="C26" i="6" a="1"/>
  <c r="C26" i="6"/>
  <c r="A41" i="3" a="1"/>
  <c r="A56" i="3" a="1"/>
  <c r="A82" i="3" a="1"/>
  <c r="A69" i="3" a="1"/>
  <c r="A72" i="3"/>
  <c r="B13" i="2"/>
  <c r="B15" i="2"/>
  <c r="N185" i="4"/>
  <c r="N91" i="4"/>
  <c r="A1" i="5"/>
  <c r="A1" i="4"/>
  <c r="A1" i="3"/>
  <c r="A1" i="2"/>
  <c r="N115" i="4"/>
  <c r="F6" i="4"/>
  <c r="K25" i="9"/>
  <c r="J25" i="9"/>
  <c r="I25" i="9"/>
  <c r="H25" i="9"/>
  <c r="G25" i="9"/>
  <c r="F25" i="9"/>
  <c r="E25" i="9"/>
  <c r="D25" i="9"/>
  <c r="C25" i="9"/>
  <c r="B25" i="9"/>
  <c r="K14" i="9"/>
  <c r="J14" i="9"/>
  <c r="I14" i="9"/>
  <c r="H14" i="9"/>
  <c r="G14" i="9"/>
  <c r="F14" i="9"/>
  <c r="E14" i="9"/>
  <c r="D14" i="9"/>
  <c r="C14" i="9"/>
  <c r="B14" i="9"/>
  <c r="M110" i="8"/>
  <c r="M109" i="8"/>
  <c r="M108" i="8"/>
  <c r="M107" i="8"/>
  <c r="M106" i="8"/>
  <c r="M105" i="8"/>
  <c r="M104" i="8"/>
  <c r="M103" i="8"/>
  <c r="M101" i="8"/>
  <c r="M100" i="8"/>
  <c r="M99" i="8"/>
  <c r="M98" i="8"/>
  <c r="M97" i="8"/>
  <c r="M96" i="8"/>
  <c r="M95" i="8"/>
  <c r="M94" i="8"/>
  <c r="M92" i="8"/>
  <c r="M91" i="8"/>
  <c r="M90" i="8"/>
  <c r="M89" i="8"/>
  <c r="M88" i="8"/>
  <c r="M87" i="8"/>
  <c r="M86" i="8"/>
  <c r="M85" i="8"/>
  <c r="M74" i="8"/>
  <c r="M73" i="8"/>
  <c r="M72" i="8"/>
  <c r="M71" i="8"/>
  <c r="M70" i="8"/>
  <c r="M69" i="8"/>
  <c r="M68" i="8"/>
  <c r="M67" i="8"/>
  <c r="M65" i="8"/>
  <c r="M64" i="8"/>
  <c r="M63" i="8"/>
  <c r="M62" i="8"/>
  <c r="M61" i="8"/>
  <c r="M60" i="8"/>
  <c r="M59" i="8"/>
  <c r="M58" i="8"/>
  <c r="M56" i="8"/>
  <c r="M55" i="8"/>
  <c r="M54" i="8"/>
  <c r="M53" i="8"/>
  <c r="M52" i="8"/>
  <c r="M51" i="8"/>
  <c r="M50" i="8"/>
  <c r="M49" i="8"/>
  <c r="E13" i="8"/>
  <c r="C13" i="8"/>
  <c r="B13" i="8"/>
  <c r="G13" i="7"/>
  <c r="F13" i="7"/>
  <c r="C13" i="7"/>
  <c r="E13" i="7"/>
  <c r="D13" i="7"/>
  <c r="B13" i="7"/>
  <c r="N172" i="4"/>
  <c r="N184" i="4"/>
  <c r="N183" i="4"/>
  <c r="N182" i="4"/>
  <c r="N181" i="4"/>
  <c r="N180" i="4"/>
  <c r="N179" i="4"/>
  <c r="N178" i="4"/>
  <c r="N158" i="4"/>
  <c r="N157" i="4"/>
  <c r="N156" i="4"/>
  <c r="N155" i="4"/>
  <c r="N154" i="4"/>
  <c r="N153" i="4"/>
  <c r="N152" i="4"/>
  <c r="N151" i="4"/>
  <c r="N149" i="4"/>
  <c r="N148" i="4"/>
  <c r="N147" i="4"/>
  <c r="N146" i="4"/>
  <c r="N145" i="4"/>
  <c r="N144" i="4"/>
  <c r="N143" i="4"/>
  <c r="N142" i="4"/>
  <c r="B142" i="4" a="1"/>
  <c r="B146" i="4"/>
  <c r="N140" i="4"/>
  <c r="N139" i="4"/>
  <c r="N138" i="4"/>
  <c r="N137" i="4"/>
  <c r="N136" i="4"/>
  <c r="N135" i="4"/>
  <c r="N134" i="4"/>
  <c r="N133" i="4"/>
  <c r="B133" i="4" a="1"/>
  <c r="B134" i="4"/>
  <c r="N131" i="4"/>
  <c r="N129" i="4"/>
  <c r="A129" i="4"/>
  <c r="A128" i="4"/>
  <c r="A127" i="4"/>
  <c r="A126" i="4"/>
  <c r="A125" i="4"/>
  <c r="A124" i="4"/>
  <c r="A123" i="4"/>
  <c r="A122" i="4"/>
  <c r="A121" i="4"/>
  <c r="N105" i="4"/>
  <c r="N92" i="4"/>
  <c r="N88" i="4"/>
  <c r="N87" i="4"/>
  <c r="D34" i="4" a="1"/>
  <c r="C34" i="4"/>
  <c r="H8" i="4"/>
  <c r="B8" i="4"/>
  <c r="H7" i="4"/>
  <c r="B7" i="4"/>
  <c r="G6" i="4"/>
  <c r="E6" i="4"/>
  <c r="D6" i="4"/>
  <c r="M106" i="5"/>
  <c r="A106" i="5"/>
  <c r="M105" i="5"/>
  <c r="M104" i="5"/>
  <c r="M103" i="5"/>
  <c r="M102" i="5"/>
  <c r="M101" i="5"/>
  <c r="M100" i="5"/>
  <c r="M99" i="5"/>
  <c r="M98" i="5"/>
  <c r="A98" i="5" a="1"/>
  <c r="A105" i="5"/>
  <c r="M75" i="5"/>
  <c r="A75" i="5"/>
  <c r="M74" i="5"/>
  <c r="M73" i="5"/>
  <c r="M72" i="5"/>
  <c r="M71" i="5"/>
  <c r="M70" i="5"/>
  <c r="M69" i="5"/>
  <c r="M68" i="5"/>
  <c r="M67" i="5"/>
  <c r="A67" i="5" a="1"/>
  <c r="A70" i="5"/>
  <c r="M44" i="5"/>
  <c r="A44" i="5"/>
  <c r="M43" i="5"/>
  <c r="M42" i="5"/>
  <c r="M41" i="5"/>
  <c r="M40" i="5"/>
  <c r="M39" i="5"/>
  <c r="M38" i="5"/>
  <c r="M37" i="5"/>
  <c r="M36" i="5"/>
  <c r="A36" i="5" a="1"/>
  <c r="M14" i="5"/>
  <c r="A14" i="5"/>
  <c r="M12" i="5"/>
  <c r="M11" i="5"/>
  <c r="M10" i="5"/>
  <c r="M9" i="5"/>
  <c r="M8" i="5"/>
  <c r="M7" i="5"/>
  <c r="M6" i="5"/>
  <c r="M5" i="5"/>
  <c r="A5" i="5" a="1"/>
  <c r="A12" i="5"/>
  <c r="C4" i="5" a="1"/>
  <c r="B4" i="5"/>
  <c r="A32" i="3" a="1"/>
  <c r="A23" i="3" a="1"/>
  <c r="A25" i="3"/>
  <c r="A14" i="3" a="1"/>
  <c r="A15" i="3"/>
  <c r="A5" i="3" a="1"/>
  <c r="B121" i="2" a="1"/>
  <c r="B122" i="2"/>
  <c r="B120" i="2"/>
  <c r="B118" i="2"/>
  <c r="B119" i="2"/>
  <c r="B117" i="2"/>
  <c r="B163" i="1" a="1"/>
  <c r="C162" i="1" a="1"/>
  <c r="J162" i="1"/>
  <c r="D161" i="1" a="1"/>
  <c r="D161" i="1"/>
  <c r="C161" i="1"/>
  <c r="M344" i="1"/>
  <c r="M367" i="1"/>
  <c r="M389" i="1"/>
  <c r="M411" i="1"/>
  <c r="B191" i="38"/>
  <c r="B194" i="38"/>
  <c r="B161" i="38"/>
  <c r="B182" i="38"/>
  <c r="H56" i="31"/>
  <c r="D63" i="31"/>
  <c r="G84" i="31"/>
  <c r="F71" i="31"/>
  <c r="D83" i="31"/>
  <c r="A293" i="39"/>
  <c r="B73" i="31"/>
  <c r="G72" i="31"/>
  <c r="B181" i="8"/>
  <c r="B193" i="38"/>
  <c r="B188" i="38"/>
  <c r="M44" i="35"/>
  <c r="M54" i="37"/>
  <c r="N329" i="34"/>
  <c r="M580" i="39"/>
  <c r="E39" i="8"/>
  <c r="N196" i="6"/>
  <c r="M105" i="7"/>
  <c r="N398" i="30"/>
  <c r="M443" i="8"/>
  <c r="M441" i="38"/>
  <c r="M166" i="37"/>
  <c r="M529" i="8"/>
  <c r="M570" i="38"/>
  <c r="M601" i="39"/>
  <c r="M642" i="38"/>
  <c r="N196" i="34"/>
  <c r="M643" i="38"/>
  <c r="M100" i="37"/>
  <c r="M68" i="35"/>
  <c r="M26" i="37"/>
  <c r="M30" i="35"/>
  <c r="N429" i="34" a="1"/>
  <c r="N431" i="34"/>
  <c r="N342" i="30"/>
  <c r="M635" i="39"/>
  <c r="N137" i="30"/>
  <c r="M62" i="7"/>
  <c r="N409" i="34" a="1"/>
  <c r="M141" i="7"/>
  <c r="M535" i="8"/>
  <c r="M500" i="8"/>
  <c r="M700" i="8"/>
  <c r="N268" i="34"/>
  <c r="M102" i="7"/>
  <c r="M44" i="37"/>
  <c r="M438" i="39"/>
  <c r="M663" i="8"/>
  <c r="M88" i="7"/>
  <c r="M662" i="8"/>
  <c r="M143" i="35"/>
  <c r="M39" i="37"/>
  <c r="M428" i="39"/>
  <c r="M560" i="8"/>
  <c r="N401" i="30"/>
  <c r="M527" i="39"/>
  <c r="M564" i="39"/>
  <c r="G87" i="2"/>
  <c r="M375" i="38"/>
  <c r="N396" i="30"/>
  <c r="M702" i="39"/>
  <c r="M632" i="38"/>
  <c r="M435" i="8"/>
  <c r="M600" i="8"/>
  <c r="M539" i="38"/>
  <c r="N131" i="30"/>
  <c r="N289" i="34"/>
  <c r="M548" i="39"/>
  <c r="M515" i="8"/>
  <c r="M599" i="39"/>
  <c r="M27" i="7"/>
  <c r="M512" i="8"/>
  <c r="M503" i="38"/>
  <c r="M609" i="38"/>
  <c r="M663" i="38"/>
  <c r="M125" i="7"/>
  <c r="M511" i="38"/>
  <c r="M626" i="39"/>
  <c r="M145" i="37"/>
  <c r="M142" i="35"/>
  <c r="M177" i="7"/>
  <c r="M687" i="8"/>
  <c r="M605" i="39"/>
  <c r="M426" i="8"/>
  <c r="N191" i="6"/>
  <c r="D39" i="8"/>
  <c r="M587" i="38"/>
  <c r="M98" i="37"/>
  <c r="N187" i="34"/>
  <c r="M629" i="38"/>
  <c r="M632" i="39"/>
  <c r="M134" i="37"/>
  <c r="N181" i="30"/>
  <c r="A221" i="38"/>
  <c r="D39" i="38"/>
  <c r="M92" i="7"/>
  <c r="M605" i="8"/>
  <c r="N332" i="6"/>
  <c r="M620" i="8"/>
  <c r="M168" i="7"/>
  <c r="N199" i="34"/>
  <c r="M617" i="38"/>
  <c r="N134" i="30"/>
  <c r="M507" i="39"/>
  <c r="M605" i="38"/>
  <c r="M627" i="38"/>
  <c r="M539" i="8"/>
  <c r="A429" i="39"/>
  <c r="N133" i="30"/>
  <c r="M628" i="38"/>
  <c r="M670" i="38"/>
  <c r="N337" i="30"/>
  <c r="M625" i="8"/>
  <c r="M39" i="35"/>
  <c r="M69" i="35"/>
  <c r="M355" i="38"/>
  <c r="M158" i="7"/>
  <c r="M369" i="38"/>
  <c r="M546" i="38"/>
  <c r="M52" i="35"/>
  <c r="M695" i="8"/>
  <c r="M704" i="39"/>
  <c r="M83" i="7"/>
  <c r="M678" i="38"/>
  <c r="M521" i="8"/>
  <c r="M452" i="8"/>
  <c r="M78" i="7"/>
  <c r="M106" i="37"/>
  <c r="M569" i="39"/>
  <c r="M40" i="7"/>
  <c r="N343" i="30"/>
  <c r="M356" i="38"/>
  <c r="N323" i="30"/>
  <c r="M615" i="38"/>
  <c r="M357" i="38"/>
  <c r="M70" i="37"/>
  <c r="N283" i="6"/>
  <c r="M454" i="39"/>
  <c r="M551" i="8"/>
  <c r="M37" i="35"/>
  <c r="M603" i="39"/>
  <c r="M502" i="38"/>
  <c r="M551" i="39"/>
  <c r="M538" i="38"/>
  <c r="N277" i="34"/>
  <c r="B288" i="1"/>
  <c r="B354" i="1"/>
  <c r="B377" i="1"/>
  <c r="B399" i="1"/>
  <c r="B421" i="1"/>
  <c r="A136" i="35"/>
  <c r="A130" i="28"/>
  <c r="A366" i="38"/>
  <c r="A96" i="8"/>
  <c r="A537" i="8"/>
  <c r="A69" i="7"/>
  <c r="A457" i="38"/>
  <c r="A564" i="38"/>
  <c r="I228" i="1"/>
  <c r="K228" i="1"/>
  <c r="K232" i="1"/>
  <c r="H234" i="1"/>
  <c r="I235" i="1"/>
  <c r="L229" i="1"/>
  <c r="L234" i="1"/>
  <c r="C233" i="1"/>
  <c r="I233" i="1"/>
  <c r="F235" i="1"/>
  <c r="I230" i="1"/>
  <c r="H232" i="1"/>
  <c r="D231" i="1"/>
  <c r="J232" i="1"/>
  <c r="H231" i="1"/>
  <c r="E229" i="1"/>
  <c r="F229" i="1"/>
  <c r="J234" i="1"/>
  <c r="D230" i="1"/>
  <c r="C232" i="1"/>
  <c r="J231" i="1"/>
  <c r="I232" i="1"/>
  <c r="J235" i="1"/>
  <c r="J233" i="1"/>
  <c r="D233" i="1"/>
  <c r="D228" i="1"/>
  <c r="C235" i="1"/>
  <c r="K234" i="1"/>
  <c r="G231" i="1"/>
  <c r="G235" i="1"/>
  <c r="J230" i="1"/>
  <c r="G234" i="1"/>
  <c r="J228" i="1"/>
  <c r="I229" i="1"/>
  <c r="B9" i="5"/>
  <c r="A608" i="1"/>
  <c r="A714" i="1"/>
  <c r="G342" i="1"/>
  <c r="B130" i="5"/>
  <c r="B129" i="5"/>
  <c r="B137" i="5" a="1"/>
  <c r="B137" i="5"/>
  <c r="A204" i="38"/>
  <c r="A331" i="38"/>
  <c r="A381" i="38"/>
  <c r="M697" i="39"/>
  <c r="M697" i="38"/>
  <c r="M25" i="35"/>
  <c r="M238" i="38"/>
  <c r="M110" i="35"/>
  <c r="M64" i="7"/>
  <c r="N130" i="34"/>
  <c r="N321" i="30"/>
  <c r="M160" i="37"/>
  <c r="M438" i="38"/>
  <c r="M582" i="8"/>
  <c r="M589" i="8"/>
  <c r="M706" i="38"/>
  <c r="M53" i="37"/>
  <c r="N338" i="34"/>
  <c r="M135" i="7"/>
  <c r="N398" i="6"/>
  <c r="M96" i="35"/>
  <c r="M682" i="38"/>
  <c r="M105" i="37"/>
  <c r="B161" i="8"/>
  <c r="B160" i="8"/>
  <c r="A32" i="7"/>
  <c r="A34" i="7"/>
  <c r="A45" i="3"/>
  <c r="B157" i="1"/>
  <c r="A41" i="34"/>
  <c r="B191" i="8"/>
  <c r="B191" i="39"/>
  <c r="G57" i="31"/>
  <c r="A190" i="30"/>
  <c r="F243" i="1"/>
  <c r="E241" i="1"/>
  <c r="L243" i="1"/>
  <c r="L238" i="1"/>
  <c r="J241" i="1"/>
  <c r="L241" i="1"/>
  <c r="J239" i="1"/>
  <c r="F238" i="1"/>
  <c r="F239" i="1"/>
  <c r="G243" i="1"/>
  <c r="G239" i="1"/>
  <c r="E240" i="1"/>
  <c r="I244" i="1"/>
  <c r="I239" i="1"/>
  <c r="G241" i="1"/>
  <c r="K240" i="1"/>
  <c r="A622" i="1"/>
  <c r="A728" i="1"/>
  <c r="L342" i="1"/>
  <c r="G254" i="1"/>
  <c r="H254" i="1"/>
  <c r="J254" i="1"/>
  <c r="M549" i="38"/>
  <c r="M144" i="7"/>
  <c r="M120" i="37"/>
  <c r="M380" i="8"/>
  <c r="N194" i="30"/>
  <c r="M176" i="37"/>
  <c r="N392" i="6"/>
  <c r="M53" i="35"/>
  <c r="M454" i="8"/>
  <c r="N186" i="6"/>
  <c r="M578" i="8"/>
  <c r="M553" i="39"/>
  <c r="N278" i="30"/>
  <c r="M432" i="39"/>
  <c r="M70" i="35"/>
  <c r="M157" i="37"/>
  <c r="M585" i="39"/>
  <c r="N329" i="6"/>
  <c r="M612" i="38"/>
  <c r="M102" i="37"/>
  <c r="M97" i="7"/>
  <c r="M434" i="38"/>
  <c r="M599" i="38"/>
  <c r="M360" i="8"/>
  <c r="M374" i="8"/>
  <c r="N330" i="34"/>
  <c r="M638" i="38"/>
  <c r="M175" i="37"/>
  <c r="M608" i="8"/>
  <c r="M655" i="8"/>
  <c r="N342" i="6"/>
  <c r="M161" i="7"/>
  <c r="M607" i="39"/>
  <c r="M635" i="38"/>
  <c r="M517" i="8"/>
  <c r="M702" i="8"/>
  <c r="M359" i="8"/>
  <c r="M90" i="35"/>
  <c r="N139" i="34"/>
  <c r="N185" i="30"/>
  <c r="M357" i="39"/>
  <c r="M119" i="7"/>
  <c r="M170" i="35"/>
  <c r="M706" i="39"/>
  <c r="M371" i="39"/>
  <c r="M25" i="37"/>
  <c r="N177" i="6"/>
  <c r="N189" i="6"/>
  <c r="M142" i="37"/>
  <c r="M431" i="38"/>
  <c r="M518" i="39"/>
  <c r="M515" i="39"/>
  <c r="M506" i="39"/>
  <c r="M126" i="35"/>
  <c r="M103" i="35"/>
  <c r="M702" i="38"/>
  <c r="M703" i="8"/>
  <c r="M46" i="35"/>
  <c r="M455" i="8"/>
  <c r="N326" i="6"/>
  <c r="M237" i="38"/>
  <c r="N409" i="6" a="1"/>
  <c r="N412" i="6"/>
  <c r="M93" i="37"/>
  <c r="M565" i="8"/>
  <c r="M531" i="8"/>
  <c r="M615" i="39"/>
  <c r="M553" i="38"/>
  <c r="M619" i="8"/>
  <c r="M137" i="35"/>
  <c r="M537" i="8"/>
  <c r="M175" i="35"/>
  <c r="M115" i="37"/>
  <c r="M138" i="37"/>
  <c r="M639" i="38"/>
  <c r="N442" i="34"/>
  <c r="N389" i="6"/>
  <c r="M65" i="35"/>
  <c r="M534" i="38"/>
  <c r="M64" i="35"/>
  <c r="M591" i="38"/>
  <c r="M594" i="8"/>
  <c r="M547" i="8"/>
  <c r="M608" i="38"/>
  <c r="M666" i="8"/>
  <c r="M158" i="35"/>
  <c r="M172" i="7"/>
  <c r="M176" i="7"/>
  <c r="N328" i="30"/>
  <c r="N407" i="34"/>
  <c r="M533" i="8"/>
  <c r="N184" i="6"/>
  <c r="M37" i="7"/>
  <c r="M179" i="7"/>
  <c r="N343" i="34"/>
  <c r="M42" i="35"/>
  <c r="M681" i="8"/>
  <c r="N181" i="6"/>
  <c r="M58" i="35"/>
  <c r="M513" i="8"/>
  <c r="M132" i="7"/>
  <c r="N389" i="30"/>
  <c r="M68" i="7"/>
  <c r="M512" i="39"/>
  <c r="M170" i="37"/>
  <c r="M73" i="7"/>
  <c r="M369" i="39"/>
  <c r="N180" i="30"/>
  <c r="M62" i="37"/>
  <c r="M144" i="37"/>
  <c r="M453" i="8"/>
  <c r="M614" i="38"/>
  <c r="M679" i="39"/>
  <c r="M372" i="38"/>
  <c r="M26" i="9"/>
  <c r="N267" i="34"/>
  <c r="M96" i="37"/>
  <c r="M59" i="37"/>
  <c r="M657" i="38"/>
  <c r="N383" i="34"/>
  <c r="M704" i="8"/>
  <c r="M656" i="39"/>
  <c r="N145" i="34"/>
  <c r="M522" i="39"/>
  <c r="M150" i="35"/>
  <c r="M677" i="39"/>
  <c r="M587" i="8"/>
  <c r="N137" i="34"/>
  <c r="M507" i="8"/>
  <c r="M588" i="8"/>
  <c r="M431" i="39"/>
  <c r="M584" i="38"/>
  <c r="M634" i="8"/>
  <c r="M582" i="38"/>
  <c r="M373" i="39"/>
  <c r="M134" i="35"/>
  <c r="M179" i="35"/>
  <c r="M501" i="8"/>
  <c r="M26" i="35"/>
  <c r="M429" i="8"/>
  <c r="M691" i="8"/>
  <c r="M565" i="39"/>
  <c r="M705" i="39"/>
  <c r="M11" i="9"/>
  <c r="M40" i="37"/>
  <c r="N286" i="6"/>
  <c r="M374" i="39"/>
  <c r="M147" i="7"/>
  <c r="N386" i="34"/>
  <c r="M64" i="37"/>
  <c r="M17" i="9"/>
  <c r="M601" i="8"/>
  <c r="N330" i="30"/>
  <c r="M590" i="8"/>
  <c r="M20" i="9"/>
  <c r="M371" i="8"/>
  <c r="N177" i="34"/>
  <c r="M662" i="38"/>
  <c r="N281" i="6"/>
  <c r="M703" i="38"/>
  <c r="M430" i="38"/>
  <c r="M574" i="8"/>
  <c r="M152" i="35"/>
  <c r="M72" i="37"/>
  <c r="N328" i="6"/>
  <c r="M358" i="8"/>
  <c r="M25" i="7"/>
  <c r="M680" i="39"/>
  <c r="N384" i="30"/>
  <c r="G133" i="2"/>
  <c r="M583" i="8"/>
  <c r="M540" i="39"/>
  <c r="M660" i="8"/>
  <c r="M104" i="35"/>
  <c r="M23" i="37"/>
  <c r="M19" i="9"/>
  <c r="N339" i="34"/>
  <c r="M459" i="39"/>
  <c r="M139" i="37"/>
  <c r="M672" i="8"/>
  <c r="M132" i="37"/>
  <c r="M653" i="38"/>
  <c r="M593" i="38"/>
  <c r="N419" i="6" a="1"/>
  <c r="N426" i="6"/>
  <c r="M574" i="39"/>
  <c r="M33" i="37"/>
  <c r="M171" i="35"/>
  <c r="M558" i="39"/>
  <c r="M59" i="7"/>
  <c r="M29" i="37"/>
  <c r="N274" i="34"/>
  <c r="M371" i="38"/>
  <c r="M110" i="37"/>
  <c r="N198" i="34"/>
  <c r="N176" i="34"/>
  <c r="M629" i="39"/>
  <c r="M452" i="39"/>
  <c r="M600" i="38"/>
  <c r="M75" i="7"/>
  <c r="M354" i="8"/>
  <c r="M138" i="35"/>
  <c r="M37" i="37"/>
  <c r="M638" i="39"/>
  <c r="M567" i="8"/>
  <c r="N385" i="34"/>
  <c r="M34" i="35"/>
  <c r="M454" i="38"/>
  <c r="M22" i="9"/>
  <c r="N406" i="6"/>
  <c r="M680" i="38"/>
  <c r="M377" i="39"/>
  <c r="M53" i="7"/>
  <c r="M161" i="35"/>
  <c r="M363" i="38"/>
  <c r="M538" i="8"/>
  <c r="M36" i="7"/>
  <c r="M107" i="7"/>
  <c r="M89" i="37"/>
  <c r="M177" i="37"/>
  <c r="M92" i="37"/>
  <c r="M368" i="39"/>
  <c r="M643" i="39"/>
  <c r="M585" i="8"/>
  <c r="M599" i="8"/>
  <c r="M110" i="7"/>
  <c r="M633" i="8"/>
  <c r="M497" i="8"/>
  <c r="M384" i="39"/>
  <c r="M450" i="39"/>
  <c r="M99" i="7"/>
  <c r="N284" i="34"/>
  <c r="N344" i="34"/>
  <c r="N268" i="30"/>
  <c r="M527" i="8"/>
  <c r="M687" i="38"/>
  <c r="N146" i="30"/>
  <c r="N287" i="30"/>
  <c r="M168" i="35"/>
  <c r="M66" i="35"/>
  <c r="M175" i="7"/>
  <c r="N285" i="30"/>
  <c r="M548" i="8"/>
  <c r="N344" i="30"/>
  <c r="M21" i="9"/>
  <c r="M508" i="38"/>
  <c r="M359" i="38"/>
  <c r="M456" i="8"/>
  <c r="M540" i="38"/>
  <c r="M115" i="35"/>
  <c r="N395" i="30"/>
  <c r="N196" i="30"/>
  <c r="M444" i="38"/>
  <c r="M120" i="7"/>
  <c r="M167" i="35"/>
  <c r="N387" i="6"/>
  <c r="M611" i="39"/>
  <c r="M610" i="8"/>
  <c r="M672" i="39"/>
  <c r="M385" i="8"/>
  <c r="M155" i="37"/>
  <c r="N271" i="34"/>
  <c r="M354" i="39"/>
  <c r="M535" i="39"/>
  <c r="M659" i="8"/>
  <c r="M512" i="38"/>
  <c r="M517" i="39"/>
  <c r="M598" i="39"/>
  <c r="M128" i="7"/>
  <c r="M425" i="38"/>
  <c r="M56" i="37"/>
  <c r="M375" i="39"/>
  <c r="M386" i="39"/>
  <c r="M546" i="8"/>
  <c r="M368" i="38"/>
  <c r="M157" i="7"/>
  <c r="N184" i="30"/>
  <c r="M602" i="39"/>
  <c r="M126" i="7"/>
  <c r="M34" i="37"/>
  <c r="M614" i="39"/>
  <c r="M381" i="8"/>
  <c r="N274" i="30"/>
  <c r="M380" i="38"/>
  <c r="M621" i="38"/>
  <c r="M557" i="38"/>
  <c r="N182" i="34"/>
  <c r="N182" i="6"/>
  <c r="M173" i="35"/>
  <c r="M591" i="39"/>
  <c r="N186" i="30"/>
  <c r="N269" i="30"/>
  <c r="M572" i="8"/>
  <c r="M364" i="8"/>
  <c r="M378" i="39"/>
  <c r="M632" i="8"/>
  <c r="M513" i="38"/>
  <c r="M519" i="38"/>
  <c r="M436" i="8"/>
  <c r="M644" i="38"/>
  <c r="M551" i="38"/>
  <c r="M700" i="39"/>
  <c r="N136" i="6"/>
  <c r="M88" i="37"/>
  <c r="M661" i="39"/>
  <c r="M92" i="35"/>
  <c r="M651" i="38"/>
  <c r="M83" i="37"/>
  <c r="N189" i="34"/>
  <c r="M151" i="37"/>
  <c r="M78" i="35"/>
  <c r="N333" i="30"/>
  <c r="M674" i="39"/>
  <c r="M152" i="7"/>
  <c r="M498" i="8"/>
  <c r="G142" i="2"/>
  <c r="N137" i="6"/>
  <c r="M610" i="38"/>
  <c r="M151" i="7"/>
  <c r="M86" i="7"/>
  <c r="M616" i="38"/>
  <c r="M593" i="39"/>
  <c r="M153" i="35"/>
  <c r="N198" i="30"/>
  <c r="M628" i="8"/>
  <c r="M446" i="39"/>
  <c r="M46" i="37"/>
  <c r="M563" i="8"/>
  <c r="N197" i="30"/>
  <c r="M32" i="7"/>
  <c r="N395" i="34"/>
  <c r="M160" i="7"/>
  <c r="M554" i="8"/>
  <c r="M435" i="39"/>
  <c r="M636" i="8"/>
  <c r="M155" i="7"/>
  <c r="M562" i="39"/>
  <c r="M135" i="35"/>
  <c r="M534" i="8"/>
  <c r="M456" i="39"/>
  <c r="N338" i="30"/>
  <c r="M448" i="8"/>
  <c r="M525" i="39"/>
  <c r="N405" i="30"/>
  <c r="N284" i="30"/>
  <c r="N404" i="6"/>
  <c r="N389" i="34"/>
  <c r="M381" i="38"/>
  <c r="N438" i="30"/>
  <c r="M153" i="7"/>
  <c r="N180" i="6"/>
  <c r="N385" i="6"/>
  <c r="M446" i="8"/>
  <c r="M565" i="38"/>
  <c r="M520" i="39"/>
  <c r="M62" i="35"/>
  <c r="M74" i="35"/>
  <c r="M689" i="39"/>
  <c r="C39" i="38"/>
  <c r="M560" i="39"/>
  <c r="M573" i="38"/>
  <c r="M499" i="38"/>
  <c r="M238" i="39"/>
  <c r="M355" i="8"/>
  <c r="N274" i="6"/>
  <c r="N289" i="6"/>
  <c r="M549" i="8"/>
  <c r="N338" i="6"/>
  <c r="M685" i="38"/>
  <c r="L710" i="8"/>
  <c r="N341" i="6"/>
  <c r="M607" i="38"/>
  <c r="M427" i="8"/>
  <c r="M23" i="7"/>
  <c r="N191" i="34"/>
  <c r="M637" i="39"/>
  <c r="M171" i="37"/>
  <c r="N290" i="30"/>
  <c r="N288" i="34"/>
  <c r="M531" i="38"/>
  <c r="M508" i="39"/>
  <c r="M118" i="37"/>
  <c r="M697" i="8"/>
  <c r="N175" i="34"/>
  <c r="M100" i="7"/>
  <c r="M63" i="37"/>
  <c r="M654" i="38"/>
  <c r="M449" i="39"/>
  <c r="M133" i="37"/>
  <c r="M576" i="8"/>
  <c r="M104" i="37"/>
  <c r="N276" i="34"/>
  <c r="M98" i="35"/>
  <c r="M648" i="8"/>
  <c r="N438" i="34"/>
  <c r="N396" i="34"/>
  <c r="M615" i="8"/>
  <c r="M119" i="35"/>
  <c r="M46" i="7"/>
  <c r="M675" i="38"/>
  <c r="M136" i="7"/>
  <c r="M124" i="35"/>
  <c r="M528" i="8"/>
  <c r="N133" i="34"/>
  <c r="M141" i="35"/>
  <c r="M148" i="35"/>
  <c r="M603" i="38"/>
  <c r="N268" i="6"/>
  <c r="N280" i="34"/>
  <c r="N272" i="6"/>
  <c r="M556" i="8"/>
  <c r="M561" i="8"/>
  <c r="M518" i="8"/>
  <c r="M571" i="38"/>
  <c r="M682" i="8"/>
  <c r="M508" i="8"/>
  <c r="M653" i="39"/>
  <c r="M376" i="38"/>
  <c r="N193" i="6"/>
  <c r="M32" i="9"/>
  <c r="M606" i="38"/>
  <c r="N175" i="30"/>
  <c r="M162" i="37"/>
  <c r="N322" i="6"/>
  <c r="M445" i="39"/>
  <c r="M90" i="7"/>
  <c r="N344" i="6"/>
  <c r="M449" i="8"/>
  <c r="M136" i="37"/>
  <c r="M85" i="37"/>
  <c r="M449" i="38"/>
  <c r="N394" i="30"/>
  <c r="M530" i="38"/>
  <c r="M448" i="38"/>
  <c r="M578" i="38"/>
  <c r="M600" i="39"/>
  <c r="M382" i="8"/>
  <c r="M237" i="39"/>
  <c r="M176" i="35"/>
  <c r="M27" i="37"/>
  <c r="N392" i="30"/>
  <c r="M688" i="39"/>
  <c r="M528" i="39"/>
  <c r="M501" i="38"/>
  <c r="M685" i="8"/>
  <c r="M113" i="7"/>
  <c r="M457" i="39"/>
  <c r="M83" i="35"/>
  <c r="N135" i="6"/>
  <c r="M387" i="39"/>
  <c r="N132" i="34"/>
  <c r="M79" i="35"/>
  <c r="M386" i="8"/>
  <c r="M68" i="37"/>
  <c r="H84" i="6"/>
  <c r="A537" i="38"/>
  <c r="A576" i="38"/>
  <c r="A569" i="38"/>
  <c r="A573" i="38"/>
  <c r="A645" i="38"/>
  <c r="A642" i="38"/>
  <c r="A644" i="38"/>
  <c r="A646" i="38"/>
  <c r="H37" i="6"/>
  <c r="B153" i="1"/>
  <c r="A125" i="38"/>
  <c r="A199" i="38"/>
  <c r="A198" i="38"/>
  <c r="A293" i="38"/>
  <c r="A297" i="38"/>
  <c r="A327" i="38"/>
  <c r="A333" i="38"/>
  <c r="A368" i="38"/>
  <c r="A398" i="38"/>
  <c r="F39" i="6"/>
  <c r="B158" i="1"/>
  <c r="A571" i="38"/>
  <c r="A115" i="37"/>
  <c r="A209" i="34"/>
  <c r="A205" i="34"/>
  <c r="M633" i="38"/>
  <c r="N402" i="6"/>
  <c r="M562" i="8"/>
  <c r="A98" i="37"/>
  <c r="J26" i="34"/>
  <c r="M694" i="38"/>
  <c r="M116" i="7"/>
  <c r="M623" i="39"/>
  <c r="M507" i="38"/>
  <c r="N384" i="6"/>
  <c r="M141" i="37"/>
  <c r="M636" i="38"/>
  <c r="M86" i="37"/>
  <c r="M164" i="35"/>
  <c r="E254" i="1"/>
  <c r="N133" i="6"/>
  <c r="M630" i="38"/>
  <c r="M663" i="39"/>
  <c r="M106" i="35"/>
  <c r="M563" i="39"/>
  <c r="M651" i="8"/>
  <c r="M177" i="35"/>
  <c r="M137" i="37"/>
  <c r="M428" i="8"/>
  <c r="M178" i="7"/>
  <c r="N177" i="30"/>
  <c r="N176" i="6"/>
  <c r="M128" i="37"/>
  <c r="M102" i="35"/>
  <c r="M529" i="39"/>
  <c r="A203" i="34"/>
  <c r="M43" i="37"/>
  <c r="M666" i="39"/>
  <c r="M173" i="37"/>
  <c r="M598" i="8"/>
  <c r="M55" i="35"/>
  <c r="N200" i="34"/>
  <c r="N290" i="6"/>
  <c r="M172" i="37"/>
  <c r="M98" i="7"/>
  <c r="M501" i="39"/>
  <c r="M8" i="9"/>
  <c r="N141" i="30"/>
  <c r="M450" i="8"/>
  <c r="M52" i="7"/>
  <c r="M517" i="38"/>
  <c r="M126" i="37"/>
  <c r="M655" i="39"/>
  <c r="N280" i="6"/>
  <c r="M672" i="38"/>
  <c r="M43" i="7"/>
  <c r="M383" i="38"/>
  <c r="M24" i="37"/>
  <c r="M606" i="39"/>
  <c r="M85" i="7"/>
  <c r="N287" i="6"/>
  <c r="M77" i="7"/>
  <c r="M666" i="38"/>
  <c r="N195" i="30"/>
  <c r="M56" i="35"/>
  <c r="M59" i="35"/>
  <c r="M536" i="39"/>
  <c r="N193" i="34"/>
  <c r="M522" i="38"/>
  <c r="M163" i="7"/>
  <c r="M446" i="38"/>
  <c r="M684" i="39"/>
  <c r="N385" i="30"/>
  <c r="M130" i="37"/>
  <c r="M167" i="7"/>
  <c r="M66" i="7"/>
  <c r="M564" i="8"/>
  <c r="N179" i="34"/>
  <c r="N339" i="30"/>
  <c r="M431" i="8"/>
  <c r="M113" i="37"/>
  <c r="M367" i="38"/>
  <c r="M77" i="35"/>
  <c r="N181" i="34"/>
  <c r="M108" i="37"/>
  <c r="M28" i="37"/>
  <c r="M127" i="37"/>
  <c r="N190" i="34"/>
  <c r="M704" i="38"/>
  <c r="N267" i="6"/>
  <c r="M377" i="8"/>
  <c r="M698" i="38"/>
  <c r="M562" i="38"/>
  <c r="N134" i="6"/>
  <c r="M542" i="38"/>
  <c r="M548" i="38"/>
  <c r="M95" i="35"/>
  <c r="M544" i="38"/>
  <c r="M145" i="7"/>
  <c r="M28" i="35"/>
  <c r="M578" i="39"/>
  <c r="N394" i="34"/>
  <c r="M381" i="39"/>
  <c r="N388" i="30"/>
  <c r="I254" i="1"/>
  <c r="K254" i="1"/>
  <c r="M76" i="7"/>
  <c r="N324" i="30"/>
  <c r="N142" i="30"/>
  <c r="N179" i="6"/>
  <c r="N140" i="6"/>
  <c r="N175" i="6"/>
  <c r="M125" i="37"/>
  <c r="M55" i="37"/>
  <c r="M668" i="8"/>
  <c r="M651" i="39"/>
  <c r="M654" i="39"/>
  <c r="M443" i="39"/>
  <c r="M566" i="39"/>
  <c r="M695" i="39"/>
  <c r="M642" i="8"/>
  <c r="M669" i="39"/>
  <c r="M55" i="7"/>
  <c r="M692" i="8"/>
  <c r="N400" i="30"/>
  <c r="A206" i="34"/>
  <c r="A99" i="37"/>
  <c r="A540" i="39"/>
  <c r="A313" i="38"/>
  <c r="A344" i="34"/>
  <c r="A210" i="39"/>
  <c r="A337" i="38"/>
  <c r="A447" i="8"/>
  <c r="A376" i="34"/>
  <c r="A114" i="37"/>
  <c r="A118" i="37"/>
  <c r="A163" i="37"/>
  <c r="A17" i="31"/>
  <c r="A19" i="31"/>
  <c r="A57" i="31"/>
  <c r="A102" i="7"/>
  <c r="A23" i="38"/>
  <c r="A24" i="38"/>
  <c r="A42" i="7"/>
  <c r="A364" i="38"/>
  <c r="E243" i="1"/>
  <c r="K239" i="1"/>
  <c r="K241" i="1"/>
  <c r="C238" i="1"/>
  <c r="C237" i="1"/>
  <c r="J237" i="1"/>
  <c r="F244" i="1"/>
  <c r="D244" i="1"/>
  <c r="C239" i="1"/>
  <c r="J238" i="1"/>
  <c r="F242" i="1"/>
  <c r="H237" i="1"/>
  <c r="F237" i="1"/>
  <c r="C240" i="1"/>
  <c r="G238" i="1"/>
  <c r="E237" i="1"/>
  <c r="A626" i="8"/>
  <c r="A623" i="8"/>
  <c r="C154" i="4"/>
  <c r="C151" i="4"/>
  <c r="C156" i="4"/>
  <c r="D139" i="57"/>
  <c r="L174" i="57"/>
  <c r="C174" i="57"/>
  <c r="F174" i="57"/>
  <c r="H174" i="57"/>
  <c r="K174" i="57"/>
  <c r="J174" i="57"/>
  <c r="E35" i="40"/>
  <c r="I49" i="6"/>
  <c r="F43" i="6"/>
  <c r="D44" i="6"/>
  <c r="D46" i="6"/>
  <c r="I43" i="6"/>
  <c r="E44" i="6"/>
  <c r="J48" i="6"/>
  <c r="L47" i="6"/>
  <c r="J44" i="6"/>
  <c r="D48" i="6"/>
  <c r="C83" i="31"/>
  <c r="C52" i="30" a="1"/>
  <c r="F55" i="30"/>
  <c r="C43" i="6"/>
  <c r="C49" i="6"/>
  <c r="I34" i="6"/>
  <c r="D47" i="6"/>
  <c r="A336" i="8"/>
  <c r="A236" i="6"/>
  <c r="A230" i="6"/>
  <c r="A231" i="6"/>
  <c r="B97" i="2"/>
  <c r="A17" i="27"/>
  <c r="A14" i="27"/>
  <c r="A407" i="34"/>
  <c r="A446" i="1"/>
  <c r="A496" i="1"/>
  <c r="A546" i="1"/>
  <c r="A39" i="5"/>
  <c r="A265" i="6"/>
  <c r="A304" i="6"/>
  <c r="A404" i="34"/>
  <c r="A402" i="34"/>
  <c r="A43" i="5"/>
  <c r="C45" i="6"/>
  <c r="I47" i="6"/>
  <c r="E49" i="6"/>
  <c r="A168" i="6"/>
  <c r="H71" i="6"/>
  <c r="K72" i="6"/>
  <c r="D70" i="6"/>
  <c r="C71" i="6"/>
  <c r="J73" i="6"/>
  <c r="F48" i="6"/>
  <c r="L46" i="6"/>
  <c r="L46" i="34"/>
  <c r="K75" i="6"/>
  <c r="K38" i="6"/>
  <c r="A275" i="8"/>
  <c r="A167" i="7"/>
  <c r="A388" i="34"/>
  <c r="A315" i="38"/>
  <c r="A161" i="7"/>
  <c r="A60" i="31"/>
  <c r="F79" i="6"/>
  <c r="A290" i="39"/>
  <c r="G7" i="4"/>
  <c r="A96" i="37"/>
  <c r="A97" i="37"/>
  <c r="A94" i="37"/>
  <c r="A119" i="37"/>
  <c r="A116" i="37"/>
  <c r="A113" i="37"/>
  <c r="F56" i="31"/>
  <c r="C61" i="30" a="1"/>
  <c r="B70" i="31"/>
  <c r="C43" i="30" a="1"/>
  <c r="A479" i="1"/>
  <c r="A529" i="1"/>
  <c r="A579" i="1"/>
  <c r="A616" i="1"/>
  <c r="A722" i="1"/>
  <c r="A612" i="1"/>
  <c r="A718" i="1"/>
  <c r="A614" i="1"/>
  <c r="A720" i="1"/>
  <c r="A617" i="1"/>
  <c r="A723" i="1"/>
  <c r="A615" i="1"/>
  <c r="A721" i="1"/>
  <c r="A618" i="1"/>
  <c r="A724" i="1"/>
  <c r="A611" i="1"/>
  <c r="A717" i="1"/>
  <c r="F50" i="6"/>
  <c r="A352" i="6"/>
  <c r="E40" i="6"/>
  <c r="A367" i="8"/>
  <c r="K15" i="7"/>
  <c r="C58" i="31"/>
  <c r="C34" i="30" a="1"/>
  <c r="C34" i="30"/>
  <c r="H50" i="6"/>
  <c r="B177" i="8"/>
  <c r="B183" i="8"/>
  <c r="B182" i="8"/>
  <c r="B182" i="39"/>
  <c r="B184" i="8"/>
  <c r="A331" i="39"/>
  <c r="H83" i="31"/>
  <c r="C79" i="30" a="1"/>
  <c r="E86" i="30"/>
  <c r="B179" i="38"/>
  <c r="B178" i="38"/>
  <c r="K44" i="6"/>
  <c r="B194" i="8"/>
  <c r="C178" i="40"/>
  <c r="L35" i="40"/>
  <c r="L35" i="29"/>
  <c r="B144" i="29"/>
  <c r="D7" i="4"/>
  <c r="D8" i="4" a="1"/>
  <c r="E7" i="4"/>
  <c r="F7" i="4"/>
  <c r="C152" i="4"/>
  <c r="B140" i="4"/>
  <c r="C153" i="4"/>
  <c r="C157" i="4"/>
  <c r="C158" i="4"/>
  <c r="A8" i="28"/>
  <c r="A6" i="28"/>
  <c r="A11" i="28"/>
  <c r="A311" i="30"/>
  <c r="A314" i="30"/>
  <c r="A378" i="30"/>
  <c r="A377" i="30"/>
  <c r="A376" i="30"/>
  <c r="A30" i="31"/>
  <c r="N413" i="6"/>
  <c r="H162" i="1"/>
  <c r="K79" i="6"/>
  <c r="A56" i="31"/>
  <c r="A135" i="39"/>
  <c r="A386" i="38"/>
  <c r="N112" i="4"/>
  <c r="A368" i="8"/>
  <c r="A362" i="8"/>
  <c r="A367" i="39"/>
  <c r="A450" i="38"/>
  <c r="L383" i="1"/>
  <c r="L343" i="1"/>
  <c r="B149" i="29"/>
  <c r="B147" i="29"/>
  <c r="B146" i="29"/>
  <c r="B142" i="29"/>
  <c r="A21" i="3"/>
  <c r="J72" i="6"/>
  <c r="J70" i="6"/>
  <c r="C72" i="6"/>
  <c r="J77" i="6"/>
  <c r="A238" i="6"/>
  <c r="A284" i="6"/>
  <c r="G41" i="8"/>
  <c r="I41" i="8"/>
  <c r="A225" i="30"/>
  <c r="A207" i="8"/>
  <c r="A294" i="8"/>
  <c r="A293" i="8"/>
  <c r="A419" i="38"/>
  <c r="A418" i="8"/>
  <c r="A63" i="38"/>
  <c r="D85" i="6"/>
  <c r="A226" i="30"/>
  <c r="A292" i="39"/>
  <c r="F26" i="6"/>
  <c r="J52" i="6"/>
  <c r="A19" i="27"/>
  <c r="A63" i="30"/>
  <c r="A401" i="30"/>
  <c r="A534" i="39"/>
  <c r="A189" i="38"/>
  <c r="A190" i="38"/>
  <c r="A206" i="38"/>
  <c r="A311" i="38"/>
  <c r="A310" i="38"/>
  <c r="A312" i="38"/>
  <c r="A380" i="38"/>
  <c r="A385" i="38"/>
  <c r="A382" i="38"/>
  <c r="C244" i="1"/>
  <c r="L244" i="1"/>
  <c r="H238" i="1"/>
  <c r="G240" i="1"/>
  <c r="I242" i="1"/>
  <c r="H240" i="1"/>
  <c r="F241" i="1"/>
  <c r="I243" i="1"/>
  <c r="H243" i="1"/>
  <c r="C243" i="1"/>
  <c r="D241" i="1"/>
  <c r="I238" i="1"/>
  <c r="K244" i="1"/>
  <c r="D237" i="1"/>
  <c r="C241" i="1"/>
  <c r="F240" i="1"/>
  <c r="E242" i="1"/>
  <c r="D239" i="1"/>
  <c r="E239" i="1"/>
  <c r="H244" i="1"/>
  <c r="K237" i="1"/>
  <c r="G237" i="1"/>
  <c r="H241" i="1"/>
  <c r="J240" i="1"/>
  <c r="I237" i="1"/>
  <c r="L239" i="1"/>
  <c r="J242" i="1"/>
  <c r="K238" i="1"/>
  <c r="K243" i="1"/>
  <c r="C242" i="1"/>
  <c r="K242" i="1"/>
  <c r="A625" i="1"/>
  <c r="A731" i="1"/>
  <c r="A621" i="1"/>
  <c r="A727" i="1"/>
  <c r="L387" i="1"/>
  <c r="E387" i="1"/>
  <c r="A202" i="34"/>
  <c r="A204" i="34"/>
  <c r="A232" i="6"/>
  <c r="A234" i="6"/>
  <c r="G52" i="6"/>
  <c r="J57" i="6"/>
  <c r="A449" i="8"/>
  <c r="H59" i="6"/>
  <c r="A348" i="6"/>
  <c r="A266" i="8"/>
  <c r="A107" i="7"/>
  <c r="C15" i="35"/>
  <c r="G15" i="35"/>
  <c r="D15" i="35"/>
  <c r="F15" i="35"/>
  <c r="A222" i="30"/>
  <c r="A223" i="30"/>
  <c r="F47" i="6"/>
  <c r="L49" i="6"/>
  <c r="I74" i="6"/>
  <c r="I77" i="6"/>
  <c r="C34" i="6"/>
  <c r="I40" i="6"/>
  <c r="K36" i="6"/>
  <c r="A651" i="39"/>
  <c r="H277" i="1"/>
  <c r="K45" i="6"/>
  <c r="A16" i="31"/>
  <c r="A18" i="31"/>
  <c r="A122" i="37"/>
  <c r="A128" i="37"/>
  <c r="A129" i="37"/>
  <c r="A576" i="39"/>
  <c r="A575" i="39"/>
  <c r="D141" i="1"/>
  <c r="A15" i="31"/>
  <c r="A166" i="7"/>
  <c r="A162" i="7"/>
  <c r="A127" i="37"/>
  <c r="G74" i="6"/>
  <c r="L76" i="6"/>
  <c r="B193" i="8"/>
  <c r="A405" i="34"/>
  <c r="C70" i="30" a="1"/>
  <c r="G73" i="30"/>
  <c r="H69" i="31"/>
  <c r="E80" i="6"/>
  <c r="E82" i="6"/>
  <c r="C84" i="6"/>
  <c r="J82" i="6"/>
  <c r="G80" i="6"/>
  <c r="G83" i="6"/>
  <c r="D81" i="6"/>
  <c r="L86" i="6"/>
  <c r="C83" i="6"/>
  <c r="J83" i="6"/>
  <c r="L80" i="6"/>
  <c r="F85" i="6"/>
  <c r="F86" i="6"/>
  <c r="G81" i="6"/>
  <c r="G79" i="6"/>
  <c r="C79" i="6"/>
  <c r="E81" i="6"/>
  <c r="H82" i="6"/>
  <c r="F82" i="6"/>
  <c r="D83" i="6"/>
  <c r="F80" i="6"/>
  <c r="L85" i="6"/>
  <c r="E85" i="6"/>
  <c r="H86" i="6"/>
  <c r="J81" i="6"/>
  <c r="C85" i="6"/>
  <c r="C82" i="6"/>
  <c r="C81" i="6"/>
  <c r="I82" i="6"/>
  <c r="H85" i="6"/>
  <c r="J85" i="6"/>
  <c r="D82" i="6"/>
  <c r="K85" i="6"/>
  <c r="K86" i="6"/>
  <c r="L84" i="6"/>
  <c r="G86" i="6"/>
  <c r="E79" i="6"/>
  <c r="A429" i="6"/>
  <c r="A433" i="6"/>
  <c r="I86" i="6"/>
  <c r="I80" i="6"/>
  <c r="G82" i="6"/>
  <c r="F83" i="6"/>
  <c r="K84" i="6"/>
  <c r="L82" i="6"/>
  <c r="G84" i="6"/>
  <c r="H83" i="6"/>
  <c r="I83" i="6"/>
  <c r="J79" i="6"/>
  <c r="H79" i="6"/>
  <c r="H80" i="6"/>
  <c r="F84" i="6"/>
  <c r="D86" i="6"/>
  <c r="E83" i="6"/>
  <c r="D79" i="6"/>
  <c r="L79" i="6"/>
  <c r="A41" i="30"/>
  <c r="A253" i="30"/>
  <c r="A296" i="30"/>
  <c r="A293" i="30"/>
  <c r="A297" i="30"/>
  <c r="A375" i="30"/>
  <c r="A196" i="34"/>
  <c r="A332" i="39"/>
  <c r="A427" i="39"/>
  <c r="A464" i="39"/>
  <c r="A194" i="39"/>
  <c r="A96" i="39"/>
  <c r="A428" i="39"/>
  <c r="A467" i="39"/>
  <c r="A432" i="39"/>
  <c r="A431" i="39"/>
  <c r="A463" i="39"/>
  <c r="A409" i="38"/>
  <c r="A375" i="38"/>
  <c r="A264" i="38"/>
  <c r="A158" i="38"/>
  <c r="A133" i="38"/>
  <c r="A501" i="38"/>
  <c r="A449" i="38"/>
  <c r="A38" i="38"/>
  <c r="A413" i="38"/>
  <c r="A135" i="38"/>
  <c r="A445" i="38"/>
  <c r="A347" i="38"/>
  <c r="A377" i="38"/>
  <c r="A268" i="38"/>
  <c r="A37" i="38"/>
  <c r="A31" i="38"/>
  <c r="A446" i="38"/>
  <c r="A412" i="38"/>
  <c r="A216" i="8"/>
  <c r="A278" i="8"/>
  <c r="A347" i="8"/>
  <c r="A593" i="8"/>
  <c r="A555" i="8"/>
  <c r="A719" i="8"/>
  <c r="A587" i="8"/>
  <c r="A588" i="8"/>
  <c r="A274" i="8"/>
  <c r="A260" i="8"/>
  <c r="A299" i="8"/>
  <c r="A535" i="8"/>
  <c r="A533" i="8"/>
  <c r="A99" i="8"/>
  <c r="A556" i="8"/>
  <c r="A564" i="8"/>
  <c r="A589" i="8"/>
  <c r="A279" i="8"/>
  <c r="A717" i="8"/>
  <c r="A146" i="6"/>
  <c r="A143" i="6"/>
  <c r="A145" i="6"/>
  <c r="A140" i="6"/>
  <c r="G40" i="6"/>
  <c r="J38" i="6"/>
  <c r="D38" i="6"/>
  <c r="C37" i="6"/>
  <c r="K34" i="6"/>
  <c r="A139" i="6"/>
  <c r="A67" i="6"/>
  <c r="A68" i="6"/>
  <c r="A18" i="6"/>
  <c r="A141" i="6"/>
  <c r="E34" i="6"/>
  <c r="I38" i="6"/>
  <c r="G35" i="6"/>
  <c r="E35" i="6"/>
  <c r="G38" i="6"/>
  <c r="L40" i="6"/>
  <c r="F36" i="6"/>
  <c r="K40" i="6"/>
  <c r="C35" i="6"/>
  <c r="I35" i="6"/>
  <c r="C40" i="6"/>
  <c r="F40" i="6"/>
  <c r="D39" i="6"/>
  <c r="K37" i="6"/>
  <c r="L41" i="6"/>
  <c r="D40" i="6"/>
  <c r="K35" i="6"/>
  <c r="I39" i="6"/>
  <c r="L35" i="6"/>
  <c r="L36" i="6"/>
  <c r="J41" i="6"/>
  <c r="L39" i="6"/>
  <c r="G34" i="6"/>
  <c r="C38" i="6"/>
  <c r="K41" i="6"/>
  <c r="J34" i="6"/>
  <c r="H38" i="6"/>
  <c r="E37" i="6"/>
  <c r="E39" i="6"/>
  <c r="J40" i="6"/>
  <c r="D41" i="6"/>
  <c r="C36" i="6"/>
  <c r="C41" i="6"/>
  <c r="J36" i="6"/>
  <c r="I37" i="6"/>
  <c r="A224" i="6"/>
  <c r="C76" i="6"/>
  <c r="K70" i="6"/>
  <c r="G72" i="6"/>
  <c r="A272" i="6"/>
  <c r="A411" i="30"/>
  <c r="A310" i="30"/>
  <c r="A313" i="30"/>
  <c r="A341" i="30"/>
  <c r="A58" i="30"/>
  <c r="A227" i="30"/>
  <c r="A248" i="30"/>
  <c r="A298" i="30"/>
  <c r="E47" i="57"/>
  <c r="E48" i="57"/>
  <c r="A222" i="34"/>
  <c r="E46" i="57"/>
  <c r="E49" i="57"/>
  <c r="A317" i="34"/>
  <c r="A378" i="34"/>
  <c r="B102" i="2"/>
  <c r="B111" i="2"/>
  <c r="B106" i="2"/>
  <c r="B99" i="2"/>
  <c r="B108" i="2"/>
  <c r="B103" i="2"/>
  <c r="A59" i="27"/>
  <c r="A71" i="27"/>
  <c r="A72" i="27"/>
  <c r="A119" i="6"/>
  <c r="A91" i="6"/>
  <c r="A74" i="31"/>
  <c r="A26" i="31"/>
  <c r="A70" i="31"/>
  <c r="A59" i="31"/>
  <c r="A21" i="31"/>
  <c r="A84" i="31"/>
  <c r="A11" i="31"/>
  <c r="A323" i="30"/>
  <c r="A324" i="30"/>
  <c r="A511" i="8"/>
  <c r="A512" i="8"/>
  <c r="A510" i="8"/>
  <c r="A508" i="8"/>
  <c r="A507" i="8"/>
  <c r="A59" i="7"/>
  <c r="A55" i="7"/>
  <c r="J3" i="9"/>
  <c r="A48" i="37"/>
  <c r="A42" i="37"/>
  <c r="A557" i="39"/>
  <c r="A628" i="39"/>
  <c r="B212" i="1"/>
  <c r="F41" i="38"/>
  <c r="A72" i="38"/>
  <c r="A67" i="38"/>
  <c r="A220" i="38"/>
  <c r="A215" i="38"/>
  <c r="A217" i="38"/>
  <c r="A288" i="38"/>
  <c r="A286" i="38"/>
  <c r="A500" i="38"/>
  <c r="A498" i="38"/>
  <c r="A592" i="38"/>
  <c r="C180" i="29"/>
  <c r="C183" i="29"/>
  <c r="C184" i="29"/>
  <c r="C177" i="29"/>
  <c r="C179" i="29"/>
  <c r="C178" i="29"/>
  <c r="A287" i="38"/>
  <c r="C181" i="29"/>
  <c r="A25" i="35"/>
  <c r="B238" i="1"/>
  <c r="B294" i="1"/>
  <c r="B360" i="1"/>
  <c r="B383" i="1"/>
  <c r="B405" i="1"/>
  <c r="B427" i="1"/>
  <c r="A65" i="6"/>
  <c r="A284" i="8"/>
  <c r="A72" i="28"/>
  <c r="A513" i="8"/>
  <c r="A504" i="38"/>
  <c r="A688" i="39"/>
  <c r="A169" i="6"/>
  <c r="A391" i="30"/>
  <c r="A338" i="8"/>
  <c r="A399" i="8"/>
  <c r="A542" i="8"/>
  <c r="A543" i="8"/>
  <c r="A86" i="39"/>
  <c r="A660" i="39"/>
  <c r="A664" i="39"/>
  <c r="B237" i="1"/>
  <c r="B240" i="1"/>
  <c r="A245" i="38"/>
  <c r="A319" i="38"/>
  <c r="A531" i="38"/>
  <c r="A529" i="38"/>
  <c r="B145" i="40"/>
  <c r="C153" i="29"/>
  <c r="B293" i="1"/>
  <c r="B359" i="1"/>
  <c r="B382" i="1"/>
  <c r="B404" i="1"/>
  <c r="B426" i="1"/>
  <c r="B287" i="1"/>
  <c r="B353" i="1"/>
  <c r="B376" i="1"/>
  <c r="B398" i="1"/>
  <c r="B420" i="1"/>
  <c r="B290" i="1"/>
  <c r="B356" i="1"/>
  <c r="B379" i="1"/>
  <c r="B401" i="1"/>
  <c r="B423" i="1"/>
  <c r="B292" i="1"/>
  <c r="B358" i="1"/>
  <c r="B381" i="1"/>
  <c r="B403" i="1"/>
  <c r="B425" i="1"/>
  <c r="A62" i="6"/>
  <c r="A167" i="6"/>
  <c r="A39" i="6"/>
  <c r="A506" i="8"/>
  <c r="A554" i="39"/>
  <c r="A170" i="35"/>
  <c r="B167" i="2"/>
  <c r="A342" i="8"/>
  <c r="C158" i="29"/>
  <c r="A397" i="30"/>
  <c r="A173" i="6"/>
  <c r="A321" i="38"/>
  <c r="A74" i="28"/>
  <c r="A398" i="30"/>
  <c r="A61" i="6"/>
  <c r="A64" i="6"/>
  <c r="A509" i="8"/>
  <c r="A527" i="38"/>
  <c r="A554" i="38"/>
  <c r="C182" i="29"/>
  <c r="B244" i="1"/>
  <c r="A692" i="39"/>
  <c r="A691" i="39"/>
  <c r="A219" i="38"/>
  <c r="C435" i="1"/>
  <c r="C485" i="1"/>
  <c r="C535" i="1"/>
  <c r="K485" i="1"/>
  <c r="K535" i="1"/>
  <c r="G213" i="1"/>
  <c r="K212" i="1"/>
  <c r="D216" i="1"/>
  <c r="J343" i="1"/>
  <c r="E53" i="57"/>
  <c r="E52" i="57"/>
  <c r="L698" i="1"/>
  <c r="B12" i="5"/>
  <c r="B10" i="5"/>
  <c r="B136" i="5"/>
  <c r="B133" i="5"/>
  <c r="B134" i="5"/>
  <c r="B135" i="5"/>
  <c r="B132" i="5"/>
  <c r="B69" i="28"/>
  <c r="B70" i="28"/>
  <c r="B71" i="28"/>
  <c r="B107" i="2"/>
  <c r="B110" i="2"/>
  <c r="D35" i="29"/>
  <c r="M387" i="38"/>
  <c r="M32" i="35"/>
  <c r="M597" i="39"/>
  <c r="N405" i="34"/>
  <c r="N284" i="6"/>
  <c r="N146" i="6"/>
  <c r="M95" i="37"/>
  <c r="N325" i="6"/>
  <c r="M377" i="38"/>
  <c r="M429" i="39"/>
  <c r="M135" i="37"/>
  <c r="M705" i="38"/>
  <c r="M516" i="8"/>
  <c r="M84" i="7"/>
  <c r="M511" i="39"/>
  <c r="M57" i="35"/>
  <c r="M642" i="39"/>
  <c r="M456" i="38"/>
  <c r="M543" i="38"/>
  <c r="N397" i="34"/>
  <c r="M376" i="39"/>
  <c r="M571" i="39"/>
  <c r="M661" i="8"/>
  <c r="N331" i="6"/>
  <c r="M356" i="8"/>
  <c r="M652" i="8"/>
  <c r="M647" i="8"/>
  <c r="M73" i="37"/>
  <c r="M516" i="38"/>
  <c r="M542" i="8"/>
  <c r="M117" i="35"/>
  <c r="M114" i="35"/>
  <c r="N387" i="30"/>
  <c r="N341" i="34"/>
  <c r="N188" i="6"/>
  <c r="M693" i="38"/>
  <c r="N323" i="6"/>
  <c r="M636" i="39"/>
  <c r="M38" i="7"/>
  <c r="N144" i="30"/>
  <c r="M107" i="37"/>
  <c r="M567" i="38"/>
  <c r="M569" i="38"/>
  <c r="M657" i="8"/>
  <c r="M645" i="38"/>
  <c r="M515" i="38"/>
  <c r="M73" i="35"/>
  <c r="M4" i="9"/>
  <c r="N324" i="34"/>
  <c r="M22" i="37"/>
  <c r="M573" i="39"/>
  <c r="N387" i="34"/>
  <c r="M124" i="37"/>
  <c r="M161" i="37"/>
  <c r="M434" i="8"/>
  <c r="M36" i="35"/>
  <c r="M670" i="39"/>
  <c r="M543" i="39"/>
  <c r="M689" i="38"/>
  <c r="M648" i="38"/>
  <c r="M693" i="39"/>
  <c r="M48" i="7"/>
  <c r="M174" i="35"/>
  <c r="M526" i="8"/>
  <c r="M701" i="38"/>
  <c r="M617" i="39"/>
  <c r="M49" i="37"/>
  <c r="M619" i="39"/>
  <c r="M458" i="38"/>
  <c r="M573" i="8"/>
  <c r="M114" i="7"/>
  <c r="G154" i="2"/>
  <c r="M660" i="38"/>
  <c r="M445" i="8"/>
  <c r="M236" i="8"/>
  <c r="M588" i="38"/>
  <c r="M29" i="7"/>
  <c r="N195" i="6"/>
  <c r="M75" i="37"/>
  <c r="M116" i="35"/>
  <c r="M238" i="8"/>
  <c r="M50" i="7"/>
  <c r="M58" i="7"/>
  <c r="M540" i="8"/>
  <c r="N185" i="6"/>
  <c r="M115" i="7"/>
  <c r="M630" i="8"/>
  <c r="N326" i="30"/>
  <c r="M684" i="8"/>
  <c r="N135" i="34"/>
  <c r="M683" i="8"/>
  <c r="N131" i="34"/>
  <c r="M444" i="8"/>
  <c r="M358" i="38"/>
  <c r="M646" i="8"/>
  <c r="K41" i="8"/>
  <c r="E41" i="8"/>
  <c r="H41" i="8"/>
  <c r="D46" i="38"/>
  <c r="A414" i="38"/>
  <c r="K644" i="1"/>
  <c r="E644" i="1"/>
  <c r="L644" i="1"/>
  <c r="D644" i="1"/>
  <c r="F644" i="1"/>
  <c r="J644" i="1"/>
  <c r="C644" i="1"/>
  <c r="G644" i="1"/>
  <c r="L70" i="6"/>
  <c r="D74" i="6"/>
  <c r="A325" i="6"/>
  <c r="A321" i="6"/>
  <c r="E58" i="6"/>
  <c r="A18" i="27"/>
  <c r="A208" i="8"/>
  <c r="D76" i="6"/>
  <c r="H77" i="6"/>
  <c r="I71" i="6"/>
  <c r="B148" i="29"/>
  <c r="A63" i="31"/>
  <c r="A9" i="28"/>
  <c r="B133" i="4"/>
  <c r="G46" i="6"/>
  <c r="D45" i="6"/>
  <c r="A193" i="6"/>
  <c r="A322" i="6"/>
  <c r="H44" i="6"/>
  <c r="H74" i="6"/>
  <c r="G77" i="6"/>
  <c r="E48" i="6"/>
  <c r="E48" i="34"/>
  <c r="J45" i="6"/>
  <c r="A403" i="34"/>
  <c r="A401" i="34"/>
  <c r="A356" i="6"/>
  <c r="A357" i="6"/>
  <c r="E43" i="6"/>
  <c r="H48" i="6"/>
  <c r="A321" i="30"/>
  <c r="F46" i="6"/>
  <c r="H43" i="6"/>
  <c r="I45" i="6"/>
  <c r="D49" i="6"/>
  <c r="K50" i="6"/>
  <c r="G43" i="6"/>
  <c r="G44" i="6"/>
  <c r="E45" i="6"/>
  <c r="J46" i="6"/>
  <c r="G47" i="6"/>
  <c r="K48" i="6"/>
  <c r="E47" i="6"/>
  <c r="H47" i="6"/>
  <c r="B139" i="4"/>
  <c r="B135" i="4"/>
  <c r="A630" i="8"/>
  <c r="A5" i="5"/>
  <c r="A62" i="31"/>
  <c r="A20" i="31"/>
  <c r="A423" i="34"/>
  <c r="A95" i="37"/>
  <c r="A118" i="7"/>
  <c r="B242" i="1"/>
  <c r="A41" i="27"/>
  <c r="C50" i="6"/>
  <c r="I15" i="37"/>
  <c r="A197" i="6"/>
  <c r="A693" i="39"/>
  <c r="A222" i="38"/>
  <c r="A143" i="38"/>
  <c r="A68" i="38"/>
  <c r="A690" i="39"/>
  <c r="B101" i="2"/>
  <c r="A160" i="37"/>
  <c r="J15" i="37"/>
  <c r="A151" i="7"/>
  <c r="A153" i="7"/>
  <c r="A11" i="27"/>
  <c r="A251" i="8"/>
  <c r="A304" i="39"/>
  <c r="A459" i="38"/>
  <c r="A454" i="38"/>
  <c r="J277" i="1"/>
  <c r="C277" i="1"/>
  <c r="A133" i="28"/>
  <c r="A135" i="28"/>
  <c r="J255" i="1"/>
  <c r="G255" i="1"/>
  <c r="C255" i="1"/>
  <c r="D255" i="1"/>
  <c r="K255" i="1"/>
  <c r="K256" i="1"/>
  <c r="J712" i="8"/>
  <c r="A74" i="32"/>
  <c r="A71" i="32"/>
  <c r="A77" i="7"/>
  <c r="A75" i="7"/>
  <c r="A134" i="6"/>
  <c r="A136" i="6"/>
  <c r="A137" i="6"/>
  <c r="A130" i="6"/>
  <c r="B226" i="1"/>
  <c r="A326" i="38"/>
  <c r="A463" i="38"/>
  <c r="A539" i="38"/>
  <c r="K229" i="1"/>
  <c r="F230" i="1"/>
  <c r="H365" i="1"/>
  <c r="N429" i="6" a="1"/>
  <c r="N429" i="6"/>
  <c r="M156" i="37"/>
  <c r="M500" i="39"/>
  <c r="M638" i="8"/>
  <c r="N200" i="6"/>
  <c r="N275" i="34"/>
  <c r="N277" i="30"/>
  <c r="M626" i="38"/>
  <c r="N265" i="30"/>
  <c r="M48" i="35"/>
  <c r="N197" i="6"/>
  <c r="M692" i="39"/>
  <c r="M84" i="35"/>
  <c r="M694" i="8"/>
  <c r="M154" i="35"/>
  <c r="M596" i="39"/>
  <c r="N335" i="34"/>
  <c r="M86" i="35"/>
  <c r="M579" i="38"/>
  <c r="N194" i="34"/>
  <c r="N130" i="30"/>
  <c r="M154" i="37"/>
  <c r="N403" i="6"/>
  <c r="M522" i="8"/>
  <c r="M510" i="8"/>
  <c r="M369" i="8"/>
  <c r="N393" i="34"/>
  <c r="M430" i="39"/>
  <c r="N407" i="6"/>
  <c r="M616" i="39"/>
  <c r="N393" i="6"/>
  <c r="N326" i="34"/>
  <c r="N402" i="34"/>
  <c r="M695" i="38"/>
  <c r="M535" i="38"/>
  <c r="M588" i="39"/>
  <c r="N200" i="30"/>
  <c r="M235" i="38"/>
  <c r="M109" i="35"/>
  <c r="M656" i="8"/>
  <c r="M688" i="8"/>
  <c r="M67" i="7"/>
  <c r="M534" i="39"/>
  <c r="N395" i="6"/>
  <c r="M627" i="8"/>
  <c r="M373" i="8"/>
  <c r="M706" i="8"/>
  <c r="M426" i="39"/>
  <c r="M637" i="38"/>
  <c r="C39" i="39"/>
  <c r="N286" i="30"/>
  <c r="M146" i="37"/>
  <c r="M45" i="37"/>
  <c r="M457" i="8"/>
  <c r="M129" i="35"/>
  <c r="M153" i="37"/>
  <c r="M237" i="8"/>
  <c r="M659" i="39"/>
  <c r="M497" i="39"/>
  <c r="M63" i="35"/>
  <c r="M129" i="37"/>
  <c r="M364" i="38"/>
  <c r="M601" i="38"/>
  <c r="M34" i="7"/>
  <c r="M54" i="35"/>
  <c r="N397" i="6"/>
  <c r="M123" i="35"/>
  <c r="M654" i="8"/>
  <c r="M44" i="7"/>
  <c r="N272" i="30"/>
  <c r="M82" i="35"/>
  <c r="M447" i="8"/>
  <c r="N199" i="6"/>
  <c r="M689" i="8"/>
  <c r="N442" i="30"/>
  <c r="M533" i="38"/>
  <c r="M35" i="35"/>
  <c r="M459" i="8"/>
  <c r="N132" i="6"/>
  <c r="M114" i="37"/>
  <c r="M617" i="8"/>
  <c r="M156" i="35"/>
  <c r="N184" i="34"/>
  <c r="M375" i="8"/>
  <c r="N341" i="30"/>
  <c r="N290" i="34"/>
  <c r="M448" i="39"/>
  <c r="M624" i="39"/>
  <c r="M385" i="39"/>
  <c r="M624" i="38"/>
  <c r="M608" i="39"/>
  <c r="N320" i="30"/>
  <c r="M132" i="35"/>
  <c r="M533" i="39"/>
  <c r="M23" i="9"/>
  <c r="M164" i="7"/>
  <c r="N340" i="34"/>
  <c r="M31" i="9"/>
  <c r="M56" i="7"/>
  <c r="M504" i="8"/>
  <c r="M33" i="9"/>
  <c r="M362" i="39"/>
  <c r="N334" i="6"/>
  <c r="N265" i="34"/>
  <c r="M453" i="38"/>
  <c r="M682" i="39"/>
  <c r="N320" i="34"/>
  <c r="M699" i="38"/>
  <c r="M556" i="38"/>
  <c r="N332" i="30"/>
  <c r="N321" i="6"/>
  <c r="M26" i="7"/>
  <c r="M683" i="39"/>
  <c r="M499" i="39"/>
  <c r="N143" i="30"/>
  <c r="N329" i="30"/>
  <c r="M584" i="39"/>
  <c r="M623" i="8"/>
  <c r="M373" i="38"/>
  <c r="M134" i="7"/>
  <c r="N335" i="6"/>
  <c r="M28" i="7"/>
  <c r="M148" i="7"/>
  <c r="M29" i="35"/>
  <c r="M365" i="39"/>
  <c r="M453" i="39"/>
  <c r="M38" i="35"/>
  <c r="M366" i="39"/>
  <c r="M118" i="7"/>
  <c r="M530" i="39"/>
  <c r="M607" i="8"/>
  <c r="M538" i="39"/>
  <c r="M581" i="39"/>
  <c r="M547" i="38"/>
  <c r="M103" i="7"/>
  <c r="M606" i="8"/>
  <c r="M536" i="8"/>
  <c r="M87" i="35"/>
  <c r="N145" i="6"/>
  <c r="N140" i="30"/>
  <c r="M635" i="8"/>
  <c r="M50" i="35"/>
  <c r="N270" i="34"/>
  <c r="N392" i="34"/>
  <c r="M366" i="8"/>
  <c r="M650" i="8"/>
  <c r="N197" i="34"/>
  <c r="M63" i="7"/>
  <c r="N178" i="6"/>
  <c r="M580" i="38"/>
  <c r="M675" i="8"/>
  <c r="M673" i="8"/>
  <c r="M572" i="38"/>
  <c r="M33" i="7"/>
  <c r="M437" i="8"/>
  <c r="M168" i="37"/>
  <c r="N384" i="34"/>
  <c r="M671" i="39"/>
  <c r="M385" i="38"/>
  <c r="M668" i="39"/>
  <c r="N135" i="30"/>
  <c r="G147" i="2"/>
  <c r="M458" i="8"/>
  <c r="M444" i="39"/>
  <c r="N409" i="30" a="1"/>
  <c r="M117" i="37"/>
  <c r="M670" i="8"/>
  <c r="M79" i="7"/>
  <c r="N388" i="6"/>
  <c r="M644" i="8"/>
  <c r="M700" i="38"/>
  <c r="M621" i="39"/>
  <c r="M118" i="35"/>
  <c r="N334" i="34"/>
  <c r="M30" i="37"/>
  <c r="N287" i="34"/>
  <c r="M602" i="8"/>
  <c r="M561" i="39"/>
  <c r="B39" i="39"/>
  <c r="M49" i="35"/>
  <c r="M128" i="35"/>
  <c r="M50" i="37"/>
  <c r="N194" i="6"/>
  <c r="M639" i="8"/>
  <c r="M589" i="38"/>
  <c r="M108" i="35"/>
  <c r="M359" i="39"/>
  <c r="M612" i="39"/>
  <c r="M428" i="38"/>
  <c r="M89" i="7"/>
  <c r="N266" i="30"/>
  <c r="M366" i="38"/>
  <c r="N272" i="34"/>
  <c r="M630" i="39"/>
  <c r="M70" i="7"/>
  <c r="M166" i="7"/>
  <c r="M367" i="8"/>
  <c r="M164" i="37"/>
  <c r="D39" i="39"/>
  <c r="M87" i="7"/>
  <c r="M24" i="7"/>
  <c r="M116" i="37"/>
  <c r="M357" i="8"/>
  <c r="M634" i="38"/>
  <c r="M455" i="39"/>
  <c r="N190" i="6"/>
  <c r="M376" i="8"/>
  <c r="N281" i="30"/>
  <c r="M698" i="8"/>
  <c r="M138" i="7"/>
  <c r="M597" i="38"/>
  <c r="M611" i="38"/>
  <c r="M593" i="8"/>
  <c r="M387" i="8"/>
  <c r="M678" i="8"/>
  <c r="M365" i="38"/>
  <c r="M661" i="38"/>
  <c r="M691" i="38"/>
  <c r="N271" i="6"/>
  <c r="N143" i="34"/>
  <c r="N132" i="30"/>
  <c r="M527" i="38"/>
  <c r="M362" i="38"/>
  <c r="M597" i="8"/>
  <c r="M590" i="39"/>
  <c r="M596" i="38"/>
  <c r="M137" i="7"/>
  <c r="N383" i="6"/>
  <c r="N325" i="30"/>
  <c r="M165" i="7"/>
  <c r="M93" i="7"/>
  <c r="M89" i="35"/>
  <c r="M36" i="37"/>
  <c r="M437" i="38"/>
  <c r="M378" i="38"/>
  <c r="M57" i="7"/>
  <c r="A653" i="1"/>
  <c r="A676" i="1"/>
  <c r="A6" i="3"/>
  <c r="A8" i="3"/>
  <c r="A73" i="5"/>
  <c r="A68" i="5"/>
  <c r="A69" i="5"/>
  <c r="A74" i="5"/>
  <c r="A172" i="6"/>
  <c r="A376" i="6"/>
  <c r="A377" i="6"/>
  <c r="A396" i="6"/>
  <c r="A393" i="6"/>
  <c r="A67" i="28"/>
  <c r="A171" i="30"/>
  <c r="A28" i="31"/>
  <c r="A27" i="31"/>
  <c r="A72" i="31"/>
  <c r="A73" i="31"/>
  <c r="A36" i="32"/>
  <c r="A41" i="32"/>
  <c r="A34" i="8"/>
  <c r="A25" i="7"/>
  <c r="A26" i="7"/>
  <c r="A24" i="7"/>
  <c r="A29" i="7"/>
  <c r="A65" i="7"/>
  <c r="A64" i="7"/>
  <c r="A67" i="7"/>
  <c r="A96" i="7"/>
  <c r="A97" i="7"/>
  <c r="A141" i="7"/>
  <c r="A142" i="7"/>
  <c r="A176" i="7"/>
  <c r="A173" i="7"/>
  <c r="A669" i="8"/>
  <c r="A46" i="35"/>
  <c r="A154" i="35"/>
  <c r="A153" i="35"/>
  <c r="A29" i="37"/>
  <c r="A27" i="37"/>
  <c r="A124" i="37"/>
  <c r="A125" i="37"/>
  <c r="A171" i="37"/>
  <c r="A176" i="37"/>
  <c r="A173" i="37"/>
  <c r="A174" i="37"/>
  <c r="A175" i="37"/>
  <c r="A9" i="39"/>
  <c r="A8" i="39"/>
  <c r="A12" i="39"/>
  <c r="A37" i="39"/>
  <c r="A35" i="39"/>
  <c r="A34" i="39"/>
  <c r="A103" i="39"/>
  <c r="A108" i="39"/>
  <c r="A109" i="39"/>
  <c r="A107" i="39"/>
  <c r="A282" i="39"/>
  <c r="A284" i="39"/>
  <c r="A285" i="39"/>
  <c r="A319" i="39"/>
  <c r="A320" i="39"/>
  <c r="A323" i="39"/>
  <c r="A498" i="39"/>
  <c r="A535" i="39"/>
  <c r="A533" i="39"/>
  <c r="A574" i="39"/>
  <c r="A138" i="7"/>
  <c r="B152" i="1"/>
  <c r="B155" i="1"/>
  <c r="B154" i="1"/>
  <c r="B156" i="1"/>
  <c r="B228" i="1"/>
  <c r="B234" i="1"/>
  <c r="A121" i="38"/>
  <c r="A160" i="38"/>
  <c r="A200" i="38"/>
  <c r="A202" i="38"/>
  <c r="A203" i="38"/>
  <c r="A197" i="38"/>
  <c r="A270" i="38"/>
  <c r="A336" i="38"/>
  <c r="A335" i="38"/>
  <c r="A434" i="38"/>
  <c r="A437" i="38"/>
  <c r="A519" i="38"/>
  <c r="B139" i="40"/>
  <c r="G366" i="1"/>
  <c r="A89" i="6"/>
  <c r="A172" i="7"/>
  <c r="A24" i="31"/>
  <c r="A76" i="31"/>
  <c r="A597" i="8"/>
  <c r="A603" i="8"/>
  <c r="A67" i="5"/>
  <c r="A70" i="28"/>
  <c r="B231" i="1"/>
  <c r="A139" i="7"/>
  <c r="A398" i="6"/>
  <c r="B159" i="1"/>
  <c r="A38" i="32"/>
  <c r="A126" i="37"/>
  <c r="A201" i="38"/>
  <c r="A177" i="37"/>
  <c r="A634" i="8"/>
  <c r="A150" i="35"/>
  <c r="A156" i="35"/>
  <c r="A23" i="7"/>
  <c r="A172" i="37"/>
  <c r="A145" i="7"/>
  <c r="A287" i="39"/>
  <c r="A106" i="39"/>
  <c r="A286" i="39"/>
  <c r="N410" i="34"/>
  <c r="A75" i="27"/>
  <c r="A173" i="30"/>
  <c r="A23" i="31"/>
  <c r="A29" i="31"/>
  <c r="A383" i="34"/>
  <c r="A37" i="32"/>
  <c r="A40" i="32"/>
  <c r="A69" i="31"/>
  <c r="A602" i="8"/>
  <c r="A72" i="5"/>
  <c r="A104" i="39"/>
  <c r="A170" i="37"/>
  <c r="A92" i="7"/>
  <c r="A66" i="7"/>
  <c r="A26" i="37"/>
  <c r="A10" i="39"/>
  <c r="L216" i="1"/>
  <c r="B11" i="5"/>
  <c r="B7" i="5"/>
  <c r="K83" i="6"/>
  <c r="A303" i="6"/>
  <c r="A266" i="6"/>
  <c r="K214" i="1"/>
  <c r="A48" i="27"/>
  <c r="C41" i="8"/>
  <c r="J41" i="8"/>
  <c r="A157" i="7"/>
  <c r="A156" i="7"/>
  <c r="A152" i="7"/>
  <c r="A689" i="39"/>
  <c r="A687" i="39"/>
  <c r="E255" i="1"/>
  <c r="I255" i="1"/>
  <c r="A33" i="38"/>
  <c r="A306" i="6"/>
  <c r="B289" i="1"/>
  <c r="B355" i="1"/>
  <c r="B378" i="1"/>
  <c r="B400" i="1"/>
  <c r="B422" i="1"/>
  <c r="I215" i="1"/>
  <c r="K216" i="1"/>
  <c r="A135" i="6"/>
  <c r="A133" i="6"/>
  <c r="E228" i="1"/>
  <c r="G233" i="1"/>
  <c r="B129" i="32"/>
  <c r="N286" i="34"/>
  <c r="M580" i="8"/>
  <c r="M520" i="8"/>
  <c r="M167" i="37"/>
  <c r="N270" i="6"/>
  <c r="N142" i="6"/>
  <c r="M574" i="38"/>
  <c r="M521" i="39"/>
  <c r="M589" i="39"/>
  <c r="M90" i="37"/>
  <c r="M125" i="35"/>
  <c r="M554" i="38"/>
  <c r="A36" i="3"/>
  <c r="A34" i="3"/>
  <c r="A33" i="3"/>
  <c r="A37" i="3"/>
  <c r="A35" i="3"/>
  <c r="A37" i="28"/>
  <c r="A41" i="28"/>
  <c r="A39" i="28"/>
  <c r="A36" i="28"/>
  <c r="A40" i="28"/>
  <c r="I28" i="30"/>
  <c r="H28" i="30"/>
  <c r="C28" i="30"/>
  <c r="J28" i="30"/>
  <c r="E28" i="30"/>
  <c r="D28" i="30"/>
  <c r="A338" i="30"/>
  <c r="A339" i="30"/>
  <c r="A340" i="30"/>
  <c r="A343" i="30"/>
  <c r="A18" i="8"/>
  <c r="A22" i="8"/>
  <c r="A52" i="35"/>
  <c r="A119" i="35"/>
  <c r="A63" i="37"/>
  <c r="A65" i="37"/>
  <c r="A68" i="37"/>
  <c r="A62" i="37"/>
  <c r="A69" i="37"/>
  <c r="A64" i="37"/>
  <c r="A67" i="37"/>
  <c r="A66" i="37"/>
  <c r="A102" i="37"/>
  <c r="A107" i="37"/>
  <c r="A109" i="37"/>
  <c r="A108" i="37"/>
  <c r="A105" i="37"/>
  <c r="A103" i="37"/>
  <c r="A104" i="37"/>
  <c r="A118" i="39"/>
  <c r="A113" i="39"/>
  <c r="A112" i="39"/>
  <c r="A115" i="39"/>
  <c r="A117" i="39"/>
  <c r="A114" i="39"/>
  <c r="A169" i="39"/>
  <c r="A172" i="39"/>
  <c r="A247" i="39"/>
  <c r="A252" i="39"/>
  <c r="A251" i="39"/>
  <c r="A249" i="39"/>
  <c r="A546" i="39"/>
  <c r="A634" i="39"/>
  <c r="A240" i="1"/>
  <c r="A242" i="1"/>
  <c r="A239" i="1"/>
  <c r="A243" i="1"/>
  <c r="A244" i="1"/>
  <c r="A241" i="1"/>
  <c r="A238" i="1"/>
  <c r="A237" i="1"/>
  <c r="A6" i="38"/>
  <c r="A119" i="38"/>
  <c r="A608" i="38"/>
  <c r="A609" i="38"/>
  <c r="A605" i="38"/>
  <c r="A606" i="38"/>
  <c r="A691" i="38"/>
  <c r="A688" i="38"/>
  <c r="E4" i="3"/>
  <c r="A129" i="32"/>
  <c r="B103" i="28"/>
  <c r="B103" i="32"/>
  <c r="B100" i="28"/>
  <c r="B104" i="28"/>
  <c r="B105" i="28"/>
  <c r="B98" i="28"/>
  <c r="B106" i="28"/>
  <c r="B101" i="28"/>
  <c r="B102" i="28"/>
  <c r="B99" i="28"/>
  <c r="J198" i="57"/>
  <c r="H4" i="27"/>
  <c r="E4" i="27"/>
  <c r="G4" i="28"/>
  <c r="L4" i="28"/>
  <c r="C4" i="28"/>
  <c r="F4" i="28"/>
  <c r="H4" i="28"/>
  <c r="K4" i="28"/>
  <c r="J4" i="28"/>
  <c r="D4" i="28"/>
  <c r="A190" i="34"/>
  <c r="A360" i="34"/>
  <c r="A72" i="35"/>
  <c r="A147" i="37"/>
  <c r="A143" i="37"/>
  <c r="A144" i="37"/>
  <c r="A141" i="37"/>
  <c r="J41" i="39"/>
  <c r="I41" i="39"/>
  <c r="D41" i="39"/>
  <c r="E41" i="39"/>
  <c r="A216" i="39"/>
  <c r="A450" i="39"/>
  <c r="A584" i="39"/>
  <c r="K142" i="1"/>
  <c r="J382" i="1"/>
  <c r="J378" i="1"/>
  <c r="G376" i="1"/>
  <c r="F381" i="1"/>
  <c r="D381" i="1"/>
  <c r="K381" i="1"/>
  <c r="C376" i="1"/>
  <c r="F382" i="1"/>
  <c r="E378" i="1"/>
  <c r="K382" i="1"/>
  <c r="C383" i="1"/>
  <c r="G382" i="1"/>
  <c r="F380" i="1"/>
  <c r="D380" i="1"/>
  <c r="L380" i="1"/>
  <c r="I377" i="1"/>
  <c r="J381" i="1"/>
  <c r="J383" i="1"/>
  <c r="H382" i="1"/>
  <c r="H376" i="1"/>
  <c r="C382" i="1"/>
  <c r="F378" i="1"/>
  <c r="D378" i="1"/>
  <c r="G378" i="1"/>
  <c r="L382" i="1"/>
  <c r="H380" i="1"/>
  <c r="D377" i="1"/>
  <c r="L376" i="1"/>
  <c r="J377" i="1"/>
  <c r="F376" i="1"/>
  <c r="F383" i="1"/>
  <c r="I379" i="1"/>
  <c r="D383" i="1"/>
  <c r="A6" i="6"/>
  <c r="A7" i="6"/>
  <c r="A8" i="6"/>
  <c r="A11" i="6"/>
  <c r="A9" i="6"/>
  <c r="A5" i="6"/>
  <c r="A10" i="6"/>
  <c r="A4" i="6"/>
  <c r="A102" i="6"/>
  <c r="E50" i="30"/>
  <c r="A410" i="30"/>
  <c r="K44" i="30"/>
  <c r="D34" i="40"/>
  <c r="A38" i="28"/>
  <c r="A173" i="39"/>
  <c r="D47" i="30"/>
  <c r="D47" i="34"/>
  <c r="E43" i="30"/>
  <c r="C43" i="30"/>
  <c r="D45" i="30"/>
  <c r="H50" i="30"/>
  <c r="H50" i="34"/>
  <c r="C49" i="30"/>
  <c r="C49" i="34"/>
  <c r="I46" i="30"/>
  <c r="H43" i="30"/>
  <c r="F46" i="30"/>
  <c r="A103" i="5"/>
  <c r="A104" i="5"/>
  <c r="A99" i="5"/>
  <c r="A34" i="27"/>
  <c r="A36" i="27"/>
  <c r="A39" i="27"/>
  <c r="A38" i="27"/>
  <c r="A35" i="27"/>
  <c r="A32" i="27"/>
  <c r="A33" i="27"/>
  <c r="A37" i="27"/>
  <c r="B140" i="29"/>
  <c r="B135" i="29"/>
  <c r="B134" i="29"/>
  <c r="B139" i="29"/>
  <c r="A38" i="30"/>
  <c r="A39" i="30"/>
  <c r="A34" i="30"/>
  <c r="A37" i="30"/>
  <c r="A243" i="34"/>
  <c r="A240" i="34"/>
  <c r="A245" i="34"/>
  <c r="A238" i="34"/>
  <c r="A50" i="8"/>
  <c r="A54" i="8"/>
  <c r="A52" i="8"/>
  <c r="A56" i="8"/>
  <c r="A98" i="35"/>
  <c r="A34" i="37"/>
  <c r="A33" i="37"/>
  <c r="A39" i="37"/>
  <c r="A35" i="37"/>
  <c r="A37" i="37"/>
  <c r="A82" i="37"/>
  <c r="A83" i="37"/>
  <c r="A89" i="37"/>
  <c r="A88" i="37"/>
  <c r="A87" i="37"/>
  <c r="A86" i="37"/>
  <c r="A84" i="37"/>
  <c r="A85" i="37"/>
  <c r="A142" i="39"/>
  <c r="A139" i="39"/>
  <c r="A143" i="39"/>
  <c r="A145" i="39"/>
  <c r="A141" i="39"/>
  <c r="A140" i="39"/>
  <c r="A191" i="39"/>
  <c r="A193" i="39"/>
  <c r="A187" i="39"/>
  <c r="A192" i="39"/>
  <c r="A188" i="39"/>
  <c r="A315" i="39"/>
  <c r="A513" i="39"/>
  <c r="A507" i="39"/>
  <c r="A509" i="39"/>
  <c r="A605" i="39"/>
  <c r="A608" i="39"/>
  <c r="A415" i="30"/>
  <c r="F209" i="1"/>
  <c r="G209" i="1"/>
  <c r="J209" i="1"/>
  <c r="D209" i="1"/>
  <c r="H209" i="1"/>
  <c r="I209" i="1"/>
  <c r="L209" i="1"/>
  <c r="C209" i="1"/>
  <c r="A261" i="38"/>
  <c r="A633" i="38"/>
  <c r="A632" i="38"/>
  <c r="A637" i="38"/>
  <c r="A639" i="38"/>
  <c r="A635" i="38"/>
  <c r="A638" i="38"/>
  <c r="A665" i="38"/>
  <c r="A663" i="38"/>
  <c r="A659" i="38"/>
  <c r="A664" i="38"/>
  <c r="M35" i="4"/>
  <c r="G35" i="4"/>
  <c r="J35" i="4"/>
  <c r="F35" i="4"/>
  <c r="H35" i="4"/>
  <c r="B37" i="5"/>
  <c r="B41" i="5"/>
  <c r="B41" i="32"/>
  <c r="B38" i="5"/>
  <c r="B43" i="5"/>
  <c r="B39" i="5"/>
  <c r="B42" i="5"/>
  <c r="B40" i="5"/>
  <c r="C131" i="4"/>
  <c r="C131" i="29"/>
  <c r="L149" i="57"/>
  <c r="J160" i="57"/>
  <c r="A43" i="1"/>
  <c r="A45" i="1"/>
  <c r="A48" i="1"/>
  <c r="A44" i="1"/>
  <c r="A42" i="1"/>
  <c r="A46" i="1"/>
  <c r="A49" i="1"/>
  <c r="A47" i="1"/>
  <c r="A103" i="6"/>
  <c r="F49" i="30"/>
  <c r="K29" i="6"/>
  <c r="A38" i="3"/>
  <c r="E209" i="1"/>
  <c r="G44" i="30"/>
  <c r="L46" i="30"/>
  <c r="J45" i="30"/>
  <c r="G46" i="30"/>
  <c r="A290" i="34"/>
  <c r="A24" i="8"/>
  <c r="A692" i="38"/>
  <c r="E44" i="30"/>
  <c r="A100" i="30"/>
  <c r="E49" i="30"/>
  <c r="E49" i="34"/>
  <c r="D46" i="30"/>
  <c r="L47" i="30"/>
  <c r="E45" i="30"/>
  <c r="A241" i="34"/>
  <c r="E48" i="30"/>
  <c r="A7" i="38"/>
  <c r="A189" i="39"/>
  <c r="A190" i="39"/>
  <c r="A40" i="30"/>
  <c r="K379" i="1"/>
  <c r="A661" i="38"/>
  <c r="A38" i="37"/>
  <c r="A116" i="39"/>
  <c r="B36" i="5"/>
  <c r="B36" i="32"/>
  <c r="K198" i="57"/>
  <c r="N437" i="34"/>
  <c r="G79" i="30"/>
  <c r="A38" i="5"/>
  <c r="A5" i="3"/>
  <c r="G162" i="1"/>
  <c r="I162" i="1"/>
  <c r="D162" i="1"/>
  <c r="A60" i="3"/>
  <c r="L37" i="6"/>
  <c r="L34" i="6"/>
  <c r="J37" i="6"/>
  <c r="G36" i="6"/>
  <c r="E41" i="6"/>
  <c r="H35" i="6"/>
  <c r="E70" i="6"/>
  <c r="I76" i="6"/>
  <c r="J76" i="6"/>
  <c r="G37" i="6"/>
  <c r="K39" i="6"/>
  <c r="K162" i="1"/>
  <c r="A566" i="8"/>
  <c r="A563" i="8"/>
  <c r="A85" i="7"/>
  <c r="A150" i="7"/>
  <c r="A155" i="7"/>
  <c r="E3" i="9"/>
  <c r="A675" i="38"/>
  <c r="A205" i="6"/>
  <c r="H255" i="1"/>
  <c r="I348" i="1"/>
  <c r="F255" i="1"/>
  <c r="L255" i="1"/>
  <c r="A220" i="8"/>
  <c r="A326" i="30"/>
  <c r="A319" i="30"/>
  <c r="A74" i="7"/>
  <c r="A78" i="7"/>
  <c r="A73" i="7"/>
  <c r="A525" i="39"/>
  <c r="B224" i="1"/>
  <c r="B225" i="1"/>
  <c r="A260" i="6"/>
  <c r="A263" i="6"/>
  <c r="A61" i="31"/>
  <c r="A130" i="8"/>
  <c r="A418" i="38"/>
  <c r="A420" i="38"/>
  <c r="F231" i="1"/>
  <c r="I234" i="1"/>
  <c r="D235" i="1"/>
  <c r="C234" i="1"/>
  <c r="A91" i="34"/>
  <c r="I15" i="35"/>
  <c r="K15" i="35"/>
  <c r="B72" i="28"/>
  <c r="B68" i="28"/>
  <c r="A677" i="1"/>
  <c r="A649" i="1"/>
  <c r="A678" i="1"/>
  <c r="A650" i="1"/>
  <c r="A682" i="1"/>
  <c r="A296" i="39"/>
  <c r="A364" i="6"/>
  <c r="A53" i="6"/>
  <c r="A5" i="27"/>
  <c r="A440" i="1"/>
  <c r="A490" i="1"/>
  <c r="A540" i="1"/>
  <c r="F343" i="1"/>
  <c r="A101" i="8"/>
  <c r="A100" i="8"/>
  <c r="A629" i="8"/>
  <c r="A627" i="8"/>
  <c r="A625" i="8"/>
  <c r="A578" i="39"/>
  <c r="A585" i="39"/>
  <c r="B5" i="5"/>
  <c r="B8" i="5"/>
  <c r="B8" i="32"/>
  <c r="A101" i="6"/>
  <c r="A98" i="6"/>
  <c r="A97" i="6"/>
  <c r="A104" i="6"/>
  <c r="A100" i="6"/>
  <c r="A83" i="7"/>
  <c r="A36" i="37"/>
  <c r="A32" i="37"/>
  <c r="A422" i="38"/>
  <c r="A481" i="38"/>
  <c r="A70" i="27"/>
  <c r="A69" i="27"/>
  <c r="B73" i="28"/>
  <c r="B67" i="28"/>
  <c r="B74" i="28"/>
  <c r="D376" i="1"/>
  <c r="E376" i="1"/>
  <c r="H383" i="1"/>
  <c r="L379" i="1"/>
  <c r="G379" i="1"/>
  <c r="A669" i="1"/>
  <c r="A654" i="1"/>
  <c r="A681" i="1"/>
  <c r="A670" i="1"/>
  <c r="A651" i="1"/>
  <c r="A655" i="1"/>
  <c r="A667" i="1"/>
  <c r="A679" i="1"/>
  <c r="A683" i="1"/>
  <c r="A652" i="1"/>
  <c r="A660" i="1"/>
  <c r="A371" i="38"/>
  <c r="A376" i="38"/>
  <c r="A372" i="38"/>
  <c r="A378" i="38"/>
  <c r="N97" i="4"/>
  <c r="N123" i="29"/>
  <c r="N99" i="40"/>
  <c r="N123" i="40"/>
  <c r="N113" i="29"/>
  <c r="N125" i="40"/>
  <c r="N101" i="29"/>
  <c r="N95" i="40"/>
  <c r="N125" i="29"/>
  <c r="N127" i="29"/>
  <c r="N101" i="4"/>
  <c r="N102" i="29"/>
  <c r="N109" i="4"/>
  <c r="N102" i="40"/>
  <c r="N103" i="4"/>
  <c r="N127" i="4"/>
  <c r="N109" i="40"/>
  <c r="N96" i="29"/>
  <c r="N113" i="40"/>
  <c r="N113" i="4"/>
  <c r="N112" i="29"/>
  <c r="N109" i="29"/>
  <c r="N111" i="4"/>
  <c r="N112" i="40"/>
  <c r="N107" i="40"/>
  <c r="N126" i="29"/>
  <c r="N103" i="40"/>
  <c r="N98" i="40"/>
  <c r="N111" i="40"/>
  <c r="N101" i="40"/>
  <c r="N102" i="4"/>
  <c r="N126" i="40"/>
  <c r="N99" i="29"/>
  <c r="N103" i="29"/>
  <c r="N94" i="40"/>
  <c r="N97" i="40"/>
  <c r="N126" i="4"/>
  <c r="N123" i="4"/>
  <c r="N121" i="40"/>
  <c r="C182" i="40"/>
  <c r="C183" i="40"/>
  <c r="C179" i="40"/>
  <c r="C184" i="40"/>
  <c r="A206" i="39"/>
  <c r="A208" i="39"/>
  <c r="A209" i="39"/>
  <c r="A211" i="39"/>
  <c r="A207" i="39"/>
  <c r="A620" i="39"/>
  <c r="A683" i="39"/>
  <c r="A679" i="39"/>
  <c r="A414" i="6"/>
  <c r="A178" i="38"/>
  <c r="A184" i="38"/>
  <c r="A273" i="38"/>
  <c r="G72" i="30"/>
  <c r="G72" i="34"/>
  <c r="A180" i="38"/>
  <c r="A183" i="38"/>
  <c r="G141" i="1"/>
  <c r="J56" i="6"/>
  <c r="J56" i="34"/>
  <c r="H58" i="6"/>
  <c r="K55" i="6"/>
  <c r="K56" i="6"/>
  <c r="A421" i="6"/>
  <c r="F56" i="6"/>
  <c r="C182" i="4"/>
  <c r="D81" i="30"/>
  <c r="C180" i="40"/>
  <c r="N127" i="40"/>
  <c r="A213" i="39"/>
  <c r="A179" i="38"/>
  <c r="A191" i="8"/>
  <c r="A189" i="8"/>
  <c r="A193" i="8"/>
  <c r="A187" i="8"/>
  <c r="A309" i="8"/>
  <c r="A417" i="8"/>
  <c r="A421" i="8"/>
  <c r="A700" i="38"/>
  <c r="A697" i="38"/>
  <c r="A701" i="38"/>
  <c r="A702" i="38"/>
  <c r="C181" i="4"/>
  <c r="C178" i="4"/>
  <c r="C179" i="4"/>
  <c r="D74" i="30"/>
  <c r="C180" i="4"/>
  <c r="N96" i="4"/>
  <c r="A190" i="8"/>
  <c r="A188" i="8"/>
  <c r="N125" i="4"/>
  <c r="C177" i="4"/>
  <c r="L54" i="30"/>
  <c r="C177" i="40"/>
  <c r="C183" i="4"/>
  <c r="A16" i="3"/>
  <c r="A20" i="3"/>
  <c r="A18" i="3"/>
  <c r="A14" i="3"/>
  <c r="A17" i="3"/>
  <c r="B142" i="4"/>
  <c r="B148" i="4"/>
  <c r="B145" i="4"/>
  <c r="B143" i="4"/>
  <c r="B144" i="4"/>
  <c r="B149" i="4"/>
  <c r="A74" i="3"/>
  <c r="A76" i="3"/>
  <c r="A75" i="3"/>
  <c r="A71" i="3"/>
  <c r="A70" i="3"/>
  <c r="H55" i="6"/>
  <c r="E53" i="6"/>
  <c r="H53" i="6"/>
  <c r="H53" i="34"/>
  <c r="I58" i="6"/>
  <c r="E57" i="6"/>
  <c r="K59" i="6"/>
  <c r="G59" i="6"/>
  <c r="I54" i="6"/>
  <c r="L59" i="6"/>
  <c r="K58" i="6"/>
  <c r="J59" i="6"/>
  <c r="L57" i="6"/>
  <c r="L52" i="6"/>
  <c r="F55" i="6"/>
  <c r="J58" i="6"/>
  <c r="I57" i="6"/>
  <c r="I56" i="6"/>
  <c r="G55" i="6"/>
  <c r="D54" i="6"/>
  <c r="H56" i="6"/>
  <c r="J54" i="6"/>
  <c r="I55" i="6"/>
  <c r="I55" i="34"/>
  <c r="F52" i="6"/>
  <c r="C55" i="6"/>
  <c r="A251" i="6"/>
  <c r="A250" i="6"/>
  <c r="A406" i="6"/>
  <c r="A404" i="6"/>
  <c r="A401" i="6"/>
  <c r="A420" i="6"/>
  <c r="K35" i="29"/>
  <c r="I35" i="29"/>
  <c r="A61" i="34"/>
  <c r="A164" i="34"/>
  <c r="A253" i="34"/>
  <c r="A311" i="34"/>
  <c r="A144" i="8"/>
  <c r="A615" i="8"/>
  <c r="A10" i="35"/>
  <c r="A7" i="35"/>
  <c r="A23" i="35"/>
  <c r="A24" i="35"/>
  <c r="A27" i="35"/>
  <c r="A70" i="39"/>
  <c r="A73" i="39"/>
  <c r="A71" i="39"/>
  <c r="A67" i="39"/>
  <c r="A74" i="39"/>
  <c r="A72" i="39"/>
  <c r="A168" i="39"/>
  <c r="A171" i="39"/>
  <c r="A167" i="39"/>
  <c r="A174" i="39"/>
  <c r="A592" i="39"/>
  <c r="A646" i="39"/>
  <c r="A642" i="39"/>
  <c r="A137" i="30"/>
  <c r="A131" i="30"/>
  <c r="A132" i="30"/>
  <c r="A130" i="30"/>
  <c r="H141" i="1"/>
  <c r="I141" i="1"/>
  <c r="F141" i="1"/>
  <c r="E141" i="1"/>
  <c r="K141" i="1"/>
  <c r="A83" i="38"/>
  <c r="A302" i="38"/>
  <c r="A300" i="38"/>
  <c r="A303" i="38"/>
  <c r="A299" i="38"/>
  <c r="A301" i="38"/>
  <c r="A304" i="38"/>
  <c r="A306" i="38"/>
  <c r="A313" i="34"/>
  <c r="A400" i="6"/>
  <c r="A333" i="6"/>
  <c r="A73" i="3"/>
  <c r="A19" i="3"/>
  <c r="K54" i="6"/>
  <c r="C53" i="6"/>
  <c r="L58" i="6"/>
  <c r="L56" i="6"/>
  <c r="D57" i="6"/>
  <c r="J141" i="1"/>
  <c r="A103" i="28"/>
  <c r="A192" i="8"/>
  <c r="C181" i="40"/>
  <c r="A102" i="28"/>
  <c r="A69" i="3"/>
  <c r="N108" i="40"/>
  <c r="A170" i="39"/>
  <c r="A403" i="6"/>
  <c r="N96" i="40"/>
  <c r="A69" i="39"/>
  <c r="A100" i="28"/>
  <c r="K46" i="30"/>
  <c r="A27" i="3"/>
  <c r="H4" i="5"/>
  <c r="G4" i="5"/>
  <c r="A46" i="3"/>
  <c r="A47" i="3"/>
  <c r="L44" i="30"/>
  <c r="E224" i="1"/>
  <c r="A596" i="1"/>
  <c r="A702" i="1"/>
  <c r="A599" i="1"/>
  <c r="A705" i="1"/>
  <c r="A598" i="1"/>
  <c r="A704" i="1"/>
  <c r="A600" i="1"/>
  <c r="A706" i="1"/>
  <c r="A595" i="1"/>
  <c r="A701" i="1"/>
  <c r="J105" i="57"/>
  <c r="A129" i="28"/>
  <c r="A136" i="28"/>
  <c r="A131" i="28"/>
  <c r="A134" i="28"/>
  <c r="B100" i="5"/>
  <c r="B100" i="32"/>
  <c r="A93" i="7"/>
  <c r="A94" i="7"/>
  <c r="A98" i="7"/>
  <c r="A95" i="7"/>
  <c r="A144" i="7"/>
  <c r="A146" i="7"/>
  <c r="A147" i="7"/>
  <c r="A644" i="8"/>
  <c r="A647" i="8"/>
  <c r="A116" i="35"/>
  <c r="A166" i="35"/>
  <c r="A148" i="37"/>
  <c r="A146" i="37"/>
  <c r="A145" i="37"/>
  <c r="A99" i="39"/>
  <c r="A222" i="39"/>
  <c r="A402" i="39"/>
  <c r="A401" i="39"/>
  <c r="A426" i="39"/>
  <c r="A430" i="39"/>
  <c r="A425" i="39"/>
  <c r="A522" i="39"/>
  <c r="A548" i="39"/>
  <c r="A549" i="39"/>
  <c r="A650" i="39"/>
  <c r="A134" i="7"/>
  <c r="A136" i="7"/>
  <c r="J142" i="1"/>
  <c r="B233" i="1"/>
  <c r="B232" i="1"/>
  <c r="B230" i="1"/>
  <c r="B229" i="1"/>
  <c r="A22" i="38"/>
  <c r="A18" i="38"/>
  <c r="A20" i="38"/>
  <c r="A21" i="38"/>
  <c r="F28" i="6"/>
  <c r="G28" i="6"/>
  <c r="G28" i="34"/>
  <c r="K28" i="6"/>
  <c r="I28" i="6"/>
  <c r="A88" i="38"/>
  <c r="A168" i="38"/>
  <c r="A211" i="8"/>
  <c r="A206" i="8"/>
  <c r="A210" i="8"/>
  <c r="A213" i="8"/>
  <c r="A212" i="8"/>
  <c r="A448" i="8"/>
  <c r="A443" i="8"/>
  <c r="L34" i="40"/>
  <c r="A464" i="1"/>
  <c r="A514" i="1"/>
  <c r="A564" i="1"/>
  <c r="D211" i="1"/>
  <c r="D215" i="1"/>
  <c r="I212" i="1"/>
  <c r="E213" i="1"/>
  <c r="F211" i="1"/>
  <c r="H215" i="1"/>
  <c r="H211" i="1"/>
  <c r="H213" i="1"/>
  <c r="F213" i="1"/>
  <c r="D213" i="1"/>
  <c r="F215" i="1"/>
  <c r="L213" i="1"/>
  <c r="F214" i="1"/>
  <c r="L215" i="1"/>
  <c r="L217" i="1"/>
  <c r="I210" i="1"/>
  <c r="L214" i="1"/>
  <c r="C210" i="1"/>
  <c r="I213" i="1"/>
  <c r="C214" i="1"/>
  <c r="L210" i="1"/>
  <c r="D214" i="1"/>
  <c r="L211" i="1"/>
  <c r="J212" i="1"/>
  <c r="F216" i="1"/>
  <c r="J211" i="1"/>
  <c r="D212" i="1"/>
  <c r="E214" i="1"/>
  <c r="K213" i="1"/>
  <c r="F212" i="1"/>
  <c r="F210" i="1"/>
  <c r="C215" i="1"/>
  <c r="G214" i="1"/>
  <c r="H216" i="1"/>
  <c r="C212" i="1"/>
  <c r="H210" i="1"/>
  <c r="C211" i="1"/>
  <c r="I211" i="1"/>
  <c r="I214" i="1"/>
  <c r="G215" i="1"/>
  <c r="G217" i="1"/>
  <c r="E217" i="1"/>
  <c r="C216" i="1"/>
  <c r="D210" i="1"/>
  <c r="J216" i="1"/>
  <c r="E210" i="1"/>
  <c r="J213" i="1"/>
  <c r="I217" i="1"/>
  <c r="J214" i="1"/>
  <c r="G216" i="1"/>
  <c r="K210" i="1"/>
  <c r="K217" i="1"/>
  <c r="H214" i="1"/>
  <c r="K211" i="1"/>
  <c r="E215" i="1"/>
  <c r="D238" i="1"/>
  <c r="D243" i="1"/>
  <c r="I241" i="1"/>
  <c r="E238" i="1"/>
  <c r="J243" i="1"/>
  <c r="L242" i="1"/>
  <c r="E244" i="1"/>
  <c r="L237" i="1"/>
  <c r="G242" i="1"/>
  <c r="G244" i="1"/>
  <c r="D240" i="1"/>
  <c r="L240" i="1"/>
  <c r="J244" i="1"/>
  <c r="H239" i="1"/>
  <c r="H242" i="1"/>
  <c r="I240" i="1"/>
  <c r="D242" i="1"/>
  <c r="A627" i="1"/>
  <c r="A733" i="1"/>
  <c r="A623" i="1"/>
  <c r="A729" i="1"/>
  <c r="A620" i="1"/>
  <c r="A726" i="1"/>
  <c r="I342" i="1"/>
  <c r="D342" i="1"/>
  <c r="F342" i="1"/>
  <c r="K342" i="1"/>
  <c r="E342" i="1"/>
  <c r="J587" i="1"/>
  <c r="A120" i="34"/>
  <c r="A121" i="34"/>
  <c r="A62" i="27"/>
  <c r="A57" i="27"/>
  <c r="A58" i="27"/>
  <c r="A56" i="27"/>
  <c r="A61" i="27"/>
  <c r="A60" i="27"/>
  <c r="A171" i="35"/>
  <c r="A175" i="35"/>
  <c r="A448" i="38"/>
  <c r="A444" i="38"/>
  <c r="E698" i="1"/>
  <c r="H698" i="1"/>
  <c r="G698" i="1"/>
  <c r="B105" i="2"/>
  <c r="B109" i="2"/>
  <c r="L28" i="34"/>
  <c r="A76" i="27"/>
  <c r="A74" i="27"/>
  <c r="N437" i="6"/>
  <c r="I258" i="1"/>
  <c r="K149" i="57"/>
  <c r="E198" i="57"/>
  <c r="H105" i="57"/>
  <c r="E105" i="57"/>
  <c r="L198" i="57"/>
  <c r="I105" i="57"/>
  <c r="K160" i="57"/>
  <c r="G59" i="57"/>
  <c r="F160" i="57"/>
  <c r="I198" i="57"/>
  <c r="J59" i="57"/>
  <c r="C160" i="57"/>
  <c r="D198" i="57"/>
  <c r="G198" i="57"/>
  <c r="F198" i="57"/>
  <c r="G139" i="57"/>
  <c r="D105" i="57"/>
  <c r="H59" i="57"/>
  <c r="H112" i="57"/>
  <c r="I184" i="57"/>
  <c r="C184" i="57"/>
  <c r="G122" i="57"/>
  <c r="C105" i="57"/>
  <c r="H122" i="57"/>
  <c r="F105" i="57"/>
  <c r="G160" i="57"/>
  <c r="L160" i="57"/>
  <c r="C198" i="57"/>
  <c r="F139" i="57"/>
  <c r="L105" i="57"/>
  <c r="H184" i="57"/>
  <c r="E59" i="57"/>
  <c r="K59" i="57"/>
  <c r="G105" i="57"/>
  <c r="F149" i="57"/>
  <c r="G149" i="57"/>
  <c r="C59" i="57"/>
  <c r="I160" i="57"/>
  <c r="H160" i="57"/>
  <c r="E149" i="57"/>
  <c r="J149" i="57"/>
  <c r="H149" i="57"/>
  <c r="F59" i="57"/>
  <c r="E95" i="57"/>
  <c r="K112" i="57"/>
  <c r="I59" i="57"/>
  <c r="D160" i="57"/>
  <c r="D149" i="57"/>
  <c r="I149" i="57"/>
  <c r="L59" i="57"/>
  <c r="G174" i="57"/>
  <c r="D174" i="57"/>
  <c r="J112" i="57"/>
  <c r="A261" i="39"/>
  <c r="A257" i="39"/>
  <c r="A256" i="39"/>
  <c r="A381" i="39"/>
  <c r="A454" i="39"/>
  <c r="A565" i="39"/>
  <c r="A564" i="39"/>
  <c r="A563" i="39"/>
  <c r="A566" i="39"/>
  <c r="A567" i="39"/>
  <c r="A561" i="39"/>
  <c r="A637" i="39"/>
  <c r="A635" i="39"/>
  <c r="A632" i="39"/>
  <c r="A638" i="39"/>
  <c r="A669" i="39"/>
  <c r="A461" i="1"/>
  <c r="A511" i="1"/>
  <c r="A561" i="1"/>
  <c r="A458" i="1"/>
  <c r="A508" i="1"/>
  <c r="A558" i="1"/>
  <c r="A456" i="1"/>
  <c r="A506" i="1"/>
  <c r="A556" i="1"/>
  <c r="A454" i="1"/>
  <c r="A504" i="1"/>
  <c r="A554" i="1"/>
  <c r="A457" i="1"/>
  <c r="A507" i="1"/>
  <c r="A557" i="1"/>
  <c r="D224" i="1"/>
  <c r="I219" i="1"/>
  <c r="K220" i="1"/>
  <c r="L220" i="1"/>
  <c r="L222" i="1"/>
  <c r="J366" i="1"/>
  <c r="L366" i="1"/>
  <c r="K366" i="1"/>
  <c r="H366" i="1"/>
  <c r="I366" i="1"/>
  <c r="B43" i="28"/>
  <c r="B39" i="28"/>
  <c r="B39" i="32"/>
  <c r="B37" i="28"/>
  <c r="B37" i="32"/>
  <c r="B41" i="28"/>
  <c r="B38" i="28"/>
  <c r="B36" i="28"/>
  <c r="B40" i="28"/>
  <c r="B40" i="32"/>
  <c r="L132" i="57"/>
  <c r="J132" i="57"/>
  <c r="I132" i="57"/>
  <c r="A211" i="6"/>
  <c r="A214" i="6"/>
  <c r="A212" i="6"/>
  <c r="A217" i="6"/>
  <c r="A215" i="6"/>
  <c r="A258" i="34"/>
  <c r="A259" i="34"/>
  <c r="A103" i="30"/>
  <c r="A99" i="30"/>
  <c r="A98" i="30"/>
  <c r="A104" i="30"/>
  <c r="L112" i="57"/>
  <c r="A492" i="39"/>
  <c r="A214" i="30"/>
  <c r="H53" i="30"/>
  <c r="G58" i="30"/>
  <c r="F53" i="30"/>
  <c r="D54" i="30"/>
  <c r="D57" i="30"/>
  <c r="H59" i="30"/>
  <c r="K53" i="30"/>
  <c r="J56" i="30"/>
  <c r="I54" i="30"/>
  <c r="F57" i="30"/>
  <c r="A61" i="3"/>
  <c r="A57" i="3"/>
  <c r="A58" i="3"/>
  <c r="A59" i="3"/>
  <c r="A68" i="34"/>
  <c r="A103" i="7"/>
  <c r="A104" i="7"/>
  <c r="A106" i="7"/>
  <c r="A109" i="7"/>
  <c r="A105" i="7"/>
  <c r="A108" i="7"/>
  <c r="A74" i="37"/>
  <c r="A76" i="37"/>
  <c r="A78" i="37"/>
  <c r="A77" i="37"/>
  <c r="A25" i="39"/>
  <c r="A23" i="39"/>
  <c r="A22" i="39"/>
  <c r="A128" i="39"/>
  <c r="A122" i="39"/>
  <c r="A121" i="39"/>
  <c r="A184" i="39"/>
  <c r="A183" i="39"/>
  <c r="B133" i="40"/>
  <c r="B135" i="40"/>
  <c r="B137" i="40"/>
  <c r="B140" i="40"/>
  <c r="J435" i="1"/>
  <c r="J485" i="1"/>
  <c r="J535" i="1"/>
  <c r="I435" i="1"/>
  <c r="I485" i="1"/>
  <c r="I535" i="1"/>
  <c r="H435" i="1"/>
  <c r="H485" i="1"/>
  <c r="F435" i="1"/>
  <c r="F485" i="1"/>
  <c r="F535" i="1"/>
  <c r="L435" i="1"/>
  <c r="L485" i="1"/>
  <c r="L535" i="1"/>
  <c r="K139" i="57"/>
  <c r="J139" i="57"/>
  <c r="G387" i="1"/>
  <c r="D387" i="1"/>
  <c r="K387" i="1"/>
  <c r="F387" i="1"/>
  <c r="H387" i="1"/>
  <c r="J387" i="1"/>
  <c r="A202" i="6"/>
  <c r="A208" i="6"/>
  <c r="A203" i="6"/>
  <c r="A720" i="8"/>
  <c r="A716" i="8"/>
  <c r="A714" i="8"/>
  <c r="A718" i="8"/>
  <c r="C1" i="27"/>
  <c r="C1" i="37"/>
  <c r="C1" i="3"/>
  <c r="C1" i="7"/>
  <c r="C1" i="28"/>
  <c r="C1" i="39"/>
  <c r="C1" i="4"/>
  <c r="C1" i="32"/>
  <c r="D1" i="6"/>
  <c r="C1" i="40"/>
  <c r="C1" i="29"/>
  <c r="C1" i="31"/>
  <c r="C1" i="8"/>
  <c r="C1" i="38"/>
  <c r="F1" i="57"/>
  <c r="C1" i="9"/>
  <c r="D1" i="2"/>
  <c r="D1" i="30"/>
  <c r="C1" i="5"/>
  <c r="D112" i="57"/>
  <c r="F132" i="57"/>
  <c r="J184" i="57"/>
  <c r="E139" i="57"/>
  <c r="L184" i="57"/>
  <c r="L139" i="57"/>
  <c r="F184" i="57"/>
  <c r="H139" i="57"/>
  <c r="E132" i="57"/>
  <c r="D184" i="57"/>
  <c r="N433" i="6"/>
  <c r="B101" i="5"/>
  <c r="K221" i="1"/>
  <c r="J52" i="30"/>
  <c r="A123" i="39"/>
  <c r="A56" i="3"/>
  <c r="A218" i="6"/>
  <c r="I55" i="30"/>
  <c r="A213" i="6"/>
  <c r="A459" i="1"/>
  <c r="A509" i="1"/>
  <c r="A559" i="1"/>
  <c r="A217" i="30"/>
  <c r="A102" i="30"/>
  <c r="A636" i="39"/>
  <c r="B134" i="40"/>
  <c r="G435" i="1"/>
  <c r="G485" i="1"/>
  <c r="G535" i="1"/>
  <c r="H86" i="30"/>
  <c r="H86" i="34"/>
  <c r="A179" i="39"/>
  <c r="C132" i="57"/>
  <c r="M34" i="4"/>
  <c r="C366" i="1"/>
  <c r="F366" i="1"/>
  <c r="C1" i="35"/>
  <c r="A351" i="39"/>
  <c r="A419" i="39"/>
  <c r="A488" i="39"/>
  <c r="A530" i="39"/>
  <c r="A528" i="39"/>
  <c r="A524" i="39"/>
  <c r="A527" i="39"/>
  <c r="A597" i="39"/>
  <c r="A602" i="39"/>
  <c r="A599" i="39"/>
  <c r="A603" i="39"/>
  <c r="J4" i="3"/>
  <c r="C4" i="3"/>
  <c r="D4" i="3"/>
  <c r="B4" i="3"/>
  <c r="H4" i="3"/>
  <c r="K4" i="3"/>
  <c r="A135" i="5"/>
  <c r="A132" i="5"/>
  <c r="A133" i="5"/>
  <c r="A136" i="5"/>
  <c r="A129" i="5"/>
  <c r="A134" i="5"/>
  <c r="B98" i="5"/>
  <c r="B98" i="32"/>
  <c r="B105" i="5"/>
  <c r="B102" i="5"/>
  <c r="B102" i="32"/>
  <c r="B104" i="5"/>
  <c r="B104" i="32"/>
  <c r="B103" i="5"/>
  <c r="A218" i="30"/>
  <c r="A215" i="30"/>
  <c r="A213" i="30"/>
  <c r="A234" i="34"/>
  <c r="A113" i="6"/>
  <c r="C112" i="57"/>
  <c r="G112" i="57"/>
  <c r="H132" i="57"/>
  <c r="C219" i="1"/>
  <c r="A674" i="39"/>
  <c r="A97" i="30"/>
  <c r="A460" i="1"/>
  <c r="A510" i="1"/>
  <c r="A560" i="1"/>
  <c r="A212" i="30"/>
  <c r="I4" i="3"/>
  <c r="A639" i="39"/>
  <c r="A459" i="39"/>
  <c r="N435" i="6"/>
  <c r="N434" i="6"/>
  <c r="N436" i="6"/>
  <c r="D366" i="1"/>
  <c r="D34" i="4"/>
  <c r="E34" i="4"/>
  <c r="F34" i="4"/>
  <c r="J34" i="4"/>
  <c r="H34" i="4"/>
  <c r="L34" i="4"/>
  <c r="K34" i="4"/>
  <c r="A43" i="6"/>
  <c r="C26" i="34"/>
  <c r="I26" i="34"/>
  <c r="G26" i="34"/>
  <c r="E26" i="34"/>
  <c r="F26" i="34"/>
  <c r="A39" i="7"/>
  <c r="A35" i="7"/>
  <c r="A33" i="7"/>
  <c r="A36" i="7"/>
  <c r="A38" i="7"/>
  <c r="A37" i="7"/>
  <c r="A143" i="35"/>
  <c r="A148" i="35"/>
  <c r="A144" i="35"/>
  <c r="A142" i="35"/>
  <c r="K15" i="37"/>
  <c r="C15" i="37"/>
  <c r="D15" i="37"/>
  <c r="E15" i="37"/>
  <c r="A57" i="37"/>
  <c r="A52" i="37"/>
  <c r="A59" i="37"/>
  <c r="A54" i="37"/>
  <c r="A153" i="37"/>
  <c r="A151" i="37"/>
  <c r="A155" i="37"/>
  <c r="A52" i="39"/>
  <c r="A53" i="39"/>
  <c r="A92" i="39"/>
  <c r="A87" i="39"/>
  <c r="A90" i="39"/>
  <c r="A89" i="39"/>
  <c r="A85" i="39"/>
  <c r="A158" i="39"/>
  <c r="A159" i="39"/>
  <c r="A157" i="39"/>
  <c r="A162" i="39"/>
  <c r="A202" i="39"/>
  <c r="A204" i="39"/>
  <c r="N128" i="4"/>
  <c r="N128" i="29"/>
  <c r="N104" i="4"/>
  <c r="N128" i="40"/>
  <c r="N104" i="29"/>
  <c r="N114" i="29"/>
  <c r="N104" i="40"/>
  <c r="A469" i="1"/>
  <c r="A519" i="1"/>
  <c r="A569" i="1"/>
  <c r="A467" i="1"/>
  <c r="A517" i="1"/>
  <c r="A567" i="1"/>
  <c r="A468" i="1"/>
  <c r="A518" i="1"/>
  <c r="A568" i="1"/>
  <c r="A466" i="1"/>
  <c r="A516" i="1"/>
  <c r="A566" i="1"/>
  <c r="A465" i="1"/>
  <c r="A515" i="1"/>
  <c r="A565" i="1"/>
  <c r="A662" i="1"/>
  <c r="A663" i="1"/>
  <c r="E112" i="57"/>
  <c r="D132" i="57"/>
  <c r="I112" i="57"/>
  <c r="I139" i="57"/>
  <c r="C139" i="57"/>
  <c r="K132" i="57"/>
  <c r="E184" i="57"/>
  <c r="N431" i="6"/>
  <c r="B42" i="28"/>
  <c r="A463" i="1"/>
  <c r="A513" i="1"/>
  <c r="A563" i="1"/>
  <c r="A493" i="39"/>
  <c r="C225" i="1"/>
  <c r="A124" i="39"/>
  <c r="A531" i="39"/>
  <c r="A562" i="39"/>
  <c r="A232" i="34"/>
  <c r="A62" i="3"/>
  <c r="A216" i="30"/>
  <c r="A216" i="6"/>
  <c r="A455" i="1"/>
  <c r="A505" i="1"/>
  <c r="A555" i="1"/>
  <c r="A101" i="30"/>
  <c r="G4" i="3"/>
  <c r="A633" i="39"/>
  <c r="A631" i="1"/>
  <c r="A737" i="1"/>
  <c r="E366" i="1"/>
  <c r="A53" i="37"/>
  <c r="A560" i="39"/>
  <c r="A156" i="37"/>
  <c r="A49" i="39"/>
  <c r="A203" i="39"/>
  <c r="A21" i="39"/>
  <c r="A260" i="39"/>
  <c r="N114" i="4"/>
  <c r="I387" i="1"/>
  <c r="E84" i="30"/>
  <c r="I83" i="30"/>
  <c r="G86" i="30"/>
  <c r="C85" i="30"/>
  <c r="C85" i="34"/>
  <c r="F79" i="30"/>
  <c r="F79" i="34"/>
  <c r="C82" i="30"/>
  <c r="F80" i="30"/>
  <c r="J83" i="30"/>
  <c r="J83" i="34"/>
  <c r="K84" i="30"/>
  <c r="I79" i="30"/>
  <c r="K40" i="30"/>
  <c r="K40" i="34"/>
  <c r="I38" i="30"/>
  <c r="L39" i="30"/>
  <c r="D37" i="30"/>
  <c r="H36" i="30"/>
  <c r="A131" i="5"/>
  <c r="D1" i="34"/>
  <c r="A75" i="37"/>
  <c r="A49" i="6"/>
  <c r="A63" i="3"/>
  <c r="E435" i="1"/>
  <c r="E485" i="1"/>
  <c r="E535" i="1"/>
  <c r="D435" i="1"/>
  <c r="D485" i="1"/>
  <c r="D535" i="1"/>
  <c r="K184" i="57"/>
  <c r="L72" i="30"/>
  <c r="F76" i="30"/>
  <c r="D72" i="30"/>
  <c r="C76" i="30"/>
  <c r="I76" i="30"/>
  <c r="L70" i="30"/>
  <c r="N416" i="6"/>
  <c r="N410" i="6"/>
  <c r="A185" i="30"/>
  <c r="A249" i="30"/>
  <c r="A251" i="30"/>
  <c r="A254" i="30"/>
  <c r="A250" i="30"/>
  <c r="A247" i="30"/>
  <c r="A322" i="30"/>
  <c r="A320" i="30"/>
  <c r="K324" i="1"/>
  <c r="K257" i="1"/>
  <c r="I350" i="1"/>
  <c r="I282" i="1"/>
  <c r="I344" i="1"/>
  <c r="J349" i="1"/>
  <c r="A71" i="5"/>
  <c r="B121" i="2"/>
  <c r="H73" i="6"/>
  <c r="F71" i="6"/>
  <c r="F77" i="6"/>
  <c r="J74" i="6"/>
  <c r="A36" i="5"/>
  <c r="J75" i="6"/>
  <c r="K74" i="6"/>
  <c r="B125" i="2"/>
  <c r="A11" i="5"/>
  <c r="A47" i="27"/>
  <c r="G48" i="6"/>
  <c r="G49" i="6"/>
  <c r="D43" i="6"/>
  <c r="J49" i="6"/>
  <c r="G45" i="6"/>
  <c r="K47" i="6"/>
  <c r="K49" i="6"/>
  <c r="I50" i="6"/>
  <c r="C47" i="6"/>
  <c r="L48" i="6"/>
  <c r="J47" i="6"/>
  <c r="H46" i="6"/>
  <c r="E46" i="6"/>
  <c r="F45" i="6"/>
  <c r="A76" i="30"/>
  <c r="A75" i="30"/>
  <c r="A72" i="30"/>
  <c r="A74" i="30"/>
  <c r="A70" i="30"/>
  <c r="A540" i="8"/>
  <c r="A536" i="8"/>
  <c r="A538" i="8"/>
  <c r="A479" i="38"/>
  <c r="A482" i="38"/>
  <c r="A9" i="5"/>
  <c r="A41" i="5"/>
  <c r="A40" i="5"/>
  <c r="A194" i="6"/>
  <c r="A196" i="6"/>
  <c r="H76" i="6"/>
  <c r="D77" i="6"/>
  <c r="C73" i="6"/>
  <c r="E74" i="6"/>
  <c r="K73" i="6"/>
  <c r="E76" i="6"/>
  <c r="G71" i="6"/>
  <c r="K76" i="6"/>
  <c r="D71" i="6"/>
  <c r="F75" i="6"/>
  <c r="I73" i="6"/>
  <c r="C75" i="6"/>
  <c r="A223" i="6"/>
  <c r="A288" i="6"/>
  <c r="A371" i="6"/>
  <c r="A365" i="6"/>
  <c r="A10" i="27"/>
  <c r="A9" i="27"/>
  <c r="B143" i="29"/>
  <c r="B145" i="29"/>
  <c r="A48" i="30"/>
  <c r="A49" i="30"/>
  <c r="A406" i="30"/>
  <c r="A405" i="30"/>
  <c r="A407" i="30"/>
  <c r="A339" i="39"/>
  <c r="A337" i="39"/>
  <c r="I36" i="6"/>
  <c r="J39" i="6"/>
  <c r="L38" i="6"/>
  <c r="G41" i="6"/>
  <c r="C39" i="6"/>
  <c r="H39" i="6"/>
  <c r="D37" i="6"/>
  <c r="H36" i="6"/>
  <c r="F34" i="6"/>
  <c r="F38" i="6"/>
  <c r="F41" i="6"/>
  <c r="D36" i="6"/>
  <c r="H40" i="6"/>
  <c r="E38" i="6"/>
  <c r="J35" i="6"/>
  <c r="H41" i="6"/>
  <c r="J217" i="1"/>
  <c r="J210" i="1"/>
  <c r="M677" i="8"/>
  <c r="M109" i="7"/>
  <c r="M519" i="39"/>
  <c r="M664" i="38"/>
  <c r="N288" i="6"/>
  <c r="M450" i="38"/>
  <c r="M665" i="38"/>
  <c r="M28" i="9"/>
  <c r="M564" i="38"/>
  <c r="M671" i="8"/>
  <c r="N322" i="34"/>
  <c r="M123" i="37"/>
  <c r="M677" i="38"/>
  <c r="N331" i="34"/>
  <c r="M172" i="35"/>
  <c r="M637" i="8"/>
  <c r="M526" i="39"/>
  <c r="M554" i="39"/>
  <c r="M525" i="38"/>
  <c r="M40" i="35"/>
  <c r="M587" i="39"/>
  <c r="M555" i="38"/>
  <c r="M72" i="7"/>
  <c r="M671" i="38"/>
  <c r="N337" i="6"/>
  <c r="N269" i="6"/>
  <c r="M38" i="37"/>
  <c r="N429" i="30" a="1"/>
  <c r="N435" i="30"/>
  <c r="M104" i="7"/>
  <c r="M45" i="7"/>
  <c r="M130" i="7"/>
  <c r="N339" i="6"/>
  <c r="N188" i="34"/>
  <c r="M383" i="8"/>
  <c r="M529" i="38"/>
  <c r="M641" i="39"/>
  <c r="M429" i="38"/>
  <c r="N140" i="34"/>
  <c r="M683" i="38"/>
  <c r="N285" i="6"/>
  <c r="M504" i="38"/>
  <c r="M609" i="8"/>
  <c r="N443" i="30"/>
  <c r="M147" i="37"/>
  <c r="M79" i="37"/>
  <c r="M378" i="8"/>
  <c r="M69" i="37"/>
  <c r="M646" i="39"/>
  <c r="N319" i="34"/>
  <c r="N323" i="34"/>
  <c r="M372" i="8"/>
  <c r="M603" i="8"/>
  <c r="N187" i="30"/>
  <c r="M443" i="38"/>
  <c r="N388" i="34"/>
  <c r="M106" i="7"/>
  <c r="M87" i="37"/>
  <c r="M557" i="39"/>
  <c r="N136" i="30"/>
  <c r="M22" i="35"/>
  <c r="B39" i="8"/>
  <c r="N281" i="34"/>
  <c r="M32" i="37"/>
  <c r="M447" i="38"/>
  <c r="M436" i="38"/>
  <c r="M60" i="35"/>
  <c r="N185" i="34"/>
  <c r="N382" i="30"/>
  <c r="M611" i="8"/>
  <c r="M509" i="38"/>
  <c r="N144" i="34"/>
  <c r="G135" i="2"/>
  <c r="M545" i="39"/>
  <c r="M100" i="35"/>
  <c r="M236" i="39"/>
  <c r="M645" i="8"/>
  <c r="M558" i="8"/>
  <c r="M497" i="38"/>
  <c r="M575" i="38"/>
  <c r="M698" i="39"/>
  <c r="C114" i="40"/>
  <c r="C104" i="40"/>
  <c r="E174" i="1"/>
  <c r="L409" i="1"/>
  <c r="H410" i="1"/>
  <c r="I174" i="1"/>
  <c r="E194" i="1"/>
  <c r="I410" i="1"/>
  <c r="C118" i="40"/>
  <c r="B178" i="1"/>
  <c r="I194" i="1"/>
  <c r="D409" i="1"/>
  <c r="D410" i="1"/>
  <c r="L410" i="1"/>
  <c r="E409" i="1"/>
  <c r="I409" i="1"/>
  <c r="F410" i="1"/>
  <c r="J410" i="1"/>
  <c r="F409" i="1"/>
  <c r="J409" i="1"/>
  <c r="C410" i="1"/>
  <c r="G410" i="1"/>
  <c r="G409" i="1"/>
  <c r="A330" i="8"/>
  <c r="A329" i="8"/>
  <c r="A332" i="8"/>
  <c r="A653" i="8"/>
  <c r="A657" i="8"/>
  <c r="A651" i="8"/>
  <c r="A652" i="8"/>
  <c r="A654" i="8"/>
  <c r="A650" i="8"/>
  <c r="A656" i="8"/>
  <c r="B144" i="1"/>
  <c r="B146" i="1"/>
  <c r="B147" i="1"/>
  <c r="B145" i="1"/>
  <c r="B148" i="1"/>
  <c r="B149" i="1"/>
  <c r="B143" i="1"/>
  <c r="B150" i="1"/>
  <c r="A167" i="38"/>
  <c r="A173" i="38"/>
  <c r="A174" i="38"/>
  <c r="A169" i="38"/>
  <c r="A585" i="38"/>
  <c r="A583" i="38"/>
  <c r="K365" i="1"/>
  <c r="F365" i="1"/>
  <c r="I365" i="1"/>
  <c r="D365" i="1"/>
  <c r="L365" i="1"/>
  <c r="E365" i="1"/>
  <c r="G365" i="1"/>
  <c r="J365" i="1"/>
  <c r="B5" i="28"/>
  <c r="B5" i="32"/>
  <c r="B7" i="28"/>
  <c r="B7" i="32"/>
  <c r="B9" i="28"/>
  <c r="B9" i="32"/>
  <c r="B12" i="28"/>
  <c r="B12" i="32"/>
  <c r="B8" i="28"/>
  <c r="A689" i="1"/>
  <c r="A180" i="6"/>
  <c r="A178" i="6"/>
  <c r="A181" i="6"/>
  <c r="A177" i="6"/>
  <c r="A176" i="6"/>
  <c r="A175" i="6"/>
  <c r="A179" i="6"/>
  <c r="A182" i="6"/>
  <c r="A252" i="34"/>
  <c r="A249" i="34"/>
  <c r="A250" i="34"/>
  <c r="A254" i="34"/>
  <c r="B172" i="2"/>
  <c r="B168" i="2"/>
  <c r="B169" i="2"/>
  <c r="B171" i="2"/>
  <c r="B170" i="2"/>
  <c r="B173" i="2"/>
  <c r="A84" i="27"/>
  <c r="A88" i="27"/>
  <c r="A82" i="27"/>
  <c r="A83" i="27"/>
  <c r="A86" i="27"/>
  <c r="A661" i="1"/>
  <c r="A659" i="1"/>
  <c r="A658" i="1"/>
  <c r="K643" i="1"/>
  <c r="E643" i="1"/>
  <c r="F643" i="1"/>
  <c r="D643" i="1"/>
  <c r="I643" i="1"/>
  <c r="D66" i="30"/>
  <c r="C66" i="30"/>
  <c r="C65" i="30"/>
  <c r="L61" i="30"/>
  <c r="A75" i="34"/>
  <c r="A394" i="8"/>
  <c r="A390" i="8"/>
  <c r="A393" i="8"/>
  <c r="A395" i="8"/>
  <c r="A392" i="8"/>
  <c r="A431" i="8"/>
  <c r="A428" i="8"/>
  <c r="A47" i="35"/>
  <c r="A43" i="35"/>
  <c r="A48" i="35"/>
  <c r="A42" i="35"/>
  <c r="A224" i="39"/>
  <c r="A226" i="39"/>
  <c r="A225" i="39"/>
  <c r="A229" i="39"/>
  <c r="J46" i="38"/>
  <c r="B46" i="38"/>
  <c r="C46" i="38"/>
  <c r="H46" i="38"/>
  <c r="K46" i="38"/>
  <c r="F46" i="38"/>
  <c r="E46" i="38"/>
  <c r="G46" i="38"/>
  <c r="A112" i="38"/>
  <c r="A116" i="38"/>
  <c r="A115" i="38"/>
  <c r="A227" i="38"/>
  <c r="A322" i="38"/>
  <c r="A324" i="38"/>
  <c r="A318" i="38"/>
  <c r="A323" i="38"/>
  <c r="A391" i="38"/>
  <c r="A543" i="38"/>
  <c r="A547" i="38"/>
  <c r="A546" i="38"/>
  <c r="A653" i="38"/>
  <c r="A655" i="38"/>
  <c r="H588" i="1"/>
  <c r="J588" i="1"/>
  <c r="I588" i="1"/>
  <c r="E588" i="1"/>
  <c r="K588" i="1"/>
  <c r="L588" i="1"/>
  <c r="D588" i="1"/>
  <c r="C588" i="1"/>
  <c r="F122" i="57"/>
  <c r="I122" i="57"/>
  <c r="A580" i="38"/>
  <c r="J388" i="1"/>
  <c r="A114" i="38"/>
  <c r="A80" i="38"/>
  <c r="A254" i="38"/>
  <c r="A113" i="38"/>
  <c r="B6" i="28"/>
  <c r="B6" i="32"/>
  <c r="B10" i="28"/>
  <c r="A498" i="8"/>
  <c r="D122" i="57"/>
  <c r="A253" i="6"/>
  <c r="A248" i="6"/>
  <c r="A252" i="6"/>
  <c r="A247" i="6"/>
  <c r="A254" i="6"/>
  <c r="A193" i="30"/>
  <c r="A194" i="30"/>
  <c r="A195" i="30"/>
  <c r="A200" i="30"/>
  <c r="A197" i="30"/>
  <c r="A369" i="30"/>
  <c r="A366" i="30"/>
  <c r="A371" i="30"/>
  <c r="A370" i="30"/>
  <c r="A365" i="30"/>
  <c r="A364" i="30"/>
  <c r="A367" i="30"/>
  <c r="A81" i="34"/>
  <c r="A84" i="34"/>
  <c r="A152" i="34"/>
  <c r="A88" i="8"/>
  <c r="A90" i="8"/>
  <c r="A286" i="8"/>
  <c r="A285" i="8"/>
  <c r="A282" i="8"/>
  <c r="A476" i="1"/>
  <c r="A526" i="1"/>
  <c r="A576" i="1"/>
  <c r="A475" i="1"/>
  <c r="A525" i="1"/>
  <c r="A575" i="1"/>
  <c r="A478" i="1"/>
  <c r="A528" i="1"/>
  <c r="A578" i="1"/>
  <c r="A472" i="1"/>
  <c r="A522" i="1"/>
  <c r="A572" i="1"/>
  <c r="A477" i="1"/>
  <c r="A527" i="1"/>
  <c r="A577" i="1"/>
  <c r="A474" i="1"/>
  <c r="A524" i="1"/>
  <c r="A574" i="1"/>
  <c r="A633" i="1"/>
  <c r="A739" i="1"/>
  <c r="A636" i="1"/>
  <c r="A742" i="1"/>
  <c r="A630" i="1"/>
  <c r="A736" i="1"/>
  <c r="A632" i="1"/>
  <c r="A738" i="1"/>
  <c r="A634" i="1"/>
  <c r="A740" i="1"/>
  <c r="A635" i="1"/>
  <c r="A741" i="1"/>
  <c r="A584" i="38"/>
  <c r="G388" i="1"/>
  <c r="A117" i="38"/>
  <c r="G225" i="1"/>
  <c r="F224" i="1"/>
  <c r="J225" i="1"/>
  <c r="H223" i="1"/>
  <c r="D68" i="6"/>
  <c r="A82" i="38"/>
  <c r="A249" i="6"/>
  <c r="F67" i="30"/>
  <c r="A665" i="1"/>
  <c r="A437" i="1"/>
  <c r="A487" i="1"/>
  <c r="A537" i="1"/>
  <c r="A172" i="38"/>
  <c r="A320" i="38"/>
  <c r="A230" i="39"/>
  <c r="A655" i="8"/>
  <c r="B11" i="28"/>
  <c r="L643" i="1"/>
  <c r="A287" i="8"/>
  <c r="A198" i="30"/>
  <c r="H64" i="6"/>
  <c r="J68" i="6"/>
  <c r="A581" i="38"/>
  <c r="D220" i="1"/>
  <c r="F588" i="1"/>
  <c r="C220" i="1"/>
  <c r="A180" i="34"/>
  <c r="A176" i="34"/>
  <c r="A179" i="34"/>
  <c r="A178" i="34"/>
  <c r="A360" i="8"/>
  <c r="A355" i="8"/>
  <c r="A358" i="8"/>
  <c r="A502" i="8"/>
  <c r="A503" i="8"/>
  <c r="A499" i="8"/>
  <c r="A504" i="8"/>
  <c r="A500" i="8"/>
  <c r="A497" i="8"/>
  <c r="A684" i="8"/>
  <c r="A682" i="8"/>
  <c r="A679" i="8"/>
  <c r="A683" i="8"/>
  <c r="A678" i="8"/>
  <c r="A680" i="8"/>
  <c r="A148" i="39"/>
  <c r="A153" i="39"/>
  <c r="A8" i="38"/>
  <c r="A11" i="38"/>
  <c r="A9" i="38"/>
  <c r="A10" i="38"/>
  <c r="A77" i="38"/>
  <c r="A81" i="38"/>
  <c r="A76" i="38"/>
  <c r="A151" i="38"/>
  <c r="A155" i="38"/>
  <c r="A150" i="38"/>
  <c r="A149" i="38"/>
  <c r="A152" i="38"/>
  <c r="A256" i="38"/>
  <c r="A257" i="38"/>
  <c r="A260" i="38"/>
  <c r="A356" i="38"/>
  <c r="A620" i="38"/>
  <c r="K122" i="57"/>
  <c r="J122" i="57"/>
  <c r="A131" i="32"/>
  <c r="A136" i="32"/>
  <c r="A132" i="32"/>
  <c r="A135" i="32"/>
  <c r="A134" i="32"/>
  <c r="B67" i="5"/>
  <c r="B67" i="32"/>
  <c r="B71" i="5"/>
  <c r="B71" i="32"/>
  <c r="B70" i="5"/>
  <c r="B70" i="32"/>
  <c r="B73" i="5"/>
  <c r="B73" i="32"/>
  <c r="B72" i="5"/>
  <c r="B72" i="32"/>
  <c r="B68" i="5"/>
  <c r="B134" i="28"/>
  <c r="B134" i="32"/>
  <c r="B132" i="28"/>
  <c r="B132" i="32"/>
  <c r="B136" i="28"/>
  <c r="C77" i="57"/>
  <c r="L77" i="57"/>
  <c r="J77" i="57"/>
  <c r="F77" i="57"/>
  <c r="E77" i="57"/>
  <c r="D77" i="57"/>
  <c r="L388" i="1"/>
  <c r="E388" i="1"/>
  <c r="C388" i="1"/>
  <c r="F388" i="1"/>
  <c r="D388" i="1"/>
  <c r="K388" i="1"/>
  <c r="A692" i="1"/>
  <c r="A686" i="1"/>
  <c r="A691" i="1"/>
  <c r="A688" i="1"/>
  <c r="G77" i="57"/>
  <c r="E122" i="57"/>
  <c r="C122" i="57"/>
  <c r="A78" i="38"/>
  <c r="A255" i="38"/>
  <c r="A154" i="38"/>
  <c r="A44" i="35"/>
  <c r="I46" i="38"/>
  <c r="A389" i="8"/>
  <c r="G588" i="1"/>
  <c r="I61" i="6"/>
  <c r="G61" i="6"/>
  <c r="C63" i="6"/>
  <c r="D65" i="6"/>
  <c r="J66" i="6"/>
  <c r="D66" i="6"/>
  <c r="F64" i="6"/>
  <c r="E65" i="6"/>
  <c r="K67" i="6"/>
  <c r="F65" i="6"/>
  <c r="K68" i="6"/>
  <c r="L65" i="6"/>
  <c r="L64" i="6"/>
  <c r="C67" i="6"/>
  <c r="L67" i="6"/>
  <c r="I62" i="6"/>
  <c r="C61" i="6"/>
  <c r="K64" i="6"/>
  <c r="I66" i="6"/>
  <c r="G66" i="6"/>
  <c r="L63" i="6"/>
  <c r="I63" i="6"/>
  <c r="D62" i="6"/>
  <c r="K61" i="6"/>
  <c r="I65" i="6"/>
  <c r="G63" i="6"/>
  <c r="E66" i="6"/>
  <c r="H63" i="6"/>
  <c r="I68" i="6"/>
  <c r="C68" i="6"/>
  <c r="F67" i="6"/>
  <c r="F67" i="34"/>
  <c r="J61" i="6"/>
  <c r="G68" i="6"/>
  <c r="H68" i="6"/>
  <c r="E61" i="6"/>
  <c r="J67" i="6"/>
  <c r="L61" i="6"/>
  <c r="H65" i="6"/>
  <c r="J62" i="6"/>
  <c r="F62" i="6"/>
  <c r="D64" i="6"/>
  <c r="K65" i="6"/>
  <c r="D67" i="6"/>
  <c r="K62" i="6"/>
  <c r="C64" i="6"/>
  <c r="I67" i="6"/>
  <c r="F63" i="6"/>
  <c r="G62" i="6"/>
  <c r="F61" i="6"/>
  <c r="K63" i="6"/>
  <c r="E63" i="6"/>
  <c r="E64" i="6"/>
  <c r="J63" i="6"/>
  <c r="K66" i="6"/>
  <c r="H67" i="6"/>
  <c r="D63" i="6"/>
  <c r="F68" i="6"/>
  <c r="J64" i="6"/>
  <c r="A159" i="30"/>
  <c r="A157" i="30"/>
  <c r="A160" i="30"/>
  <c r="A164" i="30"/>
  <c r="A163" i="30"/>
  <c r="A161" i="30"/>
  <c r="A158" i="30"/>
  <c r="A330" i="30"/>
  <c r="A335" i="30"/>
  <c r="A9" i="31"/>
  <c r="A7" i="31"/>
  <c r="A5" i="31"/>
  <c r="A12" i="31"/>
  <c r="A8" i="31"/>
  <c r="A10" i="31"/>
  <c r="A44" i="34"/>
  <c r="A43" i="34"/>
  <c r="A298" i="34"/>
  <c r="A146" i="8"/>
  <c r="A141" i="8"/>
  <c r="A249" i="8"/>
  <c r="A250" i="8"/>
  <c r="A248" i="8"/>
  <c r="A252" i="8"/>
  <c r="A246" i="8"/>
  <c r="A247" i="8"/>
  <c r="A436" i="1"/>
  <c r="A486" i="1"/>
  <c r="A536" i="1"/>
  <c r="A442" i="1"/>
  <c r="A492" i="1"/>
  <c r="A542" i="1"/>
  <c r="J223" i="1"/>
  <c r="J221" i="1"/>
  <c r="H224" i="1"/>
  <c r="D223" i="1"/>
  <c r="C224" i="1"/>
  <c r="I226" i="1"/>
  <c r="G221" i="1"/>
  <c r="F225" i="1"/>
  <c r="J219" i="1"/>
  <c r="H219" i="1"/>
  <c r="G223" i="1"/>
  <c r="F221" i="1"/>
  <c r="D226" i="1"/>
  <c r="I220" i="1"/>
  <c r="L221" i="1"/>
  <c r="K226" i="1"/>
  <c r="G226" i="1"/>
  <c r="C221" i="1"/>
  <c r="K222" i="1"/>
  <c r="E223" i="1"/>
  <c r="J224" i="1"/>
  <c r="K219" i="1"/>
  <c r="D219" i="1"/>
  <c r="H221" i="1"/>
  <c r="J226" i="1"/>
  <c r="E220" i="1"/>
  <c r="G219" i="1"/>
  <c r="E226" i="1"/>
  <c r="G224" i="1"/>
  <c r="C226" i="1"/>
  <c r="I221" i="1"/>
  <c r="L219" i="1"/>
  <c r="E222" i="1"/>
  <c r="F223" i="1"/>
  <c r="C222" i="1"/>
  <c r="L224" i="1"/>
  <c r="J222" i="1"/>
  <c r="K224" i="1"/>
  <c r="H225" i="1"/>
  <c r="I225" i="1"/>
  <c r="L226" i="1"/>
  <c r="C223" i="1"/>
  <c r="J220" i="1"/>
  <c r="H226" i="1"/>
  <c r="I224" i="1"/>
  <c r="I222" i="1"/>
  <c r="L225" i="1"/>
  <c r="F220" i="1"/>
  <c r="E219" i="1"/>
  <c r="F222" i="1"/>
  <c r="D222" i="1"/>
  <c r="E225" i="1"/>
  <c r="H220" i="1"/>
  <c r="H222" i="1"/>
  <c r="F219" i="1"/>
  <c r="F226" i="1"/>
  <c r="G276" i="1"/>
  <c r="F276" i="1"/>
  <c r="H276" i="1"/>
  <c r="L276" i="1"/>
  <c r="F587" i="1"/>
  <c r="E587" i="1"/>
  <c r="L587" i="1"/>
  <c r="D587" i="1"/>
  <c r="I77" i="57"/>
  <c r="H77" i="57"/>
  <c r="A45" i="35"/>
  <c r="H388" i="1"/>
  <c r="H587" i="1"/>
  <c r="A118" i="38"/>
  <c r="K223" i="1"/>
  <c r="D221" i="1"/>
  <c r="G220" i="1"/>
  <c r="I223" i="1"/>
  <c r="G222" i="1"/>
  <c r="A143" i="8"/>
  <c r="A248" i="34"/>
  <c r="H61" i="30"/>
  <c r="A687" i="1"/>
  <c r="A685" i="1"/>
  <c r="A438" i="1"/>
  <c r="A488" i="1"/>
  <c r="A538" i="1"/>
  <c r="I306" i="1"/>
  <c r="J328" i="1"/>
  <c r="I322" i="1"/>
  <c r="I345" i="1"/>
  <c r="K349" i="1"/>
  <c r="K351" i="1"/>
  <c r="I285" i="1"/>
  <c r="A171" i="38"/>
  <c r="A258" i="38"/>
  <c r="A170" i="38"/>
  <c r="A130" i="32"/>
  <c r="A153" i="38"/>
  <c r="A12" i="38"/>
  <c r="B130" i="28"/>
  <c r="A353" i="8"/>
  <c r="A578" i="38"/>
  <c r="A396" i="8"/>
  <c r="A368" i="30"/>
  <c r="B69" i="5"/>
  <c r="B69" i="32"/>
  <c r="A245" i="8"/>
  <c r="H643" i="1"/>
  <c r="B74" i="5"/>
  <c r="B74" i="32"/>
  <c r="A317" i="38"/>
  <c r="A353" i="38"/>
  <c r="A85" i="27"/>
  <c r="A162" i="30"/>
  <c r="J65" i="6"/>
  <c r="E68" i="6"/>
  <c r="F66" i="6"/>
  <c r="G65" i="6"/>
  <c r="G64" i="6"/>
  <c r="H66" i="6"/>
  <c r="L223" i="1"/>
  <c r="E221" i="1"/>
  <c r="A329" i="30"/>
  <c r="K35" i="4"/>
  <c r="I35" i="4"/>
  <c r="L35" i="4"/>
  <c r="E35" i="4"/>
  <c r="E34" i="40"/>
  <c r="H34" i="40"/>
  <c r="I34" i="40"/>
  <c r="A703" i="38"/>
  <c r="A699" i="38"/>
  <c r="A698" i="38"/>
  <c r="A704" i="38"/>
  <c r="E26" i="6"/>
  <c r="L26" i="6"/>
  <c r="C59" i="6"/>
  <c r="H57" i="6"/>
  <c r="J55" i="6"/>
  <c r="A267" i="6"/>
  <c r="A271" i="6"/>
  <c r="A302" i="6"/>
  <c r="A305" i="6"/>
  <c r="A301" i="6"/>
  <c r="A407" i="6"/>
  <c r="A405" i="6"/>
  <c r="A431" i="6"/>
  <c r="A436" i="6"/>
  <c r="A281" i="30"/>
  <c r="A301" i="30"/>
  <c r="A373" i="30"/>
  <c r="A380" i="30"/>
  <c r="A379" i="30"/>
  <c r="A431" i="30"/>
  <c r="A82" i="31"/>
  <c r="A73" i="32"/>
  <c r="A69" i="32"/>
  <c r="A99" i="32"/>
  <c r="A199" i="34"/>
  <c r="F46" i="8"/>
  <c r="E46" i="8"/>
  <c r="A97" i="8"/>
  <c r="A98" i="8"/>
  <c r="C38" i="30"/>
  <c r="C38" i="34"/>
  <c r="I41" i="30"/>
  <c r="H39" i="30"/>
  <c r="H39" i="34"/>
  <c r="N417" i="6"/>
  <c r="N411" i="6"/>
  <c r="C4" i="5"/>
  <c r="F4" i="5"/>
  <c r="A220" i="34"/>
  <c r="A553" i="8"/>
  <c r="A551" i="8"/>
  <c r="A552" i="8"/>
  <c r="A591" i="8"/>
  <c r="A594" i="8"/>
  <c r="A590" i="8"/>
  <c r="A592" i="8"/>
  <c r="A72" i="7"/>
  <c r="A79" i="7"/>
  <c r="A113" i="7"/>
  <c r="A114" i="7"/>
  <c r="A112" i="7"/>
  <c r="A67" i="35"/>
  <c r="A68" i="35"/>
  <c r="A63" i="35"/>
  <c r="A82" i="35"/>
  <c r="A85" i="35"/>
  <c r="A87" i="35"/>
  <c r="A108" i="35"/>
  <c r="A31" i="39"/>
  <c r="A33" i="39"/>
  <c r="A38" i="39"/>
  <c r="A273" i="39"/>
  <c r="A303" i="39"/>
  <c r="A299" i="39"/>
  <c r="A306" i="39"/>
  <c r="A327" i="39"/>
  <c r="A438" i="39"/>
  <c r="A435" i="39"/>
  <c r="A440" i="39"/>
  <c r="A643" i="38"/>
  <c r="A647" i="38"/>
  <c r="A641" i="38"/>
  <c r="A648" i="38"/>
  <c r="B136" i="40"/>
  <c r="B138" i="40"/>
  <c r="J49" i="30"/>
  <c r="J43" i="30"/>
  <c r="C45" i="30"/>
  <c r="C45" i="34"/>
  <c r="A221" i="6"/>
  <c r="A573" i="8"/>
  <c r="D72" i="6"/>
  <c r="D72" i="34"/>
  <c r="A459" i="8"/>
  <c r="A456" i="8"/>
  <c r="M673" i="39"/>
  <c r="N279" i="30"/>
  <c r="M363" i="39"/>
  <c r="M537" i="38"/>
  <c r="M97" i="37"/>
  <c r="N141" i="34"/>
  <c r="N391" i="34"/>
  <c r="N182" i="30"/>
  <c r="N131" i="6"/>
  <c r="M531" i="39"/>
  <c r="M572" i="39"/>
  <c r="N179" i="30"/>
  <c r="M576" i="39"/>
  <c r="M662" i="39"/>
  <c r="G149" i="2"/>
  <c r="N330" i="6"/>
  <c r="M143" i="37"/>
  <c r="M6" i="9"/>
  <c r="N195" i="34"/>
  <c r="N279" i="34"/>
  <c r="M67" i="37"/>
  <c r="M566" i="38"/>
  <c r="M659" i="38"/>
  <c r="M66" i="37"/>
  <c r="M358" i="39"/>
  <c r="M455" i="38"/>
  <c r="N386" i="6"/>
  <c r="M503" i="39"/>
  <c r="N333" i="6"/>
  <c r="M113" i="35"/>
  <c r="M621" i="8"/>
  <c r="N400" i="34"/>
  <c r="N391" i="30"/>
  <c r="M80" i="7"/>
  <c r="M440" i="39"/>
  <c r="M43" i="35"/>
  <c r="M647" i="38"/>
  <c r="M435" i="38"/>
  <c r="M69" i="7"/>
  <c r="M620" i="38"/>
  <c r="M694" i="39"/>
  <c r="M58" i="37"/>
  <c r="M521" i="38"/>
  <c r="M122" i="37"/>
  <c r="N397" i="30"/>
  <c r="M633" i="39"/>
  <c r="M509" i="39"/>
  <c r="M680" i="8"/>
  <c r="N280" i="30"/>
  <c r="N134" i="34"/>
  <c r="M372" i="39"/>
  <c r="M27" i="35"/>
  <c r="N340" i="6"/>
  <c r="M542" i="39"/>
  <c r="M544" i="8"/>
  <c r="M179" i="37"/>
  <c r="M524" i="8"/>
  <c r="M80" i="35"/>
  <c r="N419" i="30" a="1"/>
  <c r="N426" i="30"/>
  <c r="N396" i="6"/>
  <c r="M165" i="37"/>
  <c r="M685" i="39"/>
  <c r="M684" i="38"/>
  <c r="M552" i="8"/>
  <c r="M82" i="7"/>
  <c r="M425" i="8"/>
  <c r="M170" i="7"/>
  <c r="N332" i="34"/>
  <c r="M382" i="39"/>
  <c r="N283" i="34"/>
  <c r="M437" i="39"/>
  <c r="N404" i="34"/>
  <c r="M97" i="35"/>
  <c r="N278" i="34"/>
  <c r="M504" i="39"/>
  <c r="M383" i="39"/>
  <c r="N442" i="6"/>
  <c r="M528" i="38"/>
  <c r="M144" i="35"/>
  <c r="M668" i="38"/>
  <c r="M146" i="7"/>
  <c r="M555" i="39"/>
  <c r="M145" i="35"/>
  <c r="M432" i="38"/>
  <c r="M384" i="8"/>
  <c r="N188" i="30"/>
  <c r="M42" i="7"/>
  <c r="M619" i="38"/>
  <c r="M158" i="37"/>
  <c r="M427" i="38"/>
  <c r="M174" i="37"/>
  <c r="M614" i="8"/>
  <c r="N403" i="34"/>
  <c r="M374" i="38"/>
  <c r="M592" i="38"/>
  <c r="N285" i="34"/>
  <c r="M664" i="8"/>
  <c r="M519" i="8"/>
  <c r="M602" i="38"/>
  <c r="M52" i="37"/>
  <c r="B39" i="38"/>
  <c r="N400" i="6"/>
  <c r="M80" i="37"/>
  <c r="M543" i="8"/>
  <c r="N178" i="34"/>
  <c r="M30" i="7"/>
  <c r="M441" i="39"/>
  <c r="N407" i="30"/>
  <c r="M509" i="8"/>
  <c r="M94" i="37"/>
  <c r="M42" i="37"/>
  <c r="M660" i="39"/>
  <c r="M703" i="39"/>
  <c r="M67" i="35"/>
  <c r="M60" i="37"/>
  <c r="M439" i="39"/>
  <c r="M35" i="7"/>
  <c r="M657" i="39"/>
  <c r="N382" i="6"/>
  <c r="M665" i="8"/>
  <c r="M94" i="35"/>
  <c r="M88" i="35"/>
  <c r="M576" i="38"/>
  <c r="M699" i="8"/>
  <c r="M154" i="7"/>
  <c r="M502" i="39"/>
  <c r="N335" i="30"/>
  <c r="M569" i="8"/>
  <c r="M609" i="39"/>
  <c r="M594" i="39"/>
  <c r="M76" i="35"/>
  <c r="G132" i="57"/>
  <c r="C92" i="40"/>
  <c r="A262" i="6"/>
  <c r="A257" i="6"/>
  <c r="B190" i="1"/>
  <c r="B180" i="1"/>
  <c r="B185" i="1"/>
  <c r="C119" i="40"/>
  <c r="B176" i="1"/>
  <c r="B181" i="1"/>
  <c r="B186" i="1"/>
  <c r="B196" i="1"/>
  <c r="B177" i="1"/>
  <c r="B182" i="1"/>
  <c r="B189" i="1"/>
  <c r="B200" i="1"/>
  <c r="D194" i="1"/>
  <c r="H194" i="1"/>
  <c r="L194" i="1"/>
  <c r="E195" i="1"/>
  <c r="I195" i="1"/>
  <c r="F195" i="1"/>
  <c r="J195" i="1"/>
  <c r="F194" i="1"/>
  <c r="J194" i="1"/>
  <c r="C195" i="1"/>
  <c r="G195" i="1"/>
  <c r="K195" i="1"/>
  <c r="G194" i="1"/>
  <c r="D195" i="1"/>
  <c r="H195" i="1"/>
  <c r="D174" i="1"/>
  <c r="H174" i="1"/>
  <c r="L174" i="1"/>
  <c r="E175" i="1"/>
  <c r="I175" i="1"/>
  <c r="F175" i="1"/>
  <c r="J175" i="1"/>
  <c r="F174" i="1"/>
  <c r="J174" i="1"/>
  <c r="C175" i="1"/>
  <c r="G175" i="1"/>
  <c r="K175" i="1"/>
  <c r="G174" i="1"/>
  <c r="D175" i="1"/>
  <c r="H175" i="1"/>
  <c r="B179" i="1"/>
  <c r="B187" i="1"/>
  <c r="B191" i="1"/>
  <c r="B197" i="1"/>
  <c r="B201" i="1"/>
  <c r="B188" i="1"/>
  <c r="B198" i="1"/>
  <c r="B202" i="1"/>
  <c r="B199" i="1"/>
  <c r="A70" i="6"/>
  <c r="A75" i="6"/>
  <c r="A72" i="6"/>
  <c r="A77" i="6"/>
  <c r="A73" i="6"/>
  <c r="F4" i="32"/>
  <c r="J4" i="32"/>
  <c r="L4" i="32"/>
  <c r="E4" i="32"/>
  <c r="G4" i="32"/>
  <c r="D4" i="32"/>
  <c r="K4" i="32"/>
  <c r="H4" i="32"/>
  <c r="C4" i="32"/>
  <c r="I4" i="32"/>
  <c r="A700" i="8"/>
  <c r="A701" i="8"/>
  <c r="A702" i="8"/>
  <c r="A703" i="8"/>
  <c r="A704" i="8"/>
  <c r="A697" i="8"/>
  <c r="A183" i="8"/>
  <c r="A177" i="8"/>
  <c r="A182" i="8"/>
  <c r="A178" i="8"/>
  <c r="A180" i="8"/>
  <c r="A582" i="8"/>
  <c r="A578" i="8"/>
  <c r="A583" i="8"/>
  <c r="A584" i="8"/>
  <c r="A580" i="8"/>
  <c r="A581" i="8"/>
  <c r="A579" i="8"/>
  <c r="A585" i="8"/>
  <c r="A12" i="37"/>
  <c r="A7" i="37"/>
  <c r="A6" i="37"/>
  <c r="A9" i="37"/>
  <c r="A11" i="37"/>
  <c r="A5" i="37"/>
  <c r="A8" i="37"/>
  <c r="A10" i="37"/>
  <c r="A110" i="38"/>
  <c r="A103" i="38"/>
  <c r="A108" i="30"/>
  <c r="A113" i="30"/>
  <c r="A30" i="27"/>
  <c r="A26" i="27"/>
  <c r="A25" i="27"/>
  <c r="A23" i="27"/>
  <c r="A28" i="27"/>
  <c r="A29" i="27"/>
  <c r="A27" i="27"/>
  <c r="A24" i="27"/>
  <c r="B178" i="2"/>
  <c r="B181" i="2"/>
  <c r="B175" i="2"/>
  <c r="B177" i="2"/>
  <c r="B176" i="2"/>
  <c r="B179" i="2"/>
  <c r="B180" i="2"/>
  <c r="A529" i="8"/>
  <c r="A531" i="8"/>
  <c r="A525" i="8"/>
  <c r="A530" i="8"/>
  <c r="A524" i="8"/>
  <c r="A526" i="8"/>
  <c r="A527" i="8"/>
  <c r="A528" i="8"/>
  <c r="A9" i="7"/>
  <c r="A8" i="7"/>
  <c r="A11" i="7"/>
  <c r="A12" i="7"/>
  <c r="A6" i="7"/>
  <c r="A7" i="7"/>
  <c r="B282" i="1"/>
  <c r="B348" i="1"/>
  <c r="B371" i="1"/>
  <c r="B393" i="1"/>
  <c r="B415" i="1"/>
  <c r="B279" i="1"/>
  <c r="B345" i="1"/>
  <c r="B368" i="1"/>
  <c r="B390" i="1"/>
  <c r="B412" i="1"/>
  <c r="B278" i="1"/>
  <c r="B344" i="1"/>
  <c r="B367" i="1"/>
  <c r="B389" i="1"/>
  <c r="B411" i="1"/>
  <c r="B280" i="1"/>
  <c r="B346" i="1"/>
  <c r="B369" i="1"/>
  <c r="B391" i="1"/>
  <c r="B413" i="1"/>
  <c r="B283" i="1"/>
  <c r="B349" i="1"/>
  <c r="B372" i="1"/>
  <c r="B394" i="1"/>
  <c r="B416" i="1"/>
  <c r="B284" i="1"/>
  <c r="B350" i="1"/>
  <c r="B373" i="1"/>
  <c r="B395" i="1"/>
  <c r="B417" i="1"/>
  <c r="B285" i="1"/>
  <c r="B351" i="1"/>
  <c r="B374" i="1"/>
  <c r="B396" i="1"/>
  <c r="B418" i="1"/>
  <c r="B91" i="2"/>
  <c r="B95" i="2"/>
  <c r="B92" i="2"/>
  <c r="B94" i="2"/>
  <c r="B89" i="2"/>
  <c r="B93" i="2"/>
  <c r="B90" i="2"/>
  <c r="A99" i="34"/>
  <c r="K63" i="30"/>
  <c r="F68" i="30"/>
  <c r="L62" i="30"/>
  <c r="L63" i="30"/>
  <c r="I62" i="30"/>
  <c r="I66" i="30"/>
  <c r="I63" i="30"/>
  <c r="I63" i="34"/>
  <c r="G66" i="30"/>
  <c r="C62" i="30"/>
  <c r="J67" i="30"/>
  <c r="J67" i="34"/>
  <c r="J62" i="30"/>
  <c r="G67" i="30"/>
  <c r="E62" i="30"/>
  <c r="J68" i="30"/>
  <c r="J63" i="30"/>
  <c r="D62" i="30"/>
  <c r="K66" i="30"/>
  <c r="D68" i="30"/>
  <c r="D68" i="34"/>
  <c r="H67" i="30"/>
  <c r="F66" i="30"/>
  <c r="F66" i="34"/>
  <c r="J65" i="30"/>
  <c r="I61" i="30"/>
  <c r="I61" i="34"/>
  <c r="D63" i="30"/>
  <c r="G68" i="30"/>
  <c r="I65" i="30"/>
  <c r="D45" i="34"/>
  <c r="C131" i="40"/>
  <c r="I39" i="30"/>
  <c r="I39" i="34"/>
  <c r="D41" i="30"/>
  <c r="D41" i="34"/>
  <c r="C58" i="30"/>
  <c r="C57" i="30"/>
  <c r="J53" i="30"/>
  <c r="J34" i="30"/>
  <c r="J34" i="34"/>
  <c r="G39" i="30"/>
  <c r="D52" i="30"/>
  <c r="K38" i="30"/>
  <c r="K38" i="34"/>
  <c r="N414" i="6"/>
  <c r="N409" i="6"/>
  <c r="A150" i="6"/>
  <c r="A366" i="6"/>
  <c r="A369" i="6"/>
  <c r="A368" i="6"/>
  <c r="A288" i="8"/>
  <c r="A281" i="8"/>
  <c r="A102" i="35"/>
  <c r="A103" i="35"/>
  <c r="A106" i="35"/>
  <c r="K276" i="1"/>
  <c r="D276" i="1"/>
  <c r="K587" i="1"/>
  <c r="G587" i="1"/>
  <c r="B135" i="28"/>
  <c r="B135" i="32"/>
  <c r="B133" i="28"/>
  <c r="B133" i="32"/>
  <c r="B131" i="28"/>
  <c r="B131" i="32"/>
  <c r="N415" i="6"/>
  <c r="B147" i="4"/>
  <c r="A361" i="6"/>
  <c r="A359" i="6"/>
  <c r="A10" i="28"/>
  <c r="A7" i="28"/>
  <c r="A12" i="28"/>
  <c r="F34" i="29"/>
  <c r="I34" i="29"/>
  <c r="K34" i="29"/>
  <c r="E34" i="29"/>
  <c r="H34" i="29"/>
  <c r="A269" i="30"/>
  <c r="A271" i="30"/>
  <c r="A66" i="34"/>
  <c r="A259" i="8"/>
  <c r="A254" i="8"/>
  <c r="E15" i="35"/>
  <c r="H15" i="35"/>
  <c r="L162" i="1"/>
  <c r="E162" i="1"/>
  <c r="F162" i="1"/>
  <c r="C162" i="1"/>
  <c r="J4" i="5"/>
  <c r="I4" i="5"/>
  <c r="K4" i="5"/>
  <c r="L4" i="5"/>
  <c r="A203" i="8"/>
  <c r="A200" i="8"/>
  <c r="A204" i="8"/>
  <c r="A119" i="7"/>
  <c r="A115" i="7"/>
  <c r="A117" i="7"/>
  <c r="A116" i="7"/>
  <c r="A175" i="7"/>
  <c r="A171" i="7"/>
  <c r="A170" i="7"/>
  <c r="B15" i="37"/>
  <c r="F15" i="37"/>
  <c r="H15" i="37"/>
  <c r="G15" i="37"/>
  <c r="A58" i="37"/>
  <c r="A55" i="37"/>
  <c r="A56" i="37"/>
  <c r="A79" i="37"/>
  <c r="A73" i="37"/>
  <c r="A72" i="37"/>
  <c r="A132" i="38"/>
  <c r="A341" i="38"/>
  <c r="A338" i="38"/>
  <c r="A46" i="27"/>
  <c r="A133" i="8"/>
  <c r="A42" i="27"/>
  <c r="A319" i="8"/>
  <c r="A330" i="39"/>
  <c r="A560" i="38"/>
  <c r="C748" i="1"/>
  <c r="E748" i="1"/>
  <c r="K748" i="1"/>
  <c r="I748" i="1"/>
  <c r="G748" i="1"/>
  <c r="A242" i="6"/>
  <c r="A241" i="6"/>
  <c r="A131" i="8"/>
  <c r="A132" i="8"/>
  <c r="A96" i="38"/>
  <c r="D229" i="1"/>
  <c r="F232" i="1"/>
  <c r="E231" i="1"/>
  <c r="D232" i="1"/>
  <c r="A172" i="8"/>
  <c r="N434" i="30"/>
  <c r="B42" i="8" a="1"/>
  <c r="G161" i="1"/>
  <c r="J161" i="1"/>
  <c r="E161" i="1"/>
  <c r="L161" i="1"/>
  <c r="K161" i="1"/>
  <c r="F161" i="1"/>
  <c r="I161" i="1"/>
  <c r="H161" i="1"/>
  <c r="A48" i="31"/>
  <c r="A41" i="31"/>
  <c r="A42" i="31"/>
  <c r="A43" i="31"/>
  <c r="A45" i="31"/>
  <c r="A47" i="31"/>
  <c r="A44" i="31"/>
  <c r="A46" i="31"/>
  <c r="A101" i="32"/>
  <c r="A100" i="32"/>
  <c r="A105" i="32"/>
  <c r="A98" i="32"/>
  <c r="A103" i="32"/>
  <c r="A102" i="32"/>
  <c r="A104" i="32"/>
  <c r="A53" i="34"/>
  <c r="A59" i="34"/>
  <c r="A52" i="34"/>
  <c r="A58" i="34"/>
  <c r="A470" i="39"/>
  <c r="A473" i="39"/>
  <c r="A471" i="39"/>
  <c r="A477" i="39"/>
  <c r="A472" i="39"/>
  <c r="A476" i="39"/>
  <c r="A701" i="39"/>
  <c r="A697" i="39"/>
  <c r="K4" i="31"/>
  <c r="B4" i="31"/>
  <c r="I4" i="31"/>
  <c r="F4" i="31"/>
  <c r="J4" i="31"/>
  <c r="D4" i="31"/>
  <c r="C4" i="31"/>
  <c r="G4" i="31"/>
  <c r="A35" i="35"/>
  <c r="A33" i="35"/>
  <c r="A34" i="35"/>
  <c r="A38" i="35"/>
  <c r="A37" i="35"/>
  <c r="A39" i="35"/>
  <c r="A32" i="35"/>
  <c r="A65" i="35"/>
  <c r="A69" i="35"/>
  <c r="A64" i="35"/>
  <c r="A66" i="35"/>
  <c r="A88" i="35"/>
  <c r="A84" i="35"/>
  <c r="A83" i="35"/>
  <c r="A86" i="35"/>
  <c r="A89" i="35"/>
  <c r="A107" i="35"/>
  <c r="A109" i="35"/>
  <c r="A104" i="35"/>
  <c r="A105" i="35"/>
  <c r="A146" i="35"/>
  <c r="A147" i="35"/>
  <c r="A145" i="35"/>
  <c r="A141" i="35"/>
  <c r="A134" i="39"/>
  <c r="A136" i="39"/>
  <c r="A132" i="39"/>
  <c r="A131" i="39"/>
  <c r="A133" i="39"/>
  <c r="A164" i="39"/>
  <c r="A161" i="39"/>
  <c r="A163" i="39"/>
  <c r="A180" i="39"/>
  <c r="A181" i="39"/>
  <c r="A182" i="39"/>
  <c r="A259" i="39"/>
  <c r="A254" i="39"/>
  <c r="A363" i="39"/>
  <c r="A365" i="39"/>
  <c r="A366" i="39"/>
  <c r="A368" i="39"/>
  <c r="A364" i="39"/>
  <c r="A395" i="39"/>
  <c r="A389" i="39"/>
  <c r="A391" i="39"/>
  <c r="A390" i="39"/>
  <c r="A393" i="39"/>
  <c r="A394" i="39"/>
  <c r="A396" i="39"/>
  <c r="A452" i="39"/>
  <c r="K279" i="1"/>
  <c r="K306" i="1"/>
  <c r="K345" i="1"/>
  <c r="K305" i="1"/>
  <c r="K278" i="1"/>
  <c r="K344" i="1"/>
  <c r="K323" i="1"/>
  <c r="J285" i="1"/>
  <c r="J303" i="1"/>
  <c r="J323" i="1"/>
  <c r="J305" i="1"/>
  <c r="J324" i="1"/>
  <c r="J259" i="1"/>
  <c r="J348" i="1"/>
  <c r="J327" i="1"/>
  <c r="J263" i="1"/>
  <c r="E4" i="31"/>
  <c r="H4" i="31"/>
  <c r="G34" i="4"/>
  <c r="I34" i="4"/>
  <c r="A322" i="8"/>
  <c r="A318" i="8"/>
  <c r="A320" i="8"/>
  <c r="A324" i="8"/>
  <c r="A317" i="8"/>
  <c r="A323" i="8"/>
  <c r="A321" i="8"/>
  <c r="A617" i="8"/>
  <c r="A620" i="8"/>
  <c r="A618" i="8"/>
  <c r="A621" i="8"/>
  <c r="A619" i="8"/>
  <c r="F45" i="30"/>
  <c r="F45" i="34"/>
  <c r="L45" i="30"/>
  <c r="F50" i="30"/>
  <c r="F50" i="34"/>
  <c r="D44" i="30"/>
  <c r="D44" i="34"/>
  <c r="I48" i="30"/>
  <c r="D49" i="30"/>
  <c r="D49" i="34"/>
  <c r="G43" i="30"/>
  <c r="G43" i="34"/>
  <c r="J44" i="30"/>
  <c r="J44" i="34"/>
  <c r="D50" i="30"/>
  <c r="F44" i="30"/>
  <c r="I45" i="30"/>
  <c r="I45" i="34"/>
  <c r="G48" i="30"/>
  <c r="C50" i="30"/>
  <c r="C50" i="34"/>
  <c r="D43" i="30"/>
  <c r="H45" i="30"/>
  <c r="J48" i="30"/>
  <c r="J48" i="34"/>
  <c r="H44" i="30"/>
  <c r="C48" i="30"/>
  <c r="I44" i="30"/>
  <c r="K49" i="30"/>
  <c r="K49" i="34"/>
  <c r="J46" i="30"/>
  <c r="F43" i="30"/>
  <c r="F43" i="34"/>
  <c r="F47" i="30"/>
  <c r="K47" i="30"/>
  <c r="K47" i="34"/>
  <c r="L48" i="30"/>
  <c r="L48" i="34"/>
  <c r="H46" i="30"/>
  <c r="H46" i="34"/>
  <c r="C47" i="30"/>
  <c r="C47" i="34"/>
  <c r="K50" i="30"/>
  <c r="K50" i="34"/>
  <c r="L43" i="30"/>
  <c r="K48" i="30"/>
  <c r="K48" i="34"/>
  <c r="I50" i="30"/>
  <c r="C46" i="30"/>
  <c r="E47" i="30"/>
  <c r="E47" i="34"/>
  <c r="H49" i="30"/>
  <c r="J50" i="30"/>
  <c r="D48" i="30"/>
  <c r="D48" i="34"/>
  <c r="F48" i="30"/>
  <c r="F48" i="34"/>
  <c r="K45" i="30"/>
  <c r="K45" i="34"/>
  <c r="G49" i="30"/>
  <c r="G49" i="34"/>
  <c r="I47" i="30"/>
  <c r="I47" i="34"/>
  <c r="C44" i="30"/>
  <c r="G47" i="30"/>
  <c r="G47" i="34"/>
  <c r="H47" i="30"/>
  <c r="L49" i="30"/>
  <c r="L49" i="34"/>
  <c r="I49" i="30"/>
  <c r="I49" i="34"/>
  <c r="K43" i="30"/>
  <c r="G45" i="30"/>
  <c r="E46" i="30"/>
  <c r="E46" i="34"/>
  <c r="L50" i="30"/>
  <c r="G50" i="30"/>
  <c r="J47" i="30"/>
  <c r="J47" i="34"/>
  <c r="I43" i="30"/>
  <c r="I43" i="34"/>
  <c r="H48" i="30"/>
  <c r="H48" i="34"/>
  <c r="A24" i="3"/>
  <c r="A29" i="3"/>
  <c r="A26" i="3"/>
  <c r="A28" i="3"/>
  <c r="A30" i="3"/>
  <c r="A23" i="3"/>
  <c r="A101" i="5"/>
  <c r="A98" i="5"/>
  <c r="A100" i="5"/>
  <c r="A102" i="5"/>
  <c r="D38" i="30"/>
  <c r="D38" i="34"/>
  <c r="D39" i="30"/>
  <c r="L35" i="30"/>
  <c r="E44" i="34"/>
  <c r="A70" i="32"/>
  <c r="A68" i="32"/>
  <c r="I305" i="1"/>
  <c r="I284" i="1"/>
  <c r="I304" i="1"/>
  <c r="N409" i="30"/>
  <c r="I70" i="30"/>
  <c r="F74" i="30"/>
  <c r="G70" i="30"/>
  <c r="L75" i="30"/>
  <c r="A308" i="8"/>
  <c r="A314" i="8"/>
  <c r="C77" i="30"/>
  <c r="K76" i="30"/>
  <c r="K76" i="34"/>
  <c r="I77" i="30"/>
  <c r="I77" i="34"/>
  <c r="K77" i="30"/>
  <c r="D71" i="30"/>
  <c r="D71" i="34"/>
  <c r="F75" i="30"/>
  <c r="I75" i="30"/>
  <c r="J77" i="30"/>
  <c r="N413" i="34"/>
  <c r="A72" i="32"/>
  <c r="N415" i="34"/>
  <c r="N416" i="34"/>
  <c r="A53" i="30"/>
  <c r="A56" i="30"/>
  <c r="A55" i="30"/>
  <c r="A54" i="30"/>
  <c r="A43" i="32"/>
  <c r="A42" i="32"/>
  <c r="A39" i="32"/>
  <c r="A452" i="38"/>
  <c r="A456" i="38"/>
  <c r="A458" i="38"/>
  <c r="A453" i="38"/>
  <c r="J35" i="40"/>
  <c r="I35" i="40"/>
  <c r="F35" i="40"/>
  <c r="H35" i="40"/>
  <c r="G35" i="40"/>
  <c r="H342" i="1"/>
  <c r="J342" i="1"/>
  <c r="I349" i="1"/>
  <c r="N414" i="30"/>
  <c r="C75" i="30"/>
  <c r="C75" i="34"/>
  <c r="E72" i="30"/>
  <c r="H75" i="30"/>
  <c r="L74" i="30"/>
  <c r="C71" i="30"/>
  <c r="C71" i="34"/>
  <c r="A313" i="8"/>
  <c r="A310" i="8"/>
  <c r="F71" i="30"/>
  <c r="J73" i="30"/>
  <c r="J73" i="34"/>
  <c r="F72" i="30"/>
  <c r="H74" i="30"/>
  <c r="H74" i="34"/>
  <c r="H72" i="30"/>
  <c r="I74" i="30"/>
  <c r="I74" i="34"/>
  <c r="N409" i="34"/>
  <c r="J74" i="30"/>
  <c r="A67" i="32"/>
  <c r="B126" i="2"/>
  <c r="B124" i="2"/>
  <c r="D4" i="5"/>
  <c r="E4" i="5"/>
  <c r="A200" i="6"/>
  <c r="A319" i="6"/>
  <c r="A326" i="6"/>
  <c r="A324" i="6"/>
  <c r="A323" i="6"/>
  <c r="A349" i="6"/>
  <c r="A351" i="6"/>
  <c r="A350" i="6"/>
  <c r="A79" i="30"/>
  <c r="A387" i="34"/>
  <c r="H46" i="8"/>
  <c r="A94" i="8"/>
  <c r="A95" i="8"/>
  <c r="A38" i="8"/>
  <c r="A642" i="8"/>
  <c r="A648" i="8"/>
  <c r="A281" i="39"/>
  <c r="A283" i="39"/>
  <c r="A359" i="39"/>
  <c r="A354" i="39"/>
  <c r="A356" i="39"/>
  <c r="A353" i="39"/>
  <c r="A358" i="39"/>
  <c r="A503" i="39"/>
  <c r="A499" i="39"/>
  <c r="A133" i="35"/>
  <c r="A138" i="35"/>
  <c r="A132" i="35"/>
  <c r="A134" i="35"/>
  <c r="A135" i="35"/>
  <c r="A137" i="35"/>
  <c r="G230" i="1"/>
  <c r="C229" i="1"/>
  <c r="E235" i="1"/>
  <c r="K235" i="1"/>
  <c r="E230" i="1"/>
  <c r="D234" i="1"/>
  <c r="H229" i="1"/>
  <c r="C228" i="1"/>
  <c r="E233" i="1"/>
  <c r="K233" i="1"/>
  <c r="L235" i="1"/>
  <c r="L233" i="1"/>
  <c r="G228" i="1"/>
  <c r="G232" i="1"/>
  <c r="L228" i="1"/>
  <c r="K230" i="1"/>
  <c r="E234" i="1"/>
  <c r="G229" i="1"/>
  <c r="I231" i="1"/>
  <c r="H230" i="1"/>
  <c r="H235" i="1"/>
  <c r="F228" i="1"/>
  <c r="C231" i="1"/>
  <c r="K231" i="1"/>
  <c r="H228" i="1"/>
  <c r="C230" i="1"/>
  <c r="F234" i="1"/>
  <c r="L230" i="1"/>
  <c r="L232" i="1"/>
  <c r="L231" i="1"/>
  <c r="E232" i="1"/>
  <c r="F233" i="1"/>
  <c r="H233" i="1"/>
  <c r="J229" i="1"/>
  <c r="A607" i="1"/>
  <c r="A713" i="1"/>
  <c r="A604" i="1"/>
  <c r="A710" i="1"/>
  <c r="A605" i="1"/>
  <c r="A711" i="1"/>
  <c r="A230" i="30"/>
  <c r="C27" i="30" a="1"/>
  <c r="E81" i="30"/>
  <c r="E81" i="34"/>
  <c r="B173" i="8"/>
  <c r="B170" i="8"/>
  <c r="B172" i="8"/>
  <c r="B169" i="8"/>
  <c r="B221" i="1"/>
  <c r="B220" i="1"/>
  <c r="B223" i="1"/>
  <c r="B99" i="32"/>
  <c r="A28" i="37"/>
  <c r="A23" i="37"/>
  <c r="A295" i="30"/>
  <c r="J748" i="1"/>
  <c r="D748" i="1"/>
  <c r="F748" i="1"/>
  <c r="B141" i="32"/>
  <c r="A117" i="6"/>
  <c r="H409" i="1"/>
  <c r="G42" i="8"/>
  <c r="I42" i="8"/>
  <c r="B68" i="32"/>
  <c r="A86" i="31"/>
  <c r="A89" i="31"/>
  <c r="A87" i="31"/>
  <c r="A412" i="39"/>
  <c r="A414" i="39"/>
  <c r="A145" i="34"/>
  <c r="A139" i="34"/>
  <c r="B146" i="40"/>
  <c r="B149" i="40"/>
  <c r="B147" i="40"/>
  <c r="I325" i="1"/>
  <c r="J281" i="1"/>
  <c r="J280" i="1"/>
  <c r="J283" i="1"/>
  <c r="K303" i="1"/>
  <c r="K262" i="1"/>
  <c r="K283" i="1"/>
  <c r="A178" i="39"/>
  <c r="A56" i="34"/>
  <c r="K56" i="30"/>
  <c r="F68" i="34"/>
  <c r="A83" i="31"/>
  <c r="K329" i="1"/>
  <c r="J302" i="1"/>
  <c r="I278" i="1"/>
  <c r="A441" i="1"/>
  <c r="A491" i="1"/>
  <c r="A541" i="1"/>
  <c r="A439" i="1"/>
  <c r="A489" i="1"/>
  <c r="A539" i="1"/>
  <c r="G45" i="34"/>
  <c r="K285" i="1"/>
  <c r="L39" i="34"/>
  <c r="I59" i="30"/>
  <c r="A19" i="39"/>
  <c r="G53" i="30"/>
  <c r="E55" i="30"/>
  <c r="A91" i="39"/>
  <c r="H56" i="30"/>
  <c r="A127" i="39"/>
  <c r="A20" i="39"/>
  <c r="F58" i="30"/>
  <c r="F54" i="30"/>
  <c r="H57" i="30"/>
  <c r="H57" i="34"/>
  <c r="J57" i="30"/>
  <c r="E58" i="30"/>
  <c r="E58" i="34"/>
  <c r="N430" i="6"/>
  <c r="D55" i="6"/>
  <c r="G53" i="6"/>
  <c r="G56" i="6"/>
  <c r="E56" i="30"/>
  <c r="D59" i="30"/>
  <c r="A593" i="39"/>
  <c r="E59" i="6"/>
  <c r="L53" i="6"/>
  <c r="F58" i="6"/>
  <c r="E55" i="6"/>
  <c r="F53" i="6"/>
  <c r="F53" i="34"/>
  <c r="L54" i="6"/>
  <c r="E52" i="6"/>
  <c r="J53" i="6"/>
  <c r="C52" i="6"/>
  <c r="C52" i="34"/>
  <c r="G57" i="6"/>
  <c r="L56" i="30"/>
  <c r="A8" i="27"/>
  <c r="F28" i="30"/>
  <c r="F28" i="34"/>
  <c r="E45" i="34"/>
  <c r="L52" i="30"/>
  <c r="A36" i="30"/>
  <c r="B137" i="29"/>
  <c r="A337" i="30"/>
  <c r="A9" i="32"/>
  <c r="A7" i="32"/>
  <c r="A342" i="30"/>
  <c r="K28" i="30"/>
  <c r="A43" i="28"/>
  <c r="A169" i="30"/>
  <c r="C151" i="29"/>
  <c r="B142" i="40"/>
  <c r="A662" i="39"/>
  <c r="A666" i="39"/>
  <c r="B143" i="40"/>
  <c r="D3" i="9"/>
  <c r="A88" i="31"/>
  <c r="A315" i="34"/>
  <c r="A77" i="30"/>
  <c r="B15" i="35"/>
  <c r="A403" i="30"/>
  <c r="D26" i="6"/>
  <c r="A7" i="27"/>
  <c r="A22" i="7"/>
  <c r="A27" i="7"/>
  <c r="A28" i="7"/>
  <c r="A63" i="7"/>
  <c r="A68" i="7"/>
  <c r="A62" i="7"/>
  <c r="A160" i="7"/>
  <c r="A163" i="7"/>
  <c r="A164" i="7"/>
  <c r="A101" i="38"/>
  <c r="A99" i="38"/>
  <c r="A208" i="38"/>
  <c r="A209" i="38"/>
  <c r="A340" i="38"/>
  <c r="A339" i="38"/>
  <c r="A342" i="38"/>
  <c r="A407" i="38"/>
  <c r="A411" i="38"/>
  <c r="A443" i="38"/>
  <c r="A447" i="38"/>
  <c r="A553" i="38"/>
  <c r="A551" i="38"/>
  <c r="N122" i="40"/>
  <c r="N111" i="29"/>
  <c r="A21" i="59"/>
  <c r="A15" i="59"/>
  <c r="A22" i="59"/>
  <c r="D37" i="34"/>
  <c r="J53" i="34"/>
  <c r="J304" i="1"/>
  <c r="K348" i="1"/>
  <c r="J279" i="1"/>
  <c r="D66" i="34"/>
  <c r="J307" i="1"/>
  <c r="I38" i="34"/>
  <c r="K55" i="30"/>
  <c r="K55" i="34"/>
  <c r="C52" i="30"/>
  <c r="K57" i="30"/>
  <c r="J55" i="30"/>
  <c r="G55" i="30"/>
  <c r="H52" i="30"/>
  <c r="E59" i="30"/>
  <c r="G59" i="30"/>
  <c r="E52" i="30"/>
  <c r="D56" i="30"/>
  <c r="I56" i="30"/>
  <c r="I56" i="34"/>
  <c r="A589" i="39"/>
  <c r="D58" i="30"/>
  <c r="H3" i="9"/>
  <c r="D55" i="30"/>
  <c r="D55" i="34"/>
  <c r="A12" i="32"/>
  <c r="A10" i="32"/>
  <c r="G3" i="9"/>
  <c r="N432" i="6"/>
  <c r="A659" i="39"/>
  <c r="F3" i="9"/>
  <c r="C152" i="29"/>
  <c r="B144" i="40"/>
  <c r="A663" i="39"/>
  <c r="A482" i="39"/>
  <c r="B3" i="9"/>
  <c r="A85" i="31"/>
  <c r="C43" i="34"/>
  <c r="C156" i="29"/>
  <c r="E56" i="6"/>
  <c r="E56" i="34"/>
  <c r="I53" i="6"/>
  <c r="K57" i="6"/>
  <c r="A317" i="30"/>
  <c r="A312" i="30"/>
  <c r="A316" i="30"/>
  <c r="A402" i="30"/>
  <c r="A400" i="30"/>
  <c r="A157" i="35"/>
  <c r="A151" i="35"/>
  <c r="A155" i="35"/>
  <c r="A24" i="37"/>
  <c r="A22" i="37"/>
  <c r="B241" i="1"/>
  <c r="B243" i="1"/>
  <c r="B239" i="1"/>
  <c r="A122" i="34"/>
  <c r="A115" i="34"/>
  <c r="K28" i="34"/>
  <c r="A591" i="39"/>
  <c r="F52" i="30"/>
  <c r="B75" i="28"/>
  <c r="I3" i="9"/>
  <c r="D46" i="34"/>
  <c r="A6" i="32"/>
  <c r="C3" i="9"/>
  <c r="A342" i="39"/>
  <c r="C154" i="29"/>
  <c r="C155" i="29"/>
  <c r="B148" i="40"/>
  <c r="A661" i="39"/>
  <c r="A18" i="39"/>
  <c r="A626" i="39"/>
  <c r="I26" i="6"/>
  <c r="A177" i="34"/>
  <c r="A181" i="34"/>
  <c r="A242" i="34"/>
  <c r="A244" i="34"/>
  <c r="A411" i="34"/>
  <c r="A409" i="34"/>
  <c r="B222" i="1"/>
  <c r="B219" i="1"/>
  <c r="A609" i="1"/>
  <c r="A715" i="1"/>
  <c r="A606" i="1"/>
  <c r="A712" i="1"/>
  <c r="A603" i="1"/>
  <c r="A709" i="1"/>
  <c r="A602" i="1"/>
  <c r="A708" i="1"/>
  <c r="H343" i="1"/>
  <c r="E343" i="1"/>
  <c r="E51" i="57"/>
  <c r="E45" i="57"/>
  <c r="B100" i="2"/>
  <c r="B98" i="2"/>
  <c r="A256" i="6"/>
  <c r="A259" i="6"/>
  <c r="A208" i="34"/>
  <c r="A207" i="34"/>
  <c r="K410" i="1"/>
  <c r="E410" i="1"/>
  <c r="K43" i="6"/>
  <c r="K43" i="34"/>
  <c r="I48" i="6"/>
  <c r="I48" i="34"/>
  <c r="J43" i="6"/>
  <c r="J43" i="34"/>
  <c r="F49" i="6"/>
  <c r="F49" i="34"/>
  <c r="C46" i="6"/>
  <c r="C44" i="6"/>
  <c r="C44" i="34"/>
  <c r="C48" i="6"/>
  <c r="C48" i="34"/>
  <c r="D50" i="6"/>
  <c r="D50" i="34"/>
  <c r="L43" i="6"/>
  <c r="A42" i="3"/>
  <c r="A539" i="8"/>
  <c r="A534" i="8"/>
  <c r="A177" i="7"/>
  <c r="A22" i="35"/>
  <c r="A529" i="39"/>
  <c r="A526" i="39"/>
  <c r="G643" i="1"/>
  <c r="A52" i="58"/>
  <c r="A50" i="58"/>
  <c r="C3" i="60"/>
  <c r="F3" i="60"/>
  <c r="A674" i="38"/>
  <c r="A669" i="38"/>
  <c r="A72" i="58"/>
  <c r="A71" i="58"/>
  <c r="A67" i="58"/>
  <c r="B30" i="59"/>
  <c r="B30" i="60"/>
  <c r="B27" i="59"/>
  <c r="A39" i="60"/>
  <c r="A398" i="39"/>
  <c r="A399" i="39"/>
  <c r="C128" i="40"/>
  <c r="C115" i="40"/>
  <c r="C105" i="40"/>
  <c r="N325" i="34"/>
  <c r="M692" i="38"/>
  <c r="M575" i="39"/>
  <c r="N278" i="6"/>
  <c r="M382" i="38"/>
  <c r="M427" i="39"/>
  <c r="M160" i="35"/>
  <c r="M178" i="35"/>
  <c r="M499" i="8"/>
  <c r="M553" i="8"/>
  <c r="M546" i="39"/>
  <c r="N275" i="30"/>
  <c r="M353" i="8"/>
  <c r="N333" i="34"/>
  <c r="M641" i="38"/>
  <c r="M162" i="35"/>
  <c r="M174" i="7"/>
  <c r="M583" i="38"/>
  <c r="M655" i="38"/>
  <c r="N141" i="6"/>
  <c r="N401" i="6"/>
  <c r="M440" i="8"/>
  <c r="M148" i="37"/>
  <c r="M235" i="8"/>
  <c r="N275" i="6"/>
  <c r="M618" i="38"/>
  <c r="M498" i="39"/>
  <c r="M575" i="8"/>
  <c r="M143" i="7"/>
  <c r="M119" i="37"/>
  <c r="M139" i="35"/>
  <c r="N189" i="30"/>
  <c r="M30" i="9"/>
  <c r="N276" i="6"/>
  <c r="M384" i="38"/>
  <c r="M641" i="8"/>
  <c r="M598" i="38"/>
  <c r="M96" i="7"/>
  <c r="M356" i="39"/>
  <c r="M124" i="7"/>
  <c r="N383" i="30"/>
  <c r="M78" i="37"/>
  <c r="M620" i="39"/>
  <c r="A53" i="58"/>
  <c r="A69" i="58"/>
  <c r="N29" i="59"/>
  <c r="A52" i="59"/>
  <c r="A53" i="59"/>
  <c r="I3" i="60"/>
  <c r="B101" i="32"/>
  <c r="H535" i="1"/>
  <c r="L489" i="1"/>
  <c r="J487" i="1"/>
  <c r="J486" i="1"/>
  <c r="L492" i="1"/>
  <c r="I493" i="1"/>
  <c r="L486" i="1"/>
  <c r="K491" i="1"/>
  <c r="J491" i="1"/>
  <c r="J489" i="1"/>
  <c r="I491" i="1"/>
  <c r="L491" i="1"/>
  <c r="B44" i="28"/>
  <c r="B38" i="32"/>
  <c r="N432" i="30"/>
  <c r="N431" i="30"/>
  <c r="N430" i="30"/>
  <c r="N433" i="30"/>
  <c r="N436" i="30"/>
  <c r="N429" i="30"/>
  <c r="N423" i="30"/>
  <c r="N427" i="30"/>
  <c r="N420" i="30"/>
  <c r="N421" i="30"/>
  <c r="N419" i="30"/>
  <c r="N424" i="30"/>
  <c r="D110" i="29" a="1"/>
  <c r="D100" i="29" a="1"/>
  <c r="G48" i="34"/>
  <c r="B136" i="32"/>
  <c r="L61" i="34"/>
  <c r="L63" i="34"/>
  <c r="J63" i="34"/>
  <c r="J62" i="34"/>
  <c r="N420" i="6"/>
  <c r="N427" i="6"/>
  <c r="N425" i="6"/>
  <c r="N424" i="6"/>
  <c r="N423" i="6"/>
  <c r="I346" i="1"/>
  <c r="I279" i="1"/>
  <c r="I323" i="1"/>
  <c r="I347" i="1"/>
  <c r="I351" i="1"/>
  <c r="I283" i="1"/>
  <c r="I257" i="1"/>
  <c r="A350" i="8"/>
  <c r="A351" i="8"/>
  <c r="A348" i="8"/>
  <c r="A345" i="8"/>
  <c r="A344" i="8"/>
  <c r="A346" i="8"/>
  <c r="A349" i="8"/>
  <c r="A387" i="8"/>
  <c r="A386" i="8"/>
  <c r="A385" i="8"/>
  <c r="A382" i="8"/>
  <c r="A381" i="8"/>
  <c r="A384" i="8"/>
  <c r="A383" i="8"/>
  <c r="A480" i="8"/>
  <c r="A481" i="8"/>
  <c r="A483" i="8"/>
  <c r="A479" i="8"/>
  <c r="A486" i="8"/>
  <c r="A484" i="8"/>
  <c r="A698" i="8"/>
  <c r="A699" i="8"/>
  <c r="A5" i="7"/>
  <c r="A10" i="7"/>
  <c r="A129" i="7"/>
  <c r="A124" i="7"/>
  <c r="A125" i="7"/>
  <c r="A123" i="7"/>
  <c r="A126" i="7"/>
  <c r="A122" i="7"/>
  <c r="A128" i="7"/>
  <c r="A692" i="8"/>
  <c r="A693" i="8"/>
  <c r="A6" i="35"/>
  <c r="A9" i="35"/>
  <c r="A5" i="35"/>
  <c r="A11" i="35"/>
  <c r="A8" i="35"/>
  <c r="A12" i="35"/>
  <c r="A59" i="35"/>
  <c r="A58" i="35"/>
  <c r="A57" i="35"/>
  <c r="A56" i="35"/>
  <c r="A55" i="35"/>
  <c r="A54" i="35"/>
  <c r="A53" i="35"/>
  <c r="A77" i="35"/>
  <c r="A79" i="35"/>
  <c r="A74" i="35"/>
  <c r="A75" i="35"/>
  <c r="A73" i="35"/>
  <c r="A76" i="35"/>
  <c r="A78" i="35"/>
  <c r="A99" i="35"/>
  <c r="A97" i="35"/>
  <c r="A93" i="35"/>
  <c r="A95" i="35"/>
  <c r="A92" i="35"/>
  <c r="A96" i="35"/>
  <c r="A94" i="35"/>
  <c r="A113" i="35"/>
  <c r="A117" i="35"/>
  <c r="A118" i="35"/>
  <c r="A114" i="35"/>
  <c r="A112" i="35"/>
  <c r="A115" i="35"/>
  <c r="A165" i="35"/>
  <c r="A161" i="35"/>
  <c r="A162" i="35"/>
  <c r="A160" i="35"/>
  <c r="A167" i="35"/>
  <c r="A163" i="35"/>
  <c r="A164" i="35"/>
  <c r="A154" i="37"/>
  <c r="A157" i="37"/>
  <c r="A150" i="37"/>
  <c r="A50" i="39"/>
  <c r="A51" i="39"/>
  <c r="A55" i="39"/>
  <c r="A54" i="39"/>
  <c r="A76" i="39"/>
  <c r="A79" i="39"/>
  <c r="A81" i="39"/>
  <c r="A138" i="37"/>
  <c r="A134" i="37"/>
  <c r="A139" i="37"/>
  <c r="A137" i="37"/>
  <c r="A132" i="37"/>
  <c r="A133" i="37"/>
  <c r="A136" i="37"/>
  <c r="A135" i="37"/>
  <c r="G142" i="1"/>
  <c r="H142" i="1"/>
  <c r="L142" i="1"/>
  <c r="F142" i="1"/>
  <c r="I142" i="1"/>
  <c r="E142" i="1"/>
  <c r="D142" i="1"/>
  <c r="C142" i="1"/>
  <c r="B211" i="1"/>
  <c r="B210" i="1"/>
  <c r="B215" i="1"/>
  <c r="B213" i="1"/>
  <c r="B216" i="1"/>
  <c r="B217" i="1"/>
  <c r="B214" i="1"/>
  <c r="A51" i="38"/>
  <c r="A55" i="38"/>
  <c r="A50" i="38"/>
  <c r="A471" i="38"/>
  <c r="A476" i="38"/>
  <c r="A474" i="38"/>
  <c r="A473" i="38"/>
  <c r="A475" i="38"/>
  <c r="A472" i="38"/>
  <c r="A470" i="38"/>
  <c r="A477" i="38"/>
  <c r="A507" i="38"/>
  <c r="A511" i="38"/>
  <c r="A508" i="38"/>
  <c r="A512" i="38"/>
  <c r="A513" i="38"/>
  <c r="A509" i="38"/>
  <c r="A542" i="38"/>
  <c r="A548" i="38"/>
  <c r="A549" i="38"/>
  <c r="A545" i="38"/>
  <c r="A544" i="38"/>
  <c r="A579" i="38"/>
  <c r="A582" i="38"/>
  <c r="A619" i="38"/>
  <c r="A621" i="38"/>
  <c r="M34" i="40"/>
  <c r="K34" i="40"/>
  <c r="J34" i="40"/>
  <c r="G34" i="40"/>
  <c r="F34" i="40"/>
  <c r="A448" i="1"/>
  <c r="A498" i="1"/>
  <c r="A548" i="1"/>
  <c r="A451" i="1"/>
  <c r="A501" i="1"/>
  <c r="A551" i="1"/>
  <c r="A445" i="1"/>
  <c r="A495" i="1"/>
  <c r="A545" i="1"/>
  <c r="A447" i="1"/>
  <c r="A497" i="1"/>
  <c r="A547" i="1"/>
  <c r="A450" i="1"/>
  <c r="A500" i="1"/>
  <c r="A550" i="1"/>
  <c r="A449" i="1"/>
  <c r="A499" i="1"/>
  <c r="A549" i="1"/>
  <c r="A452" i="1"/>
  <c r="A502" i="1"/>
  <c r="A552" i="1"/>
  <c r="J261" i="1"/>
  <c r="A482" i="8"/>
  <c r="A485" i="8"/>
  <c r="N411" i="30"/>
  <c r="N415" i="30"/>
  <c r="K328" i="1"/>
  <c r="K304" i="1"/>
  <c r="K261" i="1"/>
  <c r="K282" i="1"/>
  <c r="K302" i="1"/>
  <c r="K347" i="1"/>
  <c r="K284" i="1"/>
  <c r="K350" i="1"/>
  <c r="K322" i="1"/>
  <c r="K258" i="1"/>
  <c r="K280" i="1"/>
  <c r="J262" i="1"/>
  <c r="J346" i="1"/>
  <c r="J278" i="1"/>
  <c r="J258" i="1"/>
  <c r="J257" i="1"/>
  <c r="J351" i="1"/>
  <c r="J284" i="1"/>
  <c r="J329" i="1"/>
  <c r="J345" i="1"/>
  <c r="A380" i="8"/>
  <c r="A127" i="7"/>
  <c r="B130" i="32"/>
  <c r="I276" i="1"/>
  <c r="E276" i="1"/>
  <c r="J276" i="1"/>
  <c r="K95" i="57"/>
  <c r="I95" i="57"/>
  <c r="J95" i="57"/>
  <c r="D95" i="57"/>
  <c r="L95" i="57"/>
  <c r="G95" i="57"/>
  <c r="C95" i="57"/>
  <c r="H95" i="57"/>
  <c r="F95" i="57"/>
  <c r="J282" i="1"/>
  <c r="I256" i="1"/>
  <c r="F52" i="34"/>
  <c r="J52" i="34"/>
  <c r="I328" i="1"/>
  <c r="A57" i="6"/>
  <c r="A55" i="6"/>
  <c r="A52" i="6"/>
  <c r="A329" i="6"/>
  <c r="A334" i="6"/>
  <c r="A21" i="6"/>
  <c r="A15" i="6"/>
  <c r="A16" i="6"/>
  <c r="B4" i="27"/>
  <c r="G4" i="27"/>
  <c r="F4" i="27"/>
  <c r="D4" i="27"/>
  <c r="J4" i="27"/>
  <c r="A101" i="28"/>
  <c r="A98" i="28"/>
  <c r="A104" i="28"/>
  <c r="M35" i="29"/>
  <c r="E35" i="29"/>
  <c r="J35" i="29"/>
  <c r="G35" i="29"/>
  <c r="A7" i="8"/>
  <c r="A8" i="8"/>
  <c r="A159" i="8"/>
  <c r="A164" i="8"/>
  <c r="A301" i="8"/>
  <c r="A305" i="8"/>
  <c r="A306" i="8"/>
  <c r="A304" i="8"/>
  <c r="A416" i="8"/>
  <c r="A422" i="8"/>
  <c r="A419" i="8"/>
  <c r="A452" i="8"/>
  <c r="A458" i="8"/>
  <c r="A455" i="8"/>
  <c r="A454" i="8"/>
  <c r="A453" i="8"/>
  <c r="H15" i="7"/>
  <c r="B15" i="7"/>
  <c r="J15" i="7"/>
  <c r="E15" i="7"/>
  <c r="F15" i="7"/>
  <c r="A54" i="7"/>
  <c r="A52" i="7"/>
  <c r="A57" i="7"/>
  <c r="A82" i="7"/>
  <c r="A88" i="7"/>
  <c r="A89" i="7"/>
  <c r="A87" i="7"/>
  <c r="A44" i="7"/>
  <c r="A49" i="7"/>
  <c r="A43" i="7"/>
  <c r="A666" i="8"/>
  <c r="A660" i="8"/>
  <c r="A129" i="35"/>
  <c r="A128" i="35"/>
  <c r="A125" i="35"/>
  <c r="A126" i="35"/>
  <c r="A127" i="35"/>
  <c r="A172" i="35"/>
  <c r="A173" i="35"/>
  <c r="A46" i="37"/>
  <c r="A45" i="37"/>
  <c r="A44" i="37"/>
  <c r="A47" i="37"/>
  <c r="A43" i="37"/>
  <c r="A164" i="37"/>
  <c r="A166" i="37"/>
  <c r="A167" i="37"/>
  <c r="A165" i="37"/>
  <c r="A162" i="37"/>
  <c r="A200" i="39"/>
  <c r="A199" i="39"/>
  <c r="A266" i="39"/>
  <c r="A267" i="39"/>
  <c r="A265" i="39"/>
  <c r="A268" i="39"/>
  <c r="A341" i="39"/>
  <c r="A336" i="39"/>
  <c r="A377" i="39"/>
  <c r="A371" i="39"/>
  <c r="A410" i="39"/>
  <c r="A409" i="39"/>
  <c r="A408" i="39"/>
  <c r="A446" i="39"/>
  <c r="A448" i="39"/>
  <c r="A445" i="39"/>
  <c r="A481" i="39"/>
  <c r="A485" i="39"/>
  <c r="A517" i="39"/>
  <c r="A516" i="39"/>
  <c r="A519" i="39"/>
  <c r="A547" i="39"/>
  <c r="A544" i="39"/>
  <c r="A579" i="39"/>
  <c r="A583" i="39"/>
  <c r="A581" i="39"/>
  <c r="A610" i="39"/>
  <c r="A606" i="39"/>
  <c r="A611" i="39"/>
  <c r="A612" i="39"/>
  <c r="A680" i="39"/>
  <c r="A682" i="39"/>
  <c r="A416" i="6"/>
  <c r="A410" i="6"/>
  <c r="A413" i="6"/>
  <c r="A415" i="6"/>
  <c r="I277" i="1"/>
  <c r="G277" i="1"/>
  <c r="L277" i="1"/>
  <c r="F277" i="1"/>
  <c r="E277" i="1"/>
  <c r="C343" i="1"/>
  <c r="K343" i="1"/>
  <c r="D343" i="1"/>
  <c r="L748" i="1"/>
  <c r="H748" i="1"/>
  <c r="I324" i="1"/>
  <c r="I263" i="1"/>
  <c r="I281" i="1"/>
  <c r="A177" i="35"/>
  <c r="G15" i="7"/>
  <c r="A545" i="39"/>
  <c r="A518" i="39"/>
  <c r="A659" i="8"/>
  <c r="B123" i="2"/>
  <c r="H35" i="29"/>
  <c r="A423" i="8"/>
  <c r="A29" i="35"/>
  <c r="A105" i="28"/>
  <c r="A328" i="6"/>
  <c r="A56" i="7"/>
  <c r="A457" i="8"/>
  <c r="D15" i="7"/>
  <c r="A609" i="39"/>
  <c r="A582" i="39"/>
  <c r="A447" i="39"/>
  <c r="C4" i="27"/>
  <c r="A542" i="39"/>
  <c r="A480" i="39"/>
  <c r="A122" i="35"/>
  <c r="A161" i="37"/>
  <c r="A377" i="34"/>
  <c r="A49" i="37"/>
  <c r="A47" i="7"/>
  <c r="A520" i="39"/>
  <c r="A378" i="39"/>
  <c r="A84" i="7"/>
  <c r="A45" i="7"/>
  <c r="A124" i="35"/>
  <c r="A340" i="39"/>
  <c r="A48" i="7"/>
  <c r="A53" i="7"/>
  <c r="A54" i="6"/>
  <c r="A300" i="8"/>
  <c r="A301" i="39"/>
  <c r="A412" i="6"/>
  <c r="K4" i="27"/>
  <c r="A10" i="8"/>
  <c r="A379" i="34"/>
  <c r="A662" i="8"/>
  <c r="K277" i="1"/>
  <c r="A7" i="3"/>
  <c r="A10" i="3"/>
  <c r="A12" i="3"/>
  <c r="A9" i="3"/>
  <c r="A11" i="3"/>
  <c r="A37" i="6"/>
  <c r="A38" i="6"/>
  <c r="A41" i="6"/>
  <c r="A34" i="6"/>
  <c r="A40" i="6"/>
  <c r="A36" i="6"/>
  <c r="A190" i="6"/>
  <c r="A185" i="6"/>
  <c r="A187" i="6"/>
  <c r="C66" i="6"/>
  <c r="C66" i="34"/>
  <c r="L62" i="6"/>
  <c r="L62" i="34"/>
  <c r="H62" i="6"/>
  <c r="I64" i="6"/>
  <c r="L68" i="6"/>
  <c r="C62" i="6"/>
  <c r="C62" i="34"/>
  <c r="A244" i="6"/>
  <c r="A240" i="6"/>
  <c r="A353" i="6"/>
  <c r="A347" i="6"/>
  <c r="A435" i="6"/>
  <c r="A434" i="6"/>
  <c r="A430" i="6"/>
  <c r="A73" i="28"/>
  <c r="A68" i="28"/>
  <c r="A69" i="28"/>
  <c r="A71" i="28"/>
  <c r="A68" i="30"/>
  <c r="A67" i="30"/>
  <c r="A65" i="30"/>
  <c r="A61" i="30"/>
  <c r="A64" i="30"/>
  <c r="A66" i="30"/>
  <c r="A199" i="30"/>
  <c r="A196" i="30"/>
  <c r="A392" i="30"/>
  <c r="A395" i="30"/>
  <c r="A394" i="30"/>
  <c r="A393" i="30"/>
  <c r="A160" i="34"/>
  <c r="A158" i="34"/>
  <c r="A188" i="34"/>
  <c r="A187" i="34"/>
  <c r="A184" i="34"/>
  <c r="A185" i="34"/>
  <c r="A114" i="8"/>
  <c r="A113" i="8"/>
  <c r="A112" i="8"/>
  <c r="A19" i="8"/>
  <c r="A23" i="8"/>
  <c r="A25" i="8"/>
  <c r="A21" i="8"/>
  <c r="A20" i="8"/>
  <c r="A137" i="8"/>
  <c r="A136" i="8"/>
  <c r="F217" i="1"/>
  <c r="D217" i="1"/>
  <c r="E216" i="1"/>
  <c r="E211" i="1"/>
  <c r="G211" i="1"/>
  <c r="L212" i="1"/>
  <c r="E212" i="1"/>
  <c r="G210" i="1"/>
  <c r="H217" i="1"/>
  <c r="K215" i="1"/>
  <c r="J215" i="1"/>
  <c r="I216" i="1"/>
  <c r="H212" i="1"/>
  <c r="A597" i="1"/>
  <c r="A703" i="1"/>
  <c r="A594" i="1"/>
  <c r="A700" i="1"/>
  <c r="K380" i="1"/>
  <c r="K377" i="1"/>
  <c r="L381" i="1"/>
  <c r="I382" i="1"/>
  <c r="C379" i="1"/>
  <c r="G377" i="1"/>
  <c r="C381" i="1"/>
  <c r="E381" i="1"/>
  <c r="F377" i="1"/>
  <c r="K376" i="1"/>
  <c r="E377" i="1"/>
  <c r="H381" i="1"/>
  <c r="I378" i="1"/>
  <c r="H379" i="1"/>
  <c r="F379" i="1"/>
  <c r="K378" i="1"/>
  <c r="G381" i="1"/>
  <c r="E379" i="1"/>
  <c r="C378" i="1"/>
  <c r="E383" i="1"/>
  <c r="H377" i="1"/>
  <c r="J376" i="1"/>
  <c r="I381" i="1"/>
  <c r="E380" i="1"/>
  <c r="K383" i="1"/>
  <c r="H378" i="1"/>
  <c r="G383" i="1"/>
  <c r="I380" i="1"/>
  <c r="J380" i="1"/>
  <c r="G380" i="1"/>
  <c r="I376" i="1"/>
  <c r="D382" i="1"/>
  <c r="I383" i="1"/>
  <c r="C377" i="1"/>
  <c r="C380" i="1"/>
  <c r="E382" i="1"/>
  <c r="D379" i="1"/>
  <c r="L378" i="1"/>
  <c r="J379" i="1"/>
  <c r="L377" i="1"/>
  <c r="C91" i="40"/>
  <c r="A672" i="1"/>
  <c r="A674" i="1"/>
  <c r="A671" i="1"/>
  <c r="A673" i="1"/>
  <c r="A668" i="1"/>
  <c r="I65" i="34"/>
  <c r="J65" i="34"/>
  <c r="E46" i="39"/>
  <c r="H36" i="34"/>
  <c r="G86" i="34"/>
  <c r="I303" i="1"/>
  <c r="I261" i="1"/>
  <c r="I329" i="1"/>
  <c r="I259" i="1"/>
  <c r="I302" i="1"/>
  <c r="A174" i="35"/>
  <c r="I15" i="7"/>
  <c r="A543" i="39"/>
  <c r="A515" i="39"/>
  <c r="A645" i="8"/>
  <c r="A661" i="8"/>
  <c r="L66" i="6"/>
  <c r="B127" i="2"/>
  <c r="A134" i="30"/>
  <c r="A251" i="34"/>
  <c r="A420" i="8"/>
  <c r="A409" i="6"/>
  <c r="A133" i="30"/>
  <c r="A28" i="35"/>
  <c r="F35" i="29"/>
  <c r="A99" i="28"/>
  <c r="A79" i="6"/>
  <c r="A411" i="6"/>
  <c r="A677" i="39"/>
  <c r="I343" i="1"/>
  <c r="C15" i="7"/>
  <c r="A432" i="6"/>
  <c r="A607" i="39"/>
  <c r="A580" i="39"/>
  <c r="A449" i="39"/>
  <c r="I4" i="27"/>
  <c r="A288" i="34"/>
  <c r="G343" i="1"/>
  <c r="D277" i="1"/>
  <c r="A174" i="8"/>
  <c r="A375" i="39"/>
  <c r="A346" i="6"/>
  <c r="B10" i="32"/>
  <c r="A593" i="1"/>
  <c r="A699" i="1"/>
  <c r="C217" i="1"/>
  <c r="A407" i="39"/>
  <c r="A521" i="39"/>
  <c r="A376" i="39"/>
  <c r="A86" i="7"/>
  <c r="A123" i="35"/>
  <c r="A374" i="39"/>
  <c r="A58" i="7"/>
  <c r="A338" i="39"/>
  <c r="A46" i="7"/>
  <c r="A35" i="6"/>
  <c r="A416" i="34"/>
  <c r="A410" i="34"/>
  <c r="A415" i="34"/>
  <c r="A396" i="30"/>
  <c r="A58" i="6"/>
  <c r="A22" i="6"/>
  <c r="A184" i="6"/>
  <c r="E62" i="6"/>
  <c r="E62" i="34"/>
  <c r="A664" i="8"/>
  <c r="A62" i="30"/>
  <c r="A303" i="8"/>
  <c r="A374" i="34"/>
  <c r="A171" i="8"/>
  <c r="A665" i="8"/>
  <c r="G212" i="1"/>
  <c r="A282" i="38"/>
  <c r="A283" i="38"/>
  <c r="A284" i="38"/>
  <c r="C698" i="1"/>
  <c r="F698" i="1"/>
  <c r="J698" i="1"/>
  <c r="I698" i="1"/>
  <c r="L54" i="34"/>
  <c r="J80" i="6"/>
  <c r="J86" i="6"/>
  <c r="A44" i="27"/>
  <c r="A43" i="27"/>
  <c r="A92" i="37"/>
  <c r="A93" i="37"/>
  <c r="A626" i="1"/>
  <c r="A732" i="1"/>
  <c r="A624" i="1"/>
  <c r="A730" i="1"/>
  <c r="A258" i="6"/>
  <c r="A261" i="6"/>
  <c r="A9" i="58"/>
  <c r="A7" i="58"/>
  <c r="A11" i="58"/>
  <c r="A10" i="58"/>
  <c r="A4" i="58"/>
  <c r="A6" i="58"/>
  <c r="A8" i="58"/>
  <c r="L47" i="34"/>
  <c r="H44" i="34"/>
  <c r="F55" i="34"/>
  <c r="A21" i="27"/>
  <c r="A16" i="27"/>
  <c r="A46" i="30"/>
  <c r="A45" i="30"/>
  <c r="A406" i="34"/>
  <c r="A400" i="34"/>
  <c r="B41" i="8"/>
  <c r="F41" i="8"/>
  <c r="F254" i="1"/>
  <c r="L254" i="1"/>
  <c r="D254" i="1"/>
  <c r="N45" i="60"/>
  <c r="N37" i="60"/>
  <c r="N27" i="60"/>
  <c r="N10" i="60"/>
  <c r="N9" i="60"/>
  <c r="N8" i="60"/>
  <c r="N7" i="60"/>
  <c r="N44" i="60"/>
  <c r="N41" i="60"/>
  <c r="N38" i="60"/>
  <c r="N32" i="60"/>
  <c r="N30" i="60"/>
  <c r="N42" i="59"/>
  <c r="N38" i="59"/>
  <c r="N34" i="59"/>
  <c r="N31" i="59"/>
  <c r="N28" i="59"/>
  <c r="N10" i="59"/>
  <c r="N8" i="59"/>
  <c r="N43" i="58"/>
  <c r="N39" i="58"/>
  <c r="N34" i="58"/>
  <c r="N30" i="58"/>
  <c r="N26" i="58"/>
  <c r="N11" i="58"/>
  <c r="N9" i="58"/>
  <c r="N40" i="60"/>
  <c r="N29" i="60"/>
  <c r="N26" i="60"/>
  <c r="N6" i="60"/>
  <c r="N45" i="59"/>
  <c r="N41" i="59"/>
  <c r="N37" i="59"/>
  <c r="N27" i="59"/>
  <c r="N5" i="59"/>
  <c r="N42" i="58"/>
  <c r="N38" i="58"/>
  <c r="N33" i="58"/>
  <c r="N29" i="58"/>
  <c r="N43" i="60"/>
  <c r="N44" i="59"/>
  <c r="N26" i="59"/>
  <c r="N11" i="59"/>
  <c r="N6" i="59"/>
  <c r="N44" i="58"/>
  <c r="N27" i="58"/>
  <c r="N6" i="58"/>
  <c r="N144" i="6"/>
  <c r="N334" i="30"/>
  <c r="M45" i="35"/>
  <c r="M557" i="8"/>
  <c r="M623" i="38"/>
  <c r="M363" i="8"/>
  <c r="N320" i="6"/>
  <c r="M549" i="39"/>
  <c r="M112" i="35"/>
  <c r="M74" i="7"/>
  <c r="M439" i="8"/>
  <c r="M447" i="39"/>
  <c r="N406" i="30"/>
  <c r="M47" i="7"/>
  <c r="M353" i="39"/>
  <c r="M650" i="39"/>
  <c r="M49" i="7"/>
  <c r="M120" i="35"/>
  <c r="N394" i="6"/>
  <c r="N340" i="30"/>
  <c r="M571" i="8"/>
  <c r="N136" i="34"/>
  <c r="M127" i="7"/>
  <c r="M364" i="39"/>
  <c r="M547" i="39"/>
  <c r="N143" i="6"/>
  <c r="M530" i="8"/>
  <c r="M705" i="8"/>
  <c r="N331" i="30"/>
  <c r="M625" i="39"/>
  <c r="M500" i="38"/>
  <c r="M142" i="7"/>
  <c r="M458" i="39"/>
  <c r="M652" i="38"/>
  <c r="N42" i="60"/>
  <c r="N34" i="60"/>
  <c r="N28" i="60"/>
  <c r="N43" i="59"/>
  <c r="N30" i="59"/>
  <c r="N9" i="59"/>
  <c r="N41" i="58"/>
  <c r="N32" i="58"/>
  <c r="N8" i="58"/>
  <c r="N39" i="60"/>
  <c r="N33" i="60"/>
  <c r="N40" i="59"/>
  <c r="N33" i="59"/>
  <c r="N7" i="59"/>
  <c r="N12" i="58"/>
  <c r="N5" i="58"/>
  <c r="N419" i="34" a="1"/>
  <c r="N422" i="34"/>
  <c r="M628" i="39"/>
  <c r="N391" i="6"/>
  <c r="N193" i="30"/>
  <c r="M679" i="38"/>
  <c r="M178" i="37"/>
  <c r="M452" i="38"/>
  <c r="M524" i="38"/>
  <c r="N190" i="30"/>
  <c r="N142" i="34"/>
  <c r="M585" i="38"/>
  <c r="N343" i="6"/>
  <c r="M610" i="39"/>
  <c r="M436" i="39"/>
  <c r="M156" i="7"/>
  <c r="M581" i="8"/>
  <c r="M612" i="8"/>
  <c r="M77" i="37"/>
  <c r="M426" i="38"/>
  <c r="M506" i="8"/>
  <c r="M368" i="8"/>
  <c r="N438" i="6"/>
  <c r="M664" i="39"/>
  <c r="M656" i="38"/>
  <c r="M380" i="39"/>
  <c r="M48" i="37"/>
  <c r="M681" i="38"/>
  <c r="N443" i="6"/>
  <c r="M123" i="7"/>
  <c r="M112" i="37"/>
  <c r="M639" i="39"/>
  <c r="N270" i="30"/>
  <c r="M591" i="8"/>
  <c r="N199" i="30"/>
  <c r="M561" i="38"/>
  <c r="N337" i="34"/>
  <c r="M99" i="37"/>
  <c r="C39" i="8"/>
  <c r="M82" i="37"/>
  <c r="M12" i="9"/>
  <c r="M355" i="39"/>
  <c r="M647" i="39"/>
  <c r="M552" i="39"/>
  <c r="N187" i="6"/>
  <c r="M23" i="35"/>
  <c r="M108" i="7"/>
  <c r="M687" i="39"/>
  <c r="M365" i="8"/>
  <c r="M65" i="7"/>
  <c r="M545" i="8"/>
  <c r="M127" i="35"/>
  <c r="M441" i="8"/>
  <c r="M459" i="38"/>
  <c r="M24" i="35"/>
  <c r="M434" i="39"/>
  <c r="M629" i="8"/>
  <c r="M162" i="7"/>
  <c r="M526" i="38"/>
  <c r="M646" i="38"/>
  <c r="M163" i="37"/>
  <c r="M439" i="38"/>
  <c r="M107" i="35"/>
  <c r="M675" i="39"/>
  <c r="M85" i="35"/>
  <c r="M139" i="7"/>
  <c r="M596" i="8"/>
  <c r="M582" i="39"/>
  <c r="M626" i="8"/>
  <c r="N178" i="30"/>
  <c r="M163" i="35"/>
  <c r="M681" i="39"/>
  <c r="M627" i="39"/>
  <c r="M33" i="35"/>
  <c r="G140" i="2"/>
  <c r="M618" i="39"/>
  <c r="M691" i="39"/>
  <c r="M146" i="35"/>
  <c r="M35" i="37"/>
  <c r="M650" i="38"/>
  <c r="M39" i="7"/>
  <c r="M353" i="38"/>
  <c r="M567" i="39"/>
  <c r="N328" i="34"/>
  <c r="N404" i="30"/>
  <c r="M84" i="37"/>
  <c r="M693" i="8"/>
  <c r="M643" i="8"/>
  <c r="M150" i="7"/>
  <c r="M581" i="38"/>
  <c r="N139" i="30"/>
  <c r="M122" i="7"/>
  <c r="M54" i="7"/>
  <c r="M432" i="8"/>
  <c r="N393" i="30"/>
  <c r="M173" i="7"/>
  <c r="M65" i="37"/>
  <c r="M151" i="35"/>
  <c r="M510" i="38"/>
  <c r="M518" i="38"/>
  <c r="N386" i="30"/>
  <c r="E39" i="38"/>
  <c r="M648" i="39"/>
  <c r="M109" i="37"/>
  <c r="M674" i="8"/>
  <c r="M22" i="7"/>
  <c r="N277" i="6"/>
  <c r="N403" i="30"/>
  <c r="M60" i="7"/>
  <c r="N145" i="30"/>
  <c r="M624" i="8"/>
  <c r="M690" i="38"/>
  <c r="M15" i="9"/>
  <c r="M165" i="35"/>
  <c r="M545" i="38"/>
  <c r="M47" i="37"/>
  <c r="N146" i="34"/>
  <c r="E39" i="39"/>
  <c r="M579" i="8"/>
  <c r="M525" i="8"/>
  <c r="M445" i="38"/>
  <c r="M618" i="8"/>
  <c r="M10" i="9"/>
  <c r="M171" i="7"/>
  <c r="M129" i="7"/>
  <c r="M558" i="38"/>
  <c r="N269" i="34"/>
  <c r="N324" i="6"/>
  <c r="M166" i="35"/>
  <c r="N401" i="34"/>
  <c r="M440" i="38"/>
  <c r="M130" i="35"/>
  <c r="M690" i="39"/>
  <c r="M9" i="9"/>
  <c r="M592" i="39"/>
  <c r="N319" i="6"/>
  <c r="M524" i="39"/>
  <c r="N271" i="30"/>
  <c r="N382" i="34"/>
  <c r="M133" i="35"/>
  <c r="M583" i="39"/>
  <c r="N266" i="34"/>
  <c r="M679" i="8"/>
  <c r="M594" i="38"/>
  <c r="N198" i="6"/>
  <c r="M669" i="38"/>
  <c r="M386" i="38"/>
  <c r="M150" i="37"/>
  <c r="M354" i="38"/>
  <c r="M674" i="38"/>
  <c r="M590" i="38"/>
  <c r="M122" i="35"/>
  <c r="M76" i="37"/>
  <c r="N283" i="30"/>
  <c r="M513" i="39"/>
  <c r="M425" i="39"/>
  <c r="M94" i="7"/>
  <c r="M136" i="35"/>
  <c r="M503" i="8"/>
  <c r="N191" i="30"/>
  <c r="N288" i="30"/>
  <c r="M566" i="8"/>
  <c r="N130" i="6"/>
  <c r="M117" i="7"/>
  <c r="M360" i="39"/>
  <c r="N289" i="30"/>
  <c r="N405" i="6"/>
  <c r="M112" i="7"/>
  <c r="N265" i="6"/>
  <c r="M644" i="39"/>
  <c r="M430" i="8"/>
  <c r="N398" i="34"/>
  <c r="N406" i="34"/>
  <c r="M563" i="38"/>
  <c r="M75" i="35"/>
  <c r="M536" i="38"/>
  <c r="M367" i="39"/>
  <c r="M653" i="8"/>
  <c r="G156" i="2"/>
  <c r="M510" i="39"/>
  <c r="N180" i="34"/>
  <c r="N319" i="30"/>
  <c r="M556" i="39"/>
  <c r="M457" i="38"/>
  <c r="M236" i="38"/>
  <c r="M99" i="35"/>
  <c r="M570" i="8"/>
  <c r="M537" i="39"/>
  <c r="M34" i="9"/>
  <c r="M133" i="7"/>
  <c r="M506" i="38"/>
  <c r="M516" i="39"/>
  <c r="M678" i="39"/>
  <c r="M157" i="35"/>
  <c r="N266" i="6"/>
  <c r="N322" i="30"/>
  <c r="M502" i="8"/>
  <c r="M625" i="38"/>
  <c r="M690" i="8"/>
  <c r="N267" i="30"/>
  <c r="N139" i="6"/>
  <c r="M579" i="39"/>
  <c r="M147" i="35"/>
  <c r="M699" i="39"/>
  <c r="M74" i="37"/>
  <c r="M669" i="8"/>
  <c r="M570" i="39"/>
  <c r="N402" i="30"/>
  <c r="N176" i="30"/>
  <c r="M57" i="37"/>
  <c r="M47" i="35"/>
  <c r="M544" i="39"/>
  <c r="M634" i="39"/>
  <c r="M362" i="8"/>
  <c r="M95" i="7"/>
  <c r="M360" i="38"/>
  <c r="M498" i="38"/>
  <c r="M701" i="39"/>
  <c r="M552" i="38"/>
  <c r="M152" i="37"/>
  <c r="M93" i="35"/>
  <c r="M155" i="35"/>
  <c r="N342" i="34"/>
  <c r="M520" i="38"/>
  <c r="M438" i="8"/>
  <c r="N279" i="6"/>
  <c r="M584" i="8"/>
  <c r="M105" i="35"/>
  <c r="N321" i="34"/>
  <c r="M555" i="8"/>
  <c r="M701" i="8"/>
  <c r="M560" i="38"/>
  <c r="M616" i="8"/>
  <c r="M645" i="39"/>
  <c r="N186" i="34"/>
  <c r="N276" i="30"/>
  <c r="M539" i="39"/>
  <c r="M511" i="8"/>
  <c r="M688" i="38"/>
  <c r="M103" i="37"/>
  <c r="M665" i="39"/>
  <c r="M235" i="39"/>
  <c r="M673" i="38"/>
  <c r="M652" i="39"/>
  <c r="M592" i="8"/>
  <c r="M72" i="35"/>
  <c r="N31" i="60"/>
  <c r="N11" i="60"/>
  <c r="N4" i="60"/>
  <c r="N39" i="59"/>
  <c r="N32" i="59"/>
  <c r="N4" i="59"/>
  <c r="N45" i="58"/>
  <c r="N31" i="58"/>
  <c r="N10" i="58"/>
  <c r="N4" i="58"/>
  <c r="N12" i="60"/>
  <c r="N5" i="60"/>
  <c r="N12" i="59"/>
  <c r="N40" i="58"/>
  <c r="N28" i="58"/>
  <c r="H644" i="1"/>
  <c r="N37" i="58"/>
  <c r="A30" i="60"/>
  <c r="A27" i="60"/>
  <c r="A32" i="60"/>
  <c r="A31" i="60"/>
  <c r="A28" i="60"/>
  <c r="B14" i="28"/>
  <c r="B14" i="5"/>
  <c r="C1" i="60"/>
  <c r="C1" i="59"/>
  <c r="C1" i="58"/>
  <c r="C3" i="58"/>
  <c r="E3" i="58"/>
  <c r="F3" i="58"/>
  <c r="B17" i="59"/>
  <c r="A42" i="60"/>
  <c r="A43" i="60"/>
  <c r="A40" i="60"/>
  <c r="A44" i="60"/>
  <c r="A73" i="58"/>
  <c r="A18" i="59"/>
  <c r="A54" i="59"/>
  <c r="A10" i="60"/>
  <c r="A7" i="60"/>
  <c r="A11" i="60"/>
  <c r="A36" i="34"/>
  <c r="A40" i="34"/>
  <c r="A34" i="34"/>
  <c r="A171" i="34"/>
  <c r="A170" i="34"/>
  <c r="A172" i="34"/>
  <c r="A166" i="34"/>
  <c r="A270" i="34"/>
  <c r="A272" i="34"/>
  <c r="A268" i="34"/>
  <c r="A267" i="34"/>
  <c r="A266" i="34"/>
  <c r="A265" i="34"/>
  <c r="A334" i="34"/>
  <c r="A332" i="34"/>
  <c r="A331" i="34"/>
  <c r="A329" i="34"/>
  <c r="A384" i="34"/>
  <c r="A382" i="34"/>
  <c r="A389" i="34"/>
  <c r="A131" i="34"/>
  <c r="A130" i="34"/>
  <c r="A135" i="34"/>
  <c r="A103" i="34"/>
  <c r="A97" i="34"/>
  <c r="A100" i="34"/>
  <c r="A101" i="34"/>
  <c r="A74" i="34"/>
  <c r="A73" i="34"/>
  <c r="A72" i="34"/>
  <c r="A76" i="34"/>
  <c r="A200" i="34"/>
  <c r="A197" i="34"/>
  <c r="A195" i="34"/>
  <c r="A194" i="34"/>
  <c r="A294" i="34"/>
  <c r="A299" i="34"/>
  <c r="A292" i="34"/>
  <c r="A293" i="34"/>
  <c r="A296" i="34"/>
  <c r="A359" i="34"/>
  <c r="A355" i="34"/>
  <c r="A361" i="34"/>
  <c r="A358" i="34"/>
  <c r="A425" i="34"/>
  <c r="A419" i="34"/>
  <c r="A426" i="34"/>
  <c r="A218" i="34"/>
  <c r="A214" i="34"/>
  <c r="A335" i="34"/>
  <c r="A104" i="34"/>
  <c r="A173" i="34"/>
  <c r="A424" i="34"/>
  <c r="A198" i="34"/>
  <c r="A297" i="34"/>
  <c r="A70" i="34"/>
  <c r="A357" i="34"/>
  <c r="A133" i="34"/>
  <c r="A269" i="34"/>
  <c r="A169" i="34"/>
  <c r="A168" i="34"/>
  <c r="A50" i="34"/>
  <c r="A47" i="34"/>
  <c r="A49" i="34"/>
  <c r="A46" i="34"/>
  <c r="A79" i="34"/>
  <c r="A86" i="34"/>
  <c r="A80" i="34"/>
  <c r="A85" i="34"/>
  <c r="A225" i="34"/>
  <c r="A226" i="34"/>
  <c r="A221" i="34"/>
  <c r="A227" i="34"/>
  <c r="A434" i="34"/>
  <c r="A436" i="34"/>
  <c r="A432" i="34"/>
  <c r="A256" i="34"/>
  <c r="A257" i="34"/>
  <c r="A260" i="34"/>
  <c r="A261" i="34"/>
  <c r="A262" i="34"/>
  <c r="A233" i="34"/>
  <c r="A229" i="34"/>
  <c r="A230" i="34"/>
  <c r="A231" i="34"/>
  <c r="A113" i="34"/>
  <c r="A112" i="34"/>
  <c r="A111" i="34"/>
  <c r="A108" i="34"/>
  <c r="A421" i="34"/>
  <c r="A102" i="34"/>
  <c r="A420" i="34"/>
  <c r="A366" i="34"/>
  <c r="A295" i="34"/>
  <c r="A328" i="34"/>
  <c r="A83" i="34"/>
  <c r="A71" i="34"/>
  <c r="A107" i="34"/>
  <c r="A263" i="34"/>
  <c r="A235" i="34"/>
  <c r="N436" i="34"/>
  <c r="A362" i="34"/>
  <c r="A385" i="34"/>
  <c r="A48" i="34"/>
  <c r="A39" i="34"/>
  <c r="A38" i="34"/>
  <c r="A35" i="34"/>
  <c r="A333" i="34"/>
  <c r="A132" i="34"/>
  <c r="A422" i="34"/>
  <c r="A98" i="34"/>
  <c r="A193" i="34"/>
  <c r="A109" i="34"/>
  <c r="A368" i="34"/>
  <c r="A45" i="34"/>
  <c r="A330" i="34"/>
  <c r="A82" i="34"/>
  <c r="A77" i="34"/>
  <c r="A106" i="34"/>
  <c r="A167" i="34"/>
  <c r="A236" i="34"/>
  <c r="A110" i="34"/>
  <c r="N433" i="34"/>
  <c r="A356" i="34"/>
  <c r="A397" i="34"/>
  <c r="A386" i="34"/>
  <c r="A37" i="34"/>
  <c r="A271" i="34"/>
  <c r="A136" i="34"/>
  <c r="A54" i="34"/>
  <c r="A57" i="34"/>
  <c r="A182" i="34"/>
  <c r="A175" i="34"/>
  <c r="H26" i="34"/>
  <c r="K26" i="34"/>
  <c r="A310" i="34"/>
  <c r="A239" i="34"/>
  <c r="L26" i="34"/>
  <c r="L3" i="60"/>
  <c r="H3" i="60"/>
  <c r="D3" i="60"/>
  <c r="K3" i="60"/>
  <c r="G3" i="60"/>
  <c r="A144" i="34"/>
  <c r="A303" i="34"/>
  <c r="A64" i="34"/>
  <c r="A89" i="34"/>
  <c r="A90" i="34"/>
  <c r="N432" i="34"/>
  <c r="N430" i="34"/>
  <c r="A395" i="34"/>
  <c r="A392" i="34"/>
  <c r="A396" i="34"/>
  <c r="A212" i="34"/>
  <c r="A304" i="34"/>
  <c r="A148" i="34"/>
  <c r="A213" i="34"/>
  <c r="A367" i="34"/>
  <c r="A433" i="34"/>
  <c r="A307" i="34"/>
  <c r="A285" i="34"/>
  <c r="A286" i="34"/>
  <c r="A340" i="34"/>
  <c r="A341" i="34"/>
  <c r="A412" i="34"/>
  <c r="A414" i="34"/>
  <c r="A215" i="34"/>
  <c r="A211" i="34"/>
  <c r="A370" i="34"/>
  <c r="A155" i="34"/>
  <c r="A151" i="34"/>
  <c r="A429" i="34"/>
  <c r="N434" i="34"/>
  <c r="A141" i="34"/>
  <c r="A371" i="34"/>
  <c r="A150" i="34"/>
  <c r="A149" i="34"/>
  <c r="A435" i="34"/>
  <c r="N435" i="34"/>
  <c r="A67" i="34"/>
  <c r="A65" i="34"/>
  <c r="A119" i="34"/>
  <c r="A302" i="34"/>
  <c r="A316" i="34"/>
  <c r="A314" i="34"/>
  <c r="A163" i="34"/>
  <c r="A161" i="34"/>
  <c r="A88" i="34"/>
  <c r="N429" i="34"/>
  <c r="A284" i="34"/>
  <c r="A191" i="34"/>
  <c r="A398" i="34"/>
  <c r="A394" i="34"/>
  <c r="A92" i="34"/>
  <c r="A430" i="34"/>
  <c r="A365" i="34"/>
  <c r="A337" i="34"/>
  <c r="A413" i="34"/>
  <c r="A308" i="34"/>
  <c r="N412" i="34"/>
  <c r="N411" i="34"/>
  <c r="A373" i="34"/>
  <c r="A375" i="34"/>
  <c r="A63" i="34"/>
  <c r="A369" i="34"/>
  <c r="A154" i="34"/>
  <c r="A118" i="34"/>
  <c r="A116" i="34"/>
  <c r="A159" i="34"/>
  <c r="A162" i="34"/>
  <c r="A157" i="34"/>
  <c r="A189" i="34"/>
  <c r="A186" i="34"/>
  <c r="A393" i="34"/>
  <c r="A289" i="34"/>
  <c r="A216" i="34"/>
  <c r="A305" i="34"/>
  <c r="A343" i="34"/>
  <c r="A94" i="34"/>
  <c r="A431" i="34"/>
  <c r="A342" i="34"/>
  <c r="A287" i="34"/>
  <c r="A140" i="34"/>
  <c r="A338" i="34"/>
  <c r="A142" i="34"/>
  <c r="A143" i="34"/>
  <c r="A146" i="34"/>
  <c r="A301" i="34"/>
  <c r="A223" i="34"/>
  <c r="A224" i="34"/>
  <c r="A137" i="34"/>
  <c r="A134" i="34"/>
  <c r="A217" i="34"/>
  <c r="A93" i="34"/>
  <c r="A19" i="60"/>
  <c r="A58" i="60"/>
  <c r="A8" i="60"/>
  <c r="A16" i="60"/>
  <c r="A20" i="60"/>
  <c r="A49" i="60"/>
  <c r="A50" i="60"/>
  <c r="A51" i="60"/>
  <c r="A52" i="60"/>
  <c r="A53" i="60"/>
  <c r="A54" i="60"/>
  <c r="A62" i="60"/>
  <c r="A5" i="60"/>
  <c r="A9" i="60"/>
  <c r="A17" i="60"/>
  <c r="A21" i="60"/>
  <c r="A26" i="60"/>
  <c r="A29" i="60"/>
  <c r="A33" i="60"/>
  <c r="A41" i="60"/>
  <c r="A6" i="60"/>
  <c r="A15" i="60"/>
  <c r="A18" i="60"/>
  <c r="A38" i="60"/>
  <c r="A153" i="30"/>
  <c r="A150" i="30"/>
  <c r="A149" i="30"/>
  <c r="A151" i="30"/>
  <c r="A111" i="30"/>
  <c r="G83" i="30"/>
  <c r="G83" i="34"/>
  <c r="K79" i="30"/>
  <c r="K79" i="34"/>
  <c r="G81" i="30"/>
  <c r="G81" i="34"/>
  <c r="I80" i="30"/>
  <c r="I80" i="34"/>
  <c r="J80" i="30"/>
  <c r="J80" i="34"/>
  <c r="C86" i="30"/>
  <c r="I81" i="30"/>
  <c r="D79" i="30"/>
  <c r="D79" i="34"/>
  <c r="G84" i="30"/>
  <c r="G84" i="34"/>
  <c r="F82" i="30"/>
  <c r="F82" i="34"/>
  <c r="J79" i="30"/>
  <c r="J79" i="34"/>
  <c r="G85" i="30"/>
  <c r="G85" i="34"/>
  <c r="H81" i="30"/>
  <c r="I86" i="30"/>
  <c r="I86" i="34"/>
  <c r="J84" i="30"/>
  <c r="J82" i="30"/>
  <c r="J82" i="34"/>
  <c r="D86" i="30"/>
  <c r="D86" i="34"/>
  <c r="H79" i="30"/>
  <c r="H79" i="34"/>
  <c r="C81" i="30"/>
  <c r="C81" i="34"/>
  <c r="E83" i="30"/>
  <c r="E83" i="34"/>
  <c r="C83" i="30"/>
  <c r="C83" i="34"/>
  <c r="F86" i="30"/>
  <c r="F86" i="34"/>
  <c r="L81" i="30"/>
  <c r="J85" i="30"/>
  <c r="J85" i="34"/>
  <c r="L79" i="30"/>
  <c r="L79" i="34"/>
  <c r="L85" i="30"/>
  <c r="L85" i="34"/>
  <c r="D82" i="30"/>
  <c r="D82" i="34"/>
  <c r="F83" i="30"/>
  <c r="F83" i="34"/>
  <c r="J41" i="30"/>
  <c r="J41" i="34"/>
  <c r="H38" i="30"/>
  <c r="H38" i="34"/>
  <c r="G38" i="30"/>
  <c r="G38" i="34"/>
  <c r="E39" i="30"/>
  <c r="E39" i="34"/>
  <c r="J37" i="30"/>
  <c r="J37" i="34"/>
  <c r="A109" i="30"/>
  <c r="A106" i="30"/>
  <c r="F38" i="30"/>
  <c r="F38" i="34"/>
  <c r="L37" i="30"/>
  <c r="L37" i="34"/>
  <c r="A154" i="30"/>
  <c r="H41" i="30"/>
  <c r="D85" i="30"/>
  <c r="E85" i="30"/>
  <c r="E85" i="34"/>
  <c r="C84" i="30"/>
  <c r="C84" i="34"/>
  <c r="E80" i="30"/>
  <c r="E80" i="34"/>
  <c r="C80" i="30"/>
  <c r="C80" i="34"/>
  <c r="G82" i="30"/>
  <c r="G82" i="34"/>
  <c r="I85" i="30"/>
  <c r="K57" i="34"/>
  <c r="A155" i="30"/>
  <c r="K44" i="34"/>
  <c r="F64" i="30"/>
  <c r="F64" i="34"/>
  <c r="C61" i="30"/>
  <c r="C61" i="34"/>
  <c r="L68" i="30"/>
  <c r="L68" i="34"/>
  <c r="L64" i="30"/>
  <c r="L64" i="34"/>
  <c r="A220" i="30"/>
  <c r="A224" i="30"/>
  <c r="A221" i="30"/>
  <c r="A413" i="30"/>
  <c r="A412" i="30"/>
  <c r="A414" i="30"/>
  <c r="A409" i="30"/>
  <c r="F75" i="34"/>
  <c r="A184" i="30"/>
  <c r="A186" i="30"/>
  <c r="A187" i="30"/>
  <c r="A107" i="30"/>
  <c r="G41" i="30"/>
  <c r="F39" i="30"/>
  <c r="F39" i="34"/>
  <c r="H35" i="30"/>
  <c r="H35" i="34"/>
  <c r="C39" i="30"/>
  <c r="C39" i="34"/>
  <c r="F40" i="30"/>
  <c r="F40" i="34"/>
  <c r="K41" i="30"/>
  <c r="K41" i="34"/>
  <c r="C35" i="30"/>
  <c r="C35" i="34"/>
  <c r="A191" i="30"/>
  <c r="A266" i="30"/>
  <c r="A265" i="30"/>
  <c r="E38" i="30"/>
  <c r="E38" i="34"/>
  <c r="D34" i="30"/>
  <c r="I34" i="30"/>
  <c r="I34" i="34"/>
  <c r="A110" i="30"/>
  <c r="K37" i="30"/>
  <c r="K37" i="34"/>
  <c r="G40" i="30"/>
  <c r="G40" i="34"/>
  <c r="D63" i="34"/>
  <c r="A148" i="30"/>
  <c r="C40" i="30"/>
  <c r="C40" i="34"/>
  <c r="H34" i="30"/>
  <c r="F36" i="30"/>
  <c r="F36" i="34"/>
  <c r="D83" i="30"/>
  <c r="D83" i="34"/>
  <c r="J86" i="30"/>
  <c r="J86" i="34"/>
  <c r="I82" i="30"/>
  <c r="I82" i="34"/>
  <c r="E82" i="30"/>
  <c r="E82" i="34"/>
  <c r="F81" i="30"/>
  <c r="A260" i="30"/>
  <c r="H56" i="34"/>
  <c r="H80" i="30"/>
  <c r="H80" i="34"/>
  <c r="H83" i="30"/>
  <c r="H83" i="34"/>
  <c r="D39" i="34"/>
  <c r="K72" i="30"/>
  <c r="K72" i="34"/>
  <c r="J71" i="30"/>
  <c r="K75" i="30"/>
  <c r="K75" i="34"/>
  <c r="E70" i="30"/>
  <c r="E70" i="34"/>
  <c r="D77" i="30"/>
  <c r="D77" i="34"/>
  <c r="E76" i="30"/>
  <c r="E76" i="34"/>
  <c r="K73" i="30"/>
  <c r="K73" i="34"/>
  <c r="D73" i="30"/>
  <c r="H77" i="30"/>
  <c r="H77" i="34"/>
  <c r="K70" i="30"/>
  <c r="K70" i="34"/>
  <c r="G76" i="30"/>
  <c r="F73" i="30"/>
  <c r="H70" i="30"/>
  <c r="E74" i="30"/>
  <c r="E74" i="34"/>
  <c r="F70" i="30"/>
  <c r="C74" i="30"/>
  <c r="H71" i="30"/>
  <c r="H71" i="34"/>
  <c r="I71" i="30"/>
  <c r="I71" i="34"/>
  <c r="G71" i="30"/>
  <c r="G71" i="34"/>
  <c r="C34" i="34"/>
  <c r="A152" i="30"/>
  <c r="A272" i="30"/>
  <c r="G54" i="30"/>
  <c r="L53" i="30"/>
  <c r="L53" i="34"/>
  <c r="H55" i="30"/>
  <c r="H55" i="34"/>
  <c r="L59" i="30"/>
  <c r="L59" i="34"/>
  <c r="H54" i="30"/>
  <c r="K52" i="30"/>
  <c r="K52" i="34"/>
  <c r="C54" i="30"/>
  <c r="J54" i="30"/>
  <c r="J54" i="34"/>
  <c r="F59" i="30"/>
  <c r="J59" i="30"/>
  <c r="J59" i="34"/>
  <c r="E54" i="30"/>
  <c r="L55" i="30"/>
  <c r="L57" i="30"/>
  <c r="L57" i="34"/>
  <c r="K59" i="30"/>
  <c r="K59" i="34"/>
  <c r="I57" i="30"/>
  <c r="I57" i="34"/>
  <c r="C55" i="30"/>
  <c r="C55" i="34"/>
  <c r="E57" i="30"/>
  <c r="E57" i="34"/>
  <c r="C56" i="30"/>
  <c r="G57" i="30"/>
  <c r="E53" i="30"/>
  <c r="E53" i="34"/>
  <c r="F56" i="30"/>
  <c r="F56" i="34"/>
  <c r="I53" i="30"/>
  <c r="I53" i="34"/>
  <c r="G52" i="30"/>
  <c r="G52" i="34"/>
  <c r="L58" i="30"/>
  <c r="L58" i="34"/>
  <c r="K54" i="30"/>
  <c r="G56" i="30"/>
  <c r="G56" i="34"/>
  <c r="C59" i="30"/>
  <c r="C59" i="34"/>
  <c r="H58" i="30"/>
  <c r="H58" i="34"/>
  <c r="C53" i="30"/>
  <c r="C53" i="34"/>
  <c r="K58" i="30"/>
  <c r="K58" i="34"/>
  <c r="D53" i="30"/>
  <c r="I58" i="30"/>
  <c r="I58" i="34"/>
  <c r="J58" i="30"/>
  <c r="J58" i="34"/>
  <c r="I52" i="30"/>
  <c r="A270" i="30"/>
  <c r="A189" i="30"/>
  <c r="A52" i="30"/>
  <c r="A59" i="30"/>
  <c r="A57" i="30"/>
  <c r="A243" i="30"/>
  <c r="A238" i="30"/>
  <c r="J74" i="34"/>
  <c r="G53" i="34"/>
  <c r="L70" i="34"/>
  <c r="A292" i="30"/>
  <c r="A299" i="30"/>
  <c r="F47" i="34"/>
  <c r="J77" i="34"/>
  <c r="I66" i="34"/>
  <c r="I50" i="34"/>
  <c r="L56" i="34"/>
  <c r="E59" i="34"/>
  <c r="L52" i="34"/>
  <c r="G59" i="34"/>
  <c r="H47" i="34"/>
  <c r="J46" i="34"/>
  <c r="A152" i="6"/>
  <c r="A154" i="6"/>
  <c r="A153" i="6"/>
  <c r="A389" i="6"/>
  <c r="A386" i="6"/>
  <c r="A387" i="6"/>
  <c r="A388" i="6"/>
  <c r="A382" i="6"/>
  <c r="I29" i="6"/>
  <c r="L29" i="6"/>
  <c r="G29" i="6"/>
  <c r="A110" i="6"/>
  <c r="A109" i="6"/>
  <c r="A112" i="6"/>
  <c r="A106" i="6"/>
  <c r="A107" i="6"/>
  <c r="J45" i="34"/>
  <c r="J29" i="6"/>
  <c r="H29" i="6"/>
  <c r="A44" i="6"/>
  <c r="A46" i="6"/>
  <c r="A50" i="6"/>
  <c r="A279" i="6"/>
  <c r="A274" i="6"/>
  <c r="A276" i="6"/>
  <c r="A281" i="6"/>
  <c r="A277" i="6"/>
  <c r="A422" i="6"/>
  <c r="A424" i="6"/>
  <c r="A425" i="6"/>
  <c r="A121" i="6"/>
  <c r="A118" i="6"/>
  <c r="A116" i="6"/>
  <c r="C57" i="34"/>
  <c r="A331" i="6"/>
  <c r="A423" i="6"/>
  <c r="E29" i="6"/>
  <c r="F29" i="6"/>
  <c r="A243" i="6"/>
  <c r="A149" i="6"/>
  <c r="A171" i="6"/>
  <c r="A170" i="6"/>
  <c r="A76" i="6"/>
  <c r="A71" i="6"/>
  <c r="A233" i="6"/>
  <c r="A235" i="6"/>
  <c r="A229" i="6"/>
  <c r="A80" i="6"/>
  <c r="A82" i="6"/>
  <c r="A86" i="6"/>
  <c r="A342" i="6"/>
  <c r="A344" i="6"/>
  <c r="A337" i="6"/>
  <c r="A343" i="6"/>
  <c r="A155" i="6"/>
  <c r="A289" i="6"/>
  <c r="E55" i="34"/>
  <c r="F58" i="34"/>
  <c r="A85" i="6"/>
  <c r="A341" i="6"/>
  <c r="A286" i="6"/>
  <c r="A383" i="6"/>
  <c r="A315" i="6"/>
  <c r="A375" i="6"/>
  <c r="A378" i="6"/>
  <c r="A373" i="6"/>
  <c r="A93" i="6"/>
  <c r="A94" i="6"/>
  <c r="A88" i="6"/>
  <c r="A95" i="6"/>
  <c r="A151" i="6"/>
  <c r="A47" i="6"/>
  <c r="A108" i="6"/>
  <c r="E52" i="34"/>
  <c r="A84" i="6"/>
  <c r="A335" i="6"/>
  <c r="G79" i="34"/>
  <c r="H43" i="34"/>
  <c r="E43" i="34"/>
  <c r="A338" i="6"/>
  <c r="A283" i="6"/>
  <c r="A115" i="6"/>
  <c r="A275" i="6"/>
  <c r="A239" i="6"/>
  <c r="A198" i="6"/>
  <c r="A199" i="6"/>
  <c r="A394" i="6"/>
  <c r="A397" i="6"/>
  <c r="A395" i="6"/>
  <c r="A391" i="6"/>
  <c r="A392" i="6"/>
  <c r="H28" i="6"/>
  <c r="H28" i="34"/>
  <c r="E28" i="6"/>
  <c r="E28" i="34"/>
  <c r="C28" i="6"/>
  <c r="A204" i="6"/>
  <c r="A207" i="6"/>
  <c r="A120" i="6"/>
  <c r="A195" i="6"/>
  <c r="L35" i="34"/>
  <c r="A148" i="6"/>
  <c r="H67" i="34"/>
  <c r="G66" i="34"/>
  <c r="I62" i="34"/>
  <c r="A74" i="6"/>
  <c r="A290" i="6"/>
  <c r="D85" i="34"/>
  <c r="K84" i="34"/>
  <c r="A48" i="6"/>
  <c r="A111" i="6"/>
  <c r="A206" i="6"/>
  <c r="A209" i="6"/>
  <c r="G55" i="34"/>
  <c r="H59" i="34"/>
  <c r="J57" i="34"/>
  <c r="D28" i="6"/>
  <c r="A426" i="6"/>
  <c r="A332" i="6"/>
  <c r="A81" i="6"/>
  <c r="J28" i="6"/>
  <c r="J28" i="34"/>
  <c r="A90" i="6"/>
  <c r="A374" i="6"/>
  <c r="A339" i="6"/>
  <c r="A166" i="6"/>
  <c r="A92" i="6"/>
  <c r="A122" i="6"/>
  <c r="A330" i="6"/>
  <c r="A280" i="6"/>
  <c r="A285" i="6"/>
  <c r="G26" i="6"/>
  <c r="J26" i="6"/>
  <c r="H26" i="6"/>
  <c r="K26" i="6"/>
  <c r="H52" i="6"/>
  <c r="H52" i="34"/>
  <c r="C56" i="6"/>
  <c r="C56" i="34"/>
  <c r="L55" i="6"/>
  <c r="L55" i="34"/>
  <c r="D59" i="6"/>
  <c r="F57" i="6"/>
  <c r="F57" i="34"/>
  <c r="G54" i="6"/>
  <c r="I59" i="6"/>
  <c r="I59" i="34"/>
  <c r="C58" i="6"/>
  <c r="C58" i="34"/>
  <c r="G58" i="6"/>
  <c r="G58" i="34"/>
  <c r="D53" i="6"/>
  <c r="D53" i="34"/>
  <c r="I52" i="6"/>
  <c r="D52" i="6"/>
  <c r="D52" i="34"/>
  <c r="D58" i="6"/>
  <c r="D58" i="34"/>
  <c r="C54" i="6"/>
  <c r="C54" i="34"/>
  <c r="K53" i="6"/>
  <c r="K53" i="34"/>
  <c r="E54" i="6"/>
  <c r="E54" i="34"/>
  <c r="H54" i="6"/>
  <c r="H54" i="34"/>
  <c r="F59" i="6"/>
  <c r="F59" i="34"/>
  <c r="F54" i="6"/>
  <c r="F54" i="34"/>
  <c r="K52" i="6"/>
  <c r="D56" i="6"/>
  <c r="D56" i="34"/>
  <c r="G73" i="6"/>
  <c r="G73" i="34"/>
  <c r="L71" i="6"/>
  <c r="E77" i="6"/>
  <c r="I72" i="6"/>
  <c r="C77" i="6"/>
  <c r="C77" i="34"/>
  <c r="F76" i="6"/>
  <c r="F76" i="34"/>
  <c r="L73" i="6"/>
  <c r="H75" i="6"/>
  <c r="H75" i="34"/>
  <c r="D75" i="6"/>
  <c r="K71" i="6"/>
  <c r="G76" i="6"/>
  <c r="G76" i="34"/>
  <c r="K77" i="6"/>
  <c r="K77" i="34"/>
  <c r="F74" i="6"/>
  <c r="F74" i="34"/>
  <c r="E72" i="6"/>
  <c r="E72" i="34"/>
  <c r="F72" i="6"/>
  <c r="F72" i="34"/>
  <c r="J71" i="6"/>
  <c r="F73" i="6"/>
  <c r="H72" i="6"/>
  <c r="H72" i="34"/>
  <c r="L74" i="6"/>
  <c r="G70" i="6"/>
  <c r="G70" i="34"/>
  <c r="E75" i="6"/>
  <c r="C70" i="6"/>
  <c r="E73" i="6"/>
  <c r="C74" i="6"/>
  <c r="I70" i="6"/>
  <c r="I70" i="34"/>
  <c r="F70" i="6"/>
  <c r="F70" i="34"/>
  <c r="H70" i="6"/>
  <c r="D73" i="6"/>
  <c r="D73" i="34"/>
  <c r="L77" i="6"/>
  <c r="E71" i="6"/>
  <c r="G75" i="6"/>
  <c r="L72" i="6"/>
  <c r="L72" i="34"/>
  <c r="L75" i="6"/>
  <c r="L75" i="34"/>
  <c r="I75" i="6"/>
  <c r="I75" i="34"/>
  <c r="A222" i="6"/>
  <c r="A220" i="6"/>
  <c r="A227" i="6"/>
  <c r="A225" i="6"/>
  <c r="A226" i="6"/>
  <c r="A270" i="6"/>
  <c r="A268" i="6"/>
  <c r="A269" i="6"/>
  <c r="A340" i="6"/>
  <c r="A358" i="6"/>
  <c r="A362" i="6"/>
  <c r="A355" i="6"/>
  <c r="A360" i="6"/>
  <c r="A384" i="6"/>
  <c r="A17" i="6"/>
  <c r="A19" i="6"/>
  <c r="A20" i="6"/>
  <c r="G68" i="34"/>
  <c r="D62" i="34"/>
  <c r="J49" i="34"/>
  <c r="H41" i="34"/>
  <c r="F80" i="34"/>
  <c r="I83" i="34"/>
  <c r="D74" i="34"/>
  <c r="N421" i="6"/>
  <c r="N419" i="6"/>
  <c r="A59" i="6"/>
  <c r="A56" i="6"/>
  <c r="A63" i="6"/>
  <c r="A66" i="6"/>
  <c r="H81" i="6"/>
  <c r="H81" i="34"/>
  <c r="D84" i="6"/>
  <c r="C86" i="6"/>
  <c r="C86" i="34"/>
  <c r="F81" i="6"/>
  <c r="F81" i="34"/>
  <c r="K80" i="6"/>
  <c r="I79" i="6"/>
  <c r="I79" i="34"/>
  <c r="G85" i="6"/>
  <c r="J84" i="6"/>
  <c r="J84" i="34"/>
  <c r="D80" i="6"/>
  <c r="I84" i="6"/>
  <c r="E84" i="6"/>
  <c r="E84" i="34"/>
  <c r="K82" i="6"/>
  <c r="L81" i="6"/>
  <c r="K81" i="6"/>
  <c r="E86" i="6"/>
  <c r="E86" i="34"/>
  <c r="C80" i="6"/>
  <c r="I85" i="6"/>
  <c r="A370" i="6"/>
  <c r="A367" i="6"/>
  <c r="C29" i="34"/>
  <c r="A144" i="6"/>
  <c r="A142" i="6"/>
  <c r="I28" i="34"/>
  <c r="A217" i="39"/>
  <c r="A218" i="39"/>
  <c r="A276" i="39"/>
  <c r="A275" i="39"/>
  <c r="A313" i="39"/>
  <c r="A310" i="39"/>
  <c r="A347" i="39"/>
  <c r="A346" i="39"/>
  <c r="A619" i="39"/>
  <c r="A617" i="39"/>
  <c r="A418" i="39"/>
  <c r="A699" i="39"/>
  <c r="A272" i="39"/>
  <c r="A154" i="39"/>
  <c r="A149" i="39"/>
  <c r="A458" i="39"/>
  <c r="A345" i="39"/>
  <c r="A668" i="39"/>
  <c r="A700" i="39"/>
  <c r="A490" i="39"/>
  <c r="A420" i="39"/>
  <c r="A348" i="39"/>
  <c r="A384" i="39"/>
  <c r="A386" i="39"/>
  <c r="A670" i="39"/>
  <c r="A456" i="39"/>
  <c r="A653" i="39"/>
  <c r="A221" i="39"/>
  <c r="A618" i="39"/>
  <c r="A647" i="39"/>
  <c r="A621" i="39"/>
  <c r="A308" i="39"/>
  <c r="A380" i="39"/>
  <c r="A311" i="39"/>
  <c r="A314" i="39"/>
  <c r="A78" i="39"/>
  <c r="A215" i="39"/>
  <c r="G41" i="39"/>
  <c r="A569" i="39"/>
  <c r="A197" i="39"/>
  <c r="A274" i="39"/>
  <c r="A624" i="39"/>
  <c r="A553" i="39"/>
  <c r="A326" i="39"/>
  <c r="A551" i="39"/>
  <c r="A552" i="39"/>
  <c r="A98" i="39"/>
  <c r="A655" i="39"/>
  <c r="A278" i="39"/>
  <c r="A62" i="39"/>
  <c r="A652" i="39"/>
  <c r="A11" i="39"/>
  <c r="A5" i="39"/>
  <c r="A201" i="39"/>
  <c r="A228" i="39"/>
  <c r="A250" i="39"/>
  <c r="A246" i="39"/>
  <c r="A322" i="39"/>
  <c r="A317" i="39"/>
  <c r="A318" i="39"/>
  <c r="A461" i="39"/>
  <c r="A462" i="39"/>
  <c r="A466" i="39"/>
  <c r="A590" i="39"/>
  <c r="A587" i="39"/>
  <c r="A681" i="39"/>
  <c r="A678" i="39"/>
  <c r="A455" i="39"/>
  <c r="A421" i="39"/>
  <c r="A698" i="39"/>
  <c r="A453" i="39"/>
  <c r="A152" i="39"/>
  <c r="A344" i="39"/>
  <c r="A387" i="39"/>
  <c r="A704" i="39"/>
  <c r="A495" i="39"/>
  <c r="A494" i="39"/>
  <c r="A422" i="39"/>
  <c r="A349" i="39"/>
  <c r="A672" i="39"/>
  <c r="A671" i="39"/>
  <c r="A383" i="39"/>
  <c r="A644" i="39"/>
  <c r="A616" i="39"/>
  <c r="A615" i="39"/>
  <c r="A673" i="39"/>
  <c r="A309" i="39"/>
  <c r="A558" i="39"/>
  <c r="A556" i="39"/>
  <c r="F41" i="39"/>
  <c r="K41" i="39"/>
  <c r="A59" i="39"/>
  <c r="A64" i="39"/>
  <c r="A65" i="39"/>
  <c r="A83" i="39"/>
  <c r="A82" i="39"/>
  <c r="A77" i="39"/>
  <c r="A97" i="39"/>
  <c r="A94" i="39"/>
  <c r="A294" i="39"/>
  <c r="A297" i="39"/>
  <c r="A291" i="39"/>
  <c r="A405" i="39"/>
  <c r="A403" i="39"/>
  <c r="A404" i="39"/>
  <c r="A400" i="39"/>
  <c r="A437" i="39"/>
  <c r="A434" i="39"/>
  <c r="A511" i="39"/>
  <c r="A510" i="39"/>
  <c r="A537" i="39"/>
  <c r="A536" i="39"/>
  <c r="A572" i="39"/>
  <c r="A571" i="39"/>
  <c r="A625" i="39"/>
  <c r="A629" i="39"/>
  <c r="A623" i="39"/>
  <c r="A657" i="39"/>
  <c r="A656" i="39"/>
  <c r="A369" i="39"/>
  <c r="A137" i="39"/>
  <c r="A702" i="39"/>
  <c r="A475" i="39"/>
  <c r="A441" i="39"/>
  <c r="A328" i="39"/>
  <c r="A279" i="39"/>
  <c r="A227" i="39"/>
  <c r="A151" i="39"/>
  <c r="A155" i="39"/>
  <c r="A417" i="39"/>
  <c r="A601" i="39"/>
  <c r="A491" i="39"/>
  <c r="A423" i="39"/>
  <c r="A350" i="39"/>
  <c r="A385" i="39"/>
  <c r="A255" i="39"/>
  <c r="A465" i="39"/>
  <c r="A219" i="39"/>
  <c r="A641" i="39"/>
  <c r="A645" i="39"/>
  <c r="A643" i="39"/>
  <c r="A588" i="39"/>
  <c r="A684" i="39"/>
  <c r="A614" i="39"/>
  <c r="A126" i="39"/>
  <c r="A321" i="39"/>
  <c r="A506" i="39"/>
  <c r="A508" i="39"/>
  <c r="A312" i="39"/>
  <c r="A80" i="39"/>
  <c r="A220" i="39"/>
  <c r="H41" i="39"/>
  <c r="B41" i="39"/>
  <c r="A248" i="39"/>
  <c r="A245" i="39"/>
  <c r="A539" i="39"/>
  <c r="A504" i="39"/>
  <c r="A324" i="39"/>
  <c r="A36" i="39"/>
  <c r="A7" i="39"/>
  <c r="A630" i="39"/>
  <c r="A95" i="39"/>
  <c r="A101" i="39"/>
  <c r="A502" i="39"/>
  <c r="A333" i="39"/>
  <c r="A357" i="39"/>
  <c r="A573" i="39"/>
  <c r="A538" i="39"/>
  <c r="A277" i="39"/>
  <c r="A295" i="39"/>
  <c r="A58" i="39"/>
  <c r="A355" i="39"/>
  <c r="A105" i="39"/>
  <c r="A110" i="39"/>
  <c r="A146" i="39"/>
  <c r="A144" i="39"/>
  <c r="A269" i="39"/>
  <c r="A264" i="39"/>
  <c r="A270" i="39"/>
  <c r="A305" i="39"/>
  <c r="A300" i="39"/>
  <c r="A373" i="39"/>
  <c r="A372" i="39"/>
  <c r="A411" i="39"/>
  <c r="A413" i="39"/>
  <c r="A443" i="39"/>
  <c r="A444" i="39"/>
  <c r="A479" i="39"/>
  <c r="A484" i="39"/>
  <c r="A486" i="39"/>
  <c r="A86" i="38"/>
  <c r="A92" i="38"/>
  <c r="A89" i="38"/>
  <c r="A162" i="38"/>
  <c r="A161" i="38"/>
  <c r="A163" i="38"/>
  <c r="A650" i="38"/>
  <c r="A651" i="38"/>
  <c r="A390" i="38"/>
  <c r="A395" i="38"/>
  <c r="A62" i="38"/>
  <c r="A357" i="38"/>
  <c r="A516" i="38"/>
  <c r="A87" i="38"/>
  <c r="A464" i="38"/>
  <c r="A164" i="38"/>
  <c r="B171" i="38"/>
  <c r="B171" i="39"/>
  <c r="A193" i="38"/>
  <c r="A191" i="38"/>
  <c r="A188" i="38"/>
  <c r="A362" i="38"/>
  <c r="A365" i="38"/>
  <c r="A363" i="38"/>
  <c r="A524" i="38"/>
  <c r="A528" i="38"/>
  <c r="A587" i="38"/>
  <c r="A588" i="38"/>
  <c r="A591" i="38"/>
  <c r="A694" i="38"/>
  <c r="A693" i="38"/>
  <c r="A210" i="38"/>
  <c r="B173" i="39"/>
  <c r="A136" i="38"/>
  <c r="A617" i="38"/>
  <c r="A358" i="38"/>
  <c r="A657" i="38"/>
  <c r="A654" i="38"/>
  <c r="A389" i="38"/>
  <c r="A396" i="38"/>
  <c r="A91" i="38"/>
  <c r="A59" i="38"/>
  <c r="G41" i="38"/>
  <c r="A486" i="38"/>
  <c r="A522" i="38"/>
  <c r="A100" i="38"/>
  <c r="A689" i="38"/>
  <c r="A687" i="38"/>
  <c r="A128" i="38"/>
  <c r="A267" i="38"/>
  <c r="A124" i="38"/>
  <c r="A52" i="38"/>
  <c r="A462" i="38"/>
  <c r="A285" i="38"/>
  <c r="A589" i="38"/>
  <c r="A530" i="38"/>
  <c r="A594" i="38"/>
  <c r="A499" i="38"/>
  <c r="A281" i="38"/>
  <c r="A265" i="38"/>
  <c r="A137" i="38"/>
  <c r="A192" i="38"/>
  <c r="A309" i="38"/>
  <c r="A194" i="38"/>
  <c r="B194" i="39"/>
  <c r="A668" i="38"/>
  <c r="A314" i="38"/>
  <c r="A367" i="38"/>
  <c r="A90" i="38"/>
  <c r="A572" i="38"/>
  <c r="A213" i="38"/>
  <c r="B168" i="38"/>
  <c r="B180" i="38"/>
  <c r="A34" i="38"/>
  <c r="A36" i="38"/>
  <c r="A32" i="38"/>
  <c r="A35" i="38"/>
  <c r="A141" i="38"/>
  <c r="A144" i="38"/>
  <c r="A146" i="38"/>
  <c r="A182" i="38"/>
  <c r="A177" i="38"/>
  <c r="A181" i="38"/>
  <c r="A216" i="38"/>
  <c r="A218" i="38"/>
  <c r="A272" i="38"/>
  <c r="A277" i="38"/>
  <c r="A374" i="38"/>
  <c r="A373" i="38"/>
  <c r="A408" i="38"/>
  <c r="A410" i="38"/>
  <c r="A506" i="38"/>
  <c r="A510" i="38"/>
  <c r="A602" i="38"/>
  <c r="A599" i="38"/>
  <c r="A634" i="38"/>
  <c r="A636" i="38"/>
  <c r="A662" i="38"/>
  <c r="A666" i="38"/>
  <c r="A65" i="38"/>
  <c r="A61" i="38"/>
  <c r="A60" i="38"/>
  <c r="A428" i="38"/>
  <c r="A427" i="38"/>
  <c r="A515" i="38"/>
  <c r="A518" i="38"/>
  <c r="A355" i="38"/>
  <c r="A354" i="38"/>
  <c r="A393" i="38"/>
  <c r="A614" i="38"/>
  <c r="A126" i="38"/>
  <c r="A123" i="38"/>
  <c r="A58" i="38"/>
  <c r="A71" i="38"/>
  <c r="A73" i="38"/>
  <c r="A438" i="38"/>
  <c r="A440" i="38"/>
  <c r="A436" i="38"/>
  <c r="A556" i="38"/>
  <c r="A557" i="38"/>
  <c r="A558" i="38"/>
  <c r="A624" i="38"/>
  <c r="A630" i="38"/>
  <c r="A212" i="38"/>
  <c r="A94" i="38"/>
  <c r="A134" i="38"/>
  <c r="A682" i="38"/>
  <c r="A615" i="38"/>
  <c r="A616" i="38"/>
  <c r="A618" i="38"/>
  <c r="A360" i="38"/>
  <c r="A392" i="38"/>
  <c r="A656" i="38"/>
  <c r="A430" i="38"/>
  <c r="A85" i="38"/>
  <c r="A552" i="38"/>
  <c r="A690" i="38"/>
  <c r="A263" i="38"/>
  <c r="A441" i="38"/>
  <c r="A157" i="38"/>
  <c r="A127" i="38"/>
  <c r="A74" i="38"/>
  <c r="A502" i="38"/>
  <c r="A526" i="38"/>
  <c r="A525" i="38"/>
  <c r="A555" i="38"/>
  <c r="A590" i="38"/>
  <c r="A503" i="38"/>
  <c r="A69" i="38"/>
  <c r="A159" i="38"/>
  <c r="A131" i="38"/>
  <c r="A266" i="38"/>
  <c r="B193" i="39"/>
  <c r="A207" i="38"/>
  <c r="A187" i="38"/>
  <c r="A520" i="38"/>
  <c r="A439" i="38"/>
  <c r="A369" i="38"/>
  <c r="A211" i="38"/>
  <c r="A224" i="38"/>
  <c r="A228" i="38"/>
  <c r="A344" i="38"/>
  <c r="A349" i="38"/>
  <c r="A346" i="38"/>
  <c r="A416" i="38"/>
  <c r="A421" i="38"/>
  <c r="A423" i="38"/>
  <c r="A480" i="38"/>
  <c r="A485" i="38"/>
  <c r="A484" i="38"/>
  <c r="A517" i="38"/>
  <c r="A540" i="38"/>
  <c r="A538" i="38"/>
  <c r="A575" i="38"/>
  <c r="A570" i="38"/>
  <c r="A612" i="38"/>
  <c r="A610" i="38"/>
  <c r="A672" i="38"/>
  <c r="A671" i="38"/>
  <c r="A673" i="38"/>
  <c r="A110" i="8"/>
  <c r="A108" i="8"/>
  <c r="A128" i="8"/>
  <c r="A122" i="8"/>
  <c r="A124" i="8"/>
  <c r="A126" i="8"/>
  <c r="A123" i="8"/>
  <c r="A403" i="8"/>
  <c r="A400" i="8"/>
  <c r="A405" i="8"/>
  <c r="A398" i="8"/>
  <c r="A425" i="8"/>
  <c r="A430" i="8"/>
  <c r="A609" i="8"/>
  <c r="A606" i="8"/>
  <c r="A610" i="8"/>
  <c r="H712" i="8"/>
  <c r="K712" i="8"/>
  <c r="G712" i="8"/>
  <c r="D712" i="8"/>
  <c r="B712" i="8"/>
  <c r="E712" i="8"/>
  <c r="A107" i="8"/>
  <c r="A576" i="8"/>
  <c r="A72" i="8"/>
  <c r="A105" i="8"/>
  <c r="A638" i="8"/>
  <c r="A605" i="8"/>
  <c r="A76" i="8"/>
  <c r="A82" i="8"/>
  <c r="A79" i="8"/>
  <c r="A83" i="8"/>
  <c r="A119" i="8"/>
  <c r="A116" i="8"/>
  <c r="A118" i="8"/>
  <c r="A5" i="8"/>
  <c r="A6" i="8"/>
  <c r="A12" i="8"/>
  <c r="A11" i="8"/>
  <c r="A312" i="8"/>
  <c r="A315" i="8"/>
  <c r="A326" i="8"/>
  <c r="A327" i="8"/>
  <c r="A364" i="8"/>
  <c r="A366" i="8"/>
  <c r="A369" i="8"/>
  <c r="A363" i="8"/>
  <c r="A365" i="8"/>
  <c r="A410" i="8"/>
  <c r="A408" i="8"/>
  <c r="A411" i="8"/>
  <c r="A438" i="8"/>
  <c r="A437" i="8"/>
  <c r="A435" i="8"/>
  <c r="A436" i="8"/>
  <c r="A475" i="8"/>
  <c r="A473" i="8"/>
  <c r="A477" i="8"/>
  <c r="A472" i="8"/>
  <c r="A518" i="8"/>
  <c r="A517" i="8"/>
  <c r="A545" i="8"/>
  <c r="A544" i="8"/>
  <c r="A549" i="8"/>
  <c r="A547" i="8"/>
  <c r="F42" i="8"/>
  <c r="H42" i="8"/>
  <c r="A572" i="8"/>
  <c r="A426" i="8"/>
  <c r="A331" i="8"/>
  <c r="A104" i="8"/>
  <c r="A575" i="8"/>
  <c r="A115" i="8"/>
  <c r="A78" i="8"/>
  <c r="A600" i="8"/>
  <c r="C712" i="8"/>
  <c r="A474" i="8"/>
  <c r="A125" i="8"/>
  <c r="A607" i="8"/>
  <c r="A103" i="8"/>
  <c r="A55" i="8"/>
  <c r="A49" i="8"/>
  <c r="A53" i="8"/>
  <c r="A51" i="8"/>
  <c r="A168" i="8"/>
  <c r="A170" i="8"/>
  <c r="A167" i="8"/>
  <c r="A169" i="8"/>
  <c r="B164" i="8"/>
  <c r="B158" i="8"/>
  <c r="B162" i="8"/>
  <c r="B162" i="39"/>
  <c r="B163" i="8"/>
  <c r="B188" i="8"/>
  <c r="B188" i="39"/>
  <c r="B192" i="8"/>
  <c r="B189" i="8"/>
  <c r="B190" i="8"/>
  <c r="B190" i="39"/>
  <c r="B187" i="8"/>
  <c r="A217" i="8"/>
  <c r="A215" i="8"/>
  <c r="A218" i="8"/>
  <c r="A222" i="8"/>
  <c r="A269" i="8"/>
  <c r="A268" i="8"/>
  <c r="A340" i="8"/>
  <c r="A341" i="8"/>
  <c r="A337" i="8"/>
  <c r="A357" i="8"/>
  <c r="A359" i="8"/>
  <c r="A74" i="8"/>
  <c r="A73" i="8"/>
  <c r="A71" i="8"/>
  <c r="A70" i="8"/>
  <c r="A153" i="8"/>
  <c r="A149" i="8"/>
  <c r="A150" i="8"/>
  <c r="A148" i="8"/>
  <c r="A155" i="8"/>
  <c r="A464" i="8"/>
  <c r="A466" i="8"/>
  <c r="A493" i="8"/>
  <c r="A489" i="8"/>
  <c r="A571" i="8"/>
  <c r="A569" i="8"/>
  <c r="A633" i="8"/>
  <c r="A632" i="8"/>
  <c r="A639" i="8"/>
  <c r="A690" i="8"/>
  <c r="A691" i="8"/>
  <c r="A688" i="8"/>
  <c r="A151" i="8"/>
  <c r="A432" i="8"/>
  <c r="A154" i="8"/>
  <c r="A401" i="8"/>
  <c r="A635" i="8"/>
  <c r="A68" i="8"/>
  <c r="E42" i="8"/>
  <c r="A311" i="8"/>
  <c r="A574" i="8"/>
  <c r="A121" i="8"/>
  <c r="A427" i="8"/>
  <c r="A429" i="8"/>
  <c r="A328" i="8"/>
  <c r="A67" i="8"/>
  <c r="A402" i="8"/>
  <c r="A117" i="8"/>
  <c r="A333" i="8"/>
  <c r="A81" i="8"/>
  <c r="A521" i="8"/>
  <c r="F712" i="8"/>
  <c r="I712" i="8"/>
  <c r="A434" i="8"/>
  <c r="A687" i="8"/>
  <c r="A476" i="8"/>
  <c r="A404" i="8"/>
  <c r="A77" i="8"/>
  <c r="A80" i="8"/>
  <c r="A414" i="8"/>
  <c r="A9" i="8"/>
  <c r="A520" i="8"/>
  <c r="A145" i="8"/>
  <c r="A139" i="8"/>
  <c r="A142" i="8"/>
  <c r="A140" i="8"/>
  <c r="A184" i="8"/>
  <c r="A179" i="8"/>
  <c r="A181" i="8"/>
  <c r="B174" i="8"/>
  <c r="B168" i="8"/>
  <c r="B168" i="39"/>
  <c r="B167" i="8"/>
  <c r="A201" i="8"/>
  <c r="A202" i="8"/>
  <c r="A197" i="8"/>
  <c r="A198" i="8"/>
  <c r="A295" i="8"/>
  <c r="A297" i="8"/>
  <c r="A291" i="8"/>
  <c r="A296" i="8"/>
  <c r="A290" i="8"/>
  <c r="A565" i="8"/>
  <c r="A567" i="8"/>
  <c r="A560" i="8"/>
  <c r="A562" i="8"/>
  <c r="A601" i="8"/>
  <c r="A596" i="8"/>
  <c r="A599" i="8"/>
  <c r="A636" i="8"/>
  <c r="A677" i="8"/>
  <c r="A681" i="8"/>
  <c r="A715" i="8"/>
  <c r="A713" i="8"/>
  <c r="B161" i="39"/>
  <c r="H46" i="39"/>
  <c r="A641" i="8"/>
  <c r="A616" i="8"/>
  <c r="A134" i="8"/>
  <c r="A373" i="8"/>
  <c r="A371" i="8"/>
  <c r="A277" i="8"/>
  <c r="A302" i="8"/>
  <c r="A272" i="8"/>
  <c r="A446" i="8"/>
  <c r="A643" i="8"/>
  <c r="A59" i="60"/>
  <c r="A63" i="60"/>
  <c r="A67" i="60"/>
  <c r="A71" i="60"/>
  <c r="A60" i="60"/>
  <c r="A64" i="60"/>
  <c r="A68" i="60"/>
  <c r="A72" i="60"/>
  <c r="A61" i="60"/>
  <c r="A69" i="60"/>
  <c r="A73" i="60"/>
  <c r="A70" i="60"/>
  <c r="B163" i="38"/>
  <c r="B163" i="39"/>
  <c r="B157" i="38"/>
  <c r="B162" i="38"/>
  <c r="B158" i="38"/>
  <c r="B158" i="39"/>
  <c r="B164" i="38"/>
  <c r="A491" i="38"/>
  <c r="A492" i="38"/>
  <c r="A600" i="38"/>
  <c r="A494" i="38"/>
  <c r="A109" i="38"/>
  <c r="A104" i="38"/>
  <c r="A679" i="38"/>
  <c r="A230" i="38"/>
  <c r="A231" i="38"/>
  <c r="A225" i="38"/>
  <c r="A489" i="38"/>
  <c r="I41" i="38"/>
  <c r="A276" i="38"/>
  <c r="A627" i="38"/>
  <c r="A56" i="38"/>
  <c r="A465" i="38"/>
  <c r="A623" i="38"/>
  <c r="A246" i="38"/>
  <c r="A626" i="38"/>
  <c r="A628" i="38"/>
  <c r="A431" i="38"/>
  <c r="A250" i="38"/>
  <c r="A466" i="38"/>
  <c r="A140" i="38"/>
  <c r="A145" i="38"/>
  <c r="C41" i="38"/>
  <c r="A432" i="38"/>
  <c r="A54" i="38"/>
  <c r="A680" i="38"/>
  <c r="A493" i="38"/>
  <c r="A603" i="38"/>
  <c r="A25" i="38"/>
  <c r="A19" i="38"/>
  <c r="A345" i="38"/>
  <c r="A351" i="38"/>
  <c r="A350" i="38"/>
  <c r="A598" i="38"/>
  <c r="A597" i="38"/>
  <c r="K41" i="38"/>
  <c r="D41" i="38"/>
  <c r="A275" i="38"/>
  <c r="A279" i="38"/>
  <c r="A53" i="38"/>
  <c r="E41" i="38"/>
  <c r="A252" i="38"/>
  <c r="A429" i="38"/>
  <c r="A625" i="38"/>
  <c r="A425" i="38"/>
  <c r="A247" i="38"/>
  <c r="A468" i="38"/>
  <c r="A139" i="38"/>
  <c r="A49" i="38"/>
  <c r="A678" i="38"/>
  <c r="A677" i="38"/>
  <c r="A274" i="38"/>
  <c r="A488" i="38"/>
  <c r="A601" i="38"/>
  <c r="B160" i="38"/>
  <c r="B160" i="39"/>
  <c r="A296" i="38"/>
  <c r="A294" i="38"/>
  <c r="A291" i="38"/>
  <c r="A292" i="38"/>
  <c r="A405" i="38"/>
  <c r="A399" i="38"/>
  <c r="A402" i="38"/>
  <c r="A403" i="38"/>
  <c r="A400" i="38"/>
  <c r="A561" i="38"/>
  <c r="A566" i="38"/>
  <c r="A562" i="38"/>
  <c r="A596" i="38"/>
  <c r="A495" i="38"/>
  <c r="A105" i="38"/>
  <c r="A108" i="38"/>
  <c r="A683" i="38"/>
  <c r="A226" i="38"/>
  <c r="A229" i="38"/>
  <c r="A490" i="38"/>
  <c r="A567" i="38"/>
  <c r="A107" i="38"/>
  <c r="A681" i="38"/>
  <c r="F46" i="39"/>
  <c r="A426" i="38"/>
  <c r="H41" i="38"/>
  <c r="J41" i="38"/>
  <c r="A278" i="38"/>
  <c r="A249" i="38"/>
  <c r="A142" i="38"/>
  <c r="A467" i="38"/>
  <c r="A404" i="38"/>
  <c r="A563" i="38"/>
  <c r="B159" i="38"/>
  <c r="A97" i="38"/>
  <c r="A98" i="38"/>
  <c r="A95" i="38"/>
  <c r="B170" i="38"/>
  <c r="B170" i="39"/>
  <c r="B169" i="38"/>
  <c r="B175" i="38"/>
  <c r="B167" i="38"/>
  <c r="B174" i="38"/>
  <c r="B174" i="39"/>
  <c r="B172" i="38"/>
  <c r="B172" i="39"/>
  <c r="B184" i="38"/>
  <c r="B184" i="39"/>
  <c r="B181" i="38"/>
  <c r="B181" i="39"/>
  <c r="B177" i="38"/>
  <c r="B189" i="38"/>
  <c r="B192" i="38"/>
  <c r="B192" i="39"/>
  <c r="B187" i="38"/>
  <c r="B190" i="38"/>
  <c r="A248" i="38"/>
  <c r="A330" i="38"/>
  <c r="A329" i="38"/>
  <c r="A332" i="38"/>
  <c r="A383" i="38"/>
  <c r="A533" i="38"/>
  <c r="A534" i="38"/>
  <c r="A8" i="59"/>
  <c r="A60" i="59"/>
  <c r="A64" i="59"/>
  <c r="A29" i="59"/>
  <c r="A40" i="59"/>
  <c r="E3" i="59"/>
  <c r="A59" i="59"/>
  <c r="A63" i="59"/>
  <c r="A7" i="59"/>
  <c r="A10" i="59"/>
  <c r="A11" i="59"/>
  <c r="A19" i="59"/>
  <c r="B26" i="59"/>
  <c r="A48" i="59"/>
  <c r="A51" i="59"/>
  <c r="A55" i="59"/>
  <c r="I3" i="59"/>
  <c r="A62" i="59"/>
  <c r="A67" i="59"/>
  <c r="A69" i="59"/>
  <c r="A73" i="59"/>
  <c r="A387" i="38"/>
  <c r="B183" i="39"/>
  <c r="A535" i="38"/>
  <c r="A4" i="59"/>
  <c r="A6" i="59"/>
  <c r="B9" i="59"/>
  <c r="B10" i="59"/>
  <c r="B28" i="59"/>
  <c r="B32" i="59"/>
  <c r="A41" i="59"/>
  <c r="A44" i="59"/>
  <c r="A58" i="59"/>
  <c r="A61" i="59"/>
  <c r="A68" i="59"/>
  <c r="F3" i="59"/>
  <c r="J3" i="59"/>
  <c r="C3" i="59"/>
  <c r="G3" i="59"/>
  <c r="K3" i="59"/>
  <c r="D3" i="59"/>
  <c r="H3" i="59"/>
  <c r="A80" i="30"/>
  <c r="A83" i="30"/>
  <c r="A81" i="30"/>
  <c r="A85" i="30"/>
  <c r="A182" i="30"/>
  <c r="A180" i="30"/>
  <c r="A178" i="30"/>
  <c r="A181" i="30"/>
  <c r="A179" i="30"/>
  <c r="A176" i="30"/>
  <c r="A177" i="30"/>
  <c r="A307" i="30"/>
  <c r="A306" i="30"/>
  <c r="A302" i="30"/>
  <c r="A308" i="30"/>
  <c r="A304" i="30"/>
  <c r="A386" i="30"/>
  <c r="A387" i="30"/>
  <c r="A383" i="30"/>
  <c r="A382" i="30"/>
  <c r="A384" i="30"/>
  <c r="A389" i="30"/>
  <c r="A425" i="30"/>
  <c r="A420" i="30"/>
  <c r="A426" i="30"/>
  <c r="A423" i="30"/>
  <c r="A422" i="30"/>
  <c r="A424" i="30"/>
  <c r="A143" i="30"/>
  <c r="A139" i="30"/>
  <c r="A141" i="30"/>
  <c r="A140" i="30"/>
  <c r="A146" i="30"/>
  <c r="A234" i="30"/>
  <c r="A235" i="30"/>
  <c r="A122" i="30"/>
  <c r="A120" i="30"/>
  <c r="A118" i="30"/>
  <c r="A117" i="30"/>
  <c r="A119" i="30"/>
  <c r="A121" i="30"/>
  <c r="A305" i="30"/>
  <c r="A421" i="30"/>
  <c r="A385" i="30"/>
  <c r="A144" i="30"/>
  <c r="A233" i="30"/>
  <c r="A303" i="30"/>
  <c r="L26" i="30"/>
  <c r="D26" i="30"/>
  <c r="K26" i="30"/>
  <c r="L29" i="30"/>
  <c r="F29" i="30"/>
  <c r="E29" i="30"/>
  <c r="E29" i="34"/>
  <c r="I29" i="30"/>
  <c r="J29" i="30"/>
  <c r="H29" i="30"/>
  <c r="H29" i="34"/>
  <c r="D29" i="30"/>
  <c r="D29" i="34"/>
  <c r="A241" i="30"/>
  <c r="A244" i="30"/>
  <c r="A240" i="30"/>
  <c r="A242" i="30"/>
  <c r="A239" i="30"/>
  <c r="A245" i="30"/>
  <c r="A279" i="30"/>
  <c r="A278" i="30"/>
  <c r="A274" i="30"/>
  <c r="A280" i="30"/>
  <c r="A277" i="30"/>
  <c r="A331" i="30"/>
  <c r="A333" i="30"/>
  <c r="A334" i="30"/>
  <c r="A358" i="30"/>
  <c r="A355" i="30"/>
  <c r="A362" i="30"/>
  <c r="A361" i="30"/>
  <c r="A360" i="30"/>
  <c r="A357" i="30"/>
  <c r="A434" i="30"/>
  <c r="A429" i="30"/>
  <c r="A430" i="30"/>
  <c r="A432" i="30"/>
  <c r="A435" i="30"/>
  <c r="A436" i="30"/>
  <c r="A203" i="30"/>
  <c r="A205" i="30"/>
  <c r="A202" i="30"/>
  <c r="A208" i="30"/>
  <c r="A209" i="30"/>
  <c r="A262" i="30"/>
  <c r="A259" i="30"/>
  <c r="A258" i="30"/>
  <c r="A257" i="30"/>
  <c r="A261" i="30"/>
  <c r="A88" i="30"/>
  <c r="A89" i="30"/>
  <c r="A95" i="30"/>
  <c r="A94" i="30"/>
  <c r="A93" i="30"/>
  <c r="A90" i="30"/>
  <c r="A91" i="30"/>
  <c r="A231" i="30"/>
  <c r="A82" i="30"/>
  <c r="A229" i="30"/>
  <c r="A419" i="30"/>
  <c r="A388" i="30"/>
  <c r="A145" i="30"/>
  <c r="A92" i="30"/>
  <c r="A204" i="30"/>
  <c r="A359" i="30"/>
  <c r="A115" i="30"/>
  <c r="G29" i="30"/>
  <c r="G29" i="34"/>
  <c r="K35" i="30"/>
  <c r="K35" i="34"/>
  <c r="E41" i="30"/>
  <c r="E41" i="34"/>
  <c r="G36" i="30"/>
  <c r="G36" i="34"/>
  <c r="J40" i="30"/>
  <c r="J40" i="34"/>
  <c r="G34" i="30"/>
  <c r="G34" i="34"/>
  <c r="F34" i="30"/>
  <c r="F34" i="34"/>
  <c r="L34" i="30"/>
  <c r="L34" i="34"/>
  <c r="F37" i="30"/>
  <c r="F37" i="34"/>
  <c r="D40" i="30"/>
  <c r="D40" i="34"/>
  <c r="J38" i="30"/>
  <c r="J38" i="34"/>
  <c r="E34" i="30"/>
  <c r="E34" i="34"/>
  <c r="L38" i="30"/>
  <c r="L38" i="34"/>
  <c r="K34" i="30"/>
  <c r="K34" i="34"/>
  <c r="K39" i="30"/>
  <c r="K39" i="34"/>
  <c r="D35" i="30"/>
  <c r="L40" i="30"/>
  <c r="L40" i="34"/>
  <c r="I37" i="30"/>
  <c r="I37" i="34"/>
  <c r="H37" i="30"/>
  <c r="H37" i="34"/>
  <c r="I36" i="30"/>
  <c r="I36" i="34"/>
  <c r="J39" i="30"/>
  <c r="J39" i="34"/>
  <c r="G35" i="30"/>
  <c r="G35" i="34"/>
  <c r="C37" i="30"/>
  <c r="C37" i="34"/>
  <c r="F41" i="30"/>
  <c r="F41" i="34"/>
  <c r="D36" i="30"/>
  <c r="D36" i="34"/>
  <c r="L41" i="30"/>
  <c r="L41" i="34"/>
  <c r="J35" i="30"/>
  <c r="J35" i="34"/>
  <c r="C36" i="30"/>
  <c r="C36" i="34"/>
  <c r="I35" i="30"/>
  <c r="I35" i="34"/>
  <c r="C41" i="30"/>
  <c r="C41" i="34"/>
  <c r="G37" i="30"/>
  <c r="G37" i="34"/>
  <c r="E37" i="30"/>
  <c r="E37" i="34"/>
  <c r="K36" i="30"/>
  <c r="K36" i="34"/>
  <c r="F35" i="30"/>
  <c r="E36" i="30"/>
  <c r="L36" i="30"/>
  <c r="L36" i="34"/>
  <c r="E35" i="30"/>
  <c r="E35" i="34"/>
  <c r="I40" i="30"/>
  <c r="I40" i="34"/>
  <c r="E40" i="30"/>
  <c r="E40" i="34"/>
  <c r="J36" i="30"/>
  <c r="J36" i="34"/>
  <c r="E61" i="30"/>
  <c r="E61" i="34"/>
  <c r="I68" i="30"/>
  <c r="I68" i="34"/>
  <c r="F62" i="30"/>
  <c r="F62" i="34"/>
  <c r="L66" i="30"/>
  <c r="L66" i="34"/>
  <c r="C68" i="30"/>
  <c r="C68" i="34"/>
  <c r="D61" i="30"/>
  <c r="H62" i="30"/>
  <c r="C67" i="30"/>
  <c r="C67" i="34"/>
  <c r="L65" i="30"/>
  <c r="L65" i="34"/>
  <c r="F63" i="30"/>
  <c r="F63" i="34"/>
  <c r="E64" i="30"/>
  <c r="E64" i="34"/>
  <c r="G65" i="30"/>
  <c r="G65" i="34"/>
  <c r="L67" i="30"/>
  <c r="L67" i="34"/>
  <c r="G64" i="30"/>
  <c r="G64" i="34"/>
  <c r="J61" i="30"/>
  <c r="J61" i="34"/>
  <c r="H64" i="30"/>
  <c r="H64" i="34"/>
  <c r="C63" i="30"/>
  <c r="C63" i="34"/>
  <c r="K64" i="30"/>
  <c r="K64" i="34"/>
  <c r="I64" i="30"/>
  <c r="I64" i="34"/>
  <c r="G62" i="30"/>
  <c r="G62" i="34"/>
  <c r="C64" i="30"/>
  <c r="C64" i="34"/>
  <c r="D65" i="30"/>
  <c r="D65" i="34"/>
  <c r="K68" i="30"/>
  <c r="K68" i="34"/>
  <c r="J66" i="30"/>
  <c r="J66" i="34"/>
  <c r="K61" i="30"/>
  <c r="K61" i="34"/>
  <c r="H65" i="30"/>
  <c r="H65" i="34"/>
  <c r="G63" i="30"/>
  <c r="G63" i="34"/>
  <c r="H68" i="30"/>
  <c r="H68" i="34"/>
  <c r="F65" i="30"/>
  <c r="F65" i="34"/>
  <c r="E67" i="30"/>
  <c r="E67" i="34"/>
  <c r="E68" i="30"/>
  <c r="E68" i="34"/>
  <c r="D64" i="30"/>
  <c r="D64" i="34"/>
  <c r="D67" i="30"/>
  <c r="D67" i="34"/>
  <c r="E65" i="30"/>
  <c r="E65" i="34"/>
  <c r="E66" i="30"/>
  <c r="E66" i="34"/>
  <c r="J64" i="30"/>
  <c r="J64" i="34"/>
  <c r="K65" i="30"/>
  <c r="K65" i="34"/>
  <c r="K62" i="30"/>
  <c r="K62" i="34"/>
  <c r="K67" i="30"/>
  <c r="K67" i="34"/>
  <c r="G61" i="30"/>
  <c r="G61" i="34"/>
  <c r="H63" i="30"/>
  <c r="H63" i="34"/>
  <c r="F61" i="30"/>
  <c r="F61" i="34"/>
  <c r="E63" i="30"/>
  <c r="E63" i="34"/>
  <c r="I67" i="30"/>
  <c r="I67" i="34"/>
  <c r="H66" i="30"/>
  <c r="H66" i="34"/>
  <c r="G27" i="30"/>
  <c r="A236" i="30"/>
  <c r="A84" i="30"/>
  <c r="A433" i="30"/>
  <c r="A275" i="30"/>
  <c r="A328" i="30"/>
  <c r="A116" i="30"/>
  <c r="A142" i="30"/>
  <c r="K29" i="30"/>
  <c r="K29" i="34"/>
  <c r="N416" i="30"/>
  <c r="N412" i="30"/>
  <c r="N417" i="30"/>
  <c r="N413" i="30"/>
  <c r="N410" i="30"/>
  <c r="A207" i="30"/>
  <c r="H40" i="30"/>
  <c r="H40" i="34"/>
  <c r="A232" i="30"/>
  <c r="A263" i="30"/>
  <c r="A86" i="30"/>
  <c r="J75" i="30"/>
  <c r="J75" i="34"/>
  <c r="L71" i="30"/>
  <c r="E71" i="30"/>
  <c r="E71" i="34"/>
  <c r="C70" i="30"/>
  <c r="C70" i="34"/>
  <c r="H76" i="30"/>
  <c r="H76" i="34"/>
  <c r="I72" i="30"/>
  <c r="K71" i="30"/>
  <c r="G74" i="30"/>
  <c r="G74" i="34"/>
  <c r="G77" i="30"/>
  <c r="G77" i="34"/>
  <c r="D76" i="30"/>
  <c r="D76" i="34"/>
  <c r="H73" i="30"/>
  <c r="H73" i="34"/>
  <c r="C72" i="30"/>
  <c r="C72" i="34"/>
  <c r="J70" i="30"/>
  <c r="J70" i="34"/>
  <c r="J76" i="30"/>
  <c r="J76" i="34"/>
  <c r="G75" i="30"/>
  <c r="G75" i="34"/>
  <c r="K74" i="30"/>
  <c r="K74" i="34"/>
  <c r="F77" i="30"/>
  <c r="F77" i="34"/>
  <c r="C73" i="30"/>
  <c r="C73" i="34"/>
  <c r="G80" i="30"/>
  <c r="G80" i="34"/>
  <c r="I84" i="30"/>
  <c r="I84" i="34"/>
  <c r="L80" i="30"/>
  <c r="L80" i="34"/>
  <c r="K80" i="30"/>
  <c r="K80" i="34"/>
  <c r="J81" i="30"/>
  <c r="J81" i="34"/>
  <c r="D84" i="30"/>
  <c r="D84" i="34"/>
  <c r="L86" i="30"/>
  <c r="L86" i="34"/>
  <c r="L82" i="30"/>
  <c r="L82" i="34"/>
  <c r="K86" i="30"/>
  <c r="K86" i="34"/>
  <c r="L83" i="30"/>
  <c r="L83" i="34"/>
  <c r="H85" i="30"/>
  <c r="H85" i="34"/>
  <c r="H84" i="30"/>
  <c r="H84" i="34"/>
  <c r="K82" i="30"/>
  <c r="K82" i="34"/>
  <c r="D80" i="30"/>
  <c r="D80" i="34"/>
  <c r="C79" i="30"/>
  <c r="C79" i="34"/>
  <c r="K81" i="30"/>
  <c r="K81" i="34"/>
  <c r="K83" i="30"/>
  <c r="K83" i="34"/>
  <c r="H82" i="30"/>
  <c r="H82" i="34"/>
  <c r="K85" i="30"/>
  <c r="K85" i="34"/>
  <c r="F85" i="30"/>
  <c r="F85" i="34"/>
  <c r="E79" i="30"/>
  <c r="E79" i="34"/>
  <c r="L84" i="30"/>
  <c r="L84" i="34"/>
  <c r="F84" i="30"/>
  <c r="F84" i="34"/>
  <c r="B20" i="59"/>
  <c r="B16" i="59"/>
  <c r="B15" i="59"/>
  <c r="B19" i="59"/>
  <c r="B23" i="59"/>
  <c r="B18" i="59"/>
  <c r="B21" i="59"/>
  <c r="L76" i="30"/>
  <c r="L76" i="34"/>
  <c r="E73" i="30"/>
  <c r="E73" i="34"/>
  <c r="L73" i="30"/>
  <c r="E77" i="30"/>
  <c r="A170" i="30"/>
  <c r="A168" i="30"/>
  <c r="A167" i="30"/>
  <c r="A166" i="30"/>
  <c r="B4" i="59"/>
  <c r="A31" i="59"/>
  <c r="A27" i="59"/>
  <c r="A30" i="59"/>
  <c r="A33" i="59"/>
  <c r="B8" i="59"/>
  <c r="B8" i="60"/>
  <c r="B11" i="59"/>
  <c r="B12" i="59"/>
  <c r="B7" i="59"/>
  <c r="B5" i="59"/>
  <c r="A28" i="59"/>
  <c r="A16" i="59"/>
  <c r="A20" i="59"/>
  <c r="A5" i="59"/>
  <c r="A17" i="59"/>
  <c r="B29" i="59"/>
  <c r="B29" i="60"/>
  <c r="B33" i="59"/>
  <c r="A38" i="59"/>
  <c r="A42" i="59"/>
  <c r="A39" i="59"/>
  <c r="A65" i="8"/>
  <c r="A64" i="8"/>
  <c r="A61" i="8"/>
  <c r="B175" i="8"/>
  <c r="A463" i="8"/>
  <c r="A462" i="8"/>
  <c r="A85" i="8"/>
  <c r="A86" i="8"/>
  <c r="A674" i="8"/>
  <c r="A63" i="8"/>
  <c r="A231" i="8"/>
  <c r="A58" i="8"/>
  <c r="A468" i="8"/>
  <c r="A354" i="8"/>
  <c r="A224" i="8"/>
  <c r="A492" i="8"/>
  <c r="A158" i="8"/>
  <c r="A157" i="8"/>
  <c r="A228" i="8"/>
  <c r="A35" i="8"/>
  <c r="A33" i="8"/>
  <c r="A668" i="8"/>
  <c r="A31" i="8"/>
  <c r="A264" i="8"/>
  <c r="A470" i="8"/>
  <c r="A339" i="8"/>
  <c r="A441" i="8"/>
  <c r="A440" i="8"/>
  <c r="A611" i="8"/>
  <c r="D46" i="8"/>
  <c r="D46" i="39"/>
  <c r="A270" i="8"/>
  <c r="A495" i="8"/>
  <c r="A60" i="8"/>
  <c r="A163" i="8"/>
  <c r="A230" i="8"/>
  <c r="A412" i="8"/>
  <c r="A516" i="8"/>
  <c r="C46" i="8"/>
  <c r="C46" i="39"/>
  <c r="A670" i="8"/>
  <c r="A62" i="8"/>
  <c r="A106" i="8"/>
  <c r="A109" i="8"/>
  <c r="A229" i="8"/>
  <c r="A160" i="8"/>
  <c r="A673" i="8"/>
  <c r="A263" i="8"/>
  <c r="A491" i="8"/>
  <c r="A494" i="8"/>
  <c r="A87" i="8"/>
  <c r="A92" i="8"/>
  <c r="A36" i="8"/>
  <c r="G46" i="8"/>
  <c r="G46" i="39"/>
  <c r="J46" i="8"/>
  <c r="J46" i="39"/>
  <c r="A356" i="8"/>
  <c r="A461" i="8"/>
  <c r="A467" i="8"/>
  <c r="A89" i="8"/>
  <c r="A488" i="8"/>
  <c r="A409" i="8"/>
  <c r="A161" i="8"/>
  <c r="A672" i="8"/>
  <c r="A671" i="8"/>
  <c r="A37" i="8"/>
  <c r="A515" i="8"/>
  <c r="A267" i="8"/>
  <c r="A694" i="8"/>
  <c r="A689" i="8"/>
  <c r="A471" i="8"/>
  <c r="A335" i="8"/>
  <c r="A376" i="8"/>
  <c r="A439" i="8"/>
  <c r="A372" i="8"/>
  <c r="A558" i="8"/>
  <c r="A557" i="8"/>
  <c r="A127" i="8"/>
  <c r="A612" i="8"/>
  <c r="A608" i="8"/>
  <c r="A522" i="8"/>
  <c r="A227" i="8"/>
  <c r="A225" i="8"/>
  <c r="A407" i="8"/>
  <c r="A413" i="8"/>
  <c r="A162" i="8"/>
  <c r="A59" i="8"/>
  <c r="A265" i="8"/>
  <c r="A628" i="8"/>
  <c r="A624" i="8"/>
  <c r="A60" i="58"/>
  <c r="A64" i="58"/>
  <c r="A40" i="58"/>
  <c r="A42" i="58"/>
  <c r="A59" i="58"/>
  <c r="A63" i="58"/>
  <c r="A38" i="58"/>
  <c r="A62" i="58"/>
  <c r="A37" i="58"/>
  <c r="A41" i="58"/>
  <c r="I3" i="58"/>
  <c r="A58" i="58"/>
  <c r="A61" i="58"/>
  <c r="A68" i="58"/>
  <c r="L3" i="58"/>
  <c r="H3" i="58"/>
  <c r="D3" i="58"/>
  <c r="K3" i="58"/>
  <c r="G3" i="58"/>
  <c r="B11" i="58"/>
  <c r="B11" i="60"/>
  <c r="B29" i="58"/>
  <c r="A19" i="58"/>
  <c r="B31" i="58"/>
  <c r="B31" i="60"/>
  <c r="B7" i="58"/>
  <c r="B7" i="60"/>
  <c r="B27" i="58"/>
  <c r="B27" i="60"/>
  <c r="B26" i="58"/>
  <c r="B26" i="60"/>
  <c r="B33" i="58"/>
  <c r="B33" i="60"/>
  <c r="A44" i="58"/>
  <c r="A54" i="58"/>
  <c r="B20" i="58"/>
  <c r="B20" i="60"/>
  <c r="B16" i="58"/>
  <c r="B15" i="58"/>
  <c r="B19" i="58"/>
  <c r="B19" i="60"/>
  <c r="B18" i="58"/>
  <c r="A31" i="58"/>
  <c r="A27" i="58"/>
  <c r="A32" i="58"/>
  <c r="A30" i="58"/>
  <c r="A28" i="58"/>
  <c r="B17" i="58"/>
  <c r="B17" i="60"/>
  <c r="A22" i="58"/>
  <c r="A29" i="58"/>
  <c r="B4" i="58"/>
  <c r="B4" i="60"/>
  <c r="B6" i="58"/>
  <c r="B6" i="60"/>
  <c r="B10" i="58"/>
  <c r="B10" i="60"/>
  <c r="B21" i="58"/>
  <c r="B21" i="60"/>
  <c r="B22" i="58"/>
  <c r="B22" i="60"/>
  <c r="B5" i="58"/>
  <c r="B5" i="60"/>
  <c r="B9" i="58"/>
  <c r="B9" i="60"/>
  <c r="A21" i="58"/>
  <c r="A17" i="58"/>
  <c r="A20" i="58"/>
  <c r="A16" i="58"/>
  <c r="A18" i="58"/>
  <c r="A26" i="58"/>
  <c r="A33" i="58"/>
  <c r="A51" i="58"/>
  <c r="A55" i="58"/>
  <c r="A5" i="58"/>
  <c r="B28" i="58"/>
  <c r="B32" i="58"/>
  <c r="B32" i="60"/>
  <c r="A39" i="58"/>
  <c r="L71" i="34"/>
  <c r="F29" i="34"/>
  <c r="L81" i="34"/>
  <c r="B15" i="60"/>
  <c r="H62" i="34"/>
  <c r="J29" i="34"/>
  <c r="D59" i="34"/>
  <c r="B18" i="60"/>
  <c r="E77" i="34"/>
  <c r="I85" i="34"/>
  <c r="J71" i="34"/>
  <c r="B14" i="32"/>
  <c r="N421" i="34"/>
  <c r="N420" i="34"/>
  <c r="N425" i="34"/>
  <c r="N419" i="34"/>
  <c r="N423" i="34"/>
  <c r="N424" i="34"/>
  <c r="N427" i="34"/>
  <c r="N426" i="34"/>
  <c r="M100" i="29"/>
  <c r="H100" i="29"/>
  <c r="K100" i="29"/>
  <c r="F100" i="29"/>
  <c r="J100" i="29"/>
  <c r="I100" i="29"/>
  <c r="L100" i="29"/>
  <c r="D100" i="29"/>
  <c r="G100" i="29"/>
  <c r="E100" i="29"/>
  <c r="E110" i="29"/>
  <c r="F110" i="29"/>
  <c r="L110" i="29"/>
  <c r="G110" i="29"/>
  <c r="I110" i="29"/>
  <c r="F8" i="4"/>
  <c r="C113" i="29"/>
  <c r="D8" i="4"/>
  <c r="G8" i="4"/>
  <c r="C127" i="29"/>
  <c r="E8" i="4"/>
  <c r="C103" i="29"/>
  <c r="B28" i="60"/>
  <c r="F73" i="34"/>
  <c r="L280" i="1"/>
  <c r="L304" i="1"/>
  <c r="L282" i="1"/>
  <c r="L329" i="1"/>
  <c r="L349" i="1"/>
  <c r="L307" i="1"/>
  <c r="L345" i="1"/>
  <c r="L258" i="1"/>
  <c r="L325" i="1"/>
  <c r="L323" i="1"/>
  <c r="L259" i="1"/>
  <c r="L256" i="1"/>
  <c r="L262" i="1"/>
  <c r="L347" i="1"/>
  <c r="L278" i="1"/>
  <c r="L344" i="1"/>
  <c r="L348" i="1"/>
  <c r="L261" i="1"/>
  <c r="L302" i="1"/>
  <c r="L281" i="1"/>
  <c r="L263" i="1"/>
  <c r="L306" i="1"/>
  <c r="L322" i="1"/>
  <c r="L351" i="1"/>
  <c r="L283" i="1"/>
  <c r="L284" i="1"/>
  <c r="L346" i="1"/>
  <c r="L303" i="1"/>
  <c r="L324" i="1"/>
  <c r="L305" i="1"/>
  <c r="L279" i="1"/>
  <c r="L350" i="1"/>
  <c r="L327" i="1"/>
  <c r="L257" i="1"/>
  <c r="L328" i="1"/>
  <c r="L285" i="1"/>
  <c r="G54" i="34"/>
  <c r="L73" i="34"/>
  <c r="I72" i="34"/>
  <c r="L29" i="34"/>
  <c r="C28" i="34"/>
  <c r="B17" i="7" a="1"/>
  <c r="D17" i="7"/>
  <c r="D17" i="37"/>
  <c r="B18" i="7" a="1"/>
  <c r="K18" i="7"/>
  <c r="I29" i="34"/>
  <c r="B195" i="38"/>
  <c r="B189" i="39"/>
  <c r="B177" i="39"/>
  <c r="C103" i="4"/>
  <c r="C103" i="40"/>
  <c r="C127" i="4"/>
  <c r="C127" i="40"/>
  <c r="G17" i="7"/>
  <c r="J18" i="7"/>
  <c r="F17" i="7"/>
  <c r="F17" i="37"/>
  <c r="B43" i="38" a="1"/>
  <c r="C43" i="38"/>
  <c r="B17" i="35" a="1"/>
  <c r="K66" i="34"/>
  <c r="K63" i="34"/>
  <c r="F71" i="34"/>
  <c r="B105" i="32"/>
  <c r="B106" i="32"/>
  <c r="I76" i="34"/>
  <c r="G44" i="34"/>
  <c r="G46" i="34"/>
  <c r="D43" i="34"/>
  <c r="D57" i="34"/>
  <c r="B11" i="32"/>
  <c r="B42" i="32"/>
  <c r="C76" i="34"/>
  <c r="C82" i="34"/>
  <c r="H49" i="6"/>
  <c r="H49" i="34"/>
  <c r="I44" i="6"/>
  <c r="I44" i="34"/>
  <c r="H45" i="6"/>
  <c r="H45" i="34"/>
  <c r="G50" i="6"/>
  <c r="G50" i="34"/>
  <c r="L44" i="6"/>
  <c r="L44" i="34"/>
  <c r="K46" i="6"/>
  <c r="K46" i="34"/>
  <c r="J50" i="6"/>
  <c r="J50" i="34"/>
  <c r="L45" i="6"/>
  <c r="L45" i="34"/>
  <c r="F44" i="6"/>
  <c r="F44" i="34"/>
  <c r="I46" i="6"/>
  <c r="I46" i="34"/>
  <c r="E50" i="6"/>
  <c r="E50" i="34"/>
  <c r="A15" i="27"/>
  <c r="A20" i="27"/>
  <c r="A63" i="39"/>
  <c r="A60" i="39"/>
  <c r="A61" i="39"/>
  <c r="A136" i="30"/>
  <c r="A135" i="30"/>
  <c r="D75" i="30"/>
  <c r="D75" i="34"/>
  <c r="I73" i="30"/>
  <c r="I73" i="34"/>
  <c r="D70" i="30"/>
  <c r="D70" i="34"/>
  <c r="K263" i="1"/>
  <c r="B136" i="4"/>
  <c r="B137" i="4"/>
  <c r="B138" i="4"/>
  <c r="D34" i="6"/>
  <c r="D34" i="34"/>
  <c r="E36" i="6"/>
  <c r="E36" i="34"/>
  <c r="G39" i="6"/>
  <c r="G39" i="34"/>
  <c r="H34" i="6"/>
  <c r="H34" i="34"/>
  <c r="F35" i="6"/>
  <c r="F35" i="34"/>
  <c r="D35" i="6"/>
  <c r="D35" i="34"/>
  <c r="I41" i="6"/>
  <c r="I41" i="34"/>
  <c r="B159" i="8"/>
  <c r="B159" i="39"/>
  <c r="B157" i="8"/>
  <c r="B157" i="39"/>
  <c r="B165" i="8"/>
  <c r="B179" i="8"/>
  <c r="B179" i="39"/>
  <c r="B178" i="8"/>
  <c r="B185" i="8"/>
  <c r="K35" i="40"/>
  <c r="M35" i="40"/>
  <c r="E3" i="60"/>
  <c r="J3" i="60"/>
  <c r="I81" i="6"/>
  <c r="I81" i="34"/>
  <c r="A313" i="6"/>
  <c r="A131" i="6"/>
  <c r="A132" i="6"/>
  <c r="J306" i="1"/>
  <c r="L77" i="30"/>
  <c r="J72" i="30"/>
  <c r="J72" i="34"/>
  <c r="E75" i="30"/>
  <c r="E75" i="34"/>
  <c r="L50" i="6"/>
  <c r="L50" i="34"/>
  <c r="A37" i="5"/>
  <c r="A42" i="5"/>
  <c r="A445" i="8"/>
  <c r="A450" i="8"/>
  <c r="A112" i="37"/>
  <c r="A117" i="37"/>
  <c r="A290" i="38"/>
  <c r="A295" i="38"/>
  <c r="A48" i="58"/>
  <c r="A49" i="58"/>
  <c r="A55" i="60"/>
  <c r="A48" i="60"/>
  <c r="E174" i="57"/>
  <c r="I174" i="57"/>
  <c r="A70" i="59"/>
  <c r="K17" i="35"/>
  <c r="D17" i="35"/>
  <c r="F17" i="35"/>
  <c r="B17" i="35"/>
  <c r="A38" i="57"/>
  <c r="A31" i="57"/>
  <c r="I222" i="30"/>
  <c r="J222" i="30"/>
  <c r="K156" i="1"/>
  <c r="C158" i="1"/>
  <c r="F159" i="1"/>
  <c r="I158" i="1"/>
  <c r="J156" i="1"/>
  <c r="L153" i="1"/>
  <c r="I155" i="1"/>
  <c r="D157" i="1"/>
  <c r="E159" i="1"/>
  <c r="D71" i="2" a="1"/>
  <c r="D71" i="2"/>
  <c r="C220" i="6" a="1"/>
  <c r="L157" i="1"/>
  <c r="F155" i="1"/>
  <c r="C152" i="1"/>
  <c r="D159" i="1"/>
  <c r="L154" i="1"/>
  <c r="J159" i="1"/>
  <c r="J157" i="1"/>
  <c r="G153" i="1"/>
  <c r="H159" i="1"/>
  <c r="C726" i="1" a="1"/>
  <c r="J731" i="1"/>
  <c r="C708" i="1" a="1"/>
  <c r="L714" i="1"/>
  <c r="E156" i="1"/>
  <c r="C155" i="1"/>
  <c r="F152" i="1"/>
  <c r="I159" i="1"/>
  <c r="D152" i="1"/>
  <c r="D155" i="1"/>
  <c r="C735" i="1" a="1"/>
  <c r="E737" i="1"/>
  <c r="A2" i="57"/>
  <c r="B77" i="41"/>
  <c r="K154" i="1"/>
  <c r="I152" i="1"/>
  <c r="K158" i="1"/>
  <c r="J154" i="1"/>
  <c r="G159" i="1"/>
  <c r="E152" i="1"/>
  <c r="L155" i="1"/>
  <c r="L159" i="1"/>
  <c r="C159" i="1"/>
  <c r="E155" i="1"/>
  <c r="C154" i="1"/>
  <c r="H152" i="1"/>
  <c r="F157" i="1"/>
  <c r="D154" i="1"/>
  <c r="J152" i="1"/>
  <c r="E158" i="1"/>
  <c r="J155" i="1"/>
  <c r="C153" i="1"/>
  <c r="D153" i="1"/>
  <c r="G152" i="1"/>
  <c r="E157" i="1"/>
  <c r="E154" i="1"/>
  <c r="G156" i="1"/>
  <c r="F158" i="1"/>
  <c r="C157" i="1"/>
  <c r="E153" i="1"/>
  <c r="G154" i="1"/>
  <c r="K155" i="1"/>
  <c r="H157" i="1"/>
  <c r="I732" i="1"/>
  <c r="I728" i="1"/>
  <c r="J733" i="1"/>
  <c r="E727" i="1"/>
  <c r="D732" i="1"/>
  <c r="C730" i="1"/>
  <c r="D731" i="1"/>
  <c r="K726" i="1"/>
  <c r="C729" i="1"/>
  <c r="H730" i="1"/>
  <c r="G726" i="1"/>
  <c r="F733" i="1"/>
  <c r="I731" i="1"/>
  <c r="C728" i="1"/>
  <c r="C738" i="1"/>
  <c r="F737" i="1"/>
  <c r="K736" i="1"/>
  <c r="K735" i="1"/>
  <c r="D738" i="1"/>
  <c r="H737" i="1"/>
  <c r="E736" i="1"/>
  <c r="J741" i="1"/>
  <c r="L736" i="1"/>
  <c r="H736" i="1"/>
  <c r="I738" i="1"/>
  <c r="G737" i="1"/>
  <c r="E739" i="1"/>
  <c r="E741" i="1"/>
  <c r="J736" i="1"/>
  <c r="E714" i="1"/>
  <c r="D173" i="1"/>
  <c r="B70" i="41"/>
  <c r="C646" i="1" a="1"/>
  <c r="B57" i="41"/>
  <c r="G3" i="27"/>
  <c r="I156" i="1"/>
  <c r="F153" i="1"/>
  <c r="K153" i="1"/>
  <c r="H158" i="1"/>
  <c r="G157" i="1"/>
  <c r="C156" i="1"/>
  <c r="J158" i="1"/>
  <c r="K159" i="1"/>
  <c r="J153" i="1"/>
  <c r="H153" i="1"/>
  <c r="L152" i="1"/>
  <c r="L156" i="1"/>
  <c r="G158" i="1"/>
  <c r="F156" i="1"/>
  <c r="L158" i="1"/>
  <c r="I154" i="1"/>
  <c r="H155" i="1"/>
  <c r="I157" i="1"/>
  <c r="I153" i="1"/>
  <c r="G155" i="1"/>
  <c r="K157" i="1"/>
  <c r="H156" i="1"/>
  <c r="K152" i="1"/>
  <c r="D158" i="1"/>
  <c r="F154" i="1"/>
  <c r="D156" i="1"/>
  <c r="H154" i="1"/>
  <c r="C744" i="1" a="1"/>
  <c r="C398" i="1" a="1"/>
  <c r="C717" i="1" a="1"/>
  <c r="D74" i="2"/>
  <c r="F713" i="1"/>
  <c r="F715" i="1"/>
  <c r="C758" i="1" a="1"/>
  <c r="F71" i="2"/>
  <c r="E710" i="1"/>
  <c r="E715" i="1"/>
  <c r="E74" i="2"/>
  <c r="J712" i="1"/>
  <c r="J714" i="1"/>
  <c r="J713" i="1"/>
  <c r="K709" i="1"/>
  <c r="J711" i="1"/>
  <c r="J709" i="1"/>
  <c r="H714" i="1"/>
  <c r="K715" i="1"/>
  <c r="G711" i="1"/>
  <c r="D73" i="2"/>
  <c r="E71" i="2"/>
  <c r="D711" i="1"/>
  <c r="L713" i="1"/>
  <c r="D712" i="1"/>
  <c r="K712" i="1"/>
  <c r="H709" i="1"/>
  <c r="C711" i="1"/>
  <c r="F709" i="1"/>
  <c r="F708" i="1"/>
  <c r="G709" i="1"/>
  <c r="I713" i="1"/>
  <c r="C715" i="1"/>
  <c r="I711" i="1"/>
  <c r="E709" i="1"/>
  <c r="E711" i="1"/>
  <c r="C776" i="1" a="1"/>
  <c r="D777" i="1"/>
  <c r="E72" i="2"/>
  <c r="F74" i="2"/>
  <c r="H710" i="1"/>
  <c r="I712" i="1"/>
  <c r="I709" i="1"/>
  <c r="D708" i="1"/>
  <c r="C708" i="1"/>
  <c r="F714" i="1"/>
  <c r="C714" i="1"/>
  <c r="G710" i="1"/>
  <c r="L715" i="1"/>
  <c r="J708" i="1"/>
  <c r="H711" i="1"/>
  <c r="J715" i="1"/>
  <c r="D72" i="2"/>
  <c r="G713" i="1"/>
  <c r="F712" i="1"/>
  <c r="E708" i="1"/>
  <c r="I714" i="1"/>
  <c r="G708" i="1"/>
  <c r="L710" i="1"/>
  <c r="H708" i="1"/>
  <c r="I708" i="1"/>
  <c r="C785" i="1" a="1"/>
  <c r="D790" i="1"/>
  <c r="C794" i="1" a="1"/>
  <c r="J794" i="1"/>
  <c r="F73" i="2"/>
  <c r="L708" i="1"/>
  <c r="H715" i="1"/>
  <c r="K708" i="1"/>
  <c r="C712" i="1"/>
  <c r="I710" i="1"/>
  <c r="F710" i="1"/>
  <c r="C710" i="1"/>
  <c r="J739" i="1"/>
  <c r="L741" i="1"/>
  <c r="H739" i="1"/>
  <c r="H740" i="1"/>
  <c r="F742" i="1"/>
  <c r="G739" i="1"/>
  <c r="K710" i="1"/>
  <c r="E712" i="1"/>
  <c r="L712" i="1"/>
  <c r="H713" i="1"/>
  <c r="H712" i="1"/>
  <c r="D709" i="1"/>
  <c r="L711" i="1"/>
  <c r="L709" i="1"/>
  <c r="K711" i="1"/>
  <c r="F72" i="2"/>
  <c r="E73" i="2"/>
  <c r="H729" i="1"/>
  <c r="F731" i="1"/>
  <c r="D741" i="1"/>
  <c r="G736" i="1"/>
  <c r="C735" i="1"/>
  <c r="G735" i="1"/>
  <c r="J737" i="1"/>
  <c r="F736" i="1"/>
  <c r="F740" i="1"/>
  <c r="D736" i="1"/>
  <c r="L737" i="1"/>
  <c r="C736" i="1"/>
  <c r="I735" i="1"/>
  <c r="F739" i="1"/>
  <c r="G742" i="1"/>
  <c r="F730" i="1"/>
  <c r="F728" i="1"/>
  <c r="E726" i="1"/>
  <c r="G731" i="1"/>
  <c r="J727" i="1"/>
  <c r="C727" i="1"/>
  <c r="L726" i="1"/>
  <c r="G733" i="1"/>
  <c r="L732" i="1"/>
  <c r="K730" i="1"/>
  <c r="K727" i="1"/>
  <c r="J728" i="1"/>
  <c r="D726" i="1"/>
  <c r="F729" i="1"/>
  <c r="G730" i="1"/>
  <c r="I729" i="1"/>
  <c r="D730" i="1"/>
  <c r="L731" i="1"/>
  <c r="H733" i="1"/>
  <c r="I730" i="1"/>
  <c r="G714" i="1"/>
  <c r="C713" i="1"/>
  <c r="G715" i="1"/>
  <c r="F711" i="1"/>
  <c r="E713" i="1"/>
  <c r="I715" i="1"/>
  <c r="J710" i="1"/>
  <c r="K713" i="1"/>
  <c r="G712" i="1"/>
  <c r="D714" i="1"/>
  <c r="E733" i="1"/>
  <c r="G727" i="1"/>
  <c r="F727" i="1"/>
  <c r="E732" i="1"/>
  <c r="E730" i="1"/>
  <c r="H727" i="1"/>
  <c r="C733" i="1"/>
  <c r="J732" i="1"/>
  <c r="E728" i="1"/>
  <c r="D727" i="1"/>
  <c r="H726" i="1"/>
  <c r="L733" i="1"/>
  <c r="G732" i="1"/>
  <c r="L727" i="1"/>
  <c r="F732" i="1"/>
  <c r="E729" i="1"/>
  <c r="L730" i="1"/>
  <c r="E731" i="1"/>
  <c r="K737" i="1"/>
  <c r="I737" i="1"/>
  <c r="F735" i="1"/>
  <c r="E735" i="1"/>
  <c r="I742" i="1"/>
  <c r="C740" i="1"/>
  <c r="C742" i="1"/>
  <c r="D737" i="1"/>
  <c r="D740" i="1"/>
  <c r="L739" i="1"/>
  <c r="L742" i="1"/>
  <c r="J735" i="1"/>
  <c r="H735" i="1"/>
  <c r="L738" i="1"/>
  <c r="C739" i="1"/>
  <c r="D735" i="1"/>
  <c r="F738" i="1"/>
  <c r="C737" i="1"/>
  <c r="I739" i="1"/>
  <c r="H738" i="1"/>
  <c r="J742" i="1"/>
  <c r="C741" i="1"/>
  <c r="D742" i="1"/>
  <c r="L740" i="1"/>
  <c r="G741" i="1"/>
  <c r="D739" i="1"/>
  <c r="E742" i="1"/>
  <c r="L735" i="1"/>
  <c r="I740" i="1"/>
  <c r="H741" i="1"/>
  <c r="K738" i="1"/>
  <c r="G740" i="1"/>
  <c r="D733" i="1"/>
  <c r="I726" i="1"/>
  <c r="C731" i="1"/>
  <c r="D728" i="1"/>
  <c r="G728" i="1"/>
  <c r="D729" i="1"/>
  <c r="C732" i="1"/>
  <c r="F726" i="1"/>
  <c r="G729" i="1"/>
  <c r="K732" i="1"/>
  <c r="I727" i="1"/>
  <c r="K733" i="1"/>
  <c r="K731" i="1"/>
  <c r="I733" i="1"/>
  <c r="J730" i="1"/>
  <c r="K728" i="1"/>
  <c r="L728" i="1"/>
  <c r="J729" i="1"/>
  <c r="K729" i="1"/>
  <c r="H731" i="1"/>
  <c r="D715" i="1"/>
  <c r="K714" i="1"/>
  <c r="C185" i="1" a="1"/>
  <c r="G187" i="1"/>
  <c r="C767" i="1" a="1"/>
  <c r="C772" i="1"/>
  <c r="F404" i="1"/>
  <c r="C399" i="1"/>
  <c r="G402" i="1"/>
  <c r="L398" i="1"/>
  <c r="H398" i="1"/>
  <c r="E405" i="1"/>
  <c r="H405" i="1"/>
  <c r="I405" i="1"/>
  <c r="D401" i="1"/>
  <c r="F400" i="1"/>
  <c r="F403" i="1"/>
  <c r="F399" i="1"/>
  <c r="E398" i="1"/>
  <c r="I398" i="1"/>
  <c r="H399" i="1"/>
  <c r="I400" i="1"/>
  <c r="J399" i="1"/>
  <c r="D399" i="1"/>
  <c r="D405" i="1"/>
  <c r="C404" i="1"/>
  <c r="K399" i="1"/>
  <c r="E401" i="1"/>
  <c r="I404" i="1"/>
  <c r="C403" i="1"/>
  <c r="G398" i="1"/>
  <c r="C401" i="1"/>
  <c r="D402" i="1"/>
  <c r="H404" i="1"/>
  <c r="H403" i="1"/>
  <c r="J400" i="1"/>
  <c r="K403" i="1"/>
  <c r="H400" i="1"/>
  <c r="L404" i="1"/>
  <c r="E400" i="1"/>
  <c r="E404" i="1"/>
  <c r="L401" i="1"/>
  <c r="J398" i="1"/>
  <c r="D400" i="1"/>
  <c r="L403" i="1"/>
  <c r="F398" i="1"/>
  <c r="D398" i="1"/>
  <c r="E399" i="1"/>
  <c r="H401" i="1"/>
  <c r="J403" i="1"/>
  <c r="G399" i="1"/>
  <c r="K405" i="1"/>
  <c r="L400" i="1"/>
  <c r="F402" i="1"/>
  <c r="K401" i="1"/>
  <c r="C405" i="1"/>
  <c r="L405" i="1"/>
  <c r="J405" i="1"/>
  <c r="K404" i="1"/>
  <c r="J404" i="1"/>
  <c r="F401" i="1"/>
  <c r="C402" i="1"/>
  <c r="D403" i="1"/>
  <c r="I402" i="1"/>
  <c r="H402" i="1"/>
  <c r="I403" i="1"/>
  <c r="C398" i="1"/>
  <c r="E403" i="1"/>
  <c r="L399" i="1"/>
  <c r="J402" i="1"/>
  <c r="D404" i="1"/>
  <c r="E402" i="1"/>
  <c r="J401" i="1"/>
  <c r="K400" i="1"/>
  <c r="K402" i="1"/>
  <c r="G403" i="1"/>
  <c r="L402" i="1"/>
  <c r="I399" i="1"/>
  <c r="F405" i="1"/>
  <c r="C400" i="1"/>
  <c r="I401" i="1"/>
  <c r="G405" i="1"/>
  <c r="G400" i="1"/>
  <c r="K398" i="1"/>
  <c r="G404" i="1"/>
  <c r="G401" i="1"/>
  <c r="D744" i="1"/>
  <c r="K744" i="1"/>
  <c r="J744" i="1"/>
  <c r="H744" i="1"/>
  <c r="C744" i="1"/>
  <c r="G744" i="1"/>
  <c r="F744" i="1"/>
  <c r="E744" i="1"/>
  <c r="L744" i="1"/>
  <c r="I744" i="1"/>
  <c r="C646" i="1"/>
  <c r="C647" i="1"/>
  <c r="I794" i="1"/>
  <c r="F794" i="1"/>
  <c r="C794" i="1"/>
  <c r="E794" i="1"/>
  <c r="H794" i="1"/>
  <c r="G794" i="1"/>
  <c r="C723" i="1"/>
  <c r="G718" i="1"/>
  <c r="G720" i="1"/>
  <c r="F723" i="1"/>
  <c r="H722" i="1"/>
  <c r="D723" i="1"/>
  <c r="K720" i="1"/>
  <c r="C717" i="1"/>
  <c r="E724" i="1"/>
  <c r="J721" i="1"/>
  <c r="G724" i="1"/>
  <c r="I722" i="1"/>
  <c r="E723" i="1"/>
  <c r="K718" i="1"/>
  <c r="E718" i="1"/>
  <c r="K719" i="1"/>
  <c r="F721" i="1"/>
  <c r="L724" i="1"/>
  <c r="F720" i="1"/>
  <c r="I724" i="1"/>
  <c r="K724" i="1"/>
  <c r="J718" i="1"/>
  <c r="H718" i="1"/>
  <c r="G722" i="1"/>
  <c r="I721" i="1"/>
  <c r="J722" i="1"/>
  <c r="C718" i="1"/>
  <c r="L721" i="1"/>
  <c r="C722" i="1"/>
  <c r="J723" i="1"/>
  <c r="F718" i="1"/>
  <c r="H724" i="1"/>
  <c r="L720" i="1"/>
  <c r="G719" i="1"/>
  <c r="C719" i="1"/>
  <c r="L722" i="1"/>
  <c r="E721" i="1"/>
  <c r="I717" i="1"/>
  <c r="I718" i="1"/>
  <c r="H721" i="1"/>
  <c r="D720" i="1"/>
  <c r="K721" i="1"/>
  <c r="J720" i="1"/>
  <c r="F724" i="1"/>
  <c r="L717" i="1"/>
  <c r="H717" i="1"/>
  <c r="L718" i="1"/>
  <c r="J724" i="1"/>
  <c r="E717" i="1"/>
  <c r="J717" i="1"/>
  <c r="H723" i="1"/>
  <c r="H720" i="1"/>
  <c r="D717" i="1"/>
  <c r="C724" i="1"/>
  <c r="I720" i="1"/>
  <c r="C721" i="1"/>
  <c r="I723" i="1"/>
  <c r="C720" i="1"/>
  <c r="E720" i="1"/>
  <c r="E719" i="1"/>
  <c r="E722" i="1"/>
  <c r="D721" i="1"/>
  <c r="G723" i="1"/>
  <c r="L719" i="1"/>
  <c r="K723" i="1"/>
  <c r="H719" i="1"/>
  <c r="D722" i="1"/>
  <c r="F717" i="1"/>
  <c r="J719" i="1"/>
  <c r="K722" i="1"/>
  <c r="F722" i="1"/>
  <c r="D718" i="1"/>
  <c r="F719" i="1"/>
  <c r="I719" i="1"/>
  <c r="L723" i="1"/>
  <c r="G721" i="1"/>
  <c r="D719" i="1"/>
  <c r="G717" i="1"/>
  <c r="K717" i="1"/>
  <c r="D724" i="1"/>
  <c r="C792" i="1"/>
  <c r="I785" i="1"/>
  <c r="H790" i="1"/>
  <c r="E788" i="1"/>
  <c r="L789" i="1"/>
  <c r="L786" i="1"/>
  <c r="D788" i="1"/>
  <c r="E790" i="1"/>
  <c r="F786" i="1"/>
  <c r="D792" i="1"/>
  <c r="G790" i="1"/>
  <c r="D785" i="1"/>
  <c r="K791" i="1"/>
  <c r="F790" i="1"/>
  <c r="D786" i="1"/>
  <c r="E787" i="1"/>
  <c r="K785" i="1"/>
  <c r="D787" i="1"/>
  <c r="H787" i="1"/>
  <c r="G787" i="1"/>
  <c r="J790" i="1"/>
  <c r="G788" i="1"/>
  <c r="C791" i="1"/>
  <c r="F785" i="1"/>
  <c r="J789" i="1"/>
  <c r="J792" i="1"/>
  <c r="E792" i="1"/>
  <c r="H789" i="1"/>
  <c r="K792" i="1"/>
  <c r="I786" i="1"/>
  <c r="J787" i="1"/>
  <c r="L791" i="1"/>
  <c r="J785" i="1"/>
  <c r="G785" i="1"/>
  <c r="F787" i="1"/>
  <c r="H792" i="1"/>
  <c r="D789" i="1"/>
  <c r="K789" i="1"/>
  <c r="H791" i="1"/>
  <c r="H788" i="1"/>
  <c r="I787" i="1"/>
  <c r="C789" i="1"/>
  <c r="C790" i="1"/>
  <c r="E786" i="1"/>
  <c r="J791" i="1"/>
  <c r="L790" i="1"/>
  <c r="L792" i="1"/>
  <c r="L785" i="1"/>
  <c r="K786" i="1"/>
  <c r="C785" i="1"/>
  <c r="G792" i="1"/>
  <c r="J786" i="1"/>
  <c r="E791" i="1"/>
  <c r="K790" i="1"/>
  <c r="J788" i="1"/>
  <c r="F788" i="1"/>
  <c r="H785" i="1"/>
  <c r="D791" i="1"/>
  <c r="E789" i="1"/>
  <c r="I792" i="1"/>
  <c r="L759" i="1"/>
  <c r="F763" i="1"/>
  <c r="F761" i="1"/>
  <c r="K762" i="1"/>
  <c r="H758" i="1"/>
  <c r="I760" i="1"/>
  <c r="J758" i="1"/>
  <c r="L760" i="1"/>
  <c r="I758" i="1"/>
  <c r="I765" i="1"/>
  <c r="G759" i="1"/>
  <c r="J761" i="1"/>
  <c r="E764" i="1"/>
  <c r="K765" i="1"/>
  <c r="D765" i="1"/>
  <c r="E765" i="1"/>
  <c r="G760" i="1"/>
  <c r="L763" i="1"/>
  <c r="I761" i="1"/>
  <c r="K759" i="1"/>
  <c r="F758" i="1"/>
  <c r="J765" i="1"/>
  <c r="K758" i="1"/>
  <c r="J759" i="1"/>
  <c r="E760" i="1"/>
  <c r="J763" i="1"/>
  <c r="E763" i="1"/>
  <c r="L762" i="1"/>
  <c r="J764" i="1"/>
  <c r="K761" i="1"/>
  <c r="C763" i="1"/>
  <c r="C761" i="1"/>
  <c r="G765" i="1"/>
  <c r="E758" i="1"/>
  <c r="F765" i="1"/>
  <c r="H759" i="1"/>
  <c r="K763" i="1"/>
  <c r="F759" i="1"/>
  <c r="G764" i="1"/>
  <c r="F762" i="1"/>
  <c r="F764" i="1"/>
  <c r="H764" i="1"/>
  <c r="G762" i="1"/>
  <c r="H761" i="1"/>
  <c r="E762" i="1"/>
  <c r="E761" i="1"/>
  <c r="D760" i="1"/>
  <c r="I763" i="1"/>
  <c r="L758" i="1"/>
  <c r="H763" i="1"/>
  <c r="C758" i="1"/>
  <c r="I764" i="1"/>
  <c r="D762" i="1"/>
  <c r="C760" i="1"/>
  <c r="D763" i="1"/>
  <c r="G758" i="1"/>
  <c r="D764" i="1"/>
  <c r="K764" i="1"/>
  <c r="H765" i="1"/>
  <c r="G763" i="1"/>
  <c r="J762" i="1"/>
  <c r="F760" i="1"/>
  <c r="I762" i="1"/>
  <c r="H760" i="1"/>
  <c r="G761" i="1"/>
  <c r="E759" i="1"/>
  <c r="K760" i="1"/>
  <c r="C762" i="1"/>
  <c r="D759" i="1"/>
  <c r="H762" i="1"/>
  <c r="L764" i="1"/>
  <c r="I759" i="1"/>
  <c r="L761" i="1"/>
  <c r="D761" i="1"/>
  <c r="C759" i="1"/>
  <c r="C765" i="1"/>
  <c r="L765" i="1"/>
  <c r="D758" i="1"/>
  <c r="C764" i="1"/>
  <c r="J760" i="1"/>
  <c r="D191" i="1"/>
  <c r="J191" i="1"/>
  <c r="K186" i="1"/>
  <c r="J192" i="1"/>
  <c r="F188" i="1"/>
  <c r="F189" i="1"/>
  <c r="D190" i="1"/>
  <c r="E191" i="1"/>
  <c r="C191" i="1"/>
  <c r="I186" i="1"/>
  <c r="K187" i="1"/>
  <c r="F185" i="1"/>
  <c r="J189" i="1"/>
  <c r="C187" i="1"/>
  <c r="E190" i="1"/>
  <c r="L190" i="1"/>
  <c r="G192" i="1"/>
  <c r="L191" i="1"/>
  <c r="J779" i="1"/>
  <c r="J781" i="1"/>
  <c r="I776" i="1"/>
  <c r="H780" i="1"/>
  <c r="K782" i="1"/>
  <c r="I780" i="1"/>
  <c r="K776" i="1"/>
  <c r="G781" i="1"/>
  <c r="C777" i="1"/>
  <c r="K778" i="1"/>
  <c r="D782" i="1"/>
  <c r="J783" i="1"/>
  <c r="C778" i="1"/>
  <c r="J782" i="1"/>
  <c r="L780" i="1"/>
  <c r="G778" i="1"/>
  <c r="D780" i="1"/>
  <c r="E783" i="1"/>
  <c r="C781" i="1"/>
  <c r="H782" i="1"/>
  <c r="C783" i="1"/>
  <c r="C782" i="1"/>
  <c r="F776" i="1"/>
  <c r="L776" i="1"/>
  <c r="I781" i="1"/>
  <c r="L783" i="1"/>
  <c r="C776" i="1"/>
  <c r="G777" i="1"/>
  <c r="I778" i="1"/>
  <c r="D781" i="1"/>
  <c r="D779" i="1"/>
  <c r="F779" i="1"/>
  <c r="D776" i="1"/>
  <c r="K781" i="1"/>
  <c r="C779" i="1"/>
  <c r="I777" i="1"/>
  <c r="H777" i="1"/>
  <c r="J778" i="1"/>
  <c r="L781" i="1"/>
  <c r="K777" i="1"/>
  <c r="G783" i="1"/>
  <c r="F777" i="1"/>
  <c r="I779" i="1"/>
  <c r="E779" i="1"/>
  <c r="L778" i="1"/>
  <c r="G776" i="1"/>
  <c r="L777" i="1"/>
  <c r="D783" i="1"/>
  <c r="E776" i="1"/>
  <c r="E777" i="1"/>
  <c r="J777" i="1"/>
  <c r="I782" i="1"/>
  <c r="K780" i="1"/>
  <c r="G779" i="1"/>
  <c r="H776" i="1"/>
  <c r="G782" i="1"/>
  <c r="D778" i="1"/>
  <c r="J776" i="1"/>
  <c r="F783" i="1"/>
  <c r="H781" i="1"/>
  <c r="E778" i="1"/>
  <c r="H783" i="1"/>
  <c r="D774" i="1"/>
  <c r="F771" i="1"/>
  <c r="L773" i="1"/>
  <c r="C770" i="1"/>
  <c r="I768" i="1"/>
  <c r="H773" i="1"/>
  <c r="H774" i="1"/>
  <c r="J774" i="1"/>
  <c r="K773" i="1"/>
  <c r="K771" i="1"/>
  <c r="G774" i="1"/>
  <c r="E770" i="1"/>
  <c r="F770" i="1"/>
  <c r="I771" i="1"/>
  <c r="J771" i="1"/>
  <c r="D646" i="1"/>
  <c r="K646" i="1"/>
  <c r="E646" i="1"/>
  <c r="G646" i="1"/>
  <c r="F646" i="1"/>
  <c r="H646" i="1"/>
  <c r="I646" i="1"/>
  <c r="J646" i="1"/>
  <c r="L646" i="1"/>
  <c r="M443" i="30"/>
  <c r="M443" i="6"/>
  <c r="H185" i="1"/>
  <c r="L185" i="1"/>
  <c r="C186" i="1"/>
  <c r="J185" i="1"/>
  <c r="I191" i="1"/>
  <c r="D186" i="1"/>
  <c r="H190" i="1"/>
  <c r="C192" i="1"/>
  <c r="J190" i="1"/>
  <c r="E186" i="1"/>
  <c r="D185" i="1"/>
  <c r="K185" i="1"/>
  <c r="J188" i="1"/>
  <c r="G189" i="1"/>
  <c r="D188" i="1"/>
  <c r="L187" i="1"/>
  <c r="F186" i="1"/>
  <c r="F190" i="1"/>
  <c r="I189" i="1"/>
  <c r="C188" i="1"/>
  <c r="K191" i="1"/>
  <c r="F191" i="1"/>
  <c r="E188" i="1"/>
  <c r="E185" i="1"/>
  <c r="H187" i="1"/>
  <c r="F192" i="1"/>
  <c r="L189" i="1"/>
  <c r="G186" i="1"/>
  <c r="I190" i="1"/>
  <c r="G188" i="1"/>
  <c r="C185" i="1"/>
  <c r="C15" i="59" a="1"/>
  <c r="H191" i="1"/>
  <c r="I188" i="1"/>
  <c r="C189" i="1"/>
  <c r="J187" i="1"/>
  <c r="G190" i="1"/>
  <c r="K189" i="1"/>
  <c r="K226" i="30"/>
  <c r="F221" i="30"/>
  <c r="H225" i="30"/>
  <c r="J224" i="30"/>
  <c r="D222" i="30"/>
  <c r="H220" i="30"/>
  <c r="D221" i="30"/>
  <c r="J226" i="30"/>
  <c r="J225" i="30"/>
  <c r="D227" i="6"/>
  <c r="H226" i="6"/>
  <c r="H226" i="34" s="1"/>
  <c r="H223" i="6"/>
  <c r="K223" i="6"/>
  <c r="I220" i="6"/>
  <c r="E773" i="1"/>
  <c r="J768" i="1"/>
  <c r="K767" i="1"/>
  <c r="H768" i="1"/>
  <c r="C771" i="1"/>
  <c r="F768" i="1"/>
  <c r="I187" i="1"/>
  <c r="C190" i="1"/>
  <c r="H186" i="1"/>
  <c r="H189" i="1"/>
  <c r="L188" i="1"/>
  <c r="H188" i="1"/>
  <c r="L794" i="1"/>
  <c r="C420" i="1" a="1"/>
  <c r="J740" i="1"/>
  <c r="K740" i="1"/>
  <c r="H742" i="1"/>
  <c r="F741" i="1"/>
  <c r="C15" i="58" a="1"/>
  <c r="K742" i="1"/>
  <c r="K741" i="1"/>
  <c r="E740" i="1"/>
  <c r="K739" i="1"/>
  <c r="G738" i="1"/>
  <c r="J738" i="1"/>
  <c r="E738" i="1"/>
  <c r="I741" i="1"/>
  <c r="I736" i="1"/>
  <c r="H732" i="1"/>
  <c r="C726" i="1"/>
  <c r="H728" i="1"/>
  <c r="J726" i="1"/>
  <c r="L729" i="1"/>
  <c r="B165" i="1"/>
  <c r="B167" i="1"/>
  <c r="B168" i="1"/>
  <c r="B166" i="1"/>
  <c r="B170" i="1"/>
  <c r="B163" i="1"/>
  <c r="B164" i="1"/>
  <c r="B169" i="1"/>
  <c r="A83" i="3"/>
  <c r="A89" i="3"/>
  <c r="A86" i="3"/>
  <c r="A88" i="3"/>
  <c r="A82" i="3"/>
  <c r="A87" i="3"/>
  <c r="A84" i="3"/>
  <c r="A85" i="3"/>
  <c r="A163" i="6"/>
  <c r="A160" i="6"/>
  <c r="A158" i="6"/>
  <c r="A157" i="6"/>
  <c r="A164" i="6"/>
  <c r="A162" i="6"/>
  <c r="A161" i="6"/>
  <c r="A159" i="6"/>
  <c r="A292" i="6"/>
  <c r="A297" i="6"/>
  <c r="A293" i="6"/>
  <c r="A298" i="6"/>
  <c r="A296" i="6"/>
  <c r="A294" i="6"/>
  <c r="A299" i="6"/>
  <c r="A312" i="6"/>
  <c r="A310" i="6"/>
  <c r="A316" i="6"/>
  <c r="A311" i="6"/>
  <c r="A314" i="6"/>
  <c r="A317" i="6"/>
  <c r="C26" i="30"/>
  <c r="F26" i="30"/>
  <c r="J26" i="30"/>
  <c r="H26" i="30"/>
  <c r="G26" i="30"/>
  <c r="I26" i="30"/>
  <c r="A285" i="30"/>
  <c r="A286" i="30"/>
  <c r="A289" i="30"/>
  <c r="A287" i="30"/>
  <c r="A284" i="30"/>
  <c r="A290" i="30"/>
  <c r="A288" i="30"/>
  <c r="A283" i="30"/>
  <c r="A350" i="30"/>
  <c r="A348" i="30"/>
  <c r="A349" i="30"/>
  <c r="A347" i="30"/>
  <c r="A346" i="30"/>
  <c r="A352" i="30"/>
  <c r="A351" i="30"/>
  <c r="A353" i="30"/>
  <c r="A33" i="31"/>
  <c r="A34" i="31"/>
  <c r="A39" i="31"/>
  <c r="A32" i="31"/>
  <c r="A35" i="31"/>
  <c r="A36" i="31"/>
  <c r="A37" i="31"/>
  <c r="A38" i="31"/>
  <c r="A280" i="34"/>
  <c r="A277" i="34"/>
  <c r="A279" i="34"/>
  <c r="A278" i="34"/>
  <c r="A281" i="34"/>
  <c r="A274" i="34"/>
  <c r="A276" i="34"/>
  <c r="A275" i="34"/>
  <c r="A324" i="34"/>
  <c r="A319" i="34"/>
  <c r="A320" i="34"/>
  <c r="A325" i="34"/>
  <c r="A321" i="34"/>
  <c r="A322" i="34"/>
  <c r="A326" i="34"/>
  <c r="A323" i="34"/>
  <c r="A351" i="34"/>
  <c r="A349" i="34"/>
  <c r="A348" i="34"/>
  <c r="A346" i="34"/>
  <c r="A352" i="34"/>
  <c r="A350" i="34"/>
  <c r="A353" i="34"/>
  <c r="B159" i="2"/>
  <c r="B161" i="2"/>
  <c r="B162" i="2"/>
  <c r="B163" i="2"/>
  <c r="B164" i="2"/>
  <c r="B165" i="2"/>
  <c r="B160" i="2"/>
  <c r="I43" i="38"/>
  <c r="H43" i="38"/>
  <c r="B167" i="39"/>
  <c r="B17" i="7"/>
  <c r="B17" i="37"/>
  <c r="H17" i="7"/>
  <c r="I17" i="7"/>
  <c r="I17" i="37"/>
  <c r="C17" i="7"/>
  <c r="E17" i="7"/>
  <c r="L77" i="34"/>
  <c r="B18" i="35" a="1"/>
  <c r="B44" i="8" a="1"/>
  <c r="B44" i="38" a="1"/>
  <c r="A347" i="34"/>
  <c r="G17" i="35"/>
  <c r="G17" i="37"/>
  <c r="I17" i="35"/>
  <c r="C17" i="35"/>
  <c r="H17" i="35"/>
  <c r="J17" i="35"/>
  <c r="B43" i="38"/>
  <c r="E43" i="38"/>
  <c r="K43" i="38"/>
  <c r="F43" i="38"/>
  <c r="J43" i="38"/>
  <c r="C113" i="4"/>
  <c r="C113" i="40"/>
  <c r="B16" i="60"/>
  <c r="B23" i="58"/>
  <c r="B23" i="60"/>
  <c r="B175" i="39"/>
  <c r="B187" i="39"/>
  <c r="B195" i="8"/>
  <c r="B195" i="39"/>
  <c r="K110" i="29"/>
  <c r="D110" i="29"/>
  <c r="J110" i="29"/>
  <c r="H110" i="29"/>
  <c r="C46" i="34"/>
  <c r="L27" i="30"/>
  <c r="F27" i="30"/>
  <c r="H27" i="30"/>
  <c r="K27" i="30"/>
  <c r="I27" i="30"/>
  <c r="E27" i="30"/>
  <c r="J27" i="30"/>
  <c r="D27" i="30"/>
  <c r="A295" i="6"/>
  <c r="G43" i="38"/>
  <c r="D43" i="38"/>
  <c r="E17" i="35"/>
  <c r="B178" i="39"/>
  <c r="B165" i="38"/>
  <c r="B165" i="39"/>
  <c r="J17" i="7"/>
  <c r="J17" i="37"/>
  <c r="B12" i="58"/>
  <c r="C18" i="7"/>
  <c r="H18" i="7"/>
  <c r="I18" i="7"/>
  <c r="G18" i="7"/>
  <c r="E18" i="7"/>
  <c r="F18" i="7"/>
  <c r="M110" i="29"/>
  <c r="C27" i="30"/>
  <c r="E26" i="30"/>
  <c r="B164" i="39"/>
  <c r="B180" i="39"/>
  <c r="B185" i="38"/>
  <c r="L74" i="34"/>
  <c r="D28" i="34"/>
  <c r="B43" i="8" a="1"/>
  <c r="C30" i="30" a="1"/>
  <c r="C30" i="6" a="1"/>
  <c r="H70" i="34"/>
  <c r="C74" i="34"/>
  <c r="I52" i="34"/>
  <c r="B42" i="8"/>
  <c r="K42" i="8"/>
  <c r="D42" i="8"/>
  <c r="C42" i="8"/>
  <c r="J42" i="8"/>
  <c r="B43" i="32"/>
  <c r="B44" i="32"/>
  <c r="B44" i="5"/>
  <c r="B16" i="7" a="1"/>
  <c r="B16" i="35" a="1"/>
  <c r="C589" i="1" a="1"/>
  <c r="C2" i="28" a="1"/>
  <c r="C27" i="6" a="1"/>
  <c r="D124" i="29" a="1"/>
  <c r="D124" i="4" a="1"/>
  <c r="C645" i="1" a="1"/>
  <c r="D100" i="4" a="1"/>
  <c r="B42" i="38" a="1"/>
  <c r="D110" i="4" a="1"/>
  <c r="D54" i="34"/>
  <c r="K487" i="1"/>
  <c r="L43" i="34"/>
  <c r="B75" i="32"/>
  <c r="G41" i="34"/>
  <c r="L493" i="1"/>
  <c r="I486" i="1"/>
  <c r="I490" i="1"/>
  <c r="K492" i="1"/>
  <c r="K486" i="1"/>
  <c r="I489" i="1"/>
  <c r="I492" i="1"/>
  <c r="L487" i="1"/>
  <c r="J493" i="1"/>
  <c r="J490" i="1"/>
  <c r="J492" i="1"/>
  <c r="I488" i="1"/>
  <c r="L490" i="1"/>
  <c r="J488" i="1"/>
  <c r="C699" i="1" a="1"/>
  <c r="K490" i="1"/>
  <c r="L488" i="1"/>
  <c r="I487" i="1"/>
  <c r="F46" i="34"/>
  <c r="K71" i="34"/>
  <c r="K489" i="1"/>
  <c r="K488" i="1"/>
  <c r="K493" i="1"/>
  <c r="G57" i="34"/>
  <c r="K54" i="34"/>
  <c r="B137" i="28" a="1"/>
  <c r="B137" i="28"/>
  <c r="B137" i="32"/>
  <c r="N422" i="30"/>
  <c r="N425" i="30"/>
  <c r="N437" i="30"/>
  <c r="B106" i="5"/>
  <c r="J347" i="1"/>
  <c r="I280" i="1"/>
  <c r="I262" i="1"/>
  <c r="K281" i="1"/>
  <c r="I307" i="1"/>
  <c r="B75" i="5"/>
  <c r="I327" i="1"/>
  <c r="J256" i="1"/>
  <c r="J344" i="1"/>
  <c r="J350" i="1"/>
  <c r="K346" i="1"/>
  <c r="K327" i="1"/>
  <c r="K325" i="1"/>
  <c r="C590" i="1" a="1"/>
  <c r="K307" i="1"/>
  <c r="J322" i="1"/>
  <c r="N422" i="6"/>
  <c r="K259" i="1"/>
  <c r="C65" i="6"/>
  <c r="C65" i="34"/>
  <c r="N414" i="34"/>
  <c r="N417" i="34"/>
  <c r="A6" i="27"/>
  <c r="A12" i="27"/>
  <c r="I4" i="28"/>
  <c r="E4" i="28"/>
  <c r="B133" i="29"/>
  <c r="B136" i="29"/>
  <c r="B138" i="29"/>
  <c r="D225" i="1"/>
  <c r="K225" i="1"/>
  <c r="D81" i="34"/>
  <c r="J325" i="1"/>
  <c r="A7" i="5"/>
  <c r="A6" i="5"/>
  <c r="A8" i="5"/>
  <c r="A10" i="5"/>
  <c r="A43" i="3"/>
  <c r="A48" i="3"/>
  <c r="A44" i="3"/>
  <c r="A41" i="3"/>
  <c r="H61" i="6"/>
  <c r="H61" i="34"/>
  <c r="D61" i="6"/>
  <c r="D61" i="34"/>
  <c r="G67" i="6"/>
  <c r="G67" i="34"/>
  <c r="A380" i="6"/>
  <c r="A379" i="6"/>
  <c r="J34" i="29"/>
  <c r="D34" i="29"/>
  <c r="L34" i="29"/>
  <c r="G34" i="29"/>
  <c r="M34" i="29"/>
  <c r="A73" i="30"/>
  <c r="A71" i="30"/>
  <c r="K46" i="8"/>
  <c r="K46" i="39"/>
  <c r="I46" i="8"/>
  <c r="I46" i="39"/>
  <c r="B46" i="8"/>
  <c r="B46" i="39"/>
  <c r="A221" i="8"/>
  <c r="A219" i="8"/>
  <c r="A257" i="8"/>
  <c r="A255" i="8"/>
  <c r="A261" i="8"/>
  <c r="A256" i="8"/>
  <c r="A258" i="8"/>
  <c r="A374" i="8"/>
  <c r="A375" i="8"/>
  <c r="A377" i="8"/>
  <c r="A378" i="8"/>
  <c r="A143" i="7"/>
  <c r="A148" i="7"/>
  <c r="A436" i="39"/>
  <c r="A439" i="39"/>
  <c r="A501" i="39"/>
  <c r="A500" i="39"/>
  <c r="A497" i="39"/>
  <c r="A598" i="39"/>
  <c r="A600" i="39"/>
  <c r="A596" i="39"/>
  <c r="A137" i="7"/>
  <c r="A133" i="7"/>
  <c r="A135" i="7"/>
  <c r="A132" i="7"/>
  <c r="A611" i="38"/>
  <c r="A607" i="38"/>
  <c r="I54" i="34"/>
  <c r="A32" i="3"/>
  <c r="A39" i="3"/>
  <c r="A188" i="6"/>
  <c r="A186" i="6"/>
  <c r="A191" i="6"/>
  <c r="A189" i="6"/>
  <c r="A47" i="30"/>
  <c r="A50" i="30"/>
  <c r="A43" i="30"/>
  <c r="A44" i="30"/>
  <c r="A5" i="32"/>
  <c r="A11" i="32"/>
  <c r="A8" i="32"/>
  <c r="K698" i="1"/>
  <c r="A89" i="27"/>
  <c r="A87" i="27"/>
  <c r="A546" i="8"/>
  <c r="A26" i="59"/>
  <c r="A50" i="59"/>
  <c r="A72" i="59"/>
  <c r="A74" i="58"/>
  <c r="A37" i="59"/>
  <c r="C21" i="59"/>
  <c r="C17" i="59"/>
  <c r="C18" i="59"/>
  <c r="C19" i="59"/>
  <c r="C16" i="59"/>
  <c r="C15" i="59"/>
  <c r="D110" i="4"/>
  <c r="G110" i="4"/>
  <c r="G110" i="40"/>
  <c r="M110" i="4"/>
  <c r="M110" i="40"/>
  <c r="E110" i="4"/>
  <c r="E110" i="40"/>
  <c r="I110" i="4"/>
  <c r="I110" i="40"/>
  <c r="L110" i="4"/>
  <c r="L110" i="40"/>
  <c r="J110" i="4"/>
  <c r="J110" i="40"/>
  <c r="K110" i="4"/>
  <c r="K110" i="40"/>
  <c r="F110" i="4"/>
  <c r="F110" i="40"/>
  <c r="H110" i="4"/>
  <c r="H110" i="40"/>
  <c r="K124" i="4"/>
  <c r="D124" i="4"/>
  <c r="D125" i="29"/>
  <c r="F124" i="4"/>
  <c r="G124" i="4"/>
  <c r="H124" i="4"/>
  <c r="J124" i="4"/>
  <c r="J124" i="40"/>
  <c r="L124" i="4"/>
  <c r="E124" i="4"/>
  <c r="M124" i="4"/>
  <c r="I124" i="4"/>
  <c r="G589" i="1"/>
  <c r="C589" i="1"/>
  <c r="E589" i="1"/>
  <c r="L589" i="1"/>
  <c r="K589" i="1"/>
  <c r="H589" i="1"/>
  <c r="F589" i="1"/>
  <c r="I589" i="1"/>
  <c r="J589" i="1"/>
  <c r="D589" i="1"/>
  <c r="G43" i="8"/>
  <c r="G43" i="39"/>
  <c r="I43" i="8"/>
  <c r="I43" i="39"/>
  <c r="E43" i="8"/>
  <c r="E43" i="39"/>
  <c r="K43" i="8"/>
  <c r="K43" i="39"/>
  <c r="H43" i="8"/>
  <c r="H43" i="39"/>
  <c r="J43" i="8"/>
  <c r="J43" i="39"/>
  <c r="B43" i="8"/>
  <c r="B43" i="39"/>
  <c r="C43" i="8"/>
  <c r="C43" i="39"/>
  <c r="D43" i="8"/>
  <c r="D43" i="39"/>
  <c r="F43" i="8"/>
  <c r="F43" i="39"/>
  <c r="B34" i="59"/>
  <c r="B12" i="60"/>
  <c r="B34" i="58"/>
  <c r="D421" i="1"/>
  <c r="G427" i="1"/>
  <c r="F426" i="1"/>
  <c r="E424" i="1"/>
  <c r="I420" i="1"/>
  <c r="L426" i="1"/>
  <c r="L421" i="1"/>
  <c r="I421" i="1"/>
  <c r="K426" i="1"/>
  <c r="K422" i="1"/>
  <c r="G426" i="1"/>
  <c r="D423" i="1"/>
  <c r="L423" i="1"/>
  <c r="H424" i="1"/>
  <c r="H421" i="1"/>
  <c r="G425" i="1"/>
  <c r="H420" i="1"/>
  <c r="L422" i="1"/>
  <c r="C427" i="1"/>
  <c r="L424" i="1"/>
  <c r="F424" i="1"/>
  <c r="K421" i="1"/>
  <c r="K423" i="1"/>
  <c r="H423" i="1"/>
  <c r="G423" i="1"/>
  <c r="I425" i="1"/>
  <c r="E426" i="1"/>
  <c r="K425" i="1"/>
  <c r="H425" i="1"/>
  <c r="K424" i="1"/>
  <c r="D420" i="1"/>
  <c r="L425" i="1"/>
  <c r="E421" i="1"/>
  <c r="E420" i="1"/>
  <c r="J423" i="1"/>
  <c r="F422" i="1"/>
  <c r="K427" i="1"/>
  <c r="G422" i="1"/>
  <c r="F421" i="1"/>
  <c r="H422" i="1"/>
  <c r="I422" i="1"/>
  <c r="E422" i="1"/>
  <c r="C421" i="1"/>
  <c r="F427" i="1"/>
  <c r="D422" i="1"/>
  <c r="J427" i="1"/>
  <c r="D424" i="1"/>
  <c r="J420" i="1"/>
  <c r="I424" i="1"/>
  <c r="C425" i="1"/>
  <c r="J422" i="1"/>
  <c r="K420" i="1"/>
  <c r="E427" i="1"/>
  <c r="F423" i="1"/>
  <c r="C424" i="1"/>
  <c r="D426" i="1"/>
  <c r="G420" i="1"/>
  <c r="C422" i="1"/>
  <c r="D425" i="1"/>
  <c r="I423" i="1"/>
  <c r="C423" i="1"/>
  <c r="C420" i="1"/>
  <c r="F420" i="1"/>
  <c r="I427" i="1"/>
  <c r="E423" i="1"/>
  <c r="G421" i="1"/>
  <c r="L420" i="1"/>
  <c r="L427" i="1"/>
  <c r="J424" i="1"/>
  <c r="J426" i="1"/>
  <c r="I426" i="1"/>
  <c r="G424" i="1"/>
  <c r="H427" i="1"/>
  <c r="C426" i="1"/>
  <c r="H426" i="1"/>
  <c r="J421" i="1"/>
  <c r="F425" i="1"/>
  <c r="D427" i="1"/>
  <c r="E425" i="1"/>
  <c r="J425" i="1"/>
  <c r="C143" i="1" a="1"/>
  <c r="H42" i="38"/>
  <c r="H42" i="39"/>
  <c r="G42" i="38"/>
  <c r="G42" i="39"/>
  <c r="K42" i="38"/>
  <c r="K42" i="39"/>
  <c r="C42" i="38"/>
  <c r="D42" i="38"/>
  <c r="E42" i="38"/>
  <c r="E42" i="39"/>
  <c r="B42" i="38"/>
  <c r="I42" i="38"/>
  <c r="I42" i="39"/>
  <c r="J42" i="38"/>
  <c r="J42" i="39"/>
  <c r="F42" i="38"/>
  <c r="F42" i="39"/>
  <c r="K124" i="29"/>
  <c r="H124" i="29"/>
  <c r="H124" i="40"/>
  <c r="L124" i="29"/>
  <c r="M124" i="29"/>
  <c r="F124" i="29"/>
  <c r="J124" i="29"/>
  <c r="E124" i="29"/>
  <c r="G124" i="29"/>
  <c r="I124" i="29"/>
  <c r="D124" i="29"/>
  <c r="J16" i="35"/>
  <c r="D16" i="35"/>
  <c r="K16" i="35"/>
  <c r="C16" i="35"/>
  <c r="E16" i="35"/>
  <c r="G16" i="35"/>
  <c r="F16" i="35"/>
  <c r="I16" i="35"/>
  <c r="B16" i="35"/>
  <c r="H16" i="35"/>
  <c r="B42" i="39"/>
  <c r="B44" i="38"/>
  <c r="E44" i="38"/>
  <c r="H44" i="38"/>
  <c r="J44" i="38"/>
  <c r="D44" i="38"/>
  <c r="C44" i="38"/>
  <c r="K44" i="38"/>
  <c r="F44" i="38"/>
  <c r="I44" i="38"/>
  <c r="G44" i="38"/>
  <c r="H17" i="37"/>
  <c r="B185" i="39"/>
  <c r="I100" i="4"/>
  <c r="I100" i="40"/>
  <c r="F100" i="4"/>
  <c r="F100" i="40"/>
  <c r="M100" i="4"/>
  <c r="M100" i="40"/>
  <c r="G100" i="4"/>
  <c r="G100" i="40"/>
  <c r="J100" i="4"/>
  <c r="J100" i="40"/>
  <c r="H100" i="4"/>
  <c r="H100" i="40"/>
  <c r="L100" i="4"/>
  <c r="L100" i="40"/>
  <c r="E100" i="4"/>
  <c r="E100" i="40"/>
  <c r="K100" i="4"/>
  <c r="K100" i="40"/>
  <c r="D100" i="4"/>
  <c r="L27" i="6"/>
  <c r="L27" i="34"/>
  <c r="C27" i="6"/>
  <c r="C27" i="34"/>
  <c r="H27" i="6"/>
  <c r="H27" i="34"/>
  <c r="D27" i="6"/>
  <c r="D27" i="34"/>
  <c r="J27" i="6"/>
  <c r="J27" i="34"/>
  <c r="G27" i="6"/>
  <c r="G27" i="34"/>
  <c r="E27" i="6"/>
  <c r="E27" i="34"/>
  <c r="F27" i="6"/>
  <c r="F27" i="34"/>
  <c r="I27" i="6"/>
  <c r="I27" i="34"/>
  <c r="K27" i="6"/>
  <c r="K27" i="34"/>
  <c r="H16" i="7"/>
  <c r="H16" i="37"/>
  <c r="D16" i="7"/>
  <c r="D16" i="37"/>
  <c r="F16" i="7"/>
  <c r="F16" i="37"/>
  <c r="K16" i="7"/>
  <c r="K16" i="37"/>
  <c r="C16" i="7"/>
  <c r="C16" i="37"/>
  <c r="J16" i="7"/>
  <c r="J16" i="37"/>
  <c r="B16" i="7"/>
  <c r="B16" i="37"/>
  <c r="I16" i="7"/>
  <c r="I16" i="37"/>
  <c r="E16" i="7"/>
  <c r="E16" i="37"/>
  <c r="G16" i="7"/>
  <c r="G16" i="37"/>
  <c r="C42" i="39"/>
  <c r="D30" i="6"/>
  <c r="K30" i="6"/>
  <c r="K30" i="34"/>
  <c r="G30" i="6"/>
  <c r="G30" i="34"/>
  <c r="E30" i="6"/>
  <c r="H30" i="6"/>
  <c r="J30" i="6"/>
  <c r="C30" i="6"/>
  <c r="B45" i="8" a="1"/>
  <c r="B45" i="8"/>
  <c r="I30" i="6"/>
  <c r="F30" i="6"/>
  <c r="L30" i="6"/>
  <c r="J44" i="8"/>
  <c r="J44" i="39"/>
  <c r="E44" i="8"/>
  <c r="E44" i="39"/>
  <c r="K44" i="8"/>
  <c r="K44" i="39"/>
  <c r="C44" i="8"/>
  <c r="C44" i="39"/>
  <c r="D44" i="8"/>
  <c r="D44" i="39"/>
  <c r="F44" i="8"/>
  <c r="F44" i="39"/>
  <c r="H44" i="8"/>
  <c r="H44" i="39"/>
  <c r="I44" i="8"/>
  <c r="I44" i="39"/>
  <c r="G44" i="8"/>
  <c r="G44" i="39"/>
  <c r="B44" i="8"/>
  <c r="B44" i="39"/>
  <c r="E17" i="37"/>
  <c r="I590" i="1"/>
  <c r="E590" i="1"/>
  <c r="D590" i="1"/>
  <c r="C590" i="1"/>
  <c r="C591" i="1"/>
  <c r="F590" i="1"/>
  <c r="H590" i="1"/>
  <c r="L590" i="1"/>
  <c r="J590" i="1"/>
  <c r="K590" i="1"/>
  <c r="G590" i="1"/>
  <c r="D645" i="1"/>
  <c r="L645" i="1"/>
  <c r="K645" i="1"/>
  <c r="J645" i="1"/>
  <c r="F645" i="1"/>
  <c r="E645" i="1"/>
  <c r="C645" i="1"/>
  <c r="H645" i="1"/>
  <c r="G645" i="1"/>
  <c r="I645" i="1"/>
  <c r="F2" i="28"/>
  <c r="J2" i="28"/>
  <c r="G2" i="28"/>
  <c r="H2" i="28"/>
  <c r="D2" i="28"/>
  <c r="I2" i="28"/>
  <c r="C2" i="28"/>
  <c r="E2" i="28"/>
  <c r="K2" i="28"/>
  <c r="C95" i="4"/>
  <c r="C95" i="29"/>
  <c r="C95" i="40"/>
  <c r="D42" i="39"/>
  <c r="L30" i="30"/>
  <c r="K30" i="30"/>
  <c r="E30" i="30"/>
  <c r="E30" i="34"/>
  <c r="I30" i="30"/>
  <c r="J30" i="30"/>
  <c r="J30" i="34"/>
  <c r="G30" i="30"/>
  <c r="H30" i="30"/>
  <c r="D30" i="30"/>
  <c r="C30" i="30"/>
  <c r="F30" i="30"/>
  <c r="G18" i="37"/>
  <c r="B18" i="35"/>
  <c r="G18" i="35"/>
  <c r="E18" i="35"/>
  <c r="E18" i="37"/>
  <c r="J18" i="35"/>
  <c r="J18" i="37"/>
  <c r="I18" i="35"/>
  <c r="I18" i="37"/>
  <c r="H18" i="35"/>
  <c r="H18" i="37"/>
  <c r="D18" i="35"/>
  <c r="C18" i="35"/>
  <c r="C18" i="37"/>
  <c r="F18" i="35"/>
  <c r="F18" i="37"/>
  <c r="K18" i="35"/>
  <c r="K18" i="37"/>
  <c r="C17" i="37"/>
  <c r="C15" i="58"/>
  <c r="C17" i="58"/>
  <c r="C17" i="60"/>
  <c r="C16" i="58"/>
  <c r="C16" i="60"/>
  <c r="C20" i="58"/>
  <c r="C22" i="58"/>
  <c r="C18" i="58"/>
  <c r="C18" i="60"/>
  <c r="C21" i="58"/>
  <c r="C21" i="60"/>
  <c r="C19" i="58"/>
  <c r="C19" i="60"/>
  <c r="L30" i="34"/>
  <c r="C149" i="1"/>
  <c r="E148" i="1"/>
  <c r="E149" i="1"/>
  <c r="I143" i="1"/>
  <c r="K147" i="1"/>
  <c r="J150" i="1"/>
  <c r="C146" i="1"/>
  <c r="J145" i="1"/>
  <c r="G143" i="1"/>
  <c r="H145" i="1"/>
  <c r="D147" i="1"/>
  <c r="L150" i="1"/>
  <c r="E147" i="1"/>
  <c r="G149" i="1"/>
  <c r="H146" i="1"/>
  <c r="D144" i="1"/>
  <c r="J148" i="1"/>
  <c r="D150" i="1"/>
  <c r="L145" i="1"/>
  <c r="F145" i="1"/>
  <c r="I147" i="1"/>
  <c r="H149" i="1"/>
  <c r="I146" i="1"/>
  <c r="D149" i="1"/>
  <c r="H144" i="1"/>
  <c r="J147" i="1"/>
  <c r="C148" i="1"/>
  <c r="I149" i="1"/>
  <c r="I150" i="1"/>
  <c r="G144" i="1"/>
  <c r="H150" i="1"/>
  <c r="I148" i="1"/>
  <c r="F143" i="1"/>
  <c r="C145" i="1"/>
  <c r="G150" i="1"/>
  <c r="K144" i="1"/>
  <c r="F150" i="1"/>
  <c r="F144" i="1"/>
  <c r="F147" i="1"/>
  <c r="D146" i="1"/>
  <c r="D148" i="1"/>
  <c r="I144" i="1"/>
  <c r="L148" i="1"/>
  <c r="J144" i="1"/>
  <c r="H147" i="1"/>
  <c r="L147" i="1"/>
  <c r="G148" i="1"/>
  <c r="L143" i="1"/>
  <c r="E143" i="1"/>
  <c r="K145" i="1"/>
  <c r="E146" i="1"/>
  <c r="L144" i="1"/>
  <c r="C147" i="1"/>
  <c r="J149" i="1"/>
  <c r="G145" i="1"/>
  <c r="C150" i="1"/>
  <c r="C144" i="1"/>
  <c r="F146" i="1"/>
  <c r="G146" i="1"/>
  <c r="H143" i="1"/>
  <c r="L149" i="1"/>
  <c r="K146" i="1"/>
  <c r="K149" i="1"/>
  <c r="L146" i="1"/>
  <c r="G147" i="1"/>
  <c r="D145" i="1"/>
  <c r="K143" i="1"/>
  <c r="F148" i="1"/>
  <c r="D143" i="1"/>
  <c r="I145" i="1"/>
  <c r="E150" i="1"/>
  <c r="J143" i="1"/>
  <c r="E145" i="1"/>
  <c r="K150" i="1"/>
  <c r="E144" i="1"/>
  <c r="K148" i="1"/>
  <c r="H148" i="1"/>
  <c r="F149" i="1"/>
  <c r="J146" i="1"/>
  <c r="C143" i="1"/>
  <c r="I124" i="40"/>
  <c r="D124" i="40"/>
  <c r="D125" i="4"/>
  <c r="C15" i="60"/>
  <c r="F30" i="34"/>
  <c r="D30" i="34"/>
  <c r="M124" i="40"/>
  <c r="K124" i="40"/>
  <c r="I30" i="34"/>
  <c r="E124" i="40"/>
  <c r="G124" i="40"/>
  <c r="B19" i="35" a="1"/>
  <c r="D100" i="40"/>
  <c r="D101" i="4"/>
  <c r="D101" i="29"/>
  <c r="B34" i="60"/>
  <c r="L124" i="40"/>
  <c r="F124" i="40"/>
  <c r="D110" i="40"/>
  <c r="D111" i="4"/>
  <c r="D111" i="29"/>
  <c r="E19" i="35"/>
  <c r="H19" i="35"/>
  <c r="C19" i="35"/>
  <c r="C4" i="58" a="1"/>
  <c r="C7" i="58"/>
  <c r="I45" i="8"/>
  <c r="F45" i="8"/>
  <c r="H45" i="8"/>
  <c r="D125" i="40"/>
  <c r="D111" i="40"/>
  <c r="D101" i="40"/>
  <c r="C10" i="58"/>
  <c r="C11" i="58"/>
  <c r="K220" i="6"/>
  <c r="E223" i="6"/>
  <c r="J227" i="6"/>
  <c r="F227" i="6"/>
  <c r="C226" i="6"/>
  <c r="C226" i="34" s="1"/>
  <c r="D18" i="38"/>
  <c r="C186" i="2"/>
  <c r="D5" i="38"/>
  <c r="C184" i="2"/>
  <c r="E18" i="8"/>
  <c r="D5" i="35"/>
  <c r="D23" i="4"/>
  <c r="C61" i="4" s="1"/>
  <c r="D5" i="8"/>
  <c r="C191" i="29"/>
  <c r="C191" i="40" s="1"/>
  <c r="B37" i="58" a="1"/>
  <c r="B38" i="58" s="1"/>
  <c r="C5" i="35"/>
  <c r="C5" i="7"/>
  <c r="C18" i="38"/>
  <c r="D18" i="8"/>
  <c r="E18" i="38"/>
  <c r="E18" i="39" s="1"/>
  <c r="G5" i="7"/>
  <c r="G5" i="37" s="1"/>
  <c r="C6" i="58"/>
  <c r="C4" i="58"/>
  <c r="C45" i="8"/>
  <c r="F19" i="35"/>
  <c r="G19" i="35"/>
  <c r="J19" i="35"/>
  <c r="B19" i="35"/>
  <c r="K19" i="35"/>
  <c r="D19" i="35"/>
  <c r="I19" i="35"/>
  <c r="H30" i="34"/>
  <c r="C5" i="58"/>
  <c r="C8" i="58"/>
  <c r="E45" i="8"/>
  <c r="D45" i="8"/>
  <c r="C23" i="58"/>
  <c r="C176" i="1" a="1"/>
  <c r="E699" i="1"/>
  <c r="L703" i="1"/>
  <c r="J701" i="1"/>
  <c r="C702" i="1"/>
  <c r="E705" i="1"/>
  <c r="I699" i="1"/>
  <c r="H704" i="1"/>
  <c r="J703" i="1"/>
  <c r="G706" i="1"/>
  <c r="K703" i="1"/>
  <c r="D701" i="1"/>
  <c r="C699" i="1"/>
  <c r="D706" i="1"/>
  <c r="I701" i="1"/>
  <c r="I704" i="1"/>
  <c r="E706" i="1"/>
  <c r="K699" i="1"/>
  <c r="I700" i="1"/>
  <c r="D699" i="1"/>
  <c r="G705" i="1"/>
  <c r="E700" i="1"/>
  <c r="H700" i="1"/>
  <c r="F699" i="1"/>
  <c r="J705" i="1"/>
  <c r="L701" i="1"/>
  <c r="L700" i="1"/>
  <c r="G700" i="1"/>
  <c r="F705" i="1"/>
  <c r="K704" i="1"/>
  <c r="C700" i="1"/>
  <c r="C701" i="1"/>
  <c r="D705" i="1"/>
  <c r="D703" i="1"/>
  <c r="C706" i="1"/>
  <c r="E702" i="1"/>
  <c r="D702" i="1"/>
  <c r="J699" i="1"/>
  <c r="F706" i="1"/>
  <c r="F701" i="1"/>
  <c r="K701" i="1"/>
  <c r="H699" i="1"/>
  <c r="C704" i="1"/>
  <c r="J700" i="1"/>
  <c r="D704" i="1"/>
  <c r="I703" i="1"/>
  <c r="G699" i="1"/>
  <c r="F700" i="1"/>
  <c r="H705" i="1"/>
  <c r="G703" i="1"/>
  <c r="I706" i="1"/>
  <c r="L705" i="1"/>
  <c r="J704" i="1"/>
  <c r="C705" i="1"/>
  <c r="F704" i="1"/>
  <c r="L706" i="1"/>
  <c r="K706" i="1"/>
  <c r="I702" i="1"/>
  <c r="H703" i="1"/>
  <c r="F702" i="1"/>
  <c r="H702" i="1"/>
  <c r="E703" i="1"/>
  <c r="L699" i="1"/>
  <c r="G704" i="1"/>
  <c r="G702" i="1"/>
  <c r="F703" i="1"/>
  <c r="H706" i="1"/>
  <c r="J706" i="1"/>
  <c r="J702" i="1"/>
  <c r="D700" i="1"/>
  <c r="H701" i="1"/>
  <c r="G701" i="1"/>
  <c r="K702" i="1"/>
  <c r="E701" i="1"/>
  <c r="K700" i="1"/>
  <c r="K705" i="1"/>
  <c r="L702" i="1"/>
  <c r="I705" i="1"/>
  <c r="L704" i="1"/>
  <c r="C703" i="1"/>
  <c r="E704" i="1"/>
  <c r="C9" i="58"/>
  <c r="G45" i="8"/>
  <c r="J45" i="8"/>
  <c r="K45" i="8"/>
  <c r="C30" i="34"/>
  <c r="B45" i="38" a="1"/>
  <c r="B19" i="7" a="1"/>
  <c r="C20" i="59"/>
  <c r="C23" i="59"/>
  <c r="C24" i="59"/>
  <c r="C22" i="59"/>
  <c r="C22" i="60"/>
  <c r="C367" i="1" a="1"/>
  <c r="C749" i="1" a="1"/>
  <c r="D773" i="1"/>
  <c r="H771" i="1"/>
  <c r="K774" i="1"/>
  <c r="J770" i="1"/>
  <c r="E772" i="1"/>
  <c r="L767" i="1"/>
  <c r="L768" i="1"/>
  <c r="G767" i="1"/>
  <c r="G773" i="1"/>
  <c r="C774" i="1"/>
  <c r="F773" i="1"/>
  <c r="D769" i="1"/>
  <c r="J767" i="1"/>
  <c r="F772" i="1"/>
  <c r="C773" i="1"/>
  <c r="E771" i="1"/>
  <c r="C768" i="1"/>
  <c r="L774" i="1"/>
  <c r="D710" i="1"/>
  <c r="K17" i="7"/>
  <c r="K17" i="37"/>
  <c r="D18" i="7"/>
  <c r="D18" i="37"/>
  <c r="J55" i="34"/>
  <c r="K56" i="34"/>
  <c r="G768" i="1"/>
  <c r="D768" i="1"/>
  <c r="G772" i="1"/>
  <c r="H772" i="1"/>
  <c r="G769" i="1"/>
  <c r="E774" i="1"/>
  <c r="D771" i="1"/>
  <c r="I770" i="1"/>
  <c r="F767" i="1"/>
  <c r="K769" i="1"/>
  <c r="H770" i="1"/>
  <c r="D772" i="1"/>
  <c r="E768" i="1"/>
  <c r="K770" i="1"/>
  <c r="I772" i="1"/>
  <c r="D770" i="1"/>
  <c r="K772" i="1"/>
  <c r="D767" i="1"/>
  <c r="L772" i="1"/>
  <c r="H769" i="1"/>
  <c r="L771" i="1"/>
  <c r="K779" i="1"/>
  <c r="C709" i="1"/>
  <c r="B18" i="7"/>
  <c r="B18" i="37"/>
  <c r="B169" i="39"/>
  <c r="D713" i="1"/>
  <c r="J68" i="34"/>
  <c r="L769" i="1"/>
  <c r="F769" i="1"/>
  <c r="I774" i="1"/>
  <c r="I773" i="1"/>
  <c r="K768" i="1"/>
  <c r="D187" i="1"/>
  <c r="L186" i="1"/>
  <c r="E187" i="1"/>
  <c r="E189" i="1"/>
  <c r="I192" i="1"/>
  <c r="D192" i="1"/>
  <c r="E192" i="1"/>
  <c r="I185" i="1"/>
  <c r="D189" i="1"/>
  <c r="J186" i="1"/>
  <c r="G191" i="1"/>
  <c r="F187" i="1"/>
  <c r="C767" i="1"/>
  <c r="I769" i="1"/>
  <c r="E767" i="1"/>
  <c r="I767" i="1"/>
  <c r="G770" i="1"/>
  <c r="L770" i="1"/>
  <c r="J773" i="1"/>
  <c r="C769" i="1"/>
  <c r="F774" i="1"/>
  <c r="G771" i="1"/>
  <c r="E769" i="1"/>
  <c r="J772" i="1"/>
  <c r="H767" i="1"/>
  <c r="J769" i="1"/>
  <c r="G780" i="1"/>
  <c r="K783" i="1"/>
  <c r="J780" i="1"/>
  <c r="F781" i="1"/>
  <c r="I783" i="1"/>
  <c r="E780" i="1"/>
  <c r="E782" i="1"/>
  <c r="L782" i="1"/>
  <c r="F778" i="1"/>
  <c r="F782" i="1"/>
  <c r="F780" i="1"/>
  <c r="C780" i="1"/>
  <c r="L779" i="1"/>
  <c r="E781" i="1"/>
  <c r="H779" i="1"/>
  <c r="H778" i="1"/>
  <c r="L192" i="1"/>
  <c r="K188" i="1"/>
  <c r="K192" i="1"/>
  <c r="H192" i="1"/>
  <c r="G185" i="1"/>
  <c r="K190" i="1"/>
  <c r="E785" i="1"/>
  <c r="I790" i="1"/>
  <c r="C787" i="1"/>
  <c r="K788" i="1"/>
  <c r="L787" i="1"/>
  <c r="G791" i="1"/>
  <c r="G789" i="1"/>
  <c r="C788" i="1"/>
  <c r="K787" i="1"/>
  <c r="I791" i="1"/>
  <c r="G786" i="1"/>
  <c r="L788" i="1"/>
  <c r="F789" i="1"/>
  <c r="H786" i="1"/>
  <c r="I788" i="1"/>
  <c r="C786" i="1"/>
  <c r="F791" i="1"/>
  <c r="F792" i="1"/>
  <c r="I789" i="1"/>
  <c r="K794" i="1"/>
  <c r="D794" i="1"/>
  <c r="A71" i="31"/>
  <c r="A307" i="6"/>
  <c r="C1" i="41"/>
  <c r="C370" i="1"/>
  <c r="H371" i="1"/>
  <c r="E374" i="1"/>
  <c r="J373" i="1"/>
  <c r="G371" i="1"/>
  <c r="F372" i="1"/>
  <c r="F374" i="1"/>
  <c r="I374" i="1"/>
  <c r="I372" i="1"/>
  <c r="K368" i="1"/>
  <c r="H367" i="1"/>
  <c r="J367" i="1"/>
  <c r="G373" i="1"/>
  <c r="E367" i="1"/>
  <c r="D372" i="1"/>
  <c r="L368" i="1"/>
  <c r="E372" i="1"/>
  <c r="D370" i="1"/>
  <c r="H368" i="1"/>
  <c r="D373" i="1"/>
  <c r="H372" i="1"/>
  <c r="F373" i="1"/>
  <c r="J368" i="1"/>
  <c r="C368" i="1"/>
  <c r="F369" i="1"/>
  <c r="K372" i="1"/>
  <c r="J372" i="1"/>
  <c r="C372" i="1"/>
  <c r="G372" i="1"/>
  <c r="F368" i="1"/>
  <c r="D371" i="1"/>
  <c r="D367" i="1"/>
  <c r="C369" i="1"/>
  <c r="F371" i="1"/>
  <c r="L370" i="1"/>
  <c r="I370" i="1"/>
  <c r="E373" i="1"/>
  <c r="G374" i="1"/>
  <c r="C373" i="1"/>
  <c r="I367" i="1"/>
  <c r="J370" i="1"/>
  <c r="G370" i="1"/>
  <c r="K369" i="1"/>
  <c r="L372" i="1"/>
  <c r="J371" i="1"/>
  <c r="E370" i="1"/>
  <c r="G369" i="1"/>
  <c r="H370" i="1"/>
  <c r="L374" i="1"/>
  <c r="D368" i="1"/>
  <c r="I368" i="1"/>
  <c r="J369" i="1"/>
  <c r="K373" i="1"/>
  <c r="D374" i="1"/>
  <c r="C371" i="1"/>
  <c r="E368" i="1"/>
  <c r="K374" i="1"/>
  <c r="I373" i="1"/>
  <c r="E369" i="1"/>
  <c r="L371" i="1"/>
  <c r="J374" i="1"/>
  <c r="G368" i="1"/>
  <c r="L373" i="1"/>
  <c r="I371" i="1"/>
  <c r="D369" i="1"/>
  <c r="H374" i="1"/>
  <c r="C367" i="1"/>
  <c r="H373" i="1"/>
  <c r="C374" i="1"/>
  <c r="F370" i="1"/>
  <c r="L367" i="1"/>
  <c r="L369" i="1"/>
  <c r="I369" i="1"/>
  <c r="E371" i="1"/>
  <c r="K367" i="1"/>
  <c r="H369" i="1"/>
  <c r="K370" i="1"/>
  <c r="G367" i="1"/>
  <c r="F367" i="1"/>
  <c r="K371" i="1"/>
  <c r="D45" i="39"/>
  <c r="H45" i="38"/>
  <c r="H45" i="39"/>
  <c r="I45" i="38"/>
  <c r="I45" i="39"/>
  <c r="D45" i="38"/>
  <c r="E45" i="38"/>
  <c r="G45" i="38"/>
  <c r="G45" i="39"/>
  <c r="K45" i="38"/>
  <c r="K45" i="39"/>
  <c r="B45" i="38"/>
  <c r="B45" i="39"/>
  <c r="J45" i="38"/>
  <c r="F45" i="38"/>
  <c r="F45" i="39"/>
  <c r="C45" i="38"/>
  <c r="C45" i="39"/>
  <c r="C23" i="60"/>
  <c r="C24" i="58"/>
  <c r="C24" i="60"/>
  <c r="C20" i="60"/>
  <c r="F751" i="1"/>
  <c r="G754" i="1"/>
  <c r="L753" i="1"/>
  <c r="D752" i="1"/>
  <c r="G751" i="1"/>
  <c r="D750" i="1"/>
  <c r="J750" i="1"/>
  <c r="K751" i="1"/>
  <c r="I751" i="1"/>
  <c r="E753" i="1"/>
  <c r="C751" i="1"/>
  <c r="I752" i="1"/>
  <c r="E752" i="1"/>
  <c r="E749" i="1"/>
  <c r="H751" i="1"/>
  <c r="F749" i="1"/>
  <c r="G752" i="1"/>
  <c r="K753" i="1"/>
  <c r="I756" i="1"/>
  <c r="J754" i="1"/>
  <c r="L754" i="1"/>
  <c r="I749" i="1"/>
  <c r="H754" i="1"/>
  <c r="H752" i="1"/>
  <c r="F756" i="1"/>
  <c r="H750" i="1"/>
  <c r="F755" i="1"/>
  <c r="F752" i="1"/>
  <c r="K752" i="1"/>
  <c r="J755" i="1"/>
  <c r="K755" i="1"/>
  <c r="G756" i="1"/>
  <c r="I755" i="1"/>
  <c r="G749" i="1"/>
  <c r="E755" i="1"/>
  <c r="J751" i="1"/>
  <c r="F750" i="1"/>
  <c r="F753" i="1"/>
  <c r="I754" i="1"/>
  <c r="I753" i="1"/>
  <c r="E756" i="1"/>
  <c r="G750" i="1"/>
  <c r="H753" i="1"/>
  <c r="H756" i="1"/>
  <c r="L749" i="1"/>
  <c r="L752" i="1"/>
  <c r="J752" i="1"/>
  <c r="L756" i="1"/>
  <c r="K750" i="1"/>
  <c r="G755" i="1"/>
  <c r="C754" i="1"/>
  <c r="C749" i="1"/>
  <c r="E750" i="1"/>
  <c r="L750" i="1"/>
  <c r="D755" i="1"/>
  <c r="D753" i="1"/>
  <c r="D756" i="1"/>
  <c r="L751" i="1"/>
  <c r="H749" i="1"/>
  <c r="C750" i="1"/>
  <c r="C753" i="1"/>
  <c r="J756" i="1"/>
  <c r="C755" i="1"/>
  <c r="K756" i="1"/>
  <c r="K749" i="1"/>
  <c r="D754" i="1"/>
  <c r="I750" i="1"/>
  <c r="K754" i="1"/>
  <c r="G753" i="1"/>
  <c r="E751" i="1"/>
  <c r="L755" i="1"/>
  <c r="C756" i="1"/>
  <c r="J753" i="1"/>
  <c r="C752" i="1"/>
  <c r="D751" i="1"/>
  <c r="H755" i="1"/>
  <c r="F754" i="1"/>
  <c r="E754" i="1"/>
  <c r="D749" i="1"/>
  <c r="J749" i="1"/>
  <c r="G19" i="7"/>
  <c r="G19" i="37"/>
  <c r="K19" i="7"/>
  <c r="K19" i="37"/>
  <c r="B19" i="7"/>
  <c r="B19" i="37"/>
  <c r="F19" i="7"/>
  <c r="F19" i="37"/>
  <c r="C19" i="7"/>
  <c r="C19" i="37"/>
  <c r="J19" i="7"/>
  <c r="J19" i="37"/>
  <c r="H19" i="7"/>
  <c r="H19" i="37"/>
  <c r="I19" i="7"/>
  <c r="I19" i="37"/>
  <c r="D19" i="7"/>
  <c r="D19" i="37"/>
  <c r="E19" i="7"/>
  <c r="E19" i="37"/>
  <c r="J45" i="39"/>
  <c r="L179" i="1"/>
  <c r="C182" i="1"/>
  <c r="J182" i="1"/>
  <c r="C181" i="1"/>
  <c r="E176" i="1"/>
  <c r="I180" i="1"/>
  <c r="H180" i="1"/>
  <c r="J178" i="1"/>
  <c r="H176" i="1"/>
  <c r="K181" i="1"/>
  <c r="H177" i="1"/>
  <c r="L178" i="1"/>
  <c r="C183" i="1"/>
  <c r="H178" i="1"/>
  <c r="J183" i="1"/>
  <c r="J179" i="1"/>
  <c r="I182" i="1"/>
  <c r="C177" i="1"/>
  <c r="E183" i="1"/>
  <c r="I176" i="1"/>
  <c r="D181" i="1"/>
  <c r="D183" i="1"/>
  <c r="C179" i="1"/>
  <c r="J177" i="1"/>
  <c r="G181" i="1"/>
  <c r="K176" i="1"/>
  <c r="I183" i="1"/>
  <c r="G179" i="1"/>
  <c r="D179" i="1"/>
  <c r="F179" i="1"/>
  <c r="D182" i="1"/>
  <c r="I179" i="1"/>
  <c r="J180" i="1"/>
  <c r="K183" i="1"/>
  <c r="K180" i="1"/>
  <c r="F176" i="1"/>
  <c r="F182" i="1"/>
  <c r="I178" i="1"/>
  <c r="G176" i="1"/>
  <c r="E178" i="1"/>
  <c r="E182" i="1"/>
  <c r="I181" i="1"/>
  <c r="C176" i="1"/>
  <c r="G180" i="1"/>
  <c r="K178" i="1"/>
  <c r="G182" i="1"/>
  <c r="E181" i="1"/>
  <c r="L182" i="1"/>
  <c r="E177" i="1"/>
  <c r="K182" i="1"/>
  <c r="J181" i="1"/>
  <c r="F177" i="1"/>
  <c r="H183" i="1"/>
  <c r="E180" i="1"/>
  <c r="F178" i="1"/>
  <c r="L180" i="1"/>
  <c r="G178" i="1"/>
  <c r="E179" i="1"/>
  <c r="G177" i="1"/>
  <c r="L183" i="1"/>
  <c r="H179" i="1"/>
  <c r="D180" i="1"/>
  <c r="K179" i="1"/>
  <c r="D177" i="1"/>
  <c r="F181" i="1"/>
  <c r="D176" i="1"/>
  <c r="F180" i="1"/>
  <c r="I177" i="1"/>
  <c r="D178" i="1"/>
  <c r="J176" i="1"/>
  <c r="H181" i="1"/>
  <c r="L181" i="1"/>
  <c r="L177" i="1"/>
  <c r="L176" i="1"/>
  <c r="C178" i="1"/>
  <c r="C180" i="1"/>
  <c r="K177" i="1"/>
  <c r="G183" i="1"/>
  <c r="F183" i="1"/>
  <c r="H182" i="1"/>
  <c r="E45" i="39"/>
  <c r="C12" i="58"/>
  <c r="C389" i="1" a="1"/>
  <c r="C411" i="1" a="1"/>
  <c r="C13" i="58"/>
  <c r="C4" i="59" a="1"/>
  <c r="C416" i="1"/>
  <c r="I412" i="1"/>
  <c r="G414" i="1"/>
  <c r="D418" i="1"/>
  <c r="L414" i="1"/>
  <c r="H414" i="1"/>
  <c r="G418" i="1"/>
  <c r="C413" i="1"/>
  <c r="K416" i="1"/>
  <c r="J414" i="1"/>
  <c r="D412" i="1"/>
  <c r="G416" i="1"/>
  <c r="D414" i="1"/>
  <c r="K413" i="1"/>
  <c r="D413" i="1"/>
  <c r="J416" i="1"/>
  <c r="K415" i="1"/>
  <c r="F418" i="1"/>
  <c r="C418" i="1"/>
  <c r="E411" i="1"/>
  <c r="I413" i="1"/>
  <c r="K411" i="1"/>
  <c r="G413" i="1"/>
  <c r="D416" i="1"/>
  <c r="F414" i="1"/>
  <c r="E413" i="1"/>
  <c r="G415" i="1"/>
  <c r="C417" i="1"/>
  <c r="L412" i="1"/>
  <c r="I411" i="1"/>
  <c r="F411" i="1"/>
  <c r="H417" i="1"/>
  <c r="L418" i="1"/>
  <c r="K418" i="1"/>
  <c r="C415" i="1"/>
  <c r="I414" i="1"/>
  <c r="H412" i="1"/>
  <c r="I416" i="1"/>
  <c r="G412" i="1"/>
  <c r="L417" i="1"/>
  <c r="F417" i="1"/>
  <c r="K414" i="1"/>
  <c r="C411" i="1"/>
  <c r="F415" i="1"/>
  <c r="L413" i="1"/>
  <c r="L416" i="1"/>
  <c r="J412" i="1"/>
  <c r="D417" i="1"/>
  <c r="J413" i="1"/>
  <c r="H413" i="1"/>
  <c r="F416" i="1"/>
  <c r="J411" i="1"/>
  <c r="L411" i="1"/>
  <c r="G411" i="1"/>
  <c r="I417" i="1"/>
  <c r="E415" i="1"/>
  <c r="C414" i="1"/>
  <c r="I418" i="1"/>
  <c r="F412" i="1"/>
  <c r="H416" i="1"/>
  <c r="I415" i="1"/>
  <c r="J415" i="1"/>
  <c r="C412" i="1"/>
  <c r="H411" i="1"/>
  <c r="D411" i="1"/>
  <c r="E417" i="1"/>
  <c r="J418" i="1"/>
  <c r="F413" i="1"/>
  <c r="L415" i="1"/>
  <c r="H415" i="1"/>
  <c r="K412" i="1"/>
  <c r="E412" i="1"/>
  <c r="J417" i="1"/>
  <c r="H418" i="1"/>
  <c r="K417" i="1"/>
  <c r="D415" i="1"/>
  <c r="G417" i="1"/>
  <c r="E416" i="1"/>
  <c r="E418" i="1"/>
  <c r="E414" i="1"/>
  <c r="K390" i="1"/>
  <c r="C389" i="1"/>
  <c r="D391" i="1"/>
  <c r="L392" i="1"/>
  <c r="D392" i="1"/>
  <c r="D394" i="1"/>
  <c r="H395" i="1"/>
  <c r="K389" i="1"/>
  <c r="E390" i="1"/>
  <c r="D389" i="1"/>
  <c r="H396" i="1"/>
  <c r="G394" i="1"/>
  <c r="L393" i="1"/>
  <c r="F389" i="1"/>
  <c r="C391" i="1"/>
  <c r="F394" i="1"/>
  <c r="J390" i="1"/>
  <c r="K392" i="1"/>
  <c r="K394" i="1"/>
  <c r="E392" i="1"/>
  <c r="F393" i="1"/>
  <c r="C396" i="1"/>
  <c r="I390" i="1"/>
  <c r="I392" i="1"/>
  <c r="G396" i="1"/>
  <c r="G393" i="1"/>
  <c r="J391" i="1"/>
  <c r="J393" i="1"/>
  <c r="G392" i="1"/>
  <c r="E393" i="1"/>
  <c r="F390" i="1"/>
  <c r="C393" i="1"/>
  <c r="H394" i="1"/>
  <c r="I389" i="1"/>
  <c r="K396" i="1"/>
  <c r="D390" i="1"/>
  <c r="K393" i="1"/>
  <c r="E395" i="1"/>
  <c r="I395" i="1"/>
  <c r="C392" i="1"/>
  <c r="E394" i="1"/>
  <c r="J392" i="1"/>
  <c r="J389" i="1"/>
  <c r="F396" i="1"/>
  <c r="H391" i="1"/>
  <c r="K395" i="1"/>
  <c r="G389" i="1"/>
  <c r="H390" i="1"/>
  <c r="L391" i="1"/>
  <c r="E389" i="1"/>
  <c r="D396" i="1"/>
  <c r="I391" i="1"/>
  <c r="J394" i="1"/>
  <c r="G391" i="1"/>
  <c r="L395" i="1"/>
  <c r="E396" i="1"/>
  <c r="E391" i="1"/>
  <c r="C390" i="1"/>
  <c r="D395" i="1"/>
  <c r="L394" i="1"/>
  <c r="G390" i="1"/>
  <c r="L390" i="1"/>
  <c r="D393" i="1"/>
  <c r="H389" i="1"/>
  <c r="I393" i="1"/>
  <c r="J396" i="1"/>
  <c r="L389" i="1"/>
  <c r="C394" i="1"/>
  <c r="H392" i="1"/>
  <c r="H393" i="1"/>
  <c r="G395" i="1"/>
  <c r="J395" i="1"/>
  <c r="F391" i="1"/>
  <c r="L396" i="1"/>
  <c r="F395" i="1"/>
  <c r="I396" i="1"/>
  <c r="K391" i="1"/>
  <c r="I394" i="1"/>
  <c r="C395" i="1"/>
  <c r="F392" i="1"/>
  <c r="C5" i="59"/>
  <c r="C5" i="60"/>
  <c r="C6" i="59"/>
  <c r="C6" i="60"/>
  <c r="C9" i="59"/>
  <c r="C9" i="60"/>
  <c r="C7" i="59"/>
  <c r="C7" i="60"/>
  <c r="C11" i="59"/>
  <c r="C11" i="60"/>
  <c r="C8" i="59"/>
  <c r="C8" i="60"/>
  <c r="C10" i="59"/>
  <c r="C10" i="60"/>
  <c r="C4" i="59"/>
  <c r="C12" i="59"/>
  <c r="C4" i="60"/>
  <c r="C13" i="59"/>
  <c r="C12" i="60"/>
  <c r="C13" i="60"/>
  <c r="C35" i="59" a="1"/>
  <c r="D167" i="29" a="1"/>
  <c r="D58" i="59" a="1"/>
  <c r="B224" i="38" a="1"/>
  <c r="B206" i="38" a="1"/>
  <c r="B197" i="38" a="1"/>
  <c r="B215" i="38" a="1"/>
  <c r="D121" i="29" a="1"/>
  <c r="C124" i="30" a="1"/>
  <c r="D199" i="29" a="1"/>
  <c r="D177" i="29" a="1"/>
  <c r="D94" i="29" a="1"/>
  <c r="D189" i="29" a="1"/>
  <c r="D174" i="29" a="1"/>
  <c r="D38" i="29" a="1"/>
  <c r="D175" i="29" a="1"/>
  <c r="D89" i="29" a="1"/>
  <c r="D55" i="29" a="1"/>
  <c r="D107" i="29" a="1"/>
  <c r="D167" i="4" a="1"/>
  <c r="B224" i="8" a="1"/>
  <c r="B215" i="8" a="1"/>
  <c r="B197" i="8" a="1"/>
  <c r="B206" i="8" a="1"/>
  <c r="D58" i="58" a="1"/>
  <c r="B32" i="7" a="1"/>
  <c r="D4" i="58" a="1"/>
  <c r="D11" i="58"/>
  <c r="E11" i="58"/>
  <c r="F11" i="58"/>
  <c r="G11" i="58"/>
  <c r="H11" i="58"/>
  <c r="I11" i="58"/>
  <c r="J11" i="58"/>
  <c r="K11" i="58"/>
  <c r="B32" i="35" a="1"/>
  <c r="D4" i="59" a="1"/>
  <c r="D11" i="59"/>
  <c r="E11" i="59"/>
  <c r="F11" i="59"/>
  <c r="G11" i="59"/>
  <c r="H11" i="59"/>
  <c r="I11" i="59"/>
  <c r="J11" i="59"/>
  <c r="K11" i="59"/>
  <c r="D6" i="58"/>
  <c r="D6" i="59"/>
  <c r="D7" i="58"/>
  <c r="D7" i="59"/>
  <c r="D9" i="58"/>
  <c r="E9" i="58"/>
  <c r="F9" i="58"/>
  <c r="G9" i="58"/>
  <c r="D9" i="59"/>
  <c r="E9" i="59"/>
  <c r="F9" i="59"/>
  <c r="G9" i="59"/>
  <c r="E6" i="58"/>
  <c r="F6" i="58"/>
  <c r="G6" i="58"/>
  <c r="H6" i="58"/>
  <c r="E6" i="59"/>
  <c r="F6" i="59"/>
  <c r="G6" i="59"/>
  <c r="H6" i="59"/>
  <c r="D5" i="58"/>
  <c r="E5" i="58"/>
  <c r="F5" i="58"/>
  <c r="G5" i="58"/>
  <c r="H5" i="58"/>
  <c r="I5" i="58"/>
  <c r="D5" i="59"/>
  <c r="E5" i="59"/>
  <c r="F5" i="59"/>
  <c r="G5" i="59"/>
  <c r="H5" i="59"/>
  <c r="I5" i="59"/>
  <c r="B82" i="7" a="1"/>
  <c r="B82" i="35" a="1"/>
  <c r="I6" i="58"/>
  <c r="I6" i="59"/>
  <c r="D8" i="58"/>
  <c r="E8" i="58"/>
  <c r="F8" i="58"/>
  <c r="G8" i="58"/>
  <c r="H8" i="58"/>
  <c r="I8" i="58"/>
  <c r="J8" i="58"/>
  <c r="K8" i="58"/>
  <c r="L8" i="58"/>
  <c r="D8" i="59"/>
  <c r="E8" i="59"/>
  <c r="F8" i="59"/>
  <c r="G8" i="59"/>
  <c r="H8" i="59"/>
  <c r="I8" i="59"/>
  <c r="J8" i="59"/>
  <c r="K8" i="59"/>
  <c r="L8" i="59"/>
  <c r="B92" i="7" a="1"/>
  <c r="B92" i="35" a="1"/>
  <c r="J6" i="58"/>
  <c r="K6" i="58"/>
  <c r="J6" i="59"/>
  <c r="K6" i="59"/>
  <c r="B52" i="7" a="1"/>
  <c r="B52" i="35" a="1"/>
  <c r="D4" i="58"/>
  <c r="E4" i="58"/>
  <c r="F4" i="58"/>
  <c r="G4" i="58"/>
  <c r="H4" i="58"/>
  <c r="I4" i="58"/>
  <c r="J4" i="58"/>
  <c r="J5" i="58"/>
  <c r="E7" i="58"/>
  <c r="F7" i="58"/>
  <c r="G7" i="58"/>
  <c r="H7" i="58"/>
  <c r="I7" i="58"/>
  <c r="J7" i="58"/>
  <c r="H9" i="58"/>
  <c r="I9" i="58"/>
  <c r="J9" i="58"/>
  <c r="D10" i="58"/>
  <c r="E10" i="58"/>
  <c r="F10" i="58"/>
  <c r="G10" i="58"/>
  <c r="H10" i="58"/>
  <c r="I10" i="58"/>
  <c r="J10" i="58"/>
  <c r="D4" i="59"/>
  <c r="E4" i="59"/>
  <c r="F4" i="59"/>
  <c r="G4" i="59"/>
  <c r="H4" i="59"/>
  <c r="I4" i="59"/>
  <c r="J4" i="59"/>
  <c r="J5" i="59"/>
  <c r="E7" i="59"/>
  <c r="F7" i="59"/>
  <c r="G7" i="59"/>
  <c r="H7" i="59"/>
  <c r="I7" i="59"/>
  <c r="J7" i="59"/>
  <c r="H9" i="59"/>
  <c r="I9" i="59"/>
  <c r="J9" i="59"/>
  <c r="D10" i="59"/>
  <c r="E10" i="59"/>
  <c r="F10" i="59"/>
  <c r="G10" i="59"/>
  <c r="H10" i="59"/>
  <c r="I10" i="59"/>
  <c r="J10" i="59"/>
  <c r="K4" i="58"/>
  <c r="L4" i="58"/>
  <c r="K5" i="58"/>
  <c r="L5" i="58"/>
  <c r="L6" i="58"/>
  <c r="K7" i="58"/>
  <c r="L7" i="58"/>
  <c r="K9" i="58"/>
  <c r="L9" i="58"/>
  <c r="K10" i="58"/>
  <c r="L10" i="58"/>
  <c r="L11" i="58"/>
  <c r="K4" i="59"/>
  <c r="L4" i="59"/>
  <c r="K5" i="59"/>
  <c r="L5" i="59"/>
  <c r="L6" i="59"/>
  <c r="K7" i="59"/>
  <c r="L7" i="59"/>
  <c r="K9" i="59"/>
  <c r="L9" i="59"/>
  <c r="K10" i="59"/>
  <c r="L10" i="59"/>
  <c r="L11" i="59"/>
  <c r="B199" i="8"/>
  <c r="B222" i="38"/>
  <c r="B213" i="8"/>
  <c r="B206" i="8"/>
  <c r="B198" i="8"/>
  <c r="B211" i="8"/>
  <c r="B231" i="8"/>
  <c r="B227" i="8"/>
  <c r="B226" i="38"/>
  <c r="B203" i="8"/>
  <c r="B224" i="8"/>
  <c r="B230" i="8"/>
  <c r="B207" i="38"/>
  <c r="C35" i="58" a="1"/>
  <c r="C34" i="58" a="1"/>
  <c r="D12" i="58"/>
  <c r="D12" i="59"/>
  <c r="D12" i="60"/>
  <c r="D15" i="58" a="1"/>
  <c r="D21" i="58"/>
  <c r="D15" i="59" a="1"/>
  <c r="D21" i="59"/>
  <c r="D21" i="60"/>
  <c r="C26" i="58" a="1"/>
  <c r="C27" i="58"/>
  <c r="C26" i="59" a="1"/>
  <c r="C27" i="59"/>
  <c r="C27" i="60"/>
  <c r="C26" i="58"/>
  <c r="C26" i="59"/>
  <c r="C26" i="60"/>
  <c r="C34" i="58"/>
  <c r="C34" i="59" a="1"/>
  <c r="C34" i="59"/>
  <c r="C34" i="60"/>
  <c r="F8" i="60"/>
  <c r="E21" i="58"/>
  <c r="F21" i="58"/>
  <c r="G21" i="58"/>
  <c r="G32" i="58"/>
  <c r="E21" i="59"/>
  <c r="F21" i="59"/>
  <c r="G21" i="59"/>
  <c r="G32" i="59"/>
  <c r="G32" i="60"/>
  <c r="D20" i="58"/>
  <c r="D20" i="59"/>
  <c r="D20" i="60"/>
  <c r="D200" i="29" a="1"/>
  <c r="I10" i="60"/>
  <c r="D15" i="58"/>
  <c r="E15" i="58"/>
  <c r="F15" i="58"/>
  <c r="G15" i="58"/>
  <c r="H15" i="58"/>
  <c r="I15" i="58"/>
  <c r="J15" i="58"/>
  <c r="K15" i="58"/>
  <c r="L15" i="58"/>
  <c r="L26" i="58"/>
  <c r="D15" i="59"/>
  <c r="E15" i="59"/>
  <c r="F15" i="59"/>
  <c r="G15" i="59"/>
  <c r="H15" i="59"/>
  <c r="I15" i="59"/>
  <c r="J15" i="59"/>
  <c r="K15" i="59"/>
  <c r="L15" i="59"/>
  <c r="L26" i="59"/>
  <c r="L26" i="60"/>
  <c r="E7" i="60"/>
  <c r="D40" i="29" a="1"/>
  <c r="D48" i="29" a="1"/>
  <c r="D39" i="29" a="1"/>
  <c r="D47" i="29" a="1"/>
  <c r="D49" i="29" a="1"/>
  <c r="D41" i="29" a="1"/>
  <c r="D56" i="29" a="1"/>
  <c r="D58" i="29" a="1"/>
  <c r="D57" i="29" a="1"/>
  <c r="E9" i="60"/>
  <c r="E20" i="58"/>
  <c r="F20" i="58"/>
  <c r="F31" i="58"/>
  <c r="E20" i="59"/>
  <c r="F20" i="59"/>
  <c r="F31" i="59"/>
  <c r="F31" i="60"/>
  <c r="F9" i="60"/>
  <c r="E21" i="60"/>
  <c r="C30" i="58"/>
  <c r="C30" i="59"/>
  <c r="C30" i="60"/>
  <c r="D22" i="58"/>
  <c r="D33" i="58"/>
  <c r="D22" i="59"/>
  <c r="D33" i="59"/>
  <c r="D33" i="60"/>
  <c r="D16" i="58"/>
  <c r="E16" i="58"/>
  <c r="E27" i="58"/>
  <c r="D16" i="59"/>
  <c r="E16" i="59"/>
  <c r="E27" i="59"/>
  <c r="E27" i="60"/>
  <c r="D17" i="58"/>
  <c r="E17" i="58"/>
  <c r="F17" i="58"/>
  <c r="G17" i="58"/>
  <c r="D17" i="59"/>
  <c r="E17" i="59"/>
  <c r="F17" i="59"/>
  <c r="G17" i="59"/>
  <c r="G17" i="60"/>
  <c r="E22" i="58"/>
  <c r="F22" i="58"/>
  <c r="F33" i="58"/>
  <c r="E22" i="59"/>
  <c r="F22" i="59"/>
  <c r="F33" i="59"/>
  <c r="F33" i="60"/>
  <c r="D18" i="58"/>
  <c r="E18" i="58"/>
  <c r="F18" i="58"/>
  <c r="G18" i="58"/>
  <c r="G29" i="58"/>
  <c r="D18" i="59"/>
  <c r="E18" i="59"/>
  <c r="F18" i="59"/>
  <c r="G18" i="59"/>
  <c r="G29" i="59"/>
  <c r="G29" i="60"/>
  <c r="H17" i="58"/>
  <c r="I17" i="58"/>
  <c r="J17" i="58"/>
  <c r="J28" i="58"/>
  <c r="H17" i="59"/>
  <c r="I17" i="59"/>
  <c r="J17" i="59"/>
  <c r="J28" i="59"/>
  <c r="J28" i="60"/>
  <c r="F16" i="58"/>
  <c r="G16" i="58"/>
  <c r="H16" i="58"/>
  <c r="I16" i="58"/>
  <c r="J16" i="58"/>
  <c r="J27" i="58"/>
  <c r="F16" i="59"/>
  <c r="G16" i="59"/>
  <c r="H16" i="59"/>
  <c r="I16" i="59"/>
  <c r="J16" i="59"/>
  <c r="J27" i="59"/>
  <c r="J27" i="60"/>
  <c r="K17" i="58"/>
  <c r="K28" i="58"/>
  <c r="K17" i="59"/>
  <c r="K28" i="59"/>
  <c r="K28" i="60"/>
  <c r="J12" i="58"/>
  <c r="J12" i="59"/>
  <c r="J12" i="60"/>
  <c r="H9" i="60"/>
  <c r="E8" i="60"/>
  <c r="F22" i="60"/>
  <c r="D19" i="58"/>
  <c r="E19" i="58"/>
  <c r="F19" i="58"/>
  <c r="G19" i="58"/>
  <c r="H19" i="58"/>
  <c r="D19" i="59"/>
  <c r="E19" i="59"/>
  <c r="F19" i="59"/>
  <c r="G19" i="59"/>
  <c r="H19" i="59"/>
  <c r="H19" i="60"/>
  <c r="H11" i="60"/>
  <c r="I28" i="58"/>
  <c r="I28" i="59"/>
  <c r="I28" i="60"/>
  <c r="K10" i="60"/>
  <c r="C32" i="58"/>
  <c r="C32" i="59"/>
  <c r="C32" i="60"/>
  <c r="D30" i="58"/>
  <c r="D30" i="59"/>
  <c r="D30" i="60"/>
  <c r="H21" i="58"/>
  <c r="H21" i="59"/>
  <c r="H21" i="60"/>
  <c r="F23" i="59"/>
  <c r="I6" i="60"/>
  <c r="D8" i="60"/>
  <c r="G8" i="60"/>
  <c r="G22" i="58"/>
  <c r="H22" i="58"/>
  <c r="I22" i="58"/>
  <c r="I33" i="58"/>
  <c r="G22" i="59"/>
  <c r="H22" i="59"/>
  <c r="I22" i="59"/>
  <c r="I33" i="59"/>
  <c r="I33" i="60"/>
  <c r="I19" i="58"/>
  <c r="J19" i="58"/>
  <c r="I19" i="59"/>
  <c r="J19" i="59"/>
  <c r="J19" i="60"/>
  <c r="H7" i="60"/>
  <c r="G6" i="60"/>
  <c r="G20" i="58"/>
  <c r="G23" i="58"/>
  <c r="G20" i="59"/>
  <c r="G23" i="59"/>
  <c r="G23" i="60"/>
  <c r="I19" i="60"/>
  <c r="H18" i="58"/>
  <c r="I18" i="58"/>
  <c r="J18" i="58"/>
  <c r="J29" i="58"/>
  <c r="H18" i="59"/>
  <c r="I18" i="59"/>
  <c r="J18" i="59"/>
  <c r="J29" i="59"/>
  <c r="J29" i="60"/>
  <c r="K17" i="60"/>
  <c r="E17" i="60"/>
  <c r="J9" i="60"/>
  <c r="G12" i="59"/>
  <c r="G26" i="58"/>
  <c r="G26" i="59"/>
  <c r="G26" i="60"/>
  <c r="H20" i="58"/>
  <c r="I20" i="58"/>
  <c r="J20" i="58"/>
  <c r="I21" i="58"/>
  <c r="J21" i="58"/>
  <c r="J22" i="58"/>
  <c r="J23" i="58"/>
  <c r="H20" i="59"/>
  <c r="I20" i="59"/>
  <c r="J20" i="59"/>
  <c r="I21" i="59"/>
  <c r="J21" i="59"/>
  <c r="J22" i="59"/>
  <c r="J23" i="59"/>
  <c r="J23" i="60"/>
  <c r="E29" i="58"/>
  <c r="E29" i="59"/>
  <c r="E29" i="60"/>
  <c r="H32" i="58"/>
  <c r="H32" i="59"/>
  <c r="H32" i="60"/>
  <c r="K21" i="58"/>
  <c r="L21" i="58"/>
  <c r="K21" i="59"/>
  <c r="L21" i="59"/>
  <c r="L21" i="60"/>
  <c r="K19" i="58"/>
  <c r="K30" i="58"/>
  <c r="K19" i="59"/>
  <c r="K30" i="59"/>
  <c r="K30" i="60"/>
  <c r="K12" i="58"/>
  <c r="K16" i="58"/>
  <c r="K18" i="58"/>
  <c r="K20" i="58"/>
  <c r="K22" i="58"/>
  <c r="K23" i="58"/>
  <c r="K34" i="58"/>
  <c r="K12" i="59"/>
  <c r="K16" i="59"/>
  <c r="K18" i="59"/>
  <c r="K20" i="59"/>
  <c r="K22" i="59"/>
  <c r="K23" i="59"/>
  <c r="K34" i="59"/>
  <c r="K34" i="60"/>
  <c r="C115" i="30" a="1"/>
  <c r="C97" i="30" a="1"/>
  <c r="C106" i="30" a="1"/>
  <c r="D4" i="60"/>
  <c r="G15" i="60"/>
  <c r="C31" i="58"/>
  <c r="C31" i="59"/>
  <c r="C31" i="60"/>
  <c r="D31" i="58"/>
  <c r="D31" i="59"/>
  <c r="D31" i="60"/>
  <c r="E32" i="58"/>
  <c r="E32" i="59"/>
  <c r="E32" i="60"/>
  <c r="D6" i="60"/>
  <c r="E18" i="60"/>
  <c r="G12" i="58"/>
  <c r="G34" i="58"/>
  <c r="G34" i="59"/>
  <c r="G34" i="60"/>
  <c r="I7" i="60"/>
  <c r="J31" i="58"/>
  <c r="J31" i="59"/>
  <c r="J31" i="60"/>
  <c r="H12" i="58"/>
  <c r="H23" i="58"/>
  <c r="H34" i="58"/>
  <c r="H12" i="59"/>
  <c r="H23" i="59"/>
  <c r="H34" i="59"/>
  <c r="H34" i="60"/>
  <c r="K7" i="60"/>
  <c r="D10" i="60"/>
  <c r="C33" i="58"/>
  <c r="C33" i="59"/>
  <c r="C33" i="60"/>
  <c r="F10" i="60"/>
  <c r="F6" i="60"/>
  <c r="F23" i="58"/>
  <c r="F23" i="60"/>
  <c r="G16" i="60"/>
  <c r="H30" i="58"/>
  <c r="H30" i="59"/>
  <c r="H30" i="60"/>
  <c r="I5" i="60"/>
  <c r="D7" i="60"/>
  <c r="D11" i="60"/>
  <c r="F20" i="60"/>
  <c r="F5" i="60"/>
  <c r="G4" i="60"/>
  <c r="I8" i="60"/>
  <c r="F21" i="60"/>
  <c r="F29" i="58"/>
  <c r="F29" i="59"/>
  <c r="F29" i="60"/>
  <c r="F12" i="59"/>
  <c r="J22" i="60"/>
  <c r="L16" i="58"/>
  <c r="L16" i="59"/>
  <c r="L16" i="60"/>
  <c r="D24" i="59" a="1"/>
  <c r="C88" i="30" a="1"/>
  <c r="D9" i="60"/>
  <c r="D16" i="60"/>
  <c r="D18" i="60"/>
  <c r="E26" i="58"/>
  <c r="E26" i="59"/>
  <c r="E26" i="60"/>
  <c r="I9" i="60"/>
  <c r="F16" i="60"/>
  <c r="D13" i="59" a="1"/>
  <c r="I12" i="59"/>
  <c r="J13" i="59"/>
  <c r="H13" i="59"/>
  <c r="L12" i="59"/>
  <c r="L13" i="59"/>
  <c r="E12" i="59"/>
  <c r="E13" i="59"/>
  <c r="D13" i="59"/>
  <c r="I13" i="59"/>
  <c r="F13" i="59"/>
  <c r="G13" i="59"/>
  <c r="K13" i="59"/>
  <c r="G31" i="58"/>
  <c r="G31" i="59"/>
  <c r="G31" i="60"/>
  <c r="H31" i="58"/>
  <c r="H31" i="59"/>
  <c r="H31" i="60"/>
  <c r="H26" i="58"/>
  <c r="H26" i="59"/>
  <c r="H26" i="60"/>
  <c r="H17" i="60"/>
  <c r="I26" i="58"/>
  <c r="I26" i="59"/>
  <c r="I26" i="60"/>
  <c r="K6" i="60"/>
  <c r="L10" i="60"/>
  <c r="G33" i="58"/>
  <c r="G33" i="59"/>
  <c r="G33" i="60"/>
  <c r="L9" i="60"/>
  <c r="H5" i="60"/>
  <c r="I11" i="60"/>
  <c r="L22" i="58"/>
  <c r="L22" i="59"/>
  <c r="L22" i="60"/>
  <c r="D22" i="60"/>
  <c r="D29" i="58"/>
  <c r="D29" i="59"/>
  <c r="D29" i="60"/>
  <c r="E5" i="60"/>
  <c r="G20" i="60"/>
  <c r="I29" i="58"/>
  <c r="I29" i="59"/>
  <c r="I29" i="60"/>
  <c r="H4" i="60"/>
  <c r="G9" i="60"/>
  <c r="E12" i="58"/>
  <c r="E23" i="58"/>
  <c r="E34" i="58"/>
  <c r="E23" i="59"/>
  <c r="E34" i="59"/>
  <c r="E34" i="60"/>
  <c r="F26" i="58"/>
  <c r="F26" i="59"/>
  <c r="F26" i="60"/>
  <c r="H23" i="60"/>
  <c r="L19" i="58"/>
  <c r="L30" i="58"/>
  <c r="L19" i="59"/>
  <c r="L30" i="59"/>
  <c r="L30" i="60"/>
  <c r="K16" i="60"/>
  <c r="I12" i="58"/>
  <c r="I4" i="60"/>
  <c r="D23" i="58"/>
  <c r="D34" i="58"/>
  <c r="D23" i="59"/>
  <c r="D34" i="59"/>
  <c r="D34" i="60"/>
  <c r="E20" i="60"/>
  <c r="E6" i="60"/>
  <c r="F17" i="60"/>
  <c r="E16" i="60"/>
  <c r="E24" i="59"/>
  <c r="E35" i="59"/>
  <c r="K24" i="59"/>
  <c r="K35" i="59"/>
  <c r="H24" i="59"/>
  <c r="H35" i="59"/>
  <c r="C35" i="59"/>
  <c r="F24" i="59"/>
  <c r="F35" i="59"/>
  <c r="D24" i="59"/>
  <c r="D35" i="59"/>
  <c r="G24" i="59"/>
  <c r="G35" i="59"/>
  <c r="I23" i="59"/>
  <c r="I24" i="59"/>
  <c r="I35" i="59"/>
  <c r="J24" i="59"/>
  <c r="J35" i="59"/>
  <c r="L17" i="59"/>
  <c r="L18" i="59"/>
  <c r="L20" i="59"/>
  <c r="L23" i="59"/>
  <c r="L24" i="59"/>
  <c r="L35" i="59"/>
  <c r="F12" i="58"/>
  <c r="F34" i="58"/>
  <c r="F34" i="59"/>
  <c r="F34" i="60"/>
  <c r="H33" i="58"/>
  <c r="H33" i="59"/>
  <c r="H33" i="60"/>
  <c r="I27" i="58"/>
  <c r="I27" i="59"/>
  <c r="I27" i="60"/>
  <c r="J10" i="60"/>
  <c r="J18" i="60"/>
  <c r="L7" i="60"/>
  <c r="D5" i="60"/>
  <c r="E12" i="60"/>
  <c r="F18" i="60"/>
  <c r="G7" i="60"/>
  <c r="F15" i="60"/>
  <c r="J21" i="60"/>
  <c r="G30" i="58"/>
  <c r="G30" i="59"/>
  <c r="G30" i="60"/>
  <c r="K21" i="60"/>
  <c r="I30" i="58"/>
  <c r="I30" i="59"/>
  <c r="I30" i="60"/>
  <c r="I18" i="60"/>
  <c r="I23" i="58"/>
  <c r="I34" i="58"/>
  <c r="I34" i="59"/>
  <c r="I34" i="60"/>
  <c r="J16" i="60"/>
  <c r="D26" i="58"/>
  <c r="D26" i="59"/>
  <c r="D26" i="60"/>
  <c r="E31" i="58"/>
  <c r="E31" i="59"/>
  <c r="E31" i="60"/>
  <c r="G21" i="60"/>
  <c r="F7" i="60"/>
  <c r="E22" i="60"/>
  <c r="F11" i="60"/>
  <c r="F19" i="60"/>
  <c r="K9" i="60"/>
  <c r="H8" i="60"/>
  <c r="I31" i="58"/>
  <c r="I31" i="59"/>
  <c r="I31" i="60"/>
  <c r="H12" i="60"/>
  <c r="J7" i="60"/>
  <c r="J6" i="60"/>
  <c r="K31" i="58"/>
  <c r="K31" i="59"/>
  <c r="K31" i="60"/>
  <c r="K12" i="60"/>
  <c r="K11" i="60"/>
  <c r="L12" i="58"/>
  <c r="L12" i="60"/>
  <c r="D17" i="60"/>
  <c r="D28" i="58"/>
  <c r="D28" i="59"/>
  <c r="D28" i="60"/>
  <c r="C35" i="58"/>
  <c r="E15" i="60"/>
  <c r="F30" i="58"/>
  <c r="F30" i="59"/>
  <c r="F30" i="60"/>
  <c r="F4" i="60"/>
  <c r="G18" i="60"/>
  <c r="I17" i="60"/>
  <c r="H28" i="58"/>
  <c r="H28" i="59"/>
  <c r="H28" i="60"/>
  <c r="H27" i="58"/>
  <c r="H27" i="59"/>
  <c r="H27" i="60"/>
  <c r="K32" i="58"/>
  <c r="K32" i="59"/>
  <c r="K32" i="60"/>
  <c r="J33" i="58"/>
  <c r="J33" i="59"/>
  <c r="J33" i="60"/>
  <c r="L17" i="58"/>
  <c r="L17" i="60"/>
  <c r="K5" i="60"/>
  <c r="J34" i="58"/>
  <c r="J34" i="59"/>
  <c r="J34" i="60"/>
  <c r="J4" i="60"/>
  <c r="L19" i="60"/>
  <c r="L20" i="58"/>
  <c r="L20" i="60"/>
  <c r="L18" i="58"/>
  <c r="L29" i="58"/>
  <c r="L29" i="59"/>
  <c r="L29" i="60"/>
  <c r="D23" i="60"/>
  <c r="E33" i="58"/>
  <c r="E33" i="59"/>
  <c r="E33" i="60"/>
  <c r="F27" i="58"/>
  <c r="F27" i="59"/>
  <c r="F27" i="60"/>
  <c r="H20" i="60"/>
  <c r="H10" i="60"/>
  <c r="G5" i="60"/>
  <c r="H22" i="60"/>
  <c r="H6" i="60"/>
  <c r="J20" i="60"/>
  <c r="I22" i="60"/>
  <c r="J11" i="60"/>
  <c r="C29" i="58"/>
  <c r="C29" i="59"/>
  <c r="C29" i="60"/>
  <c r="E10" i="60"/>
  <c r="E28" i="58"/>
  <c r="E28" i="59"/>
  <c r="E28" i="60"/>
  <c r="E11" i="60"/>
  <c r="E23" i="60"/>
  <c r="G10" i="60"/>
  <c r="G12" i="60"/>
  <c r="H18" i="60"/>
  <c r="H16" i="60"/>
  <c r="I12" i="60"/>
  <c r="J5" i="60"/>
  <c r="K22" i="60"/>
  <c r="K19" i="60"/>
  <c r="D32" i="58"/>
  <c r="D32" i="59"/>
  <c r="D32" i="60"/>
  <c r="C28" i="58"/>
  <c r="C28" i="59"/>
  <c r="C28" i="60"/>
  <c r="D27" i="58"/>
  <c r="D27" i="59"/>
  <c r="D27" i="60"/>
  <c r="E19" i="60"/>
  <c r="F32" i="58"/>
  <c r="F32" i="59"/>
  <c r="F32" i="60"/>
  <c r="E4" i="60"/>
  <c r="E30" i="58"/>
  <c r="E30" i="59"/>
  <c r="E30" i="60"/>
  <c r="I21" i="60"/>
  <c r="G11" i="60"/>
  <c r="G19" i="60"/>
  <c r="G28" i="58"/>
  <c r="G28" i="59"/>
  <c r="G28" i="60"/>
  <c r="H29" i="58"/>
  <c r="H29" i="59"/>
  <c r="H29" i="60"/>
  <c r="H15" i="60"/>
  <c r="J17" i="60"/>
  <c r="K20" i="60"/>
  <c r="J26" i="58"/>
  <c r="J26" i="59"/>
  <c r="J26" i="60"/>
  <c r="K33" i="58"/>
  <c r="K33" i="59"/>
  <c r="K33" i="60"/>
  <c r="L5" i="60"/>
  <c r="L32" i="58"/>
  <c r="L32" i="59"/>
  <c r="L32" i="60"/>
  <c r="K4" i="60"/>
  <c r="K8" i="60"/>
  <c r="L8" i="60"/>
  <c r="L33" i="58"/>
  <c r="L33" i="59"/>
  <c r="L33" i="60"/>
  <c r="J30" i="58"/>
  <c r="J30" i="59"/>
  <c r="J30" i="60"/>
  <c r="K26" i="58"/>
  <c r="K26" i="59"/>
  <c r="K26" i="60"/>
  <c r="K27" i="58"/>
  <c r="K27" i="59"/>
  <c r="K27" i="60"/>
  <c r="L18" i="60"/>
  <c r="D19" i="60"/>
  <c r="C35" i="60"/>
  <c r="F28" i="58"/>
  <c r="F28" i="59"/>
  <c r="F28" i="60"/>
  <c r="G22" i="60"/>
  <c r="F12" i="60"/>
  <c r="G27" i="58"/>
  <c r="G27" i="59"/>
  <c r="G27" i="60"/>
  <c r="I32" i="58"/>
  <c r="I32" i="59"/>
  <c r="I32" i="60"/>
  <c r="I20" i="60"/>
  <c r="I16" i="60"/>
  <c r="J32" i="58"/>
  <c r="J32" i="59"/>
  <c r="J32" i="60"/>
  <c r="J8" i="60"/>
  <c r="K29" i="58"/>
  <c r="K29" i="59"/>
  <c r="K29" i="60"/>
  <c r="I23" i="60"/>
  <c r="L11" i="60"/>
  <c r="L28" i="58"/>
  <c r="L28" i="59"/>
  <c r="L28" i="60"/>
  <c r="K18" i="60"/>
  <c r="L6" i="60"/>
  <c r="L23" i="58"/>
  <c r="L23" i="60"/>
  <c r="J15" i="60"/>
  <c r="K23" i="60"/>
  <c r="K15" i="60"/>
  <c r="L15" i="60"/>
  <c r="L4" i="60"/>
  <c r="D15" i="60"/>
  <c r="C37" i="59" a="1"/>
  <c r="I43" i="59"/>
  <c r="E37" i="59"/>
  <c r="K41" i="59"/>
  <c r="J39" i="59"/>
  <c r="G41" i="59"/>
  <c r="K40" i="59"/>
  <c r="D43" i="59"/>
  <c r="I37" i="59"/>
  <c r="L27" i="59"/>
  <c r="L31" i="59"/>
  <c r="F43" i="59"/>
  <c r="J37" i="59"/>
  <c r="J44" i="59"/>
  <c r="G42" i="59"/>
  <c r="C41" i="59"/>
  <c r="K42" i="59"/>
  <c r="I38" i="59"/>
  <c r="J41" i="59"/>
  <c r="D42" i="59"/>
  <c r="H37" i="59"/>
  <c r="I40" i="59"/>
  <c r="H38" i="59"/>
  <c r="H43" i="59"/>
  <c r="E40" i="59"/>
  <c r="I41" i="59"/>
  <c r="J40" i="59"/>
  <c r="J43" i="59"/>
  <c r="K37" i="59"/>
  <c r="E39" i="59"/>
  <c r="H40" i="59"/>
  <c r="L37" i="59"/>
  <c r="F37" i="59"/>
  <c r="F41" i="59"/>
  <c r="E44" i="59"/>
  <c r="I15" i="60"/>
  <c r="L34" i="59"/>
  <c r="L31" i="58"/>
  <c r="L31" i="60"/>
  <c r="L27" i="58"/>
  <c r="L27" i="60"/>
  <c r="L34" i="58"/>
  <c r="L34" i="60"/>
  <c r="C676" i="1" a="1"/>
  <c r="D647" i="1" a="1"/>
  <c r="D647" i="1"/>
  <c r="E647" i="1"/>
  <c r="F647" i="1"/>
  <c r="G647" i="1"/>
  <c r="H647" i="1"/>
  <c r="I647" i="1"/>
  <c r="J647" i="1"/>
  <c r="K647" i="1"/>
  <c r="K682" i="1"/>
  <c r="G679" i="1"/>
  <c r="E676" i="1"/>
  <c r="D682" i="1"/>
  <c r="L647" i="1"/>
  <c r="L683" i="1"/>
  <c r="K683" i="1"/>
  <c r="J678" i="1"/>
  <c r="I679" i="1"/>
  <c r="G681" i="1"/>
  <c r="E683" i="1"/>
  <c r="K681" i="1"/>
  <c r="J682" i="1"/>
  <c r="H682" i="1"/>
  <c r="G683" i="1"/>
  <c r="E680" i="1"/>
  <c r="K676" i="1"/>
  <c r="G676" i="1"/>
  <c r="E677" i="1"/>
  <c r="C683" i="1"/>
  <c r="C682" i="1"/>
  <c r="L677" i="1"/>
  <c r="I680" i="1"/>
  <c r="G678" i="1"/>
  <c r="E682" i="1"/>
  <c r="D679" i="1"/>
  <c r="L680" i="1"/>
  <c r="K678" i="1"/>
  <c r="I678" i="1"/>
  <c r="H680" i="1"/>
  <c r="F679" i="1"/>
  <c r="D678" i="1"/>
  <c r="K677" i="1"/>
  <c r="J676" i="1"/>
  <c r="H683" i="1"/>
  <c r="F678" i="1"/>
  <c r="E679" i="1"/>
  <c r="J679" i="1"/>
  <c r="G680" i="1"/>
  <c r="D683" i="1"/>
  <c r="C676" i="1"/>
  <c r="K679" i="1"/>
  <c r="H678" i="1"/>
  <c r="F683" i="1"/>
  <c r="D676" i="1"/>
  <c r="C680" i="1"/>
  <c r="L676" i="1"/>
  <c r="J681" i="1"/>
  <c r="I681" i="1"/>
  <c r="G677" i="1"/>
  <c r="F676" i="1"/>
  <c r="L678" i="1"/>
  <c r="J683" i="1"/>
  <c r="I682" i="1"/>
  <c r="H677" i="1"/>
  <c r="E681" i="1"/>
  <c r="L681" i="1"/>
  <c r="H679" i="1"/>
  <c r="F680" i="1"/>
  <c r="C677" i="1"/>
  <c r="C681" i="1"/>
  <c r="G682" i="1"/>
  <c r="J677" i="1"/>
  <c r="D680" i="1"/>
  <c r="F681" i="1"/>
  <c r="D681" i="1"/>
  <c r="E678" i="1"/>
  <c r="I683" i="1"/>
  <c r="K680" i="1"/>
  <c r="D677" i="1"/>
  <c r="C678" i="1"/>
  <c r="L679" i="1"/>
  <c r="C679" i="1"/>
  <c r="H676" i="1"/>
  <c r="J680" i="1"/>
  <c r="I676" i="1"/>
  <c r="I677" i="1"/>
  <c r="L682" i="1"/>
  <c r="F677" i="1"/>
  <c r="H681" i="1"/>
  <c r="F682" i="1"/>
  <c r="C667" i="1" a="1"/>
  <c r="J669" i="1"/>
  <c r="G674" i="1"/>
  <c r="E673" i="1"/>
  <c r="L670" i="1"/>
  <c r="K669" i="1"/>
  <c r="I670" i="1"/>
  <c r="H673" i="1"/>
  <c r="F667" i="1"/>
  <c r="D672" i="1"/>
  <c r="J672" i="1"/>
  <c r="H672" i="1"/>
  <c r="F669" i="1"/>
  <c r="D673" i="1"/>
  <c r="L671" i="1"/>
  <c r="K668" i="1"/>
  <c r="I673" i="1"/>
  <c r="H668" i="1"/>
  <c r="E668" i="1"/>
  <c r="D674" i="1"/>
  <c r="C673" i="1"/>
  <c r="J667" i="1"/>
  <c r="F673" i="1"/>
  <c r="D667" i="1"/>
  <c r="L668" i="1"/>
  <c r="K671" i="1"/>
  <c r="H670" i="1"/>
  <c r="G669" i="1"/>
  <c r="E674" i="1"/>
  <c r="D669" i="1"/>
  <c r="J670" i="1"/>
  <c r="G673" i="1"/>
  <c r="F668" i="1"/>
  <c r="C674" i="1"/>
  <c r="L669" i="1"/>
  <c r="J673" i="1"/>
  <c r="I669" i="1"/>
  <c r="G667" i="1"/>
  <c r="E672" i="1"/>
  <c r="C669" i="1"/>
  <c r="C668" i="1"/>
  <c r="J668" i="1"/>
  <c r="H667" i="1"/>
  <c r="E671" i="1"/>
  <c r="C671" i="1"/>
  <c r="K674" i="1"/>
  <c r="I667" i="1"/>
  <c r="H674" i="1"/>
  <c r="F671" i="1"/>
  <c r="D668" i="1"/>
  <c r="K667" i="1"/>
  <c r="I672" i="1"/>
  <c r="G671" i="1"/>
  <c r="E667" i="1"/>
  <c r="L673" i="1"/>
  <c r="K673" i="1"/>
  <c r="I674" i="1"/>
  <c r="H669" i="1"/>
  <c r="G672" i="1"/>
  <c r="D671" i="1"/>
  <c r="C670" i="1"/>
  <c r="K672" i="1"/>
  <c r="L674" i="1"/>
  <c r="E669" i="1"/>
  <c r="F672" i="1"/>
  <c r="I671" i="1"/>
  <c r="I668" i="1"/>
  <c r="K670" i="1"/>
  <c r="L667" i="1"/>
  <c r="C667" i="1"/>
  <c r="G668" i="1"/>
  <c r="F674" i="1"/>
  <c r="H671" i="1"/>
  <c r="J674" i="1"/>
  <c r="L672" i="1"/>
  <c r="E670" i="1"/>
  <c r="D670" i="1"/>
  <c r="F670" i="1"/>
  <c r="G670" i="1"/>
  <c r="J671" i="1"/>
  <c r="C672" i="1"/>
  <c r="C685" i="1" a="1"/>
  <c r="L686" i="1"/>
  <c r="K692" i="1"/>
  <c r="I691" i="1"/>
  <c r="G692" i="1"/>
  <c r="D688" i="1"/>
  <c r="L687" i="1"/>
  <c r="K686" i="1"/>
  <c r="I688" i="1"/>
  <c r="G686" i="1"/>
  <c r="E685" i="1"/>
  <c r="D687" i="1"/>
  <c r="L692" i="1"/>
  <c r="I690" i="1"/>
  <c r="G688" i="1"/>
  <c r="D690" i="1"/>
  <c r="L685" i="1"/>
  <c r="J692" i="1"/>
  <c r="H689" i="1"/>
  <c r="F690" i="1"/>
  <c r="E687" i="1"/>
  <c r="C685" i="1"/>
  <c r="K688" i="1"/>
  <c r="H691" i="1"/>
  <c r="F686" i="1"/>
  <c r="C686" i="1"/>
  <c r="K689" i="1"/>
  <c r="J687" i="1"/>
  <c r="H688" i="1"/>
  <c r="F688" i="1"/>
  <c r="E691" i="1"/>
  <c r="D685" i="1"/>
  <c r="L690" i="1"/>
  <c r="I686" i="1"/>
  <c r="G687" i="1"/>
  <c r="D691" i="1"/>
  <c r="K691" i="1"/>
  <c r="I692" i="1"/>
  <c r="G690" i="1"/>
  <c r="E689" i="1"/>
  <c r="D689" i="1"/>
  <c r="C687" i="1"/>
  <c r="L689" i="1"/>
  <c r="I685" i="1"/>
  <c r="H687" i="1"/>
  <c r="E692" i="1"/>
  <c r="C690" i="1"/>
  <c r="K687" i="1"/>
  <c r="J690" i="1"/>
  <c r="G685" i="1"/>
  <c r="F691" i="1"/>
  <c r="D686" i="1"/>
  <c r="L688" i="1"/>
  <c r="J689" i="1"/>
  <c r="H692" i="1"/>
  <c r="F692" i="1"/>
  <c r="L691" i="1"/>
  <c r="J685" i="1"/>
  <c r="H686" i="1"/>
  <c r="F689" i="1"/>
  <c r="E686" i="1"/>
  <c r="C688" i="1"/>
  <c r="C689" i="1"/>
  <c r="F685" i="1"/>
  <c r="I689" i="1"/>
  <c r="I687" i="1"/>
  <c r="J688" i="1"/>
  <c r="K690" i="1"/>
  <c r="E688" i="1"/>
  <c r="G691" i="1"/>
  <c r="G689" i="1"/>
  <c r="H685" i="1"/>
  <c r="J686" i="1"/>
  <c r="C692" i="1"/>
  <c r="C691" i="1"/>
  <c r="E690" i="1"/>
  <c r="F687" i="1"/>
  <c r="H690" i="1"/>
  <c r="K685" i="1"/>
  <c r="J691" i="1"/>
  <c r="D692" i="1"/>
  <c r="C649" i="1" a="1"/>
  <c r="L653" i="1"/>
  <c r="J652" i="1"/>
  <c r="I655" i="1"/>
  <c r="H656" i="1"/>
  <c r="G650" i="1"/>
  <c r="E656" i="1"/>
  <c r="L651" i="1"/>
  <c r="H650" i="1"/>
  <c r="E650" i="1"/>
  <c r="C651" i="1"/>
  <c r="K649" i="1"/>
  <c r="I653" i="1"/>
  <c r="G649" i="1"/>
  <c r="E654" i="1"/>
  <c r="D651" i="1"/>
  <c r="K652" i="1"/>
  <c r="I652" i="1"/>
  <c r="F650" i="1"/>
  <c r="D652" i="1"/>
  <c r="C656" i="1"/>
  <c r="L652" i="1"/>
  <c r="L656" i="1"/>
  <c r="J654" i="1"/>
  <c r="I656" i="1"/>
  <c r="H655" i="1"/>
  <c r="G652" i="1"/>
  <c r="D655" i="1"/>
  <c r="K651" i="1"/>
  <c r="H654" i="1"/>
  <c r="E651" i="1"/>
  <c r="L649" i="1"/>
  <c r="J655" i="1"/>
  <c r="I654" i="1"/>
  <c r="F649" i="1"/>
  <c r="E652" i="1"/>
  <c r="C649" i="1"/>
  <c r="K656" i="1"/>
  <c r="H653" i="1"/>
  <c r="F654" i="1"/>
  <c r="C653" i="1"/>
  <c r="L655" i="1"/>
  <c r="K650" i="1"/>
  <c r="J653" i="1"/>
  <c r="H649" i="1"/>
  <c r="G651" i="1"/>
  <c r="E653" i="1"/>
  <c r="C652" i="1"/>
  <c r="I649" i="1"/>
  <c r="F651" i="1"/>
  <c r="D650" i="1"/>
  <c r="K654" i="1"/>
  <c r="I650" i="1"/>
  <c r="G653" i="1"/>
  <c r="E655" i="1"/>
  <c r="D656" i="1"/>
  <c r="L654" i="1"/>
  <c r="J650" i="1"/>
  <c r="F655" i="1"/>
  <c r="D653" i="1"/>
  <c r="C650" i="1"/>
  <c r="K653" i="1"/>
  <c r="F653" i="1"/>
  <c r="E649" i="1"/>
  <c r="F652" i="1"/>
  <c r="G656" i="1"/>
  <c r="J649" i="1"/>
  <c r="D654" i="1"/>
  <c r="K655" i="1"/>
  <c r="D649" i="1"/>
  <c r="F656" i="1"/>
  <c r="H651" i="1"/>
  <c r="J656" i="1"/>
  <c r="I651" i="1"/>
  <c r="C654" i="1"/>
  <c r="C655" i="1"/>
  <c r="L650" i="1"/>
  <c r="G654" i="1"/>
  <c r="G655" i="1"/>
  <c r="H652" i="1"/>
  <c r="J651" i="1"/>
  <c r="C658" i="1" a="1"/>
  <c r="K665" i="1"/>
  <c r="G663" i="1"/>
  <c r="F664" i="1"/>
  <c r="E663" i="1"/>
  <c r="L664" i="1"/>
  <c r="I664" i="1"/>
  <c r="G658" i="1"/>
  <c r="D664" i="1"/>
  <c r="L658" i="1"/>
  <c r="K659" i="1"/>
  <c r="I663" i="1"/>
  <c r="F662" i="1"/>
  <c r="D658" i="1"/>
  <c r="K658" i="1"/>
  <c r="J665" i="1"/>
  <c r="I662" i="1"/>
  <c r="H664" i="1"/>
  <c r="E658" i="1"/>
  <c r="D665" i="1"/>
  <c r="C664" i="1"/>
  <c r="L663" i="1"/>
  <c r="J664" i="1"/>
  <c r="G659" i="1"/>
  <c r="F665" i="1"/>
  <c r="D663" i="1"/>
  <c r="J662" i="1"/>
  <c r="H661" i="1"/>
  <c r="G665" i="1"/>
  <c r="C658" i="1"/>
  <c r="L661" i="1"/>
  <c r="K661" i="1"/>
  <c r="H658" i="1"/>
  <c r="F661" i="1"/>
  <c r="C661" i="1"/>
  <c r="K663" i="1"/>
  <c r="J658" i="1"/>
  <c r="H663" i="1"/>
  <c r="G661" i="1"/>
  <c r="E661" i="1"/>
  <c r="C660" i="1"/>
  <c r="K660" i="1"/>
  <c r="I665" i="1"/>
  <c r="F659" i="1"/>
  <c r="E665" i="1"/>
  <c r="D659" i="1"/>
  <c r="I659" i="1"/>
  <c r="G660" i="1"/>
  <c r="E664" i="1"/>
  <c r="C665" i="1"/>
  <c r="K662" i="1"/>
  <c r="J659" i="1"/>
  <c r="H659" i="1"/>
  <c r="D661" i="1"/>
  <c r="L659" i="1"/>
  <c r="J660" i="1"/>
  <c r="I658" i="1"/>
  <c r="H665" i="1"/>
  <c r="F660" i="1"/>
  <c r="D662" i="1"/>
  <c r="C663" i="1"/>
  <c r="I660" i="1"/>
  <c r="J661" i="1"/>
  <c r="L662" i="1"/>
  <c r="L665" i="1"/>
  <c r="G662" i="1"/>
  <c r="F663" i="1"/>
  <c r="G664" i="1"/>
  <c r="J663" i="1"/>
  <c r="K664" i="1"/>
  <c r="E662" i="1"/>
  <c r="E659" i="1"/>
  <c r="F658" i="1"/>
  <c r="H662" i="1"/>
  <c r="I661" i="1"/>
  <c r="C659" i="1"/>
  <c r="L660" i="1"/>
  <c r="D660" i="1"/>
  <c r="C662" i="1"/>
  <c r="E660" i="1"/>
  <c r="H660" i="1"/>
  <c r="C694" i="1" a="1"/>
  <c r="H694" i="1"/>
  <c r="I694" i="1"/>
  <c r="F694" i="1"/>
  <c r="L694" i="1"/>
  <c r="D694" i="1"/>
  <c r="G694" i="1"/>
  <c r="C694" i="1"/>
  <c r="K694" i="1"/>
  <c r="J694" i="1"/>
  <c r="E694" i="1"/>
  <c r="C638" i="1" a="1"/>
  <c r="D591" i="1" a="1"/>
  <c r="D591" i="1"/>
  <c r="E591" i="1"/>
  <c r="F591" i="1"/>
  <c r="G591" i="1"/>
  <c r="H591" i="1"/>
  <c r="I591" i="1"/>
  <c r="J591" i="1"/>
  <c r="J638" i="1"/>
  <c r="E638" i="1"/>
  <c r="C638" i="1"/>
  <c r="K591" i="1"/>
  <c r="K638" i="1"/>
  <c r="D638" i="1"/>
  <c r="I638" i="1"/>
  <c r="G638" i="1"/>
  <c r="L591" i="1"/>
  <c r="L638" i="1"/>
  <c r="H638" i="1"/>
  <c r="F638" i="1"/>
  <c r="C593" i="1" a="1"/>
  <c r="L599" i="1"/>
  <c r="K596" i="1"/>
  <c r="H593" i="1"/>
  <c r="G593" i="1"/>
  <c r="L594" i="1"/>
  <c r="H597" i="1"/>
  <c r="F598" i="1"/>
  <c r="D600" i="1"/>
  <c r="L600" i="1"/>
  <c r="G594" i="1"/>
  <c r="K593" i="1"/>
  <c r="I594" i="1"/>
  <c r="G600" i="1"/>
  <c r="F595" i="1"/>
  <c r="C595" i="1"/>
  <c r="J593" i="1"/>
  <c r="H600" i="1"/>
  <c r="F593" i="1"/>
  <c r="D596" i="1"/>
  <c r="C597" i="1"/>
  <c r="L598" i="1"/>
  <c r="K597" i="1"/>
  <c r="I600" i="1"/>
  <c r="G598" i="1"/>
  <c r="D594" i="1"/>
  <c r="I596" i="1"/>
  <c r="G597" i="1"/>
  <c r="E597" i="1"/>
  <c r="L596" i="1"/>
  <c r="H596" i="1"/>
  <c r="L597" i="1"/>
  <c r="J594" i="1"/>
  <c r="G599" i="1"/>
  <c r="F594" i="1"/>
  <c r="C596" i="1"/>
  <c r="J598" i="1"/>
  <c r="I598" i="1"/>
  <c r="F599" i="1"/>
  <c r="E598" i="1"/>
  <c r="C598" i="1"/>
  <c r="C593" i="1"/>
  <c r="K598" i="1"/>
  <c r="F596" i="1"/>
  <c r="H599" i="1"/>
  <c r="D597" i="1"/>
  <c r="E594" i="1"/>
  <c r="I597" i="1"/>
  <c r="E599" i="1"/>
  <c r="J596" i="1"/>
  <c r="E600" i="1"/>
  <c r="C594" i="1"/>
  <c r="I595" i="1"/>
  <c r="D598" i="1"/>
  <c r="G595" i="1"/>
  <c r="L595" i="1"/>
  <c r="D593" i="1"/>
  <c r="I599" i="1"/>
  <c r="D599" i="1"/>
  <c r="I593" i="1"/>
  <c r="E596" i="1"/>
  <c r="C599" i="1"/>
  <c r="H594" i="1"/>
  <c r="L593" i="1"/>
  <c r="E593" i="1"/>
  <c r="K599" i="1"/>
  <c r="J600" i="1"/>
  <c r="F600" i="1"/>
  <c r="K595" i="1"/>
  <c r="H598" i="1"/>
  <c r="D595" i="1"/>
  <c r="K594" i="1"/>
  <c r="H595" i="1"/>
  <c r="J595" i="1"/>
  <c r="E595" i="1"/>
  <c r="J597" i="1"/>
  <c r="J599" i="1"/>
  <c r="F597" i="1"/>
  <c r="K600" i="1"/>
  <c r="G596" i="1"/>
  <c r="C600" i="1"/>
  <c r="C602" i="1" a="1"/>
  <c r="J608" i="1"/>
  <c r="I608" i="1"/>
  <c r="G603" i="1"/>
  <c r="L604" i="1"/>
  <c r="K607" i="1"/>
  <c r="H609" i="1"/>
  <c r="L607" i="1"/>
  <c r="J603" i="1"/>
  <c r="G608" i="1"/>
  <c r="K605" i="1"/>
  <c r="H608" i="1"/>
  <c r="G602" i="1"/>
  <c r="D604" i="1"/>
  <c r="E603" i="1"/>
  <c r="D607" i="1"/>
  <c r="K604" i="1"/>
  <c r="G605" i="1"/>
  <c r="E602" i="1"/>
  <c r="C603" i="1"/>
  <c r="C604" i="1"/>
  <c r="J609" i="1"/>
  <c r="I605" i="1"/>
  <c r="G607" i="1"/>
  <c r="L603" i="1"/>
  <c r="I603" i="1"/>
  <c r="F606" i="1"/>
  <c r="K608" i="1"/>
  <c r="J604" i="1"/>
  <c r="F602" i="1"/>
  <c r="J602" i="1"/>
  <c r="H606" i="1"/>
  <c r="F609" i="1"/>
  <c r="D609" i="1"/>
  <c r="E606" i="1"/>
  <c r="D602" i="1"/>
  <c r="J605" i="1"/>
  <c r="F608" i="1"/>
  <c r="D603" i="1"/>
  <c r="C609" i="1"/>
  <c r="C608" i="1"/>
  <c r="J606" i="1"/>
  <c r="H603" i="1"/>
  <c r="F604" i="1"/>
  <c r="L606" i="1"/>
  <c r="I604" i="1"/>
  <c r="E609" i="1"/>
  <c r="K603" i="1"/>
  <c r="H602" i="1"/>
  <c r="E608" i="1"/>
  <c r="I602" i="1"/>
  <c r="G604" i="1"/>
  <c r="E605" i="1"/>
  <c r="G609" i="1"/>
  <c r="E604" i="1"/>
  <c r="K602" i="1"/>
  <c r="J607" i="1"/>
  <c r="F603" i="1"/>
  <c r="D605" i="1"/>
  <c r="C607" i="1"/>
  <c r="C606" i="1"/>
  <c r="L605" i="1"/>
  <c r="I606" i="1"/>
  <c r="H605" i="1"/>
  <c r="D608" i="1"/>
  <c r="L609" i="1"/>
  <c r="I609" i="1"/>
  <c r="L608" i="1"/>
  <c r="K606" i="1"/>
  <c r="H604" i="1"/>
  <c r="L602" i="1"/>
  <c r="H607" i="1"/>
  <c r="G606" i="1"/>
  <c r="E607" i="1"/>
  <c r="F607" i="1"/>
  <c r="D606" i="1"/>
  <c r="K609" i="1"/>
  <c r="I607" i="1"/>
  <c r="F605" i="1"/>
  <c r="C605" i="1"/>
  <c r="C602" i="1"/>
  <c r="C620" i="1" a="1"/>
  <c r="L622" i="1"/>
  <c r="J627" i="1"/>
  <c r="G626" i="1"/>
  <c r="L623" i="1"/>
  <c r="K622" i="1"/>
  <c r="J621" i="1"/>
  <c r="J623" i="1"/>
  <c r="I624" i="1"/>
  <c r="F626" i="1"/>
  <c r="K627" i="1"/>
  <c r="H623" i="1"/>
  <c r="D621" i="1"/>
  <c r="K621" i="1"/>
  <c r="J624" i="1"/>
  <c r="J625" i="1"/>
  <c r="I620" i="1"/>
  <c r="G621" i="1"/>
  <c r="L621" i="1"/>
  <c r="K626" i="1"/>
  <c r="H621" i="1"/>
  <c r="E626" i="1"/>
  <c r="F621" i="1"/>
  <c r="D624" i="1"/>
  <c r="D622" i="1"/>
  <c r="C621" i="1"/>
  <c r="H627" i="1"/>
  <c r="F625" i="1"/>
  <c r="D623" i="1"/>
  <c r="C622" i="1"/>
  <c r="J626" i="1"/>
  <c r="L620" i="1"/>
  <c r="H626" i="1"/>
  <c r="H620" i="1"/>
  <c r="L627" i="1"/>
  <c r="I626" i="1"/>
  <c r="F622" i="1"/>
  <c r="E625" i="1"/>
  <c r="D627" i="1"/>
  <c r="C627" i="1"/>
  <c r="H622" i="1"/>
  <c r="E624" i="1"/>
  <c r="C625" i="1"/>
  <c r="I622" i="1"/>
  <c r="L626" i="1"/>
  <c r="F620" i="1"/>
  <c r="G627" i="1"/>
  <c r="K620" i="1"/>
  <c r="I623" i="1"/>
  <c r="E623" i="1"/>
  <c r="E627" i="1"/>
  <c r="D625" i="1"/>
  <c r="I627" i="1"/>
  <c r="G623" i="1"/>
  <c r="E621" i="1"/>
  <c r="L624" i="1"/>
  <c r="G624" i="1"/>
  <c r="K625" i="1"/>
  <c r="I625" i="1"/>
  <c r="E622" i="1"/>
  <c r="K624" i="1"/>
  <c r="G622" i="1"/>
  <c r="D626" i="1"/>
  <c r="E620" i="1"/>
  <c r="C623" i="1"/>
  <c r="H624" i="1"/>
  <c r="G620" i="1"/>
  <c r="C624" i="1"/>
  <c r="K623" i="1"/>
  <c r="F627" i="1"/>
  <c r="J620" i="1"/>
  <c r="I621" i="1"/>
  <c r="L625" i="1"/>
  <c r="J622" i="1"/>
  <c r="F624" i="1"/>
  <c r="G625" i="1"/>
  <c r="D620" i="1"/>
  <c r="C620" i="1"/>
  <c r="H625" i="1"/>
  <c r="F623" i="1"/>
  <c r="C626" i="1"/>
  <c r="C611" i="1" a="1"/>
  <c r="J614" i="1"/>
  <c r="E615" i="1"/>
  <c r="I618" i="1"/>
  <c r="L617" i="1"/>
  <c r="J613" i="1"/>
  <c r="H615" i="1"/>
  <c r="F614" i="1"/>
  <c r="L611" i="1"/>
  <c r="J611" i="1"/>
  <c r="H611" i="1"/>
  <c r="D612" i="1"/>
  <c r="I613" i="1"/>
  <c r="H617" i="1"/>
  <c r="G612" i="1"/>
  <c r="E618" i="1"/>
  <c r="K616" i="1"/>
  <c r="I616" i="1"/>
  <c r="G618" i="1"/>
  <c r="E614" i="1"/>
  <c r="C611" i="1"/>
  <c r="C614" i="1"/>
  <c r="L614" i="1"/>
  <c r="F613" i="1"/>
  <c r="K613" i="1"/>
  <c r="J616" i="1"/>
  <c r="G616" i="1"/>
  <c r="D613" i="1"/>
  <c r="K612" i="1"/>
  <c r="I617" i="1"/>
  <c r="F611" i="1"/>
  <c r="L615" i="1"/>
  <c r="I615" i="1"/>
  <c r="F617" i="1"/>
  <c r="G613" i="1"/>
  <c r="D618" i="1"/>
  <c r="K614" i="1"/>
  <c r="I612" i="1"/>
  <c r="G614" i="1"/>
  <c r="E616" i="1"/>
  <c r="C615" i="1"/>
  <c r="C616" i="1"/>
  <c r="L616" i="1"/>
  <c r="E611" i="1"/>
  <c r="K618" i="1"/>
  <c r="I614" i="1"/>
  <c r="G611" i="1"/>
  <c r="D615" i="1"/>
  <c r="K617" i="1"/>
  <c r="I611" i="1"/>
  <c r="E612" i="1"/>
  <c r="L618" i="1"/>
  <c r="H614" i="1"/>
  <c r="D617" i="1"/>
  <c r="F615" i="1"/>
  <c r="D611" i="1"/>
  <c r="J618" i="1"/>
  <c r="H616" i="1"/>
  <c r="G617" i="1"/>
  <c r="D614" i="1"/>
  <c r="C618" i="1"/>
  <c r="C617" i="1"/>
  <c r="L613" i="1"/>
  <c r="E617" i="1"/>
  <c r="K611" i="1"/>
  <c r="H613" i="1"/>
  <c r="F616" i="1"/>
  <c r="L612" i="1"/>
  <c r="J615" i="1"/>
  <c r="H618" i="1"/>
  <c r="E613" i="1"/>
  <c r="J617" i="1"/>
  <c r="H612" i="1"/>
  <c r="D616" i="1"/>
  <c r="F612" i="1"/>
  <c r="K615" i="1"/>
  <c r="J612" i="1"/>
  <c r="G615" i="1"/>
  <c r="F618" i="1"/>
  <c r="C613" i="1"/>
  <c r="C612" i="1"/>
  <c r="C629" i="1" a="1"/>
  <c r="L636" i="1"/>
  <c r="J629" i="1"/>
  <c r="E629" i="1"/>
  <c r="J634" i="1"/>
  <c r="H636" i="1"/>
  <c r="E634" i="1"/>
  <c r="K629" i="1"/>
  <c r="I632" i="1"/>
  <c r="G635" i="1"/>
  <c r="D635" i="1"/>
  <c r="K636" i="1"/>
  <c r="H629" i="1"/>
  <c r="F632" i="1"/>
  <c r="C634" i="1"/>
  <c r="I633" i="1"/>
  <c r="H633" i="1"/>
  <c r="G631" i="1"/>
  <c r="E635" i="1"/>
  <c r="D632" i="1"/>
  <c r="C635" i="1"/>
  <c r="K631" i="1"/>
  <c r="G634" i="1"/>
  <c r="L632" i="1"/>
  <c r="I634" i="1"/>
  <c r="F635" i="1"/>
  <c r="L629" i="1"/>
  <c r="J630" i="1"/>
  <c r="G629" i="1"/>
  <c r="D629" i="1"/>
  <c r="L633" i="1"/>
  <c r="J636" i="1"/>
  <c r="F631" i="1"/>
  <c r="C633" i="1"/>
  <c r="J632" i="1"/>
  <c r="I635" i="1"/>
  <c r="G630" i="1"/>
  <c r="F634" i="1"/>
  <c r="D634" i="1"/>
  <c r="C631" i="1"/>
  <c r="C632" i="1"/>
  <c r="I631" i="1"/>
  <c r="J635" i="1"/>
  <c r="L635" i="1"/>
  <c r="H634" i="1"/>
  <c r="D633" i="1"/>
  <c r="E631" i="1"/>
  <c r="K632" i="1"/>
  <c r="H631" i="1"/>
  <c r="E636" i="1"/>
  <c r="C630" i="1"/>
  <c r="H635" i="1"/>
  <c r="I630" i="1"/>
  <c r="L634" i="1"/>
  <c r="H632" i="1"/>
  <c r="L630" i="1"/>
  <c r="G632" i="1"/>
  <c r="J633" i="1"/>
  <c r="H630" i="1"/>
  <c r="D631" i="1"/>
  <c r="C636" i="1"/>
  <c r="L631" i="1"/>
  <c r="E630" i="1"/>
  <c r="G636" i="1"/>
  <c r="K633" i="1"/>
  <c r="F636" i="1"/>
  <c r="K634" i="1"/>
  <c r="E632" i="1"/>
  <c r="I636" i="1"/>
  <c r="F630" i="1"/>
  <c r="D630" i="1"/>
  <c r="K630" i="1"/>
  <c r="D636" i="1"/>
  <c r="G633" i="1"/>
  <c r="K635" i="1"/>
  <c r="F633" i="1"/>
  <c r="J631" i="1"/>
  <c r="E633" i="1"/>
  <c r="I629" i="1"/>
  <c r="F629" i="1"/>
  <c r="C629" i="1"/>
  <c r="D24" i="58" a="1"/>
  <c r="L24" i="58"/>
  <c r="L24" i="60"/>
  <c r="D24" i="58"/>
  <c r="D24" i="60"/>
  <c r="J24" i="58"/>
  <c r="J24" i="60"/>
  <c r="E24" i="58"/>
  <c r="E24" i="60"/>
  <c r="G24" i="58"/>
  <c r="G24" i="60"/>
  <c r="H24" i="58"/>
  <c r="H24" i="60"/>
  <c r="I24" i="58"/>
  <c r="I24" i="60"/>
  <c r="K24" i="58"/>
  <c r="K24" i="60"/>
  <c r="F24" i="58"/>
  <c r="F24" i="60"/>
  <c r="B32" i="27" a="1"/>
  <c r="B34" i="27"/>
  <c r="B39" i="27"/>
  <c r="B32" i="27"/>
  <c r="B36" i="27"/>
  <c r="B37" i="27"/>
  <c r="B33" i="27"/>
  <c r="B38" i="27"/>
  <c r="B35" i="27"/>
  <c r="H35" i="27"/>
  <c r="J36" i="27"/>
  <c r="H38" i="27"/>
  <c r="J33" i="27"/>
  <c r="I38" i="27"/>
  <c r="J39" i="27"/>
  <c r="C33" i="27"/>
  <c r="K35" i="27"/>
  <c r="E35" i="27"/>
  <c r="I37" i="27"/>
  <c r="F39" i="27"/>
  <c r="E36" i="27"/>
  <c r="D36" i="27"/>
  <c r="C37" i="27"/>
  <c r="G32" i="27"/>
  <c r="E32" i="27"/>
  <c r="G33" i="27"/>
  <c r="K39" i="27"/>
  <c r="E33" i="27"/>
  <c r="D39" i="27"/>
  <c r="E38" i="27"/>
  <c r="J38" i="27"/>
  <c r="H33" i="27"/>
  <c r="H37" i="27"/>
  <c r="J32" i="27"/>
  <c r="K32" i="27"/>
  <c r="H32" i="27"/>
  <c r="G36" i="27"/>
  <c r="J37" i="27"/>
  <c r="C36" i="27"/>
  <c r="H36" i="27"/>
  <c r="K38" i="27"/>
  <c r="C34" i="27"/>
  <c r="D35" i="27"/>
  <c r="I34" i="27"/>
  <c r="F32" i="27"/>
  <c r="D33" i="27"/>
  <c r="J34" i="27"/>
  <c r="C35" i="27"/>
  <c r="D32" i="27"/>
  <c r="D37" i="27"/>
  <c r="G34" i="27"/>
  <c r="F36" i="27"/>
  <c r="F35" i="27"/>
  <c r="H34" i="27"/>
  <c r="F34" i="27"/>
  <c r="G39" i="27"/>
  <c r="E39" i="27"/>
  <c r="H39" i="27"/>
  <c r="J35" i="27"/>
  <c r="D34" i="27"/>
  <c r="G38" i="27"/>
  <c r="K37" i="27"/>
  <c r="G37" i="27"/>
  <c r="F33" i="27"/>
  <c r="D38" i="27"/>
  <c r="C38" i="27"/>
  <c r="E34" i="27"/>
  <c r="K34" i="27"/>
  <c r="F38" i="27"/>
  <c r="I32" i="27"/>
  <c r="K36" i="27"/>
  <c r="C32" i="27"/>
  <c r="I35" i="27"/>
  <c r="K33" i="27"/>
  <c r="F37" i="27"/>
  <c r="C39" i="27"/>
  <c r="E37" i="27"/>
  <c r="I39" i="27"/>
  <c r="I33" i="27"/>
  <c r="G35" i="27"/>
  <c r="I36" i="27"/>
  <c r="B50" i="27" a="1"/>
  <c r="D50" i="27"/>
  <c r="K50" i="27"/>
  <c r="F50" i="27"/>
  <c r="E50" i="27"/>
  <c r="B50" i="27"/>
  <c r="G50" i="27"/>
  <c r="J50" i="27"/>
  <c r="C50" i="27"/>
  <c r="I50" i="27"/>
  <c r="H50" i="27"/>
  <c r="D169" i="4" a="1"/>
  <c r="D170" i="4" a="1"/>
  <c r="B5" i="3" a="1"/>
  <c r="B5" i="3"/>
  <c r="B5" i="27" a="1"/>
  <c r="B5" i="27"/>
  <c r="B5" i="31"/>
  <c r="C141" i="28" a="1"/>
  <c r="E141" i="28"/>
  <c r="L141" i="28"/>
  <c r="G141" i="28"/>
  <c r="F141" i="28"/>
  <c r="H141" i="28"/>
  <c r="C141" i="28"/>
  <c r="K141" i="28"/>
  <c r="D141" i="28"/>
  <c r="J141" i="28"/>
  <c r="I141" i="28"/>
  <c r="B23" i="27" a="1"/>
  <c r="B23" i="27"/>
  <c r="D23" i="27"/>
  <c r="K28" i="27"/>
  <c r="D26" i="27"/>
  <c r="K29" i="27"/>
  <c r="C28" i="27"/>
  <c r="C30" i="27"/>
  <c r="F27" i="27"/>
  <c r="E29" i="27"/>
  <c r="C27" i="27"/>
  <c r="I26" i="27"/>
  <c r="B24" i="27"/>
  <c r="K24" i="27"/>
  <c r="E26" i="27"/>
  <c r="E23" i="27"/>
  <c r="G24" i="27"/>
  <c r="F26" i="27"/>
  <c r="D27" i="27"/>
  <c r="H29" i="27"/>
  <c r="B30" i="27"/>
  <c r="H24" i="27"/>
  <c r="H30" i="27"/>
  <c r="I29" i="27"/>
  <c r="F23" i="27"/>
  <c r="D30" i="27"/>
  <c r="H25" i="27"/>
  <c r="I27" i="27"/>
  <c r="B29" i="27"/>
  <c r="B28" i="27"/>
  <c r="F25" i="27"/>
  <c r="D29" i="27"/>
  <c r="J24" i="27"/>
  <c r="J29" i="27"/>
  <c r="H23" i="27"/>
  <c r="D24" i="27"/>
  <c r="F28" i="27"/>
  <c r="J23" i="27"/>
  <c r="K25" i="27"/>
  <c r="G25" i="27"/>
  <c r="C29" i="27"/>
  <c r="J28" i="27"/>
  <c r="C23" i="27"/>
  <c r="I24" i="27"/>
  <c r="C25" i="27"/>
  <c r="J27" i="27"/>
  <c r="H28" i="27"/>
  <c r="E30" i="27"/>
  <c r="G23" i="27"/>
  <c r="F24" i="27"/>
  <c r="J26" i="27"/>
  <c r="H27" i="27"/>
  <c r="D28" i="27"/>
  <c r="C26" i="27"/>
  <c r="B25" i="27"/>
  <c r="C24" i="27"/>
  <c r="E25" i="27"/>
  <c r="I30" i="27"/>
  <c r="K27" i="27"/>
  <c r="B27" i="27"/>
  <c r="G28" i="27"/>
  <c r="F29" i="27"/>
  <c r="I28" i="27"/>
  <c r="J25" i="27"/>
  <c r="F30" i="27"/>
  <c r="H26" i="27"/>
  <c r="B26" i="27"/>
  <c r="E24" i="27"/>
  <c r="E28" i="27"/>
  <c r="G30" i="27"/>
  <c r="I23" i="27"/>
  <c r="D25" i="27"/>
  <c r="E27" i="27"/>
  <c r="G27" i="27"/>
  <c r="K23" i="27"/>
  <c r="J30" i="27"/>
  <c r="G26" i="27"/>
  <c r="K30" i="27"/>
  <c r="G29" i="27"/>
  <c r="I25" i="27"/>
  <c r="K26" i="27"/>
  <c r="B14" i="3" a="1"/>
  <c r="B14" i="3"/>
  <c r="B14" i="27" a="1"/>
  <c r="B14" i="27"/>
  <c r="B14" i="31"/>
  <c r="B41" i="27" a="1"/>
  <c r="J42" i="27"/>
  <c r="H45" i="27"/>
  <c r="K47" i="27"/>
  <c r="J46" i="27"/>
  <c r="I46" i="27"/>
  <c r="H43" i="27"/>
  <c r="D48" i="27"/>
  <c r="I44" i="27"/>
  <c r="K45" i="27"/>
  <c r="B44" i="27"/>
  <c r="E46" i="27"/>
  <c r="F46" i="27"/>
  <c r="J41" i="27"/>
  <c r="G45" i="27"/>
  <c r="F41" i="27"/>
  <c r="C45" i="27"/>
  <c r="D41" i="27"/>
  <c r="F45" i="27"/>
  <c r="G41" i="27"/>
  <c r="B47" i="27"/>
  <c r="D47" i="27"/>
  <c r="E45" i="27"/>
  <c r="K42" i="27"/>
  <c r="E48" i="27"/>
  <c r="H41" i="27"/>
  <c r="F42" i="27"/>
  <c r="I41" i="27"/>
  <c r="K41" i="27"/>
  <c r="G42" i="27"/>
  <c r="C41" i="27"/>
  <c r="J47" i="27"/>
  <c r="I42" i="27"/>
  <c r="E44" i="27"/>
  <c r="I43" i="27"/>
  <c r="F43" i="27"/>
  <c r="G44" i="27"/>
  <c r="B48" i="27"/>
  <c r="G43" i="27"/>
  <c r="H47" i="27"/>
  <c r="B41" i="27"/>
  <c r="K46" i="27"/>
  <c r="D46" i="27"/>
  <c r="C48" i="27"/>
  <c r="K48" i="27"/>
  <c r="J44" i="27"/>
  <c r="C47" i="27"/>
  <c r="G46" i="27"/>
  <c r="E43" i="27"/>
  <c r="H44" i="27"/>
  <c r="B43" i="27"/>
  <c r="B46" i="27"/>
  <c r="J43" i="27"/>
  <c r="J45" i="27"/>
  <c r="C43" i="27"/>
  <c r="H46" i="27"/>
  <c r="E42" i="27"/>
  <c r="C42" i="27"/>
  <c r="H42" i="27"/>
  <c r="D43" i="27"/>
  <c r="G47" i="27"/>
  <c r="J48" i="27"/>
  <c r="B42" i="27"/>
  <c r="I47" i="27"/>
  <c r="D42" i="27"/>
  <c r="F48" i="27"/>
  <c r="D44" i="27"/>
  <c r="D45" i="27"/>
  <c r="I48" i="27"/>
  <c r="C46" i="27"/>
  <c r="H48" i="27"/>
  <c r="E41" i="27"/>
  <c r="C44" i="27"/>
  <c r="I45" i="27"/>
  <c r="K43" i="27"/>
  <c r="F47" i="27"/>
  <c r="B45" i="27"/>
  <c r="G48" i="27"/>
  <c r="K44" i="27"/>
  <c r="F44" i="27"/>
  <c r="E47" i="27"/>
  <c r="C7" i="3"/>
  <c r="J6" i="3"/>
  <c r="J10" i="3"/>
  <c r="H6" i="3"/>
  <c r="D11" i="3"/>
  <c r="F8" i="3"/>
  <c r="D10" i="3"/>
  <c r="G7" i="3"/>
  <c r="C10" i="3"/>
  <c r="F11" i="3"/>
  <c r="B11" i="3"/>
  <c r="D5" i="3"/>
  <c r="F10" i="3"/>
  <c r="G12" i="3"/>
  <c r="I8" i="3"/>
  <c r="J9" i="3"/>
  <c r="E7" i="3"/>
  <c r="H7" i="3"/>
  <c r="J11" i="3"/>
  <c r="E5" i="3"/>
  <c r="G10" i="3"/>
  <c r="I5" i="3"/>
  <c r="H12" i="3"/>
  <c r="F9" i="3"/>
  <c r="C6" i="3"/>
  <c r="H11" i="3"/>
  <c r="J5" i="3"/>
  <c r="D8" i="3"/>
  <c r="B7" i="3"/>
  <c r="I12" i="3"/>
  <c r="F5" i="3"/>
  <c r="H10" i="3"/>
  <c r="E10" i="3"/>
  <c r="C11" i="3"/>
  <c r="D7" i="3"/>
  <c r="F7" i="3"/>
  <c r="B12" i="3"/>
  <c r="B9" i="3"/>
  <c r="B10" i="3"/>
  <c r="G8" i="3"/>
  <c r="K7" i="3"/>
  <c r="I10" i="3"/>
  <c r="C9" i="3"/>
  <c r="C12" i="3"/>
  <c r="I6" i="3"/>
  <c r="K8" i="3"/>
  <c r="F6" i="3"/>
  <c r="D12" i="3"/>
  <c r="H9" i="3"/>
  <c r="K10" i="3"/>
  <c r="E9" i="3"/>
  <c r="H8" i="3"/>
  <c r="F12" i="3"/>
  <c r="C5" i="3"/>
  <c r="I9" i="3"/>
  <c r="B8" i="3"/>
  <c r="H5" i="3"/>
  <c r="G6" i="3"/>
  <c r="B6" i="3"/>
  <c r="K5" i="3"/>
  <c r="J8" i="3"/>
  <c r="E12" i="3"/>
  <c r="I7" i="3"/>
  <c r="E11" i="3"/>
  <c r="G5" i="3"/>
  <c r="J7" i="3"/>
  <c r="D6" i="3"/>
  <c r="E6" i="3"/>
  <c r="G9" i="3"/>
  <c r="I11" i="3"/>
  <c r="K11" i="3"/>
  <c r="K12" i="3"/>
  <c r="E8" i="3"/>
  <c r="G11" i="3"/>
  <c r="D9" i="3"/>
  <c r="K6" i="3"/>
  <c r="J12" i="3"/>
  <c r="C8" i="3"/>
  <c r="K9" i="3"/>
  <c r="F16" i="3"/>
  <c r="G16" i="3"/>
  <c r="D14" i="3"/>
  <c r="G17" i="3"/>
  <c r="D20" i="3"/>
  <c r="I16" i="3"/>
  <c r="H20" i="3"/>
  <c r="K18" i="3"/>
  <c r="C20" i="3"/>
  <c r="K20" i="3"/>
  <c r="F14" i="3"/>
  <c r="H15" i="3"/>
  <c r="C19" i="3"/>
  <c r="I19" i="3"/>
  <c r="J16" i="3"/>
  <c r="G14" i="3"/>
  <c r="B16" i="3"/>
  <c r="B20" i="3"/>
  <c r="H19" i="3"/>
  <c r="D18" i="3"/>
  <c r="C17" i="3"/>
  <c r="J15" i="3"/>
  <c r="G15" i="3"/>
  <c r="D17" i="3"/>
  <c r="K19" i="3"/>
  <c r="D15" i="3"/>
  <c r="I18" i="3"/>
  <c r="K21" i="3"/>
  <c r="C16" i="3"/>
  <c r="J14" i="3"/>
  <c r="C15" i="3"/>
  <c r="F17" i="3"/>
  <c r="E19" i="3"/>
  <c r="I14" i="3"/>
  <c r="F19" i="3"/>
  <c r="H17" i="3"/>
  <c r="J21" i="3"/>
  <c r="E14" i="3"/>
  <c r="J18" i="3"/>
  <c r="H21" i="3"/>
  <c r="C14" i="3"/>
  <c r="G21" i="3"/>
  <c r="J20" i="3"/>
  <c r="B18" i="3"/>
  <c r="I21" i="3"/>
  <c r="K14" i="3"/>
  <c r="K16" i="3"/>
  <c r="I20" i="3"/>
  <c r="F20" i="3"/>
  <c r="E16" i="3"/>
  <c r="K15" i="3"/>
  <c r="C18" i="3"/>
  <c r="E17" i="3"/>
  <c r="D19" i="3"/>
  <c r="E18" i="3"/>
  <c r="H18" i="3"/>
  <c r="E20" i="3"/>
  <c r="G20" i="3"/>
  <c r="D21" i="3"/>
  <c r="C21" i="3"/>
  <c r="J17" i="3"/>
  <c r="F15" i="3"/>
  <c r="F18" i="3"/>
  <c r="H16" i="3"/>
  <c r="K17" i="3"/>
  <c r="E15" i="3"/>
  <c r="B17" i="3"/>
  <c r="B21" i="3"/>
  <c r="B15" i="3"/>
  <c r="J19" i="3"/>
  <c r="I17" i="3"/>
  <c r="H14" i="3"/>
  <c r="E21" i="3"/>
  <c r="F21" i="3"/>
  <c r="G18" i="3"/>
  <c r="D16" i="3"/>
  <c r="B19" i="3"/>
  <c r="G19" i="3"/>
  <c r="I15" i="3"/>
  <c r="B32" i="3" a="1"/>
  <c r="B32" i="3"/>
  <c r="B32" i="31"/>
  <c r="B50" i="3" a="1"/>
  <c r="B50" i="3"/>
  <c r="B50" i="31"/>
  <c r="I8" i="27"/>
  <c r="C7" i="27"/>
  <c r="C10" i="27"/>
  <c r="G11" i="27"/>
  <c r="J8" i="27"/>
  <c r="B9" i="27"/>
  <c r="E9" i="27"/>
  <c r="I11" i="27"/>
  <c r="I7" i="27"/>
  <c r="K10" i="27"/>
  <c r="I9" i="27"/>
  <c r="K12" i="27"/>
  <c r="F10" i="27"/>
  <c r="C8" i="27"/>
  <c r="B8" i="27"/>
  <c r="E7" i="27"/>
  <c r="D8" i="27"/>
  <c r="K8" i="27"/>
  <c r="J12" i="27"/>
  <c r="E5" i="27"/>
  <c r="I6" i="27"/>
  <c r="H7" i="27"/>
  <c r="D5" i="27"/>
  <c r="G8" i="27"/>
  <c r="F9" i="27"/>
  <c r="K6" i="27"/>
  <c r="G5" i="27"/>
  <c r="C9" i="27"/>
  <c r="K5" i="27"/>
  <c r="J11" i="27"/>
  <c r="F5" i="27"/>
  <c r="G12" i="27"/>
  <c r="H6" i="27"/>
  <c r="E12" i="27"/>
  <c r="I10" i="27"/>
  <c r="E10" i="27"/>
  <c r="F12" i="27"/>
  <c r="D9" i="27"/>
  <c r="D11" i="27"/>
  <c r="G10" i="27"/>
  <c r="G9" i="27"/>
  <c r="J10" i="27"/>
  <c r="F11" i="27"/>
  <c r="F8" i="27"/>
  <c r="C5" i="27"/>
  <c r="J9" i="27"/>
  <c r="B7" i="27"/>
  <c r="J5" i="27"/>
  <c r="E6" i="27"/>
  <c r="D7" i="27"/>
  <c r="H11" i="27"/>
  <c r="J7" i="27"/>
  <c r="G6" i="27"/>
  <c r="H12" i="27"/>
  <c r="I12" i="27"/>
  <c r="B12" i="27"/>
  <c r="H5" i="27"/>
  <c r="C12" i="27"/>
  <c r="K11" i="27"/>
  <c r="H10" i="27"/>
  <c r="I5" i="27"/>
  <c r="H9" i="27"/>
  <c r="K9" i="27"/>
  <c r="K7" i="27"/>
  <c r="J6" i="27"/>
  <c r="B11" i="27"/>
  <c r="D6" i="27"/>
  <c r="B10" i="27"/>
  <c r="F6" i="27"/>
  <c r="H8" i="27"/>
  <c r="E8" i="27"/>
  <c r="F7" i="27"/>
  <c r="C11" i="27"/>
  <c r="C6" i="27"/>
  <c r="D10" i="27"/>
  <c r="G7" i="27"/>
  <c r="B6" i="27"/>
  <c r="E11" i="27"/>
  <c r="D12" i="27"/>
  <c r="C129" i="28" a="1"/>
  <c r="G129" i="28"/>
  <c r="D133" i="28"/>
  <c r="E129" i="28"/>
  <c r="G133" i="28"/>
  <c r="H129" i="28"/>
  <c r="C135" i="28"/>
  <c r="E135" i="28"/>
  <c r="F133" i="28"/>
  <c r="L130" i="28"/>
  <c r="F136" i="28"/>
  <c r="I129" i="28"/>
  <c r="G130" i="28"/>
  <c r="J129" i="28"/>
  <c r="L129" i="28"/>
  <c r="H130" i="28"/>
  <c r="D129" i="28"/>
  <c r="K135" i="28"/>
  <c r="J130" i="28"/>
  <c r="F132" i="28"/>
  <c r="J131" i="28"/>
  <c r="G131" i="28"/>
  <c r="H132" i="28"/>
  <c r="C136" i="28"/>
  <c r="H131" i="28"/>
  <c r="I135" i="28"/>
  <c r="C129" i="28"/>
  <c r="L134" i="28"/>
  <c r="E134" i="28"/>
  <c r="D136" i="28"/>
  <c r="L136" i="28"/>
  <c r="K132" i="28"/>
  <c r="D135" i="28"/>
  <c r="H134" i="28"/>
  <c r="F131" i="28"/>
  <c r="I132" i="28"/>
  <c r="C131" i="28"/>
  <c r="C134" i="28"/>
  <c r="K131" i="28"/>
  <c r="K133" i="28"/>
  <c r="D131" i="28"/>
  <c r="I134" i="28"/>
  <c r="F130" i="28"/>
  <c r="D130" i="28"/>
  <c r="I130" i="28"/>
  <c r="E131" i="28"/>
  <c r="H135" i="28"/>
  <c r="K136" i="28"/>
  <c r="C130" i="28"/>
  <c r="J135" i="28"/>
  <c r="E130" i="28"/>
  <c r="G136" i="28"/>
  <c r="E132" i="28"/>
  <c r="E133" i="28"/>
  <c r="J136" i="28"/>
  <c r="D134" i="28"/>
  <c r="I136" i="28"/>
  <c r="F129" i="28"/>
  <c r="D132" i="28"/>
  <c r="J133" i="28"/>
  <c r="L131" i="28"/>
  <c r="G135" i="28"/>
  <c r="C133" i="28"/>
  <c r="H136" i="28"/>
  <c r="L132" i="28"/>
  <c r="G132" i="28"/>
  <c r="F135" i="28"/>
  <c r="K130" i="28"/>
  <c r="I133" i="28"/>
  <c r="L135" i="28"/>
  <c r="K134" i="28"/>
  <c r="J134" i="28"/>
  <c r="I131" i="28"/>
  <c r="E136" i="28"/>
  <c r="J132" i="28"/>
  <c r="L133" i="28"/>
  <c r="C132" i="28"/>
  <c r="F134" i="28"/>
  <c r="G134" i="28"/>
  <c r="K129" i="28"/>
  <c r="H133" i="28"/>
  <c r="D137" i="28" a="1"/>
  <c r="D137" i="28"/>
  <c r="H20" i="27"/>
  <c r="D18" i="27"/>
  <c r="I21" i="27"/>
  <c r="D14" i="27"/>
  <c r="C17" i="27"/>
  <c r="I17" i="27"/>
  <c r="I18" i="27"/>
  <c r="J21" i="27"/>
  <c r="I14" i="27"/>
  <c r="K17" i="27"/>
  <c r="H18" i="27"/>
  <c r="K19" i="27"/>
  <c r="G17" i="27"/>
  <c r="E17" i="27"/>
  <c r="J15" i="27"/>
  <c r="G14" i="27"/>
  <c r="K21" i="27"/>
  <c r="F16" i="27"/>
  <c r="F20" i="27"/>
  <c r="C18" i="27"/>
  <c r="K20" i="27"/>
  <c r="D15" i="27"/>
  <c r="G21" i="27"/>
  <c r="J19" i="27"/>
  <c r="K14" i="27"/>
  <c r="F19" i="27"/>
  <c r="J17" i="27"/>
  <c r="F18" i="27"/>
  <c r="C16" i="27"/>
  <c r="F15" i="27"/>
  <c r="J14" i="27"/>
  <c r="D16" i="27"/>
  <c r="D20" i="27"/>
  <c r="D17" i="27"/>
  <c r="E21" i="27"/>
  <c r="E16" i="27"/>
  <c r="B21" i="27"/>
  <c r="F17" i="27"/>
  <c r="F14" i="27"/>
  <c r="H16" i="27"/>
  <c r="J20" i="27"/>
  <c r="H19" i="27"/>
  <c r="D21" i="27"/>
  <c r="D19" i="27"/>
  <c r="G20" i="27"/>
  <c r="K16" i="27"/>
  <c r="C20" i="27"/>
  <c r="E15" i="27"/>
  <c r="K18" i="27"/>
  <c r="C14" i="27"/>
  <c r="H21" i="27"/>
  <c r="J16" i="27"/>
  <c r="G16" i="27"/>
  <c r="H14" i="27"/>
  <c r="E18" i="27"/>
  <c r="B18" i="27"/>
  <c r="E14" i="27"/>
  <c r="E20" i="27"/>
  <c r="G19" i="27"/>
  <c r="G15" i="27"/>
  <c r="H17" i="27"/>
  <c r="C21" i="27"/>
  <c r="E19" i="27"/>
  <c r="I19" i="27"/>
  <c r="J18" i="27"/>
  <c r="I15" i="27"/>
  <c r="F21" i="27"/>
  <c r="I20" i="27"/>
  <c r="I16" i="27"/>
  <c r="K15" i="27"/>
  <c r="C15" i="27"/>
  <c r="H15" i="27"/>
  <c r="G18" i="27"/>
  <c r="C19" i="27"/>
  <c r="B19" i="27"/>
  <c r="B20" i="27"/>
  <c r="B17" i="27"/>
  <c r="B16" i="27"/>
  <c r="B15" i="27"/>
  <c r="K50" i="3"/>
  <c r="J50" i="3"/>
  <c r="H50" i="3"/>
  <c r="G50" i="3"/>
  <c r="E50" i="3"/>
  <c r="C50" i="3"/>
  <c r="F50" i="3"/>
  <c r="D50" i="3"/>
  <c r="I50" i="3"/>
  <c r="B41" i="3" a="1"/>
  <c r="B41" i="3"/>
  <c r="B41" i="31"/>
  <c r="B23" i="3" a="1"/>
  <c r="B23" i="3"/>
  <c r="B23" i="31"/>
  <c r="C67" i="5" a="1"/>
  <c r="I23" i="3"/>
  <c r="J67" i="5"/>
  <c r="I24" i="3"/>
  <c r="J68" i="5"/>
  <c r="I25" i="3"/>
  <c r="J69" i="5"/>
  <c r="I26" i="3"/>
  <c r="J70" i="5"/>
  <c r="I27" i="3"/>
  <c r="J71" i="5"/>
  <c r="I28" i="3"/>
  <c r="J72" i="5"/>
  <c r="I29" i="3"/>
  <c r="J73" i="5"/>
  <c r="I30" i="3"/>
  <c r="J74" i="5"/>
  <c r="J75" i="5"/>
  <c r="C36" i="5" a="1"/>
  <c r="K36" i="5"/>
  <c r="K37" i="5"/>
  <c r="K38" i="5"/>
  <c r="K39" i="5"/>
  <c r="K40" i="5"/>
  <c r="K41" i="5"/>
  <c r="K42" i="5"/>
  <c r="K43" i="5"/>
  <c r="K44" i="5"/>
  <c r="G36" i="5"/>
  <c r="G37" i="5"/>
  <c r="G38" i="5"/>
  <c r="G39" i="5"/>
  <c r="G40" i="5"/>
  <c r="G41" i="5"/>
  <c r="G42" i="5"/>
  <c r="G43" i="5"/>
  <c r="G44" i="5"/>
  <c r="C98" i="5" a="1"/>
  <c r="F32" i="3"/>
  <c r="G98" i="5"/>
  <c r="F33" i="3"/>
  <c r="G99" i="5"/>
  <c r="F34" i="3"/>
  <c r="G100" i="5"/>
  <c r="F35" i="3"/>
  <c r="G101" i="5"/>
  <c r="F36" i="3"/>
  <c r="G102" i="5"/>
  <c r="F37" i="3"/>
  <c r="G103" i="5"/>
  <c r="F38" i="3"/>
  <c r="G104" i="5"/>
  <c r="F39" i="3"/>
  <c r="G105" i="5"/>
  <c r="G106" i="5"/>
  <c r="C23" i="3"/>
  <c r="D67" i="5"/>
  <c r="C24" i="3"/>
  <c r="D68" i="5"/>
  <c r="C25" i="3"/>
  <c r="D69" i="5"/>
  <c r="C26" i="3"/>
  <c r="D70" i="5"/>
  <c r="C27" i="3"/>
  <c r="D71" i="5"/>
  <c r="C28" i="3"/>
  <c r="D72" i="5"/>
  <c r="C29" i="3"/>
  <c r="D73" i="5"/>
  <c r="C30" i="3"/>
  <c r="D74" i="5"/>
  <c r="D75" i="5"/>
  <c r="D32" i="3"/>
  <c r="E98" i="5"/>
  <c r="D33" i="3"/>
  <c r="E99" i="5"/>
  <c r="D34" i="3"/>
  <c r="E100" i="5"/>
  <c r="D35" i="3"/>
  <c r="E101" i="5"/>
  <c r="D36" i="3"/>
  <c r="E102" i="5"/>
  <c r="D37" i="3"/>
  <c r="E103" i="5"/>
  <c r="D38" i="3"/>
  <c r="E104" i="5"/>
  <c r="D39" i="3"/>
  <c r="E105" i="5"/>
  <c r="E106" i="5"/>
  <c r="C32" i="3"/>
  <c r="D98" i="5"/>
  <c r="C33" i="3"/>
  <c r="D99" i="5"/>
  <c r="C34" i="3"/>
  <c r="D100" i="5"/>
  <c r="C35" i="3"/>
  <c r="D101" i="5"/>
  <c r="C36" i="3"/>
  <c r="D102" i="5"/>
  <c r="C37" i="3"/>
  <c r="D103" i="5"/>
  <c r="C38" i="3"/>
  <c r="D104" i="5"/>
  <c r="C39" i="3"/>
  <c r="D105" i="5"/>
  <c r="D106" i="5"/>
  <c r="D13" i="58" a="1"/>
  <c r="G13" i="58"/>
  <c r="G13" i="60"/>
  <c r="E36" i="5"/>
  <c r="E37" i="5"/>
  <c r="E38" i="5"/>
  <c r="E39" i="5"/>
  <c r="E40" i="5"/>
  <c r="E41" i="5"/>
  <c r="E42" i="5"/>
  <c r="E43" i="5"/>
  <c r="E44" i="5"/>
  <c r="D13" i="58"/>
  <c r="D35" i="58"/>
  <c r="D35" i="60"/>
  <c r="E13" i="58"/>
  <c r="E13" i="60"/>
  <c r="F16" i="31"/>
  <c r="K21" i="31"/>
  <c r="G16" i="31"/>
  <c r="C141" i="5" a="1"/>
  <c r="D141" i="5"/>
  <c r="D141" i="32"/>
  <c r="C36" i="28" a="1"/>
  <c r="G37" i="28"/>
  <c r="G37" i="32"/>
  <c r="D38" i="5"/>
  <c r="D38" i="28"/>
  <c r="D38" i="32"/>
  <c r="F18" i="31"/>
  <c r="J50" i="31"/>
  <c r="K16" i="31"/>
  <c r="K43" i="28"/>
  <c r="K43" i="32"/>
  <c r="I17" i="31"/>
  <c r="D15" i="31"/>
  <c r="I38" i="5"/>
  <c r="I38" i="28"/>
  <c r="I38" i="32"/>
  <c r="F141" i="5"/>
  <c r="G141" i="5"/>
  <c r="H141" i="5"/>
  <c r="J141" i="5"/>
  <c r="I141" i="5"/>
  <c r="C141" i="5"/>
  <c r="E141" i="5"/>
  <c r="L141" i="5"/>
  <c r="K141" i="5"/>
  <c r="I36" i="3"/>
  <c r="J102" i="5"/>
  <c r="C98" i="28" a="1"/>
  <c r="J102" i="28"/>
  <c r="J102" i="32"/>
  <c r="E100" i="28"/>
  <c r="G100" i="28"/>
  <c r="J104" i="28"/>
  <c r="E101" i="28"/>
  <c r="K101" i="28"/>
  <c r="J101" i="28"/>
  <c r="I99" i="28"/>
  <c r="E102" i="28"/>
  <c r="L101" i="28"/>
  <c r="L100" i="28"/>
  <c r="H104" i="28"/>
  <c r="D102" i="28"/>
  <c r="H102" i="28"/>
  <c r="J98" i="28"/>
  <c r="D101" i="28"/>
  <c r="C98" i="28"/>
  <c r="K99" i="28"/>
  <c r="G99" i="28"/>
  <c r="K102" i="28"/>
  <c r="L105" i="28"/>
  <c r="J100" i="28"/>
  <c r="I105" i="28"/>
  <c r="F101" i="28"/>
  <c r="G98" i="28"/>
  <c r="D100" i="28"/>
  <c r="D105" i="28"/>
  <c r="I100" i="28"/>
  <c r="H101" i="28"/>
  <c r="G103" i="28"/>
  <c r="K98" i="28"/>
  <c r="H99" i="28"/>
  <c r="L104" i="28"/>
  <c r="F102" i="28"/>
  <c r="D98" i="28"/>
  <c r="G104" i="28"/>
  <c r="F99" i="28"/>
  <c r="E99" i="28"/>
  <c r="F100" i="28"/>
  <c r="K104" i="28"/>
  <c r="E104" i="28"/>
  <c r="C99" i="28"/>
  <c r="L99" i="28"/>
  <c r="D99" i="28"/>
  <c r="H103" i="28"/>
  <c r="C104" i="28"/>
  <c r="F105" i="28"/>
  <c r="L102" i="28"/>
  <c r="F98" i="28"/>
  <c r="J103" i="28"/>
  <c r="G102" i="28"/>
  <c r="C105" i="28"/>
  <c r="D103" i="28"/>
  <c r="C102" i="28"/>
  <c r="L98" i="28"/>
  <c r="C103" i="28"/>
  <c r="C101" i="28"/>
  <c r="E103" i="28"/>
  <c r="I104" i="28"/>
  <c r="F104" i="28"/>
  <c r="I101" i="28"/>
  <c r="H98" i="28"/>
  <c r="H105" i="28"/>
  <c r="K105" i="28"/>
  <c r="L103" i="28"/>
  <c r="F103" i="28"/>
  <c r="G105" i="28"/>
  <c r="I103" i="28"/>
  <c r="J105" i="28"/>
  <c r="I98" i="28"/>
  <c r="H100" i="28"/>
  <c r="J99" i="28"/>
  <c r="I102" i="28"/>
  <c r="K103" i="28"/>
  <c r="G101" i="28"/>
  <c r="E98" i="28"/>
  <c r="D104" i="28"/>
  <c r="C100" i="28"/>
  <c r="K100" i="28"/>
  <c r="E105" i="28"/>
  <c r="G35" i="3"/>
  <c r="G35" i="31"/>
  <c r="G38" i="3"/>
  <c r="H104" i="5"/>
  <c r="H104" i="32"/>
  <c r="E23" i="3"/>
  <c r="F67" i="5"/>
  <c r="E24" i="3"/>
  <c r="F68" i="5"/>
  <c r="E25" i="3"/>
  <c r="F69" i="5"/>
  <c r="E26" i="3"/>
  <c r="F70" i="5"/>
  <c r="E27" i="3"/>
  <c r="F71" i="5"/>
  <c r="E28" i="3"/>
  <c r="F72" i="5"/>
  <c r="E29" i="3"/>
  <c r="F73" i="5"/>
  <c r="E30" i="3"/>
  <c r="F74" i="5"/>
  <c r="F75" i="5"/>
  <c r="G32" i="3"/>
  <c r="H98" i="5"/>
  <c r="G33" i="3"/>
  <c r="H99" i="5"/>
  <c r="G34" i="3"/>
  <c r="H100" i="5"/>
  <c r="H101" i="5"/>
  <c r="G36" i="3"/>
  <c r="H102" i="5"/>
  <c r="G37" i="3"/>
  <c r="H103" i="5"/>
  <c r="G39" i="3"/>
  <c r="H105" i="5"/>
  <c r="H106" i="5"/>
  <c r="J36" i="5"/>
  <c r="J37" i="5"/>
  <c r="J38" i="5"/>
  <c r="J39" i="5"/>
  <c r="J40" i="5"/>
  <c r="J41" i="5"/>
  <c r="J42" i="5"/>
  <c r="J43" i="5"/>
  <c r="J44" i="5"/>
  <c r="I32" i="3"/>
  <c r="J98" i="5"/>
  <c r="I33" i="3"/>
  <c r="J99" i="5"/>
  <c r="I34" i="3"/>
  <c r="J100" i="5"/>
  <c r="I35" i="3"/>
  <c r="J101" i="5"/>
  <c r="I37" i="3"/>
  <c r="J103" i="5"/>
  <c r="I38" i="3"/>
  <c r="J104" i="5"/>
  <c r="I39" i="3"/>
  <c r="J105" i="5"/>
  <c r="J106" i="5"/>
  <c r="D36" i="5"/>
  <c r="D37" i="5"/>
  <c r="D39" i="5"/>
  <c r="D40" i="5"/>
  <c r="D41" i="5"/>
  <c r="D42" i="5"/>
  <c r="D43" i="5"/>
  <c r="D44" i="5"/>
  <c r="G23" i="3"/>
  <c r="H67" i="5"/>
  <c r="G24" i="3"/>
  <c r="H68" i="5"/>
  <c r="G25" i="3"/>
  <c r="H69" i="5"/>
  <c r="G26" i="3"/>
  <c r="H70" i="5"/>
  <c r="G27" i="3"/>
  <c r="H71" i="5"/>
  <c r="G28" i="3"/>
  <c r="H72" i="5"/>
  <c r="G29" i="3"/>
  <c r="H73" i="5"/>
  <c r="G30" i="3"/>
  <c r="H74" i="5"/>
  <c r="H75" i="5"/>
  <c r="F36" i="5"/>
  <c r="F37" i="5"/>
  <c r="F38" i="5"/>
  <c r="F39" i="5"/>
  <c r="F40" i="5"/>
  <c r="F41" i="5"/>
  <c r="F42" i="5"/>
  <c r="F43" i="5"/>
  <c r="F44" i="5"/>
  <c r="G35" i="58"/>
  <c r="G35" i="60"/>
  <c r="I13" i="58"/>
  <c r="I35" i="58"/>
  <c r="I35" i="60"/>
  <c r="F39" i="28"/>
  <c r="F39" i="32"/>
  <c r="H39" i="5"/>
  <c r="H39" i="28"/>
  <c r="H39" i="32"/>
  <c r="F21" i="31"/>
  <c r="K14" i="31"/>
  <c r="D21" i="31"/>
  <c r="I41" i="5"/>
  <c r="I41" i="28"/>
  <c r="I41" i="32"/>
  <c r="B16" i="31"/>
  <c r="J43" i="28"/>
  <c r="J43" i="32"/>
  <c r="C18" i="31"/>
  <c r="F141" i="32"/>
  <c r="D35" i="31"/>
  <c r="I39" i="31"/>
  <c r="C9" i="31"/>
  <c r="D103" i="32"/>
  <c r="D102" i="32"/>
  <c r="J37" i="3"/>
  <c r="K103" i="5"/>
  <c r="K103" i="32"/>
  <c r="I25" i="31"/>
  <c r="K27" i="3"/>
  <c r="L71" i="5"/>
  <c r="C67" i="28" a="1"/>
  <c r="L71" i="28"/>
  <c r="L71" i="32"/>
  <c r="F69" i="28"/>
  <c r="F69" i="32"/>
  <c r="D5" i="31"/>
  <c r="I8" i="31"/>
  <c r="B45" i="3"/>
  <c r="B45" i="31"/>
  <c r="K32" i="3"/>
  <c r="K32" i="31"/>
  <c r="H37" i="3"/>
  <c r="H37" i="31"/>
  <c r="F70" i="28"/>
  <c r="F70" i="32"/>
  <c r="K24" i="3"/>
  <c r="L68" i="5"/>
  <c r="L68" i="28"/>
  <c r="L68" i="32"/>
  <c r="D25" i="3"/>
  <c r="E69" i="5"/>
  <c r="E69" i="28"/>
  <c r="E69" i="32"/>
  <c r="E16" i="31"/>
  <c r="C15" i="31"/>
  <c r="J42" i="28"/>
  <c r="J42" i="32"/>
  <c r="I19" i="31"/>
  <c r="F41" i="28"/>
  <c r="F41" i="32"/>
  <c r="C141" i="32"/>
  <c r="K42" i="28"/>
  <c r="K42" i="32"/>
  <c r="G39" i="28"/>
  <c r="G39" i="32"/>
  <c r="G33" i="31"/>
  <c r="G32" i="31"/>
  <c r="J38" i="28"/>
  <c r="J38" i="32"/>
  <c r="J40" i="28"/>
  <c r="J40" i="32"/>
  <c r="F30" i="3"/>
  <c r="F30" i="31"/>
  <c r="J68" i="28"/>
  <c r="J68" i="32"/>
  <c r="H24" i="3"/>
  <c r="I68" i="5"/>
  <c r="I68" i="28"/>
  <c r="I68" i="32"/>
  <c r="G5" i="31"/>
  <c r="G45" i="3"/>
  <c r="G45" i="31"/>
  <c r="F46" i="3"/>
  <c r="F46" i="31"/>
  <c r="H39" i="3"/>
  <c r="I105" i="5"/>
  <c r="I105" i="32"/>
  <c r="K33" i="3"/>
  <c r="L99" i="5"/>
  <c r="L99" i="32"/>
  <c r="K36" i="28"/>
  <c r="K36" i="32"/>
  <c r="K37" i="28"/>
  <c r="K37" i="32"/>
  <c r="K38" i="28"/>
  <c r="K38" i="32"/>
  <c r="K39" i="28"/>
  <c r="K39" i="32"/>
  <c r="K40" i="28"/>
  <c r="K40" i="32"/>
  <c r="K41" i="28"/>
  <c r="K41" i="32"/>
  <c r="K44" i="32"/>
  <c r="B27" i="3"/>
  <c r="C71" i="5"/>
  <c r="C71" i="28"/>
  <c r="C71" i="32"/>
  <c r="J74" i="28"/>
  <c r="J74" i="32"/>
  <c r="H70" i="28"/>
  <c r="H70" i="32"/>
  <c r="J10" i="31"/>
  <c r="H32" i="3"/>
  <c r="H32" i="31"/>
  <c r="D99" i="32"/>
  <c r="J104" i="32"/>
  <c r="L36" i="5"/>
  <c r="L36" i="28"/>
  <c r="L36" i="32"/>
  <c r="L37" i="5"/>
  <c r="L37" i="28"/>
  <c r="L37" i="32"/>
  <c r="L38" i="5"/>
  <c r="L38" i="28"/>
  <c r="L38" i="32"/>
  <c r="L39" i="5"/>
  <c r="L39" i="28"/>
  <c r="L39" i="32"/>
  <c r="L40" i="5"/>
  <c r="L40" i="28"/>
  <c r="L40" i="32"/>
  <c r="L41" i="5"/>
  <c r="L41" i="28"/>
  <c r="L41" i="32"/>
  <c r="L42" i="5"/>
  <c r="L42" i="28"/>
  <c r="L42" i="32"/>
  <c r="L43" i="5"/>
  <c r="L43" i="28"/>
  <c r="L43" i="32"/>
  <c r="L44" i="32"/>
  <c r="D24" i="3"/>
  <c r="D24" i="31"/>
  <c r="B24" i="3"/>
  <c r="C68" i="5"/>
  <c r="C68" i="28"/>
  <c r="C68" i="32"/>
  <c r="K11" i="31"/>
  <c r="G7" i="31"/>
  <c r="E18" i="31"/>
  <c r="I37" i="5"/>
  <c r="I37" i="28"/>
  <c r="I37" i="32"/>
  <c r="B17" i="31"/>
  <c r="F15" i="31"/>
  <c r="C98" i="5"/>
  <c r="B33" i="3"/>
  <c r="C99" i="5"/>
  <c r="B34" i="3"/>
  <c r="C100" i="5"/>
  <c r="B35" i="3"/>
  <c r="C101" i="5"/>
  <c r="B36" i="3"/>
  <c r="C102" i="5"/>
  <c r="B37" i="3"/>
  <c r="C103" i="5"/>
  <c r="B38" i="3"/>
  <c r="C104" i="5"/>
  <c r="B39" i="3"/>
  <c r="C105" i="5"/>
  <c r="C106" i="5"/>
  <c r="I36" i="5"/>
  <c r="I39" i="5"/>
  <c r="I40" i="5"/>
  <c r="I42" i="5"/>
  <c r="I43" i="5"/>
  <c r="I44" i="5"/>
  <c r="I98" i="5"/>
  <c r="H33" i="3"/>
  <c r="I99" i="5"/>
  <c r="H34" i="3"/>
  <c r="I100" i="5"/>
  <c r="H35" i="3"/>
  <c r="I101" i="5"/>
  <c r="H36" i="3"/>
  <c r="I102" i="5"/>
  <c r="I103" i="5"/>
  <c r="H38" i="3"/>
  <c r="I104" i="5"/>
  <c r="I106" i="5"/>
  <c r="J32" i="3"/>
  <c r="K98" i="5"/>
  <c r="J33" i="3"/>
  <c r="K99" i="5"/>
  <c r="J34" i="3"/>
  <c r="K100" i="5"/>
  <c r="J35" i="3"/>
  <c r="K101" i="5"/>
  <c r="J36" i="3"/>
  <c r="K102" i="5"/>
  <c r="J38" i="3"/>
  <c r="K104" i="5"/>
  <c r="J39" i="3"/>
  <c r="K105" i="5"/>
  <c r="K106" i="5"/>
  <c r="H23" i="3"/>
  <c r="I67" i="5"/>
  <c r="H25" i="3"/>
  <c r="I69" i="5"/>
  <c r="H26" i="3"/>
  <c r="I70" i="5"/>
  <c r="H27" i="3"/>
  <c r="I71" i="5"/>
  <c r="H28" i="3"/>
  <c r="I72" i="5"/>
  <c r="H29" i="3"/>
  <c r="I73" i="5"/>
  <c r="H30" i="3"/>
  <c r="I74" i="5"/>
  <c r="I75" i="5"/>
  <c r="H36" i="5"/>
  <c r="H37" i="5"/>
  <c r="H38" i="5"/>
  <c r="H40" i="5"/>
  <c r="H41" i="5"/>
  <c r="H42" i="5"/>
  <c r="H43" i="5"/>
  <c r="H44" i="5"/>
  <c r="E35" i="58"/>
  <c r="E35" i="60"/>
  <c r="H13" i="58"/>
  <c r="H13" i="60"/>
  <c r="F23" i="3"/>
  <c r="G67" i="5"/>
  <c r="F24" i="3"/>
  <c r="G68" i="5"/>
  <c r="F25" i="3"/>
  <c r="G69" i="5"/>
  <c r="F26" i="3"/>
  <c r="G70" i="5"/>
  <c r="F27" i="3"/>
  <c r="G71" i="5"/>
  <c r="F28" i="3"/>
  <c r="G72" i="5"/>
  <c r="F29" i="3"/>
  <c r="G73" i="5"/>
  <c r="G74" i="5"/>
  <c r="G75" i="5"/>
  <c r="D13" i="60"/>
  <c r="C67" i="5"/>
  <c r="B25" i="3"/>
  <c r="C69" i="5"/>
  <c r="B26" i="3"/>
  <c r="C70" i="5"/>
  <c r="B28" i="3"/>
  <c r="C72" i="5"/>
  <c r="B29" i="3"/>
  <c r="C73" i="5"/>
  <c r="B30" i="3"/>
  <c r="C74" i="5"/>
  <c r="C75" i="5"/>
  <c r="H35" i="58"/>
  <c r="H35" i="60"/>
  <c r="F13" i="58"/>
  <c r="F13" i="60"/>
  <c r="H40" i="28"/>
  <c r="H40" i="32"/>
  <c r="C14" i="31"/>
  <c r="G141" i="32"/>
  <c r="G41" i="28"/>
  <c r="G41" i="32"/>
  <c r="B19" i="31"/>
  <c r="G19" i="31"/>
  <c r="K39" i="3"/>
  <c r="L105" i="5"/>
  <c r="L105" i="32"/>
  <c r="C105" i="32"/>
  <c r="K38" i="3"/>
  <c r="L104" i="5"/>
  <c r="L104" i="32"/>
  <c r="K29" i="3"/>
  <c r="L73" i="5"/>
  <c r="L73" i="28"/>
  <c r="L73" i="32"/>
  <c r="J73" i="28"/>
  <c r="J73" i="32"/>
  <c r="B9" i="31"/>
  <c r="J35" i="31"/>
  <c r="E36" i="3"/>
  <c r="F102" i="5"/>
  <c r="F102" i="32"/>
  <c r="H102" i="32"/>
  <c r="H72" i="28"/>
  <c r="H72" i="32"/>
  <c r="G25" i="31"/>
  <c r="K25" i="3"/>
  <c r="K25" i="31"/>
  <c r="G24" i="31"/>
  <c r="H9" i="31"/>
  <c r="B48" i="3"/>
  <c r="B48" i="31"/>
  <c r="F43" i="3"/>
  <c r="F43" i="31"/>
  <c r="K36" i="3"/>
  <c r="K36" i="31"/>
  <c r="G104" i="32"/>
  <c r="E68" i="5"/>
  <c r="E68" i="28"/>
  <c r="E68" i="32"/>
  <c r="E27" i="31"/>
  <c r="D29" i="3"/>
  <c r="D29" i="31"/>
  <c r="E39" i="28"/>
  <c r="E39" i="32"/>
  <c r="H141" i="32"/>
  <c r="K18" i="31"/>
  <c r="H42" i="28"/>
  <c r="H42" i="32"/>
  <c r="J19" i="31"/>
  <c r="D39" i="28"/>
  <c r="D39" i="32"/>
  <c r="I50" i="31"/>
  <c r="K20" i="31"/>
  <c r="F42" i="28"/>
  <c r="F42" i="32"/>
  <c r="E50" i="31"/>
  <c r="B39" i="31"/>
  <c r="E100" i="32"/>
  <c r="I70" i="28"/>
  <c r="I70" i="32"/>
  <c r="K28" i="3"/>
  <c r="K28" i="31"/>
  <c r="K10" i="31"/>
  <c r="B11" i="31"/>
  <c r="C43" i="3"/>
  <c r="C43" i="31"/>
  <c r="J43" i="3"/>
  <c r="J43" i="31"/>
  <c r="E40" i="28"/>
  <c r="E40" i="32"/>
  <c r="E43" i="28"/>
  <c r="E43" i="32"/>
  <c r="C36" i="31"/>
  <c r="H105" i="32"/>
  <c r="G28" i="31"/>
  <c r="H29" i="31"/>
  <c r="F28" i="31"/>
  <c r="I5" i="31"/>
  <c r="E35" i="3"/>
  <c r="F101" i="5"/>
  <c r="F101" i="32"/>
  <c r="F36" i="31"/>
  <c r="E32" i="3"/>
  <c r="F98" i="5"/>
  <c r="E33" i="3"/>
  <c r="F99" i="5"/>
  <c r="E34" i="3"/>
  <c r="F100" i="5"/>
  <c r="E37" i="3"/>
  <c r="F103" i="5"/>
  <c r="E38" i="3"/>
  <c r="F104" i="5"/>
  <c r="E39" i="3"/>
  <c r="F105" i="5"/>
  <c r="F106" i="5"/>
  <c r="L44" i="5"/>
  <c r="J23" i="3"/>
  <c r="K67" i="5"/>
  <c r="J24" i="3"/>
  <c r="K68" i="5"/>
  <c r="J25" i="3"/>
  <c r="K69" i="5"/>
  <c r="J26" i="3"/>
  <c r="K70" i="5"/>
  <c r="J27" i="3"/>
  <c r="K71" i="5"/>
  <c r="J28" i="3"/>
  <c r="K72" i="5"/>
  <c r="J29" i="3"/>
  <c r="K73" i="5"/>
  <c r="J30" i="3"/>
  <c r="K74" i="5"/>
  <c r="K75" i="5"/>
  <c r="L98" i="5"/>
  <c r="K34" i="3"/>
  <c r="L100" i="5"/>
  <c r="K35" i="3"/>
  <c r="L101" i="5"/>
  <c r="L102" i="5"/>
  <c r="K37" i="3"/>
  <c r="L103" i="5"/>
  <c r="L106" i="5"/>
  <c r="K23" i="3"/>
  <c r="L67" i="5"/>
  <c r="L69" i="5"/>
  <c r="K26" i="3"/>
  <c r="L70" i="5"/>
  <c r="L72" i="5"/>
  <c r="K30" i="3"/>
  <c r="L74" i="5"/>
  <c r="L75" i="5"/>
  <c r="D23" i="3"/>
  <c r="E67" i="5"/>
  <c r="D26" i="3"/>
  <c r="E70" i="5"/>
  <c r="D27" i="3"/>
  <c r="E71" i="5"/>
  <c r="D28" i="3"/>
  <c r="E72" i="5"/>
  <c r="E73" i="5"/>
  <c r="D30" i="3"/>
  <c r="E74" i="5"/>
  <c r="E75" i="5"/>
  <c r="F35" i="58"/>
  <c r="F35" i="60"/>
  <c r="C36" i="5"/>
  <c r="C37" i="5"/>
  <c r="C38" i="5"/>
  <c r="C39" i="5"/>
  <c r="C40" i="5"/>
  <c r="C41" i="5"/>
  <c r="C42" i="5"/>
  <c r="C43" i="5"/>
  <c r="C44" i="5"/>
  <c r="I13" i="60"/>
  <c r="F40" i="28"/>
  <c r="F40" i="32"/>
  <c r="G14" i="31"/>
  <c r="J16" i="31"/>
  <c r="C43" i="28"/>
  <c r="C43" i="32"/>
  <c r="I15" i="31"/>
  <c r="I14" i="31"/>
  <c r="D19" i="31"/>
  <c r="I39" i="28"/>
  <c r="I39" i="32"/>
  <c r="J141" i="32"/>
  <c r="I42" i="28"/>
  <c r="I42" i="32"/>
  <c r="I141" i="32"/>
  <c r="H99" i="32"/>
  <c r="J99" i="32"/>
  <c r="J27" i="31"/>
  <c r="F23" i="31"/>
  <c r="I28" i="31"/>
  <c r="I44" i="3"/>
  <c r="I44" i="31"/>
  <c r="H36" i="28"/>
  <c r="H37" i="28"/>
  <c r="H38" i="28"/>
  <c r="H41" i="28"/>
  <c r="H43" i="28"/>
  <c r="H44" i="28"/>
  <c r="I102" i="32"/>
  <c r="E39" i="31"/>
  <c r="I35" i="31"/>
  <c r="G29" i="31"/>
  <c r="K30" i="31"/>
  <c r="G11" i="31"/>
  <c r="H7" i="31"/>
  <c r="G48" i="3"/>
  <c r="G48" i="31"/>
  <c r="F47" i="3"/>
  <c r="F47" i="31"/>
  <c r="G101" i="32"/>
  <c r="H33" i="31"/>
  <c r="B25" i="31"/>
  <c r="H71" i="28"/>
  <c r="H71" i="32"/>
  <c r="J24" i="31"/>
  <c r="D11" i="31"/>
  <c r="D41" i="28"/>
  <c r="D41" i="32"/>
  <c r="E38" i="28"/>
  <c r="E38" i="32"/>
  <c r="J14" i="31"/>
  <c r="C40" i="28"/>
  <c r="C40" i="32"/>
  <c r="F50" i="31"/>
  <c r="I18" i="31"/>
  <c r="H17" i="31"/>
  <c r="D14" i="31"/>
  <c r="H16" i="31"/>
  <c r="E14" i="31"/>
  <c r="K39" i="31"/>
  <c r="C99" i="32"/>
  <c r="K38" i="31"/>
  <c r="J37" i="28"/>
  <c r="J37" i="32"/>
  <c r="J39" i="28"/>
  <c r="J39" i="32"/>
  <c r="J41" i="28"/>
  <c r="J41" i="32"/>
  <c r="D69" i="28"/>
  <c r="D69" i="32"/>
  <c r="D23" i="31"/>
  <c r="B10" i="31"/>
  <c r="K6" i="31"/>
  <c r="J41" i="3"/>
  <c r="J41" i="31"/>
  <c r="E46" i="3"/>
  <c r="E46" i="31"/>
  <c r="E36" i="28"/>
  <c r="E36" i="32"/>
  <c r="E37" i="28"/>
  <c r="E37" i="32"/>
  <c r="E41" i="28"/>
  <c r="E41" i="32"/>
  <c r="E42" i="28"/>
  <c r="E42" i="32"/>
  <c r="E44" i="32"/>
  <c r="F37" i="31"/>
  <c r="I37" i="31"/>
  <c r="B30" i="31"/>
  <c r="K27" i="31"/>
  <c r="G70" i="28"/>
  <c r="G70" i="32"/>
  <c r="F9" i="31"/>
  <c r="I6" i="31"/>
  <c r="K35" i="31"/>
  <c r="K105" i="32"/>
  <c r="H23" i="31"/>
  <c r="K24" i="31"/>
  <c r="C12" i="31"/>
  <c r="F43" i="28"/>
  <c r="F43" i="32"/>
  <c r="J15" i="31"/>
  <c r="I43" i="28"/>
  <c r="I43" i="32"/>
  <c r="C16" i="31"/>
  <c r="J25" i="31"/>
  <c r="D36" i="31"/>
  <c r="G44" i="3"/>
  <c r="G44" i="31"/>
  <c r="G18" i="31"/>
  <c r="K17" i="31"/>
  <c r="J100" i="32"/>
  <c r="B46" i="3"/>
  <c r="B46" i="31"/>
  <c r="B36" i="31"/>
  <c r="K46" i="3"/>
  <c r="K46" i="31"/>
  <c r="E26" i="31"/>
  <c r="J70" i="28"/>
  <c r="J70" i="32"/>
  <c r="J13" i="58"/>
  <c r="J35" i="58"/>
  <c r="J35" i="60"/>
  <c r="D17" i="31"/>
  <c r="G17" i="31"/>
  <c r="G43" i="28"/>
  <c r="G43" i="32"/>
  <c r="J17" i="31"/>
  <c r="K141" i="32"/>
  <c r="G20" i="31"/>
  <c r="H19" i="31"/>
  <c r="H37" i="32"/>
  <c r="H41" i="32"/>
  <c r="H20" i="31"/>
  <c r="H103" i="32"/>
  <c r="B33" i="31"/>
  <c r="D34" i="31"/>
  <c r="K29" i="31"/>
  <c r="J72" i="28"/>
  <c r="J72" i="32"/>
  <c r="K72" i="28"/>
  <c r="K72" i="32"/>
  <c r="I7" i="31"/>
  <c r="E47" i="3"/>
  <c r="E47" i="31"/>
  <c r="K44" i="3"/>
  <c r="K44" i="31"/>
  <c r="K101" i="32"/>
  <c r="F105" i="32"/>
  <c r="G36" i="31"/>
  <c r="L70" i="28"/>
  <c r="L70" i="32"/>
  <c r="G10" i="31"/>
  <c r="C47" i="3"/>
  <c r="C47" i="31"/>
  <c r="K48" i="3"/>
  <c r="K48" i="31"/>
  <c r="C33" i="31"/>
  <c r="B37" i="31"/>
  <c r="D36" i="28"/>
  <c r="D36" i="32"/>
  <c r="D37" i="28"/>
  <c r="D37" i="32"/>
  <c r="D40" i="28"/>
  <c r="D40" i="32"/>
  <c r="D42" i="28"/>
  <c r="D42" i="32"/>
  <c r="D43" i="28"/>
  <c r="D43" i="32"/>
  <c r="D44" i="32"/>
  <c r="H14" i="31"/>
  <c r="K15" i="31"/>
  <c r="K19" i="31"/>
  <c r="C20" i="31"/>
  <c r="C21" i="31"/>
  <c r="C38" i="28"/>
  <c r="C38" i="32"/>
  <c r="F20" i="31"/>
  <c r="F36" i="28"/>
  <c r="F37" i="28"/>
  <c r="F38" i="28"/>
  <c r="F44" i="28"/>
  <c r="K37" i="31"/>
  <c r="B38" i="31"/>
  <c r="G74" i="28"/>
  <c r="G74" i="32"/>
  <c r="L72" i="28"/>
  <c r="L72" i="32"/>
  <c r="G73" i="28"/>
  <c r="G73" i="32"/>
  <c r="B7" i="31"/>
  <c r="H45" i="3"/>
  <c r="H45" i="31"/>
  <c r="H36" i="32"/>
  <c r="H38" i="32"/>
  <c r="H43" i="32"/>
  <c r="H44" i="32"/>
  <c r="C36" i="28"/>
  <c r="C36" i="32"/>
  <c r="C37" i="28"/>
  <c r="C37" i="32"/>
  <c r="C39" i="28"/>
  <c r="C39" i="32"/>
  <c r="C41" i="28"/>
  <c r="C41" i="32"/>
  <c r="C42" i="28"/>
  <c r="C42" i="32"/>
  <c r="C44" i="32"/>
  <c r="G103" i="32"/>
  <c r="F34" i="31"/>
  <c r="C74" i="28"/>
  <c r="C74" i="32"/>
  <c r="D27" i="31"/>
  <c r="K9" i="31"/>
  <c r="B43" i="3"/>
  <c r="B43" i="31"/>
  <c r="L101" i="32"/>
  <c r="H100" i="32"/>
  <c r="C69" i="28"/>
  <c r="C69" i="32"/>
  <c r="D28" i="31"/>
  <c r="I26" i="31"/>
  <c r="B12" i="31"/>
  <c r="G42" i="3"/>
  <c r="G42" i="31"/>
  <c r="K104" i="32"/>
  <c r="E105" i="32"/>
  <c r="F33" i="31"/>
  <c r="G71" i="28"/>
  <c r="G71" i="32"/>
  <c r="H11" i="31"/>
  <c r="D41" i="3"/>
  <c r="D41" i="31"/>
  <c r="F41" i="3"/>
  <c r="F41" i="31"/>
  <c r="I67" i="28"/>
  <c r="I67" i="32"/>
  <c r="I69" i="28"/>
  <c r="I69" i="32"/>
  <c r="I71" i="28"/>
  <c r="I71" i="32"/>
  <c r="I72" i="28"/>
  <c r="I72" i="32"/>
  <c r="I73" i="28"/>
  <c r="I73" i="32"/>
  <c r="I74" i="28"/>
  <c r="I74" i="32"/>
  <c r="I75" i="32"/>
  <c r="K68" i="28"/>
  <c r="K68" i="32"/>
  <c r="L67" i="28"/>
  <c r="L69" i="28"/>
  <c r="L74" i="28"/>
  <c r="L75" i="28"/>
  <c r="K98" i="32"/>
  <c r="K99" i="32"/>
  <c r="K100" i="32"/>
  <c r="K102" i="32"/>
  <c r="K106" i="32"/>
  <c r="I98" i="32"/>
  <c r="I99" i="32"/>
  <c r="I100" i="32"/>
  <c r="I101" i="32"/>
  <c r="I103" i="32"/>
  <c r="I104" i="32"/>
  <c r="I106" i="32"/>
  <c r="C98" i="32"/>
  <c r="C100" i="32"/>
  <c r="C101" i="32"/>
  <c r="C102" i="32"/>
  <c r="C103" i="32"/>
  <c r="C104" i="32"/>
  <c r="C106" i="32"/>
  <c r="F106" i="28"/>
  <c r="E72" i="28"/>
  <c r="E72" i="32"/>
  <c r="I12" i="31"/>
  <c r="I45" i="3"/>
  <c r="I45" i="31"/>
  <c r="J38" i="31"/>
  <c r="D101" i="32"/>
  <c r="H35" i="31"/>
  <c r="F72" i="28"/>
  <c r="F72" i="32"/>
  <c r="C11" i="31"/>
  <c r="D7" i="31"/>
  <c r="C67" i="28"/>
  <c r="C70" i="28"/>
  <c r="C72" i="28"/>
  <c r="C73" i="28"/>
  <c r="C75" i="28"/>
  <c r="I106" i="28"/>
  <c r="C5" i="28" a="1"/>
  <c r="C5" i="28"/>
  <c r="C6" i="28"/>
  <c r="C7" i="28"/>
  <c r="C8" i="28"/>
  <c r="C9" i="28"/>
  <c r="C10" i="28"/>
  <c r="C11" i="28"/>
  <c r="C12" i="28"/>
  <c r="C13" i="28"/>
  <c r="J71" i="28"/>
  <c r="J71" i="32"/>
  <c r="E10" i="31"/>
  <c r="D43" i="3"/>
  <c r="D43" i="31"/>
  <c r="D38" i="31"/>
  <c r="E29" i="31"/>
  <c r="H12" i="31"/>
  <c r="H8" i="31"/>
  <c r="D45" i="3"/>
  <c r="D45" i="31"/>
  <c r="F48" i="3"/>
  <c r="F48" i="31"/>
  <c r="K67" i="28"/>
  <c r="K69" i="28"/>
  <c r="K70" i="28"/>
  <c r="K71" i="28"/>
  <c r="K73" i="28"/>
  <c r="K74" i="28"/>
  <c r="K75" i="28"/>
  <c r="L67" i="32"/>
  <c r="L69" i="32"/>
  <c r="L74" i="32"/>
  <c r="L75" i="32"/>
  <c r="D67" i="28"/>
  <c r="D68" i="28"/>
  <c r="D70" i="28"/>
  <c r="D71" i="28"/>
  <c r="D72" i="28"/>
  <c r="D73" i="28"/>
  <c r="D74" i="28"/>
  <c r="D75" i="28"/>
  <c r="E103" i="32"/>
  <c r="D25" i="31"/>
  <c r="K42" i="3"/>
  <c r="K42" i="31"/>
  <c r="D47" i="3"/>
  <c r="D47" i="31"/>
  <c r="D33" i="31"/>
  <c r="E28" i="31"/>
  <c r="C30" i="31"/>
  <c r="F5" i="31"/>
  <c r="I5" i="28"/>
  <c r="I6" i="28"/>
  <c r="I7" i="28"/>
  <c r="I8" i="28"/>
  <c r="I9" i="28"/>
  <c r="I10" i="28"/>
  <c r="I11" i="28"/>
  <c r="I12" i="28"/>
  <c r="I13" i="28"/>
  <c r="L98" i="32"/>
  <c r="L100" i="32"/>
  <c r="L102" i="32"/>
  <c r="L103" i="32"/>
  <c r="L106" i="32"/>
  <c r="J67" i="28"/>
  <c r="J69" i="28"/>
  <c r="J75" i="28"/>
  <c r="B362" i="8" a="1"/>
  <c r="B362" i="38" a="1"/>
  <c r="D177" i="4" a="1"/>
  <c r="D38" i="4" a="1"/>
  <c r="D169" i="29" a="1"/>
  <c r="C129" i="5" a="1"/>
  <c r="L132" i="5"/>
  <c r="L132" i="32"/>
  <c r="D131" i="5"/>
  <c r="C134" i="5"/>
  <c r="G131" i="5"/>
  <c r="H42" i="3"/>
  <c r="I130" i="5"/>
  <c r="K45" i="3"/>
  <c r="L133" i="5"/>
  <c r="K47" i="3"/>
  <c r="L135" i="5"/>
  <c r="L134" i="5"/>
  <c r="I42" i="3"/>
  <c r="J130" i="5"/>
  <c r="I47" i="3"/>
  <c r="J135" i="5"/>
  <c r="G135" i="5"/>
  <c r="B42" i="3"/>
  <c r="C130" i="5"/>
  <c r="D44" i="3"/>
  <c r="E132" i="5"/>
  <c r="D48" i="3"/>
  <c r="E136" i="5"/>
  <c r="C45" i="3"/>
  <c r="D133" i="5"/>
  <c r="G47" i="3"/>
  <c r="H135" i="5"/>
  <c r="G136" i="5"/>
  <c r="H130" i="5"/>
  <c r="K129" i="5"/>
  <c r="E42" i="3"/>
  <c r="F130" i="5"/>
  <c r="E43" i="3"/>
  <c r="F131" i="5"/>
  <c r="G41" i="3"/>
  <c r="H129" i="5"/>
  <c r="E48" i="3"/>
  <c r="F136" i="5"/>
  <c r="C41" i="3"/>
  <c r="D129" i="5"/>
  <c r="F134" i="5"/>
  <c r="F45" i="3"/>
  <c r="G133" i="5"/>
  <c r="E41" i="3"/>
  <c r="F129" i="5"/>
  <c r="F135" i="5"/>
  <c r="J46" i="3"/>
  <c r="K134" i="5"/>
  <c r="K41" i="3"/>
  <c r="L129" i="5"/>
  <c r="L136" i="5"/>
  <c r="I43" i="3"/>
  <c r="J131" i="5"/>
  <c r="I48" i="3"/>
  <c r="J136" i="5"/>
  <c r="H47" i="3"/>
  <c r="I135" i="5"/>
  <c r="J48" i="3"/>
  <c r="K136" i="5"/>
  <c r="G134" i="5"/>
  <c r="E133" i="5"/>
  <c r="C48" i="3"/>
  <c r="D136" i="5"/>
  <c r="K131" i="5"/>
  <c r="G43" i="3"/>
  <c r="H131" i="5"/>
  <c r="C46" i="3"/>
  <c r="D134" i="5"/>
  <c r="C131" i="5"/>
  <c r="E44" i="3"/>
  <c r="F132" i="5"/>
  <c r="J45" i="3"/>
  <c r="K133" i="5"/>
  <c r="C136" i="5"/>
  <c r="E45" i="3"/>
  <c r="F133" i="5"/>
  <c r="C42" i="3"/>
  <c r="D130" i="5"/>
  <c r="B47" i="3"/>
  <c r="C135" i="5"/>
  <c r="J42" i="3"/>
  <c r="K130" i="5"/>
  <c r="L130" i="5"/>
  <c r="J132" i="5"/>
  <c r="H136" i="5"/>
  <c r="D42" i="3"/>
  <c r="E130" i="5"/>
  <c r="E129" i="5"/>
  <c r="D46" i="3"/>
  <c r="E134" i="5"/>
  <c r="H44" i="3"/>
  <c r="I132" i="5"/>
  <c r="D135" i="5"/>
  <c r="F44" i="3"/>
  <c r="G132" i="5"/>
  <c r="J44" i="3"/>
  <c r="K132" i="5"/>
  <c r="H132" i="5"/>
  <c r="H46" i="3"/>
  <c r="I134" i="5"/>
  <c r="B44" i="3"/>
  <c r="C132" i="5"/>
  <c r="H133" i="5"/>
  <c r="I133" i="5"/>
  <c r="C44" i="3"/>
  <c r="D132" i="5"/>
  <c r="G129" i="5"/>
  <c r="H41" i="3"/>
  <c r="I129" i="5"/>
  <c r="H43" i="3"/>
  <c r="I131" i="5"/>
  <c r="J133" i="5"/>
  <c r="K43" i="3"/>
  <c r="L131" i="5"/>
  <c r="I41" i="3"/>
  <c r="J129" i="5"/>
  <c r="I46" i="3"/>
  <c r="J134" i="5"/>
  <c r="F42" i="3"/>
  <c r="G130" i="5"/>
  <c r="H48" i="3"/>
  <c r="I136" i="5"/>
  <c r="E131" i="5"/>
  <c r="E135" i="5"/>
  <c r="J47" i="3"/>
  <c r="K135" i="5"/>
  <c r="G46" i="3"/>
  <c r="H134" i="5"/>
  <c r="C133" i="5"/>
  <c r="C129" i="5"/>
  <c r="I131" i="32"/>
  <c r="J133" i="32"/>
  <c r="L137" i="28" a="1"/>
  <c r="L137" i="28"/>
  <c r="J137" i="28" a="1"/>
  <c r="J137" i="28"/>
  <c r="G130" i="32"/>
  <c r="C5" i="5" a="1"/>
  <c r="K5" i="5"/>
  <c r="K6" i="5"/>
  <c r="K7" i="5"/>
  <c r="K8" i="5"/>
  <c r="K9" i="5"/>
  <c r="K10" i="5"/>
  <c r="K11" i="5"/>
  <c r="K12" i="5"/>
  <c r="K14" i="5"/>
  <c r="C14" i="28" a="1"/>
  <c r="K5" i="28"/>
  <c r="K6" i="28"/>
  <c r="K7" i="28"/>
  <c r="K8" i="28"/>
  <c r="K9" i="28"/>
  <c r="K10" i="28"/>
  <c r="K11" i="28"/>
  <c r="K12" i="28"/>
  <c r="K13" i="28"/>
  <c r="K14" i="28"/>
  <c r="K14" i="32"/>
  <c r="I136" i="32"/>
  <c r="L5" i="5"/>
  <c r="L6" i="5"/>
  <c r="L7" i="5"/>
  <c r="L8" i="5"/>
  <c r="L9" i="5"/>
  <c r="L10" i="5"/>
  <c r="L11" i="5"/>
  <c r="L12" i="5"/>
  <c r="L14" i="5"/>
  <c r="L5" i="28"/>
  <c r="L6" i="28"/>
  <c r="L7" i="28"/>
  <c r="L8" i="28"/>
  <c r="L9" i="28"/>
  <c r="L10" i="28"/>
  <c r="L11" i="28"/>
  <c r="L12" i="28"/>
  <c r="L13" i="28"/>
  <c r="L14" i="28"/>
  <c r="L14" i="32"/>
  <c r="L136" i="32"/>
  <c r="J12" i="5"/>
  <c r="J12" i="28"/>
  <c r="J12" i="32"/>
  <c r="C6" i="5"/>
  <c r="C6" i="32"/>
  <c r="K129" i="32"/>
  <c r="K137" i="5" a="1"/>
  <c r="K137" i="5"/>
  <c r="K137" i="28" a="1"/>
  <c r="K137" i="28"/>
  <c r="K137" i="32"/>
  <c r="H129" i="32"/>
  <c r="H137" i="5" a="1"/>
  <c r="H137" i="5"/>
  <c r="H137" i="28" a="1"/>
  <c r="H137" i="28"/>
  <c r="H137" i="32"/>
  <c r="I5" i="5"/>
  <c r="I6" i="5"/>
  <c r="I7" i="5"/>
  <c r="I8" i="5"/>
  <c r="I9" i="5"/>
  <c r="I10" i="5"/>
  <c r="I11" i="5"/>
  <c r="I12" i="5"/>
  <c r="I14" i="5"/>
  <c r="I14" i="28"/>
  <c r="I14" i="32"/>
  <c r="H6" i="5"/>
  <c r="H6" i="28"/>
  <c r="H6" i="32"/>
  <c r="J10" i="5"/>
  <c r="J10" i="28"/>
  <c r="J10" i="32"/>
  <c r="D137" i="5" a="1"/>
  <c r="D137" i="5"/>
  <c r="D137" i="32"/>
  <c r="C133" i="32"/>
  <c r="F137" i="28" a="1"/>
  <c r="F137" i="28"/>
  <c r="E5" i="5"/>
  <c r="E5" i="28"/>
  <c r="E5" i="32"/>
  <c r="J5" i="5"/>
  <c r="J6" i="5"/>
  <c r="J7" i="5"/>
  <c r="J8" i="5"/>
  <c r="J9" i="5"/>
  <c r="J11" i="5"/>
  <c r="J14" i="5"/>
  <c r="J5" i="28"/>
  <c r="J6" i="28"/>
  <c r="J7" i="28"/>
  <c r="J8" i="28"/>
  <c r="J9" i="28"/>
  <c r="J11" i="28"/>
  <c r="J13" i="28"/>
  <c r="J14" i="28"/>
  <c r="J14" i="32"/>
  <c r="J136" i="32"/>
  <c r="E7" i="5"/>
  <c r="E7" i="28"/>
  <c r="E7" i="32"/>
  <c r="F10" i="5"/>
  <c r="F10" i="28"/>
  <c r="F10" i="32"/>
  <c r="E11" i="5"/>
  <c r="E11" i="28"/>
  <c r="E11" i="32"/>
  <c r="D10" i="5"/>
  <c r="D10" i="28"/>
  <c r="D10" i="32"/>
  <c r="I9" i="32"/>
  <c r="K6" i="32"/>
  <c r="F6" i="5"/>
  <c r="F6" i="28"/>
  <c r="F6" i="32"/>
  <c r="I10" i="32"/>
  <c r="J7" i="32"/>
  <c r="H10" i="5"/>
  <c r="H10" i="28"/>
  <c r="H10" i="32"/>
  <c r="L6" i="32"/>
  <c r="I5" i="32"/>
  <c r="C5" i="5"/>
  <c r="C5" i="32"/>
  <c r="G5" i="5"/>
  <c r="G5" i="28"/>
  <c r="G5" i="32"/>
  <c r="J129" i="32"/>
  <c r="C7" i="5"/>
  <c r="C8" i="5"/>
  <c r="C9" i="5"/>
  <c r="C10" i="5"/>
  <c r="C11" i="5"/>
  <c r="C12" i="5"/>
  <c r="C14" i="5"/>
  <c r="C14" i="28"/>
  <c r="C14" i="32"/>
  <c r="C129" i="32"/>
  <c r="F29" i="31"/>
  <c r="I36" i="28"/>
  <c r="I40" i="28"/>
  <c r="I44" i="28"/>
  <c r="H34" i="31"/>
  <c r="F19" i="31"/>
  <c r="I33" i="31"/>
  <c r="J36" i="28"/>
  <c r="J36" i="32"/>
  <c r="J44" i="32"/>
  <c r="I11" i="31"/>
  <c r="G100" i="32"/>
  <c r="F35" i="31"/>
  <c r="J30" i="31"/>
  <c r="K73" i="32"/>
  <c r="J12" i="31"/>
  <c r="K13" i="58"/>
  <c r="K13" i="60"/>
  <c r="I20" i="31"/>
  <c r="B21" i="31"/>
  <c r="G40" i="28"/>
  <c r="G40" i="32"/>
  <c r="J20" i="31"/>
  <c r="E20" i="31"/>
  <c r="H50" i="31"/>
  <c r="F38" i="32"/>
  <c r="G36" i="28"/>
  <c r="G36" i="32"/>
  <c r="G38" i="28"/>
  <c r="G38" i="32"/>
  <c r="G42" i="28"/>
  <c r="G42" i="32"/>
  <c r="G44" i="32"/>
  <c r="I34" i="31"/>
  <c r="G38" i="31"/>
  <c r="J44" i="28"/>
  <c r="C25" i="31"/>
  <c r="K69" i="32"/>
  <c r="H24" i="31"/>
  <c r="D6" i="31"/>
  <c r="H47" i="31"/>
  <c r="E44" i="28"/>
  <c r="D105" i="32"/>
  <c r="J37" i="31"/>
  <c r="J101" i="32"/>
  <c r="C29" i="31"/>
  <c r="H73" i="28"/>
  <c r="H73" i="32"/>
  <c r="H68" i="28"/>
  <c r="H68" i="32"/>
  <c r="D48" i="31"/>
  <c r="I46" i="31"/>
  <c r="C32" i="31"/>
  <c r="L44" i="28"/>
  <c r="J13" i="60"/>
  <c r="H15" i="31"/>
  <c r="G50" i="31"/>
  <c r="H18" i="31"/>
  <c r="D50" i="31"/>
  <c r="G21" i="31"/>
  <c r="G15" i="31"/>
  <c r="F17" i="31"/>
  <c r="G44" i="28"/>
  <c r="E32" i="31"/>
  <c r="H26" i="31"/>
  <c r="D26" i="31"/>
  <c r="C23" i="31"/>
  <c r="J28" i="31"/>
  <c r="J6" i="31"/>
  <c r="D46" i="31"/>
  <c r="E37" i="31"/>
  <c r="F39" i="31"/>
  <c r="B27" i="31"/>
  <c r="I30" i="31"/>
  <c r="G72" i="28"/>
  <c r="G72" i="32"/>
  <c r="C7" i="31"/>
  <c r="K45" i="31"/>
  <c r="J32" i="31"/>
  <c r="I38" i="31"/>
  <c r="K74" i="32"/>
  <c r="C26" i="31"/>
  <c r="B24" i="31"/>
  <c r="K8" i="31"/>
  <c r="E7" i="31"/>
  <c r="C46" i="31"/>
  <c r="J33" i="31"/>
  <c r="I23" i="31"/>
  <c r="G68" i="28"/>
  <c r="G68" i="32"/>
  <c r="E24" i="31"/>
  <c r="D72" i="32"/>
  <c r="J11" i="31"/>
  <c r="C42" i="31"/>
  <c r="H46" i="31"/>
  <c r="C70" i="32"/>
  <c r="C73" i="32"/>
  <c r="D106" i="28"/>
  <c r="H5" i="28"/>
  <c r="H7" i="28"/>
  <c r="H8" i="28"/>
  <c r="H9" i="28"/>
  <c r="H11" i="28"/>
  <c r="H12" i="28"/>
  <c r="H13" i="28"/>
  <c r="D70" i="32"/>
  <c r="D74" i="32"/>
  <c r="C24" i="31"/>
  <c r="I43" i="31"/>
  <c r="I42" i="31"/>
  <c r="E34" i="31"/>
  <c r="J36" i="31"/>
  <c r="F27" i="31"/>
  <c r="F7" i="31"/>
  <c r="J48" i="31"/>
  <c r="J67" i="32"/>
  <c r="J69" i="32"/>
  <c r="J75" i="32"/>
  <c r="E5" i="31"/>
  <c r="B47" i="31"/>
  <c r="E38" i="31"/>
  <c r="E33" i="31"/>
  <c r="F74" i="28"/>
  <c r="F74" i="32"/>
  <c r="G6" i="31"/>
  <c r="K41" i="31"/>
  <c r="F42" i="31"/>
  <c r="E48" i="31"/>
  <c r="G67" i="28"/>
  <c r="G69" i="28"/>
  <c r="G75" i="28"/>
  <c r="K106" i="28"/>
  <c r="H67" i="28"/>
  <c r="H67" i="32"/>
  <c r="H69" i="28"/>
  <c r="H69" i="32"/>
  <c r="H74" i="28"/>
  <c r="H74" i="32"/>
  <c r="H75" i="32"/>
  <c r="E98" i="32"/>
  <c r="E99" i="32"/>
  <c r="E101" i="32"/>
  <c r="E102" i="32"/>
  <c r="E104" i="32"/>
  <c r="E106" i="32"/>
  <c r="D12" i="31"/>
  <c r="I47" i="31"/>
  <c r="F100" i="32"/>
  <c r="F25" i="31"/>
  <c r="G23" i="31"/>
  <c r="H28" i="31"/>
  <c r="I9" i="31"/>
  <c r="F5" i="28"/>
  <c r="F7" i="28"/>
  <c r="F8" i="28"/>
  <c r="F9" i="28"/>
  <c r="F11" i="28"/>
  <c r="F12" i="28"/>
  <c r="F13" i="28"/>
  <c r="E67" i="28"/>
  <c r="E70" i="28"/>
  <c r="E71" i="28"/>
  <c r="E73" i="28"/>
  <c r="E74" i="28"/>
  <c r="E75" i="28"/>
  <c r="E106" i="28"/>
  <c r="F98" i="32"/>
  <c r="F99" i="32"/>
  <c r="F103" i="32"/>
  <c r="F104" i="32"/>
  <c r="F106" i="32"/>
  <c r="B353" i="8" a="1"/>
  <c r="B353" i="38" a="1"/>
  <c r="B380" i="8" a="1"/>
  <c r="B380" i="38" a="1"/>
  <c r="D55" i="4" a="1"/>
  <c r="D174" i="4" a="1"/>
  <c r="B524" i="38" a="1"/>
  <c r="D131" i="32"/>
  <c r="C134" i="32"/>
  <c r="G131" i="32"/>
  <c r="I130" i="32"/>
  <c r="L133" i="32"/>
  <c r="L135" i="32"/>
  <c r="F8" i="5"/>
  <c r="F8" i="32"/>
  <c r="D11" i="5"/>
  <c r="D11" i="28"/>
  <c r="D11" i="32"/>
  <c r="D6" i="5"/>
  <c r="D6" i="28"/>
  <c r="D6" i="32"/>
  <c r="G135" i="32"/>
  <c r="C130" i="32"/>
  <c r="E129" i="32"/>
  <c r="D133" i="32"/>
  <c r="H5" i="5"/>
  <c r="H5" i="32"/>
  <c r="D95" i="4" a="1"/>
  <c r="L95" i="4"/>
  <c r="D95" i="29" a="1"/>
  <c r="K44" i="28"/>
  <c r="L95" i="29"/>
  <c r="L95" i="40"/>
  <c r="H135" i="32"/>
  <c r="J131" i="32"/>
  <c r="G136" i="32"/>
  <c r="I11" i="32"/>
  <c r="K95" i="4"/>
  <c r="K95" i="29"/>
  <c r="K95" i="40"/>
  <c r="H130" i="32"/>
  <c r="K131" i="32"/>
  <c r="E95" i="4"/>
  <c r="D44" i="28"/>
  <c r="E95" i="29"/>
  <c r="E95" i="40"/>
  <c r="F130" i="32"/>
  <c r="F131" i="32"/>
  <c r="K135" i="32"/>
  <c r="L131" i="32"/>
  <c r="F136" i="32"/>
  <c r="F12" i="5"/>
  <c r="F12" i="32"/>
  <c r="D134" i="32"/>
  <c r="F134" i="32"/>
  <c r="G133" i="32"/>
  <c r="G137" i="28" a="1"/>
  <c r="G137" i="28"/>
  <c r="E6" i="5"/>
  <c r="E8" i="5"/>
  <c r="E9" i="5"/>
  <c r="E10" i="5"/>
  <c r="E12" i="5"/>
  <c r="E14" i="5"/>
  <c r="E6" i="28"/>
  <c r="E8" i="28"/>
  <c r="E9" i="28"/>
  <c r="E10" i="28"/>
  <c r="E12" i="28"/>
  <c r="E13" i="28"/>
  <c r="E14" i="28"/>
  <c r="E14" i="32"/>
  <c r="H134" i="32"/>
  <c r="E133" i="32"/>
  <c r="I137" i="28" a="1"/>
  <c r="I137" i="28"/>
  <c r="L12" i="32"/>
  <c r="C8" i="32"/>
  <c r="G12" i="5"/>
  <c r="G12" i="28"/>
  <c r="G12" i="32"/>
  <c r="J6" i="32"/>
  <c r="H11" i="5"/>
  <c r="H11" i="32"/>
  <c r="C11" i="32"/>
  <c r="G11" i="5"/>
  <c r="G11" i="28"/>
  <c r="G11" i="32"/>
  <c r="E8" i="32"/>
  <c r="H8" i="5"/>
  <c r="H8" i="32"/>
  <c r="D12" i="5"/>
  <c r="D12" i="28"/>
  <c r="D12" i="32"/>
  <c r="K10" i="32"/>
  <c r="F9" i="5"/>
  <c r="F9" i="32"/>
  <c r="C10" i="32"/>
  <c r="L5" i="32"/>
  <c r="J5" i="32"/>
  <c r="K5" i="32"/>
  <c r="D129" i="32"/>
  <c r="G129" i="32"/>
  <c r="L129" i="32"/>
  <c r="D5" i="5"/>
  <c r="D7" i="5"/>
  <c r="D8" i="5"/>
  <c r="D9" i="5"/>
  <c r="D14" i="5"/>
  <c r="D5" i="28"/>
  <c r="D7" i="28"/>
  <c r="D8" i="28"/>
  <c r="D9" i="28"/>
  <c r="D13" i="28"/>
  <c r="D14" i="28"/>
  <c r="E43" i="31"/>
  <c r="K26" i="31"/>
  <c r="F11" i="31"/>
  <c r="I32" i="31"/>
  <c r="D18" i="31"/>
  <c r="E74" i="32"/>
  <c r="C5" i="31"/>
  <c r="G34" i="31"/>
  <c r="D68" i="32"/>
  <c r="F12" i="31"/>
  <c r="E17" i="31"/>
  <c r="I40" i="32"/>
  <c r="E141" i="32"/>
  <c r="L13" i="58"/>
  <c r="L13" i="60"/>
  <c r="L141" i="32"/>
  <c r="I21" i="31"/>
  <c r="F36" i="32"/>
  <c r="F37" i="32"/>
  <c r="F44" i="32"/>
  <c r="F32" i="31"/>
  <c r="D100" i="32"/>
  <c r="I29" i="31"/>
  <c r="F6" i="31"/>
  <c r="E9" i="31"/>
  <c r="F44" i="31"/>
  <c r="C37" i="31"/>
  <c r="H39" i="31"/>
  <c r="G105" i="32"/>
  <c r="F26" i="31"/>
  <c r="J8" i="31"/>
  <c r="G46" i="31"/>
  <c r="J44" i="31"/>
  <c r="F38" i="31"/>
  <c r="C19" i="31"/>
  <c r="D20" i="31"/>
  <c r="H21" i="31"/>
  <c r="B18" i="31"/>
  <c r="J18" i="31"/>
  <c r="K50" i="31"/>
  <c r="B15" i="31"/>
  <c r="G37" i="31"/>
  <c r="C34" i="31"/>
  <c r="D30" i="31"/>
  <c r="I24" i="31"/>
  <c r="H30" i="31"/>
  <c r="E6" i="31"/>
  <c r="K47" i="31"/>
  <c r="J42" i="31"/>
  <c r="I36" i="32"/>
  <c r="I44" i="32"/>
  <c r="G39" i="31"/>
  <c r="L35" i="58"/>
  <c r="L35" i="60"/>
  <c r="J23" i="31"/>
  <c r="K7" i="31"/>
  <c r="H10" i="31"/>
  <c r="H44" i="31"/>
  <c r="G102" i="32"/>
  <c r="E23" i="31"/>
  <c r="H5" i="31"/>
  <c r="C41" i="31"/>
  <c r="D37" i="31"/>
  <c r="J26" i="31"/>
  <c r="B29" i="31"/>
  <c r="I27" i="31"/>
  <c r="C8" i="31"/>
  <c r="F45" i="31"/>
  <c r="C45" i="31"/>
  <c r="K70" i="32"/>
  <c r="C67" i="32"/>
  <c r="C72" i="32"/>
  <c r="C75" i="32"/>
  <c r="D67" i="32"/>
  <c r="D71" i="32"/>
  <c r="D73" i="32"/>
  <c r="D75" i="32"/>
  <c r="F67" i="28"/>
  <c r="F68" i="28"/>
  <c r="F71" i="28"/>
  <c r="F73" i="28"/>
  <c r="F75" i="28"/>
  <c r="G27" i="31"/>
  <c r="E73" i="32"/>
  <c r="K43" i="31"/>
  <c r="C44" i="31"/>
  <c r="D32" i="31"/>
  <c r="J34" i="31"/>
  <c r="C28" i="31"/>
  <c r="G12" i="31"/>
  <c r="I75" i="28"/>
  <c r="G69" i="32"/>
  <c r="J98" i="32"/>
  <c r="J103" i="32"/>
  <c r="J105" i="32"/>
  <c r="J106" i="32"/>
  <c r="E11" i="31"/>
  <c r="G47" i="31"/>
  <c r="D104" i="32"/>
  <c r="H25" i="31"/>
  <c r="F10" i="31"/>
  <c r="I48" i="31"/>
  <c r="D44" i="31"/>
  <c r="G6" i="28"/>
  <c r="G7" i="28"/>
  <c r="G8" i="28"/>
  <c r="G9" i="28"/>
  <c r="G10" i="28"/>
  <c r="G13" i="28"/>
  <c r="H98" i="32"/>
  <c r="H101" i="32"/>
  <c r="H106" i="32"/>
  <c r="C106" i="28"/>
  <c r="I10" i="31"/>
  <c r="E45" i="31"/>
  <c r="C35" i="31"/>
  <c r="G30" i="31"/>
  <c r="F68" i="32"/>
  <c r="E12" i="31"/>
  <c r="J47" i="31"/>
  <c r="J106" i="28"/>
  <c r="H106" i="28"/>
  <c r="B371" i="8" a="1"/>
  <c r="B371" i="38" a="1"/>
  <c r="D189" i="4" a="1"/>
  <c r="B139" i="38" a="1"/>
  <c r="J95" i="29"/>
  <c r="M95" i="29"/>
  <c r="G95" i="29"/>
  <c r="I95" i="29"/>
  <c r="F95" i="29"/>
  <c r="C44" i="28"/>
  <c r="D95" i="29"/>
  <c r="H95" i="29"/>
  <c r="D97" i="29"/>
  <c r="E97" i="29" a="1"/>
  <c r="M97" i="29"/>
  <c r="H97" i="29"/>
  <c r="I97" i="29"/>
  <c r="F97" i="29"/>
  <c r="E97" i="29"/>
  <c r="L97" i="29"/>
  <c r="K97" i="29"/>
  <c r="G97" i="29"/>
  <c r="J97" i="29"/>
  <c r="F135" i="32"/>
  <c r="F95" i="4"/>
  <c r="F95" i="40"/>
  <c r="K134" i="32"/>
  <c r="L137" i="5" a="1"/>
  <c r="L137" i="5"/>
  <c r="L137" i="32"/>
  <c r="J137" i="5" a="1"/>
  <c r="J137" i="5"/>
  <c r="J137" i="32"/>
  <c r="I135" i="32"/>
  <c r="K136" i="32"/>
  <c r="G134" i="32"/>
  <c r="H7" i="5"/>
  <c r="H9" i="5"/>
  <c r="H12" i="5"/>
  <c r="H14" i="5"/>
  <c r="H14" i="28"/>
  <c r="H14" i="32"/>
  <c r="E131" i="32"/>
  <c r="D136" i="32"/>
  <c r="J130" i="32"/>
  <c r="K7" i="32"/>
  <c r="F7" i="5"/>
  <c r="F7" i="32"/>
  <c r="D5" i="32"/>
  <c r="L130" i="32"/>
  <c r="E136" i="32"/>
  <c r="F5" i="5"/>
  <c r="F5" i="32"/>
  <c r="I8" i="32"/>
  <c r="I12" i="32"/>
  <c r="C12" i="32"/>
  <c r="H131" i="32"/>
  <c r="H95" i="4"/>
  <c r="H95" i="40"/>
  <c r="I95" i="4"/>
  <c r="I95" i="40"/>
  <c r="C131" i="32"/>
  <c r="F129" i="32"/>
  <c r="F137" i="5" a="1"/>
  <c r="F137" i="5"/>
  <c r="F137" i="32"/>
  <c r="K132" i="32"/>
  <c r="H12" i="32"/>
  <c r="E10" i="32"/>
  <c r="E9" i="32"/>
  <c r="H9" i="32"/>
  <c r="J8" i="32"/>
  <c r="L9" i="32"/>
  <c r="C7" i="32"/>
  <c r="F11" i="5"/>
  <c r="F11" i="32"/>
  <c r="G8" i="5"/>
  <c r="G8" i="32"/>
  <c r="L11" i="32"/>
  <c r="K8" i="32"/>
  <c r="E6" i="32"/>
  <c r="G6" i="5"/>
  <c r="G6" i="32"/>
  <c r="E73" i="29" a="1"/>
  <c r="F14" i="28"/>
  <c r="G14" i="28"/>
  <c r="C137" i="5" a="1"/>
  <c r="C137" i="5"/>
  <c r="C137" i="28" a="1"/>
  <c r="C137" i="28"/>
  <c r="C137" i="32"/>
  <c r="D94" i="4" a="1"/>
  <c r="D108" i="29" a="1"/>
  <c r="H75" i="28"/>
  <c r="G9" i="31"/>
  <c r="D9" i="31"/>
  <c r="J45" i="31"/>
  <c r="H36" i="31"/>
  <c r="C10" i="31"/>
  <c r="K34" i="31"/>
  <c r="K23" i="31"/>
  <c r="H27" i="31"/>
  <c r="C50" i="31"/>
  <c r="J21" i="31"/>
  <c r="C17" i="31"/>
  <c r="I36" i="31"/>
  <c r="K71" i="32"/>
  <c r="E70" i="32"/>
  <c r="K5" i="31"/>
  <c r="J9" i="31"/>
  <c r="G43" i="31"/>
  <c r="E36" i="31"/>
  <c r="K33" i="31"/>
  <c r="E71" i="32"/>
  <c r="E25" i="31"/>
  <c r="F8" i="31"/>
  <c r="H43" i="31"/>
  <c r="J46" i="31"/>
  <c r="E21" i="31"/>
  <c r="D16" i="31"/>
  <c r="I16" i="31"/>
  <c r="E15" i="31"/>
  <c r="E19" i="31"/>
  <c r="B20" i="31"/>
  <c r="F14" i="31"/>
  <c r="K35" i="58"/>
  <c r="K35" i="60"/>
  <c r="J5" i="31"/>
  <c r="C48" i="31"/>
  <c r="C39" i="31"/>
  <c r="G26" i="31"/>
  <c r="G8" i="31"/>
  <c r="B44" i="31"/>
  <c r="E35" i="31"/>
  <c r="J39" i="31"/>
  <c r="F71" i="32"/>
  <c r="D10" i="31"/>
  <c r="H48" i="31"/>
  <c r="B35" i="31"/>
  <c r="C38" i="31"/>
  <c r="C27" i="31"/>
  <c r="B26" i="31"/>
  <c r="J7" i="31"/>
  <c r="H42" i="31"/>
  <c r="E42" i="31"/>
  <c r="K67" i="32"/>
  <c r="K75" i="32"/>
  <c r="B130" i="38" a="1"/>
  <c r="B6" i="31"/>
  <c r="E44" i="31"/>
  <c r="B34" i="31"/>
  <c r="H38" i="31"/>
  <c r="F73" i="32"/>
  <c r="C6" i="31"/>
  <c r="E8" i="31"/>
  <c r="G67" i="32"/>
  <c r="G75" i="32"/>
  <c r="L106" i="28"/>
  <c r="E67" i="32"/>
  <c r="E75" i="32"/>
  <c r="G106" i="28"/>
  <c r="D8" i="31"/>
  <c r="G41" i="31"/>
  <c r="D39" i="31"/>
  <c r="F24" i="31"/>
  <c r="B8" i="31"/>
  <c r="K12" i="31"/>
  <c r="I41" i="31"/>
  <c r="H41" i="31"/>
  <c r="D98" i="32"/>
  <c r="D106" i="32"/>
  <c r="J29" i="31"/>
  <c r="D42" i="31"/>
  <c r="B42" i="31"/>
  <c r="G99" i="32"/>
  <c r="B28" i="31"/>
  <c r="E30" i="31"/>
  <c r="H6" i="31"/>
  <c r="E41" i="31"/>
  <c r="F67" i="32"/>
  <c r="F75" i="32"/>
  <c r="G98" i="32"/>
  <c r="G106" i="32"/>
  <c r="B121" i="38" a="1"/>
  <c r="D95" i="4"/>
  <c r="D95" i="40"/>
  <c r="D97" i="4"/>
  <c r="D97" i="40"/>
  <c r="G95" i="4"/>
  <c r="G95" i="40"/>
  <c r="K133" i="32"/>
  <c r="C136" i="32"/>
  <c r="F133" i="32"/>
  <c r="D130" i="32"/>
  <c r="C135" i="32"/>
  <c r="K130" i="32"/>
  <c r="K11" i="32"/>
  <c r="G7" i="5"/>
  <c r="G7" i="32"/>
  <c r="D8" i="32"/>
  <c r="H7" i="32"/>
  <c r="H136" i="32"/>
  <c r="E130" i="32"/>
  <c r="E137" i="5" a="1"/>
  <c r="E137" i="5"/>
  <c r="J132" i="32"/>
  <c r="I132" i="32"/>
  <c r="J95" i="4"/>
  <c r="J95" i="40"/>
  <c r="D135" i="32"/>
  <c r="E132" i="32"/>
  <c r="J9" i="32"/>
  <c r="D14" i="32"/>
  <c r="G132" i="32"/>
  <c r="H132" i="32"/>
  <c r="E135" i="32"/>
  <c r="I134" i="32"/>
  <c r="C132" i="32"/>
  <c r="I133" i="32"/>
  <c r="J134" i="32"/>
  <c r="F14" i="5"/>
  <c r="F14" i="32"/>
  <c r="D132" i="32"/>
  <c r="I6" i="32"/>
  <c r="L134" i="32"/>
  <c r="H133" i="32"/>
  <c r="J135" i="32"/>
  <c r="G137" i="5" a="1"/>
  <c r="G137" i="5"/>
  <c r="G137" i="32"/>
  <c r="G9" i="5"/>
  <c r="G10" i="5"/>
  <c r="G14" i="5"/>
  <c r="G14" i="32"/>
  <c r="E134" i="32"/>
  <c r="F132" i="32"/>
  <c r="I129" i="32"/>
  <c r="I137" i="5" a="1"/>
  <c r="I137" i="5"/>
  <c r="I137" i="32"/>
  <c r="G10" i="32"/>
  <c r="L8" i="32"/>
  <c r="K12" i="32"/>
  <c r="I7" i="32"/>
  <c r="C9" i="32"/>
  <c r="D7" i="32"/>
  <c r="L7" i="32"/>
  <c r="D9" i="32"/>
  <c r="E12" i="32"/>
  <c r="K9" i="32"/>
  <c r="M95" i="4"/>
  <c r="M95" i="40"/>
  <c r="G9" i="32"/>
  <c r="J11" i="32"/>
  <c r="L10" i="32"/>
  <c r="C177" i="38" a="1"/>
  <c r="C167" i="38" a="1"/>
  <c r="C157" i="38" a="1"/>
  <c r="C45" i="58" a="1"/>
  <c r="E73" i="4" a="1"/>
  <c r="C37" i="58" a="1"/>
  <c r="K37" i="58" s="1"/>
  <c r="D151" i="4" a="1"/>
  <c r="D122" i="29" a="1"/>
  <c r="C56" i="59" a="1"/>
  <c r="C48" i="58" a="1"/>
  <c r="D112" i="29" a="1"/>
  <c r="D170" i="29" a="1"/>
  <c r="D89" i="4" a="1"/>
  <c r="B112" i="35" a="1"/>
  <c r="B112" i="7" a="1"/>
  <c r="D126" i="29" a="1"/>
  <c r="D50" i="29" a="1"/>
  <c r="D175" i="4" a="1"/>
  <c r="D59" i="29" a="1"/>
  <c r="D42" i="29" a="1"/>
  <c r="C106" i="6" a="1"/>
  <c r="D48" i="4" a="1"/>
  <c r="D47" i="4" a="1"/>
  <c r="C115" i="6" a="1"/>
  <c r="D57" i="4" a="1"/>
  <c r="C292" i="6" a="1"/>
  <c r="C292" i="30" a="1"/>
  <c r="D39" i="4" a="1"/>
  <c r="D56" i="4" a="1"/>
  <c r="C88" i="6" a="1"/>
  <c r="B122" i="7" a="1"/>
  <c r="B122" i="35" a="1"/>
  <c r="B130" i="7" a="1"/>
  <c r="B497" i="8" a="1"/>
  <c r="B524" i="8" a="1"/>
  <c r="B515" i="8" a="1"/>
  <c r="B132" i="7" a="1"/>
  <c r="D41" i="4" a="1"/>
  <c r="C97" i="6" a="1"/>
  <c r="D49" i="4" a="1"/>
  <c r="D121" i="4" a="1"/>
  <c r="D107" i="4" a="1"/>
  <c r="D58" i="4" a="1"/>
  <c r="D40" i="4" a="1"/>
  <c r="B141" i="7" a="1"/>
  <c r="B150" i="7" a="1"/>
  <c r="B506" i="8" a="1"/>
  <c r="E125" i="29" a="1"/>
  <c r="B160" i="7" a="1"/>
  <c r="B170" i="7" a="1"/>
  <c r="C125" i="30" a="1"/>
  <c r="E111" i="29" a="1"/>
  <c r="D201" i="4" a="1"/>
  <c r="D199" i="4" a="1"/>
  <c r="D202" i="4" a="1"/>
  <c r="D200" i="4" a="1"/>
  <c r="D45" i="29" a="1"/>
  <c r="C148" i="30" a="1"/>
  <c r="C202" i="30" a="1"/>
  <c r="D62" i="29" a="1"/>
  <c r="D187" i="29" a="1"/>
  <c r="C148" i="6" a="1"/>
  <c r="C202" i="6" a="1"/>
  <c r="D122" i="4" a="1"/>
  <c r="D50" i="4" a="1"/>
  <c r="D59" i="4" a="1"/>
  <c r="D108" i="4" a="1"/>
  <c r="C124" i="6" a="1"/>
  <c r="D42" i="4" a="1"/>
  <c r="D187" i="4" a="1"/>
  <c r="B623" i="38" a="1"/>
  <c r="B587" i="38" a="1"/>
  <c r="D44" i="29" a="1"/>
  <c r="D68" i="29" a="1"/>
  <c r="E97" i="4" a="1"/>
  <c r="H97" i="4"/>
  <c r="H97" i="40"/>
  <c r="G97" i="4"/>
  <c r="F97" i="4"/>
  <c r="K97" i="4"/>
  <c r="M97" i="4"/>
  <c r="I97" i="4"/>
  <c r="J97" i="4"/>
  <c r="E97" i="4"/>
  <c r="L97" i="4"/>
  <c r="E137" i="28" a="1"/>
  <c r="E137" i="28"/>
  <c r="E137" i="32"/>
  <c r="I97" i="40"/>
  <c r="D128" i="29" a="1"/>
  <c r="F97" i="40"/>
  <c r="B596" i="38" a="1"/>
  <c r="C187" i="38" a="1"/>
  <c r="D61" i="29" a="1"/>
  <c r="D64" i="29" a="1"/>
  <c r="B605" i="38" a="1"/>
  <c r="D52" i="29" a="1"/>
  <c r="E97" i="40"/>
  <c r="L97" i="40"/>
  <c r="K97" i="40"/>
  <c r="G97" i="40"/>
  <c r="J97" i="40"/>
  <c r="D129" i="29" a="1"/>
  <c r="D67" i="29" a="1"/>
  <c r="D114" i="29" a="1"/>
  <c r="C211" i="30" a="1"/>
  <c r="M97" i="40"/>
  <c r="D112" i="4" a="1"/>
  <c r="D76" i="29" a="1"/>
  <c r="D126" i="4" a="1"/>
  <c r="D114" i="4" a="1"/>
  <c r="C229" i="30" a="1"/>
  <c r="D45" i="4" a="1"/>
  <c r="D52" i="4" a="1"/>
  <c r="D117" i="29" a="1"/>
  <c r="D115" i="29" a="1"/>
  <c r="C125" i="6" a="1"/>
  <c r="D128" i="4" a="1"/>
  <c r="D115" i="4" a="1"/>
  <c r="D44" i="4" a="1"/>
  <c r="C211" i="6" a="1"/>
  <c r="C229" i="6" a="1"/>
  <c r="D70" i="29" a="1"/>
  <c r="D75" i="29" a="1"/>
  <c r="C167" i="8" a="1"/>
  <c r="C157" i="8" a="1"/>
  <c r="C177" i="8" a="1"/>
  <c r="C187" i="8" a="1"/>
  <c r="D62" i="4" a="1"/>
  <c r="D64" i="4" a="1"/>
  <c r="D61" i="4" a="1"/>
  <c r="E111" i="4" a="1"/>
  <c r="D67" i="4" a="1"/>
  <c r="B605" i="8" a="1"/>
  <c r="D75" i="4" a="1"/>
  <c r="B596" i="8" a="1"/>
  <c r="B632" i="8" a="1"/>
  <c r="B587" i="8" a="1"/>
  <c r="B623" i="8" a="1"/>
  <c r="B614" i="8" a="1"/>
  <c r="B578" i="8" a="1"/>
  <c r="D129" i="4" a="1"/>
  <c r="E125" i="4" a="1"/>
  <c r="D117" i="4" a="1"/>
  <c r="D119" i="4" a="1"/>
  <c r="B641" i="8" a="1"/>
  <c r="B668" i="8" a="1"/>
  <c r="D68" i="4" a="1"/>
  <c r="D76" i="4" a="1"/>
  <c r="D70" i="4" a="1"/>
  <c r="D119" i="29" a="1"/>
  <c r="D99" i="29" a="1"/>
  <c r="D88" i="29" a="1"/>
  <c r="D90" i="29" a="1"/>
  <c r="D99" i="4" a="1"/>
  <c r="D88" i="4" a="1"/>
  <c r="C157" i="30" a="1"/>
  <c r="D102" i="4" a="1"/>
  <c r="D102" i="29" a="1"/>
  <c r="C166" i="30" a="1"/>
  <c r="C175" i="30" a="1"/>
  <c r="D90" i="4" a="1"/>
  <c r="E101" i="29" a="1"/>
  <c r="E101" i="4" a="1"/>
  <c r="B697" i="8" a="1"/>
  <c r="C157" i="6" a="1"/>
  <c r="D91" i="4" a="1"/>
  <c r="D104" i="4" a="1"/>
  <c r="D91" i="29" a="1"/>
  <c r="D104" i="29" a="1"/>
  <c r="D92" i="29" a="1"/>
  <c r="D116" i="29" a="1"/>
  <c r="D105" i="29" a="1"/>
  <c r="C184" i="30" a="1"/>
  <c r="D118" i="29" a="1"/>
  <c r="D105" i="4" a="1"/>
  <c r="D131" i="29" a="1"/>
  <c r="C166" i="6" a="1"/>
  <c r="C193" i="30" a="1"/>
  <c r="D92" i="4" a="1"/>
  <c r="D116" i="4" a="1"/>
  <c r="D118" i="4" a="1"/>
  <c r="C175" i="6" a="1"/>
  <c r="B697" i="38" a="1"/>
  <c r="C184" i="6" a="1"/>
  <c r="D131" i="4" a="1"/>
  <c r="D161" i="29" a="1"/>
  <c r="C238" i="30" a="1"/>
  <c r="E164" i="29" a="1"/>
  <c r="C247" i="30" a="1"/>
  <c r="C256" i="30" a="1"/>
  <c r="C265" i="30" a="1"/>
  <c r="C274" i="30" a="1"/>
  <c r="C283" i="30" a="1"/>
  <c r="D161" i="4" a="1"/>
  <c r="E166" i="29" a="1"/>
  <c r="D221" i="4" a="1"/>
  <c r="D221" i="29" a="1"/>
  <c r="C193" i="6" a="1"/>
  <c r="E168" i="29" a="1"/>
  <c r="E172" i="29" a="1"/>
  <c r="C238" i="6" a="1"/>
  <c r="E164" i="4" a="1"/>
  <c r="E96" i="29" a="1"/>
  <c r="C301" i="30" a="1"/>
  <c r="E123" i="29" a="1"/>
  <c r="E109" i="29" a="1"/>
  <c r="E60" i="29" a="1"/>
  <c r="E191" i="29" a="1"/>
  <c r="E43" i="29" a="1"/>
  <c r="C310" i="30" a="1"/>
  <c r="E83" i="29" a="1"/>
  <c r="E84" i="29" a="1"/>
  <c r="C247" i="6" a="1"/>
  <c r="C256" i="6" a="1"/>
  <c r="E51" i="29" a="1"/>
  <c r="E166" i="4" a="1"/>
  <c r="C265" i="6" a="1"/>
  <c r="E168" i="4" a="1"/>
  <c r="E82" i="29" a="1"/>
  <c r="E85" i="29" a="1"/>
  <c r="E98" i="29" a="1"/>
  <c r="E162" i="29" a="1"/>
  <c r="E172" i="4" a="1"/>
  <c r="B632" i="38" a="1"/>
  <c r="C274" i="6" a="1"/>
  <c r="E213" i="29" a="1"/>
  <c r="E51" i="4" a="1"/>
  <c r="E60" i="4" a="1"/>
  <c r="E191" i="4" a="1"/>
  <c r="E43" i="4" a="1"/>
  <c r="E109" i="4" a="1"/>
  <c r="E96" i="4" a="1"/>
  <c r="E98" i="4" a="1"/>
  <c r="E123" i="4" a="1"/>
  <c r="E85" i="4" a="1"/>
  <c r="E83" i="4" a="1"/>
  <c r="C283" i="6" a="1"/>
  <c r="C301" i="6" a="1"/>
  <c r="C310" i="6" a="1"/>
  <c r="C319" i="6" a="1"/>
  <c r="C328" i="6" a="1"/>
  <c r="C337" i="6" a="1"/>
  <c r="C355" i="6" a="1"/>
  <c r="C355" i="30" a="1"/>
  <c r="C364" i="30" a="1"/>
  <c r="E82" i="4" a="1"/>
  <c r="E84" i="4" a="1"/>
  <c r="E162" i="4" a="1"/>
  <c r="C373" i="30" a="1"/>
  <c r="D364" i="30" a="1"/>
  <c r="C373" i="6" a="1"/>
  <c r="D364" i="6" a="1"/>
  <c r="C391" i="6" a="1"/>
  <c r="C400" i="30" a="1"/>
  <c r="B4" i="9" a="1"/>
  <c r="B6" i="9" a="1"/>
  <c r="B26" i="9" a="1"/>
  <c r="B28" i="9" a="1"/>
  <c r="B19" i="9" a="1"/>
  <c r="H220" i="34"/>
  <c r="I224" i="6"/>
  <c r="L223" i="6"/>
  <c r="L223" i="34" s="1"/>
  <c r="K227" i="6"/>
  <c r="H220" i="6"/>
  <c r="E221" i="6"/>
  <c r="C227" i="6"/>
  <c r="G221" i="6"/>
  <c r="L222" i="6"/>
  <c r="K225" i="6"/>
  <c r="E224" i="6"/>
  <c r="E222" i="6"/>
  <c r="D226" i="6"/>
  <c r="G220" i="6"/>
  <c r="F223" i="6"/>
  <c r="D73" i="29"/>
  <c r="E73" i="29" s="1"/>
  <c r="F73" i="29" s="1"/>
  <c r="G73" i="29" s="1"/>
  <c r="H73" i="29" s="1"/>
  <c r="I73" i="29" s="1"/>
  <c r="J73" i="29" s="1"/>
  <c r="K73" i="29" s="1"/>
  <c r="L73" i="29" s="1"/>
  <c r="M73" i="29" s="1"/>
  <c r="C73" i="29"/>
  <c r="B73" i="57"/>
  <c r="I222" i="6"/>
  <c r="I222" i="34" s="1"/>
  <c r="G225" i="6"/>
  <c r="H222" i="6"/>
  <c r="H222" i="34" s="1"/>
  <c r="H224" i="6"/>
  <c r="L220" i="6"/>
  <c r="F224" i="6"/>
  <c r="C222" i="6"/>
  <c r="K224" i="6"/>
  <c r="D224" i="6"/>
  <c r="E227" i="6"/>
  <c r="G222" i="6"/>
  <c r="D220" i="6"/>
  <c r="H225" i="6"/>
  <c r="L224" i="6"/>
  <c r="L227" i="6"/>
  <c r="D222" i="6"/>
  <c r="D222" i="34" s="1"/>
  <c r="J224" i="6"/>
  <c r="J224" i="34" s="1"/>
  <c r="D73" i="4"/>
  <c r="I226" i="6"/>
  <c r="C224" i="6"/>
  <c r="J220" i="6"/>
  <c r="C220" i="6"/>
  <c r="I221" i="6"/>
  <c r="I221" i="34" s="1"/>
  <c r="G224" i="6"/>
  <c r="G227" i="6"/>
  <c r="E225" i="6"/>
  <c r="L225" i="6"/>
  <c r="D225" i="6"/>
  <c r="F221" i="6"/>
  <c r="F221" i="34" s="1"/>
  <c r="L226" i="6"/>
  <c r="F220" i="6"/>
  <c r="L221" i="30"/>
  <c r="L222" i="30"/>
  <c r="L222" i="34" s="1"/>
  <c r="E224" i="30"/>
  <c r="C224" i="30"/>
  <c r="C224" i="34" s="1"/>
  <c r="E226" i="30"/>
  <c r="D225" i="30"/>
  <c r="D224" i="30"/>
  <c r="I221" i="30"/>
  <c r="K225" i="30"/>
  <c r="K225" i="34"/>
  <c r="G227" i="30"/>
  <c r="G220" i="30"/>
  <c r="G220" i="34"/>
  <c r="F225" i="30"/>
  <c r="I223" i="30"/>
  <c r="G225" i="30"/>
  <c r="G225" i="34" s="1"/>
  <c r="J221" i="30"/>
  <c r="C223" i="30"/>
  <c r="E227" i="30"/>
  <c r="E227" i="34"/>
  <c r="F226" i="30"/>
  <c r="K220" i="30"/>
  <c r="K223" i="30"/>
  <c r="K223" i="34" s="1"/>
  <c r="H226" i="30"/>
  <c r="C227" i="30"/>
  <c r="C227" i="34"/>
  <c r="J223" i="30"/>
  <c r="G223" i="30"/>
  <c r="C221" i="30"/>
  <c r="C222" i="30"/>
  <c r="C222" i="34" s="1"/>
  <c r="H227" i="30"/>
  <c r="J220" i="30"/>
  <c r="J220" i="34"/>
  <c r="K222" i="30"/>
  <c r="J227" i="30"/>
  <c r="K221" i="30"/>
  <c r="E221" i="30"/>
  <c r="I225" i="30"/>
  <c r="D226" i="30"/>
  <c r="D223" i="30"/>
  <c r="L223" i="30"/>
  <c r="F223" i="30"/>
  <c r="L224" i="30"/>
  <c r="L224" i="34" s="1"/>
  <c r="E220" i="30"/>
  <c r="C220" i="30"/>
  <c r="C220" i="34" s="1"/>
  <c r="H222" i="30"/>
  <c r="F222" i="30"/>
  <c r="C226" i="30"/>
  <c r="E6" i="7" a="1"/>
  <c r="E12" i="7" s="1"/>
  <c r="B242" i="8" a="1"/>
  <c r="F242" i="8" s="1"/>
  <c r="C5" i="8"/>
  <c r="C5" i="39" s="1"/>
  <c r="F5" i="7"/>
  <c r="D142" i="4" a="1"/>
  <c r="J148" i="4" s="1"/>
  <c r="B219" i="38"/>
  <c r="B42" i="58"/>
  <c r="C126" i="6" a="1"/>
  <c r="I126" i="6" s="1"/>
  <c r="B5" i="35"/>
  <c r="B5" i="7"/>
  <c r="C6" i="38" a="1"/>
  <c r="C8" i="38" s="1"/>
  <c r="E5" i="8"/>
  <c r="D19" i="8" a="1"/>
  <c r="D22" i="8" s="1"/>
  <c r="B207" i="8"/>
  <c r="B221" i="8"/>
  <c r="B200" i="8"/>
  <c r="B209" i="8"/>
  <c r="B226" i="8"/>
  <c r="B197" i="8"/>
  <c r="B225" i="8"/>
  <c r="B210" i="8"/>
  <c r="B220" i="8"/>
  <c r="B216" i="8"/>
  <c r="B215" i="8"/>
  <c r="B202" i="8"/>
  <c r="B229" i="8"/>
  <c r="D32" i="8" a="1"/>
  <c r="D33" i="8" s="1"/>
  <c r="B19" i="8" a="1"/>
  <c r="B230" i="38"/>
  <c r="B224" i="38"/>
  <c r="B227" i="38"/>
  <c r="B201" i="38"/>
  <c r="B211" i="38"/>
  <c r="B198" i="38"/>
  <c r="B206" i="38"/>
  <c r="B217" i="38"/>
  <c r="C133" i="29" a="1"/>
  <c r="F45" i="58"/>
  <c r="C148" i="4"/>
  <c r="B233" i="38" a="1"/>
  <c r="C233" i="38" s="1"/>
  <c r="B233" i="8" a="1"/>
  <c r="G233" i="8" s="1"/>
  <c r="E33" i="38"/>
  <c r="D226" i="34"/>
  <c r="B62" i="57"/>
  <c r="C60" i="57"/>
  <c r="D53" i="57"/>
  <c r="D48" i="57"/>
  <c r="D45" i="57"/>
  <c r="D49" i="57"/>
  <c r="D51" i="57"/>
  <c r="D52" i="57"/>
  <c r="D46" i="57"/>
  <c r="D47" i="57"/>
  <c r="B60" i="57"/>
  <c r="B71" i="57" l="1"/>
  <c r="D23" i="8"/>
  <c r="I38" i="58"/>
  <c r="E6" i="38" a="1"/>
  <c r="E6" i="38" s="1"/>
  <c r="J39" i="58"/>
  <c r="J39" i="60" s="1"/>
  <c r="J149" i="4"/>
  <c r="D21" i="8"/>
  <c r="J40" i="58"/>
  <c r="J40" i="60" s="1"/>
  <c r="B233" i="38"/>
  <c r="E9" i="7"/>
  <c r="I44" i="58"/>
  <c r="B240" i="38" a="1"/>
  <c r="J240" i="38" s="1"/>
  <c r="F233" i="38"/>
  <c r="I233" i="38"/>
  <c r="H233" i="38"/>
  <c r="F5" i="37"/>
  <c r="B237" i="38" a="1"/>
  <c r="C237" i="38" s="1"/>
  <c r="E19" i="38" a="1"/>
  <c r="E24" i="38" s="1"/>
  <c r="C233" i="8"/>
  <c r="C92" i="35" s="1"/>
  <c r="F147" i="4"/>
  <c r="C121" i="4"/>
  <c r="C122" i="29" s="1"/>
  <c r="D18" i="39"/>
  <c r="G6" i="7" a="1"/>
  <c r="G10" i="7" s="1"/>
  <c r="C97" i="35" s="1"/>
  <c r="B218" i="38"/>
  <c r="D146" i="4"/>
  <c r="G233" i="38"/>
  <c r="J233" i="38"/>
  <c r="D149" i="4"/>
  <c r="D149" i="40" s="1"/>
  <c r="C149" i="4"/>
  <c r="D27" i="4"/>
  <c r="C174" i="4" s="1"/>
  <c r="C89" i="4"/>
  <c r="C89" i="40" s="1"/>
  <c r="H146" i="29"/>
  <c r="G145" i="29"/>
  <c r="E145" i="29"/>
  <c r="J144" i="29"/>
  <c r="I144" i="29"/>
  <c r="J147" i="29"/>
  <c r="G148" i="29"/>
  <c r="I145" i="29"/>
  <c r="J145" i="29"/>
  <c r="D149" i="29"/>
  <c r="F126" i="30"/>
  <c r="E126" i="30"/>
  <c r="L126" i="30"/>
  <c r="B237" i="38"/>
  <c r="E20" i="38"/>
  <c r="E23" i="38"/>
  <c r="E25" i="38"/>
  <c r="E19" i="38"/>
  <c r="K126" i="30"/>
  <c r="K142" i="4"/>
  <c r="L148" i="4"/>
  <c r="J143" i="4"/>
  <c r="E146" i="4"/>
  <c r="K144" i="4"/>
  <c r="C107" i="4"/>
  <c r="B211" i="39"/>
  <c r="B237" i="8" a="1"/>
  <c r="D19" i="38" a="1"/>
  <c r="D19" i="38" s="1"/>
  <c r="B242" i="38" a="1"/>
  <c r="C242" i="38" s="1"/>
  <c r="E31" i="38"/>
  <c r="G144" i="4"/>
  <c r="F143" i="4"/>
  <c r="E145" i="4"/>
  <c r="H148" i="4"/>
  <c r="D147" i="4"/>
  <c r="E147" i="4"/>
  <c r="L142" i="4"/>
  <c r="G143" i="4"/>
  <c r="D190" i="29" a="1"/>
  <c r="B43" i="58"/>
  <c r="B241" i="38" a="1"/>
  <c r="K241" i="38" s="1"/>
  <c r="C31" i="38"/>
  <c r="C31" i="39" s="1"/>
  <c r="C121" i="29"/>
  <c r="K37" i="60"/>
  <c r="B224" i="39"/>
  <c r="D233" i="38"/>
  <c r="K233" i="38"/>
  <c r="F144" i="4"/>
  <c r="K145" i="4"/>
  <c r="J145" i="4"/>
  <c r="M147" i="4"/>
  <c r="F142" i="4"/>
  <c r="I146" i="4"/>
  <c r="D32" i="8"/>
  <c r="B44" i="58"/>
  <c r="J44" i="58"/>
  <c r="J44" i="60" s="1"/>
  <c r="E31" i="8"/>
  <c r="B70" i="57"/>
  <c r="D5" i="39"/>
  <c r="G16" i="6" a="1"/>
  <c r="G16" i="6" s="1"/>
  <c r="F6" i="7" a="1"/>
  <c r="F9" i="7" s="1"/>
  <c r="D6" i="35" a="1"/>
  <c r="D6" i="35" s="1"/>
  <c r="B6" i="8" a="1"/>
  <c r="B11" i="8" s="1"/>
  <c r="B236" i="8" a="1"/>
  <c r="C236" i="8" s="1"/>
  <c r="D6" i="8" a="1"/>
  <c r="D6" i="8" s="1"/>
  <c r="B210" i="38"/>
  <c r="B210" i="39" s="1"/>
  <c r="E19" i="8" a="1"/>
  <c r="G82" i="7"/>
  <c r="G92" i="7"/>
  <c r="G233" i="39"/>
  <c r="G17" i="6"/>
  <c r="H236" i="8"/>
  <c r="D20" i="8"/>
  <c r="D36" i="8"/>
  <c r="E44" i="58"/>
  <c r="F43" i="58"/>
  <c r="F43" i="60" s="1"/>
  <c r="K38" i="58"/>
  <c r="K49" i="58" s="1"/>
  <c r="E37" i="58"/>
  <c r="E37" i="60" s="1"/>
  <c r="D6" i="38" a="1"/>
  <c r="D32" i="38" a="1"/>
  <c r="B31" i="38"/>
  <c r="D31" i="38"/>
  <c r="D31" i="39" s="1"/>
  <c r="D5" i="7"/>
  <c r="D190" i="29"/>
  <c r="H242" i="8"/>
  <c r="H190" i="29"/>
  <c r="D19" i="8"/>
  <c r="D24" i="8"/>
  <c r="B242" i="8"/>
  <c r="C6" i="35" a="1"/>
  <c r="C6" i="7" a="1"/>
  <c r="C7" i="7" s="1"/>
  <c r="I190" i="29"/>
  <c r="D25" i="8"/>
  <c r="J237" i="38"/>
  <c r="M147" i="29"/>
  <c r="M147" i="40" s="1"/>
  <c r="H148" i="29"/>
  <c r="D147" i="29"/>
  <c r="F147" i="29"/>
  <c r="F147" i="40" s="1"/>
  <c r="G242" i="38"/>
  <c r="D44" i="58"/>
  <c r="H37" i="58"/>
  <c r="H37" i="60" s="1"/>
  <c r="B32" i="38" a="1"/>
  <c r="B36" i="38" s="1"/>
  <c r="F6" i="35" a="1"/>
  <c r="F11" i="35" s="1"/>
  <c r="B5" i="8"/>
  <c r="B5" i="38"/>
  <c r="C40" i="58"/>
  <c r="C51" i="58" s="1"/>
  <c r="K44" i="58"/>
  <c r="I43" i="58"/>
  <c r="I43" i="60" s="1"/>
  <c r="F38" i="58"/>
  <c r="J242" i="8"/>
  <c r="E233" i="38"/>
  <c r="E190" i="29"/>
  <c r="G236" i="8"/>
  <c r="I237" i="38"/>
  <c r="K149" i="29"/>
  <c r="D145" i="29"/>
  <c r="H145" i="29"/>
  <c r="B230" i="39"/>
  <c r="B198" i="39"/>
  <c r="B241" i="8" a="1"/>
  <c r="L190" i="29"/>
  <c r="D35" i="8"/>
  <c r="E5" i="37"/>
  <c r="C22" i="2"/>
  <c r="D29" i="4" s="1"/>
  <c r="D30" i="4" s="1"/>
  <c r="C133" i="29"/>
  <c r="C138" i="29"/>
  <c r="C137" i="29"/>
  <c r="C136" i="29"/>
  <c r="C135" i="29"/>
  <c r="C140" i="29"/>
  <c r="C139" i="29"/>
  <c r="C134" i="29"/>
  <c r="C92" i="7"/>
  <c r="C52" i="35"/>
  <c r="G82" i="35"/>
  <c r="G92" i="35"/>
  <c r="B233" i="8"/>
  <c r="B373" i="38" s="1"/>
  <c r="I233" i="8"/>
  <c r="I32" i="7" s="1"/>
  <c r="F233" i="8"/>
  <c r="E233" i="8"/>
  <c r="H233" i="8"/>
  <c r="J233" i="8"/>
  <c r="D233" i="8"/>
  <c r="C10" i="38"/>
  <c r="C12" i="38"/>
  <c r="C6" i="38"/>
  <c r="C11" i="38"/>
  <c r="C9" i="38"/>
  <c r="C7" i="38"/>
  <c r="G32" i="7"/>
  <c r="K233" i="8"/>
  <c r="E21" i="38"/>
  <c r="E22" i="38"/>
  <c r="M149" i="29"/>
  <c r="G144" i="29"/>
  <c r="H144" i="29"/>
  <c r="F146" i="29"/>
  <c r="J148" i="29"/>
  <c r="D143" i="29"/>
  <c r="D148" i="29"/>
  <c r="K148" i="29"/>
  <c r="E148" i="29"/>
  <c r="M142" i="29"/>
  <c r="H142" i="29"/>
  <c r="J146" i="29"/>
  <c r="M144" i="29"/>
  <c r="L146" i="29"/>
  <c r="K142" i="29"/>
  <c r="K142" i="40" s="1"/>
  <c r="G143" i="29"/>
  <c r="D144" i="29"/>
  <c r="M143" i="29"/>
  <c r="E146" i="29"/>
  <c r="M145" i="29"/>
  <c r="F143" i="29"/>
  <c r="I148" i="29"/>
  <c r="I147" i="29"/>
  <c r="I143" i="29"/>
  <c r="M148" i="29"/>
  <c r="M146" i="29"/>
  <c r="E149" i="29"/>
  <c r="F148" i="29"/>
  <c r="G147" i="29"/>
  <c r="L147" i="29"/>
  <c r="J142" i="29"/>
  <c r="E144" i="29"/>
  <c r="I146" i="29"/>
  <c r="I149" i="29"/>
  <c r="L142" i="29"/>
  <c r="H143" i="29"/>
  <c r="E143" i="29"/>
  <c r="F142" i="29"/>
  <c r="L144" i="29"/>
  <c r="G149" i="29"/>
  <c r="L148" i="29"/>
  <c r="G146" i="29"/>
  <c r="L143" i="29"/>
  <c r="F145" i="29"/>
  <c r="K147" i="29"/>
  <c r="F8" i="7"/>
  <c r="F7" i="7"/>
  <c r="I126" i="30"/>
  <c r="I126" i="34" s="1"/>
  <c r="D126" i="30"/>
  <c r="H126" i="30"/>
  <c r="J126" i="30"/>
  <c r="G126" i="30"/>
  <c r="E148" i="4"/>
  <c r="M142" i="4"/>
  <c r="I143" i="4"/>
  <c r="K143" i="4"/>
  <c r="G148" i="4"/>
  <c r="G148" i="40" s="1"/>
  <c r="I142" i="4"/>
  <c r="L145" i="4"/>
  <c r="H147" i="4"/>
  <c r="F148" i="4"/>
  <c r="M149" i="4"/>
  <c r="E149" i="4"/>
  <c r="M144" i="4"/>
  <c r="G147" i="4"/>
  <c r="L149" i="4"/>
  <c r="I147" i="4"/>
  <c r="I148" i="4"/>
  <c r="I148" i="40" s="1"/>
  <c r="D144" i="4"/>
  <c r="H145" i="4"/>
  <c r="M143" i="4"/>
  <c r="H143" i="4"/>
  <c r="K146" i="4"/>
  <c r="I145" i="4"/>
  <c r="D148" i="4"/>
  <c r="M145" i="4"/>
  <c r="G145" i="4"/>
  <c r="G145" i="40" s="1"/>
  <c r="G146" i="4"/>
  <c r="F149" i="4"/>
  <c r="H146" i="4"/>
  <c r="E144" i="4"/>
  <c r="G142" i="4"/>
  <c r="J146" i="4"/>
  <c r="D142" i="4"/>
  <c r="H149" i="4"/>
  <c r="I144" i="4"/>
  <c r="M148" i="4"/>
  <c r="F145" i="4"/>
  <c r="H144" i="4"/>
  <c r="D145" i="4"/>
  <c r="D145" i="40" s="1"/>
  <c r="J142" i="4"/>
  <c r="E143" i="4"/>
  <c r="M146" i="4"/>
  <c r="E142" i="4"/>
  <c r="K149" i="4"/>
  <c r="F146" i="4"/>
  <c r="L147" i="4"/>
  <c r="K148" i="4"/>
  <c r="G149" i="4"/>
  <c r="K147" i="4"/>
  <c r="H142" i="4"/>
  <c r="I149" i="4"/>
  <c r="C45" i="58"/>
  <c r="E45" i="58"/>
  <c r="L45" i="58"/>
  <c r="B39" i="58"/>
  <c r="B37" i="58"/>
  <c r="B40" i="58"/>
  <c r="B41" i="58"/>
  <c r="C126" i="30"/>
  <c r="D143" i="4"/>
  <c r="K144" i="29"/>
  <c r="F144" i="29"/>
  <c r="F144" i="40" s="1"/>
  <c r="L143" i="4"/>
  <c r="G142" i="29"/>
  <c r="J147" i="4"/>
  <c r="J147" i="40" s="1"/>
  <c r="J86" i="7"/>
  <c r="L144" i="4"/>
  <c r="J144" i="4"/>
  <c r="L146" i="4"/>
  <c r="L146" i="40" s="1"/>
  <c r="E147" i="29"/>
  <c r="E147" i="40" s="1"/>
  <c r="D142" i="29"/>
  <c r="L149" i="29"/>
  <c r="E142" i="29"/>
  <c r="L145" i="29"/>
  <c r="C121" i="40"/>
  <c r="C122" i="4"/>
  <c r="C122" i="40" s="1"/>
  <c r="D37" i="38"/>
  <c r="D38" i="38"/>
  <c r="D36" i="38"/>
  <c r="B5" i="37"/>
  <c r="C172" i="29"/>
  <c r="C4" i="6" a="1"/>
  <c r="C4" i="6" s="1"/>
  <c r="D19" i="4"/>
  <c r="C51" i="4"/>
  <c r="C189" i="4"/>
  <c r="C38" i="4"/>
  <c r="F190" i="29"/>
  <c r="J190" i="29"/>
  <c r="M190" i="29"/>
  <c r="C189" i="29"/>
  <c r="I38" i="60"/>
  <c r="D38" i="8"/>
  <c r="D37" i="8"/>
  <c r="D34" i="8"/>
  <c r="G6" i="7"/>
  <c r="K237" i="38"/>
  <c r="E237" i="38"/>
  <c r="G237" i="38"/>
  <c r="H237" i="38"/>
  <c r="H237" i="8"/>
  <c r="I237" i="8"/>
  <c r="I237" i="39" s="1"/>
  <c r="I242" i="8"/>
  <c r="G242" i="8"/>
  <c r="E242" i="8"/>
  <c r="E6" i="7"/>
  <c r="E7" i="7"/>
  <c r="E11" i="7"/>
  <c r="E10" i="7"/>
  <c r="E8" i="7"/>
  <c r="K242" i="38"/>
  <c r="E242" i="38"/>
  <c r="G41" i="58"/>
  <c r="G41" i="60" s="1"/>
  <c r="K40" i="58"/>
  <c r="K40" i="60" s="1"/>
  <c r="D39" i="58"/>
  <c r="D50" i="58" s="1"/>
  <c r="G43" i="58"/>
  <c r="L42" i="58"/>
  <c r="H44" i="58"/>
  <c r="G44" i="58"/>
  <c r="G55" i="58" s="1"/>
  <c r="G42" i="58"/>
  <c r="H38" i="58"/>
  <c r="H38" i="60" s="1"/>
  <c r="C43" i="58"/>
  <c r="K41" i="58"/>
  <c r="K41" i="60" s="1"/>
  <c r="I41" i="58"/>
  <c r="I41" i="60" s="1"/>
  <c r="B227" i="39"/>
  <c r="B206" i="39"/>
  <c r="C5" i="37"/>
  <c r="G32" i="35"/>
  <c r="J32" i="35"/>
  <c r="C144" i="4"/>
  <c r="C146" i="4"/>
  <c r="C147" i="4"/>
  <c r="C142" i="4"/>
  <c r="C143" i="4"/>
  <c r="C94" i="29"/>
  <c r="L26" i="1" a="1"/>
  <c r="C164" i="4"/>
  <c r="C164" i="40" s="1"/>
  <c r="C55" i="4"/>
  <c r="D9" i="4"/>
  <c r="C94" i="4"/>
  <c r="C172" i="4"/>
  <c r="C172" i="40" s="1"/>
  <c r="C107" i="29"/>
  <c r="C107" i="40" s="1"/>
  <c r="D28" i="4"/>
  <c r="E16" i="6" a="1"/>
  <c r="B6" i="35" a="1"/>
  <c r="D24" i="4"/>
  <c r="C64" i="4" s="1"/>
  <c r="D22" i="4"/>
  <c r="C16" i="6" a="1"/>
  <c r="D6" i="7" a="1"/>
  <c r="B207" i="39"/>
  <c r="B241" i="38"/>
  <c r="J241" i="38"/>
  <c r="F8" i="35"/>
  <c r="C45" i="59" a="1"/>
  <c r="L40" i="59"/>
  <c r="K43" i="59"/>
  <c r="E43" i="59"/>
  <c r="C42" i="59"/>
  <c r="J38" i="59"/>
  <c r="G38" i="59"/>
  <c r="G43" i="59"/>
  <c r="D40" i="59"/>
  <c r="L38" i="59"/>
  <c r="E42" i="59"/>
  <c r="C43" i="59"/>
  <c r="B238" i="38" a="1"/>
  <c r="B238" i="8" a="1"/>
  <c r="B236" i="38" a="1"/>
  <c r="B45" i="58"/>
  <c r="B56" i="58" s="1"/>
  <c r="F39" i="59"/>
  <c r="C39" i="59"/>
  <c r="D38" i="59"/>
  <c r="C44" i="59"/>
  <c r="L41" i="59"/>
  <c r="L42" i="59"/>
  <c r="K38" i="59"/>
  <c r="K44" i="59"/>
  <c r="K44" i="60" s="1"/>
  <c r="H42" i="59"/>
  <c r="L39" i="59"/>
  <c r="I42" i="59"/>
  <c r="F44" i="59"/>
  <c r="H41" i="59"/>
  <c r="C38" i="59"/>
  <c r="F42" i="59"/>
  <c r="G44" i="59"/>
  <c r="F38" i="59"/>
  <c r="F38" i="60" s="1"/>
  <c r="H39" i="59"/>
  <c r="G39" i="59"/>
  <c r="F40" i="59"/>
  <c r="B37" i="59" a="1"/>
  <c r="B45" i="59"/>
  <c r="J42" i="59"/>
  <c r="H44" i="59"/>
  <c r="E41" i="59"/>
  <c r="I39" i="59"/>
  <c r="G37" i="59"/>
  <c r="D41" i="59"/>
  <c r="E38" i="59"/>
  <c r="G40" i="59"/>
  <c r="D44" i="59"/>
  <c r="C40" i="59"/>
  <c r="C40" i="60" s="1"/>
  <c r="K39" i="59"/>
  <c r="D39" i="59"/>
  <c r="I44" i="59"/>
  <c r="C37" i="59"/>
  <c r="D37" i="59"/>
  <c r="L44" i="59"/>
  <c r="C24" i="6"/>
  <c r="B235" i="8" a="1"/>
  <c r="K235" i="8" s="1"/>
  <c r="B235" i="38" a="1"/>
  <c r="C32" i="8" a="1"/>
  <c r="C36" i="8" s="1"/>
  <c r="C32" i="38" a="1"/>
  <c r="E5" i="38"/>
  <c r="E5" i="39" s="1"/>
  <c r="E6" i="8" a="1"/>
  <c r="B204" i="38"/>
  <c r="B199" i="38"/>
  <c r="B199" i="39" s="1"/>
  <c r="B18" i="8"/>
  <c r="B19" i="38" a="1"/>
  <c r="B217" i="8"/>
  <c r="B217" i="39" s="1"/>
  <c r="B218" i="8"/>
  <c r="B222" i="8"/>
  <c r="B222" i="39" s="1"/>
  <c r="B243" i="8" a="1"/>
  <c r="B243" i="38" a="1"/>
  <c r="C6" i="8" a="1"/>
  <c r="E32" i="8" a="1"/>
  <c r="B32" i="8" a="1"/>
  <c r="B203" i="38"/>
  <c r="B203" i="39" s="1"/>
  <c r="B226" i="39"/>
  <c r="B221" i="38"/>
  <c r="B221" i="39" s="1"/>
  <c r="B212" i="8"/>
  <c r="B216" i="38"/>
  <c r="B219" i="8"/>
  <c r="B18" i="38"/>
  <c r="B240" i="8" a="1"/>
  <c r="B208" i="38"/>
  <c r="B209" i="38"/>
  <c r="B209" i="39" s="1"/>
  <c r="B213" i="38"/>
  <c r="B213" i="39" s="1"/>
  <c r="B208" i="8"/>
  <c r="B212" i="38"/>
  <c r="C18" i="8"/>
  <c r="C19" i="8" a="1"/>
  <c r="C19" i="38" a="1"/>
  <c r="B229" i="38"/>
  <c r="B229" i="39" s="1"/>
  <c r="B225" i="38"/>
  <c r="B225" i="39" s="1"/>
  <c r="B228" i="8"/>
  <c r="B228" i="38"/>
  <c r="B231" i="38"/>
  <c r="B231" i="39" s="1"/>
  <c r="B6" i="38" a="1"/>
  <c r="B8" i="38" s="1"/>
  <c r="B31" i="39"/>
  <c r="C73" i="40"/>
  <c r="D54" i="57"/>
  <c r="G190" i="4"/>
  <c r="K190" i="4"/>
  <c r="J190" i="4"/>
  <c r="J190" i="40" s="1"/>
  <c r="D190" i="4"/>
  <c r="D190" i="40" s="1"/>
  <c r="L190" i="4"/>
  <c r="M190" i="4"/>
  <c r="M190" i="40" s="1"/>
  <c r="E190" i="4"/>
  <c r="E190" i="40" s="1"/>
  <c r="I190" i="4"/>
  <c r="I190" i="40" s="1"/>
  <c r="H190" i="4"/>
  <c r="H190" i="40" s="1"/>
  <c r="F190" i="4"/>
  <c r="H48" i="58"/>
  <c r="H55" i="58"/>
  <c r="J50" i="58"/>
  <c r="G54" i="58"/>
  <c r="C6" i="6"/>
  <c r="C140" i="4"/>
  <c r="C137" i="4"/>
  <c r="C136" i="4"/>
  <c r="C134" i="4"/>
  <c r="C133" i="4"/>
  <c r="C138" i="4"/>
  <c r="C135" i="4"/>
  <c r="C135" i="40" s="1"/>
  <c r="C139" i="4"/>
  <c r="C139" i="40" s="1"/>
  <c r="C35" i="8"/>
  <c r="C33" i="8"/>
  <c r="C37" i="8"/>
  <c r="C38" i="8"/>
  <c r="C126" i="6"/>
  <c r="H126" i="6"/>
  <c r="K126" i="6"/>
  <c r="K126" i="34" s="1"/>
  <c r="D126" i="6"/>
  <c r="J126" i="6"/>
  <c r="J126" i="34" s="1"/>
  <c r="E126" i="6"/>
  <c r="F126" i="6"/>
  <c r="F126" i="34" s="1"/>
  <c r="L126" i="6"/>
  <c r="G126" i="6"/>
  <c r="M148" i="40"/>
  <c r="J148" i="40"/>
  <c r="B35" i="38"/>
  <c r="B37" i="38"/>
  <c r="C236" i="38"/>
  <c r="B236" i="38"/>
  <c r="K236" i="38"/>
  <c r="G236" i="38"/>
  <c r="F236" i="38"/>
  <c r="D236" i="38"/>
  <c r="J236" i="38"/>
  <c r="E236" i="38"/>
  <c r="B22" i="8"/>
  <c r="B19" i="8"/>
  <c r="B25" i="8"/>
  <c r="B21" i="8"/>
  <c r="B24" i="8"/>
  <c r="B23" i="8"/>
  <c r="B20" i="8"/>
  <c r="E37" i="38"/>
  <c r="E35" i="38"/>
  <c r="E34" i="38"/>
  <c r="E38" i="38"/>
  <c r="E36" i="38"/>
  <c r="E32" i="38"/>
  <c r="L53" i="58"/>
  <c r="F54" i="58"/>
  <c r="I54" i="58"/>
  <c r="F49" i="58"/>
  <c r="I52" i="58"/>
  <c r="K51" i="58"/>
  <c r="K55" i="58"/>
  <c r="K48" i="58"/>
  <c r="I49" i="58"/>
  <c r="E73" i="4"/>
  <c r="D73" i="40"/>
  <c r="D12" i="8"/>
  <c r="D9" i="8"/>
  <c r="D10" i="8"/>
  <c r="D224" i="34"/>
  <c r="H242" i="38"/>
  <c r="F242" i="38"/>
  <c r="F242" i="39" s="1"/>
  <c r="I242" i="38"/>
  <c r="D242" i="38"/>
  <c r="L41" i="58"/>
  <c r="I40" i="58"/>
  <c r="C38" i="58"/>
  <c r="D38" i="58"/>
  <c r="D49" i="58" s="1"/>
  <c r="H41" i="58"/>
  <c r="H52" i="58" s="1"/>
  <c r="D41" i="58"/>
  <c r="D52" i="58" s="1"/>
  <c r="F41" i="58"/>
  <c r="F44" i="58"/>
  <c r="I37" i="58"/>
  <c r="I48" i="58" s="1"/>
  <c r="F40" i="58"/>
  <c r="F39" i="58"/>
  <c r="D42" i="58"/>
  <c r="D53" i="58" s="1"/>
  <c r="C42" i="58"/>
  <c r="L37" i="58"/>
  <c r="L40" i="58"/>
  <c r="L38" i="58"/>
  <c r="E40" i="58"/>
  <c r="E51" i="58" s="1"/>
  <c r="K39" i="58"/>
  <c r="K50" i="58" s="1"/>
  <c r="J38" i="58"/>
  <c r="H43" i="58"/>
  <c r="H54" i="58" s="1"/>
  <c r="J42" i="58"/>
  <c r="I45" i="58"/>
  <c r="J45" i="58"/>
  <c r="H45" i="58"/>
  <c r="C67" i="58" a="1"/>
  <c r="C163" i="1" a="1"/>
  <c r="D18" i="4"/>
  <c r="C43" i="4"/>
  <c r="C43" i="29"/>
  <c r="D17" i="4"/>
  <c r="D243" i="8"/>
  <c r="G243" i="8"/>
  <c r="C7" i="8"/>
  <c r="C6" i="8"/>
  <c r="C12" i="8"/>
  <c r="C38" i="38"/>
  <c r="E8" i="38"/>
  <c r="G39" i="58"/>
  <c r="C39" i="58"/>
  <c r="C50" i="58" s="1"/>
  <c r="L39" i="58"/>
  <c r="L50" i="58" s="1"/>
  <c r="D43" i="58"/>
  <c r="E42" i="58"/>
  <c r="H39" i="58"/>
  <c r="H50" i="58" s="1"/>
  <c r="G40" i="58"/>
  <c r="E38" i="58"/>
  <c r="L43" i="58"/>
  <c r="K43" i="58"/>
  <c r="D40" i="58"/>
  <c r="D51" i="58" s="1"/>
  <c r="C37" i="58"/>
  <c r="F37" i="58"/>
  <c r="H42" i="58"/>
  <c r="H53" i="58" s="1"/>
  <c r="G37" i="58"/>
  <c r="I42" i="58"/>
  <c r="G38" i="58"/>
  <c r="D37" i="58"/>
  <c r="D45" i="58"/>
  <c r="B9" i="8"/>
  <c r="B12" i="8"/>
  <c r="H149" i="29"/>
  <c r="D146" i="29"/>
  <c r="F149" i="29"/>
  <c r="F149" i="40" s="1"/>
  <c r="K143" i="29"/>
  <c r="J143" i="29"/>
  <c r="K146" i="29"/>
  <c r="I142" i="29"/>
  <c r="H147" i="29"/>
  <c r="H147" i="40" s="1"/>
  <c r="J149" i="29"/>
  <c r="J149" i="40" s="1"/>
  <c r="K145" i="29"/>
  <c r="K242" i="8"/>
  <c r="C242" i="8"/>
  <c r="C242" i="39" s="1"/>
  <c r="D242" i="8"/>
  <c r="D242" i="39" s="1"/>
  <c r="L225" i="34"/>
  <c r="F223" i="34"/>
  <c r="E224" i="34"/>
  <c r="B242" i="38"/>
  <c r="J43" i="58"/>
  <c r="C44" i="58"/>
  <c r="L44" i="58"/>
  <c r="I39" i="58"/>
  <c r="I50" i="58" s="1"/>
  <c r="E39" i="58"/>
  <c r="E50" i="58" s="1"/>
  <c r="E43" i="58"/>
  <c r="E41" i="58"/>
  <c r="C41" i="58"/>
  <c r="J41" i="58"/>
  <c r="K42" i="58"/>
  <c r="F42" i="58"/>
  <c r="H40" i="58"/>
  <c r="K45" i="58"/>
  <c r="G45" i="58"/>
  <c r="J37" i="58"/>
  <c r="J48" i="58" s="1"/>
  <c r="J242" i="38"/>
  <c r="F10" i="7"/>
  <c r="F12" i="7"/>
  <c r="J227" i="34"/>
  <c r="B6" i="7" a="1"/>
  <c r="G6" i="35" a="1"/>
  <c r="E6" i="35" a="1"/>
  <c r="B204" i="8"/>
  <c r="B201" i="8"/>
  <c r="B202" i="38"/>
  <c r="B197" i="38"/>
  <c r="B200" i="38"/>
  <c r="B215" i="38"/>
  <c r="B220" i="38"/>
  <c r="D225" i="34"/>
  <c r="G222" i="34"/>
  <c r="E221" i="34"/>
  <c r="K220" i="34"/>
  <c r="K222" i="6"/>
  <c r="K222" i="34" s="1"/>
  <c r="D223" i="6"/>
  <c r="D223" i="34" s="1"/>
  <c r="L221" i="6"/>
  <c r="L221" i="34" s="1"/>
  <c r="I225" i="6"/>
  <c r="I225" i="34" s="1"/>
  <c r="J223" i="6"/>
  <c r="J223" i="34" s="1"/>
  <c r="I223" i="6"/>
  <c r="I223" i="34" s="1"/>
  <c r="H227" i="6"/>
  <c r="H227" i="34" s="1"/>
  <c r="G223" i="6"/>
  <c r="G223" i="34" s="1"/>
  <c r="E226" i="6"/>
  <c r="E226" i="34" s="1"/>
  <c r="F225" i="6"/>
  <c r="F225" i="34" s="1"/>
  <c r="I227" i="6"/>
  <c r="C225" i="6"/>
  <c r="C225" i="34" s="1"/>
  <c r="D221" i="6"/>
  <c r="D221" i="34" s="1"/>
  <c r="H221" i="6"/>
  <c r="H221" i="34" s="1"/>
  <c r="K226" i="6"/>
  <c r="K226" i="34" s="1"/>
  <c r="F226" i="6"/>
  <c r="F226" i="34" s="1"/>
  <c r="J221" i="6"/>
  <c r="J221" i="34" s="1"/>
  <c r="J222" i="6"/>
  <c r="J222" i="34" s="1"/>
  <c r="E220" i="6"/>
  <c r="E220" i="34" s="1"/>
  <c r="K221" i="6"/>
  <c r="K221" i="34" s="1"/>
  <c r="F222" i="6"/>
  <c r="F222" i="34" s="1"/>
  <c r="C223" i="6"/>
  <c r="C223" i="34" s="1"/>
  <c r="C221" i="6"/>
  <c r="C221" i="34" s="1"/>
  <c r="J225" i="6"/>
  <c r="J225" i="34" s="1"/>
  <c r="J226" i="6"/>
  <c r="J226" i="34" s="1"/>
  <c r="G226" i="6"/>
  <c r="G227" i="34"/>
  <c r="H225" i="34"/>
  <c r="C225" i="30"/>
  <c r="H224" i="30"/>
  <c r="H224" i="34" s="1"/>
  <c r="L220" i="30"/>
  <c r="L220" i="34" s="1"/>
  <c r="I227" i="30"/>
  <c r="G222" i="30"/>
  <c r="I226" i="30"/>
  <c r="I226" i="34" s="1"/>
  <c r="G221" i="30"/>
  <c r="G221" i="34" s="1"/>
  <c r="F224" i="30"/>
  <c r="F224" i="34" s="1"/>
  <c r="L225" i="30"/>
  <c r="F227" i="30"/>
  <c r="F227" i="34" s="1"/>
  <c r="E223" i="30"/>
  <c r="E223" i="34" s="1"/>
  <c r="L227" i="30"/>
  <c r="L227" i="34" s="1"/>
  <c r="D227" i="30"/>
  <c r="D227" i="34" s="1"/>
  <c r="I220" i="30"/>
  <c r="I220" i="34" s="1"/>
  <c r="G224" i="30"/>
  <c r="G224" i="34" s="1"/>
  <c r="K224" i="30"/>
  <c r="K224" i="34" s="1"/>
  <c r="H223" i="30"/>
  <c r="H223" i="34" s="1"/>
  <c r="G226" i="30"/>
  <c r="H221" i="30"/>
  <c r="K227" i="30"/>
  <c r="K227" i="34" s="1"/>
  <c r="L226" i="30"/>
  <c r="L226" i="34" s="1"/>
  <c r="E225" i="30"/>
  <c r="E225" i="34" s="1"/>
  <c r="F220" i="30"/>
  <c r="F220" i="34" s="1"/>
  <c r="D220" i="30"/>
  <c r="D220" i="34" s="1"/>
  <c r="E222" i="30"/>
  <c r="E222" i="34" s="1"/>
  <c r="I224" i="30"/>
  <c r="I224" i="34" s="1"/>
  <c r="C51" i="29"/>
  <c r="C52" i="29"/>
  <c r="D12" i="4"/>
  <c r="C88" i="57"/>
  <c r="G88" i="57"/>
  <c r="C86" i="57"/>
  <c r="G86" i="57"/>
  <c r="G87" i="57"/>
  <c r="C87" i="57"/>
  <c r="D60" i="57"/>
  <c r="J55" i="58" l="1"/>
  <c r="B38" i="38"/>
  <c r="L126" i="34"/>
  <c r="G150" i="4" a="1"/>
  <c r="G150" i="4" s="1"/>
  <c r="C34" i="8"/>
  <c r="C134" i="40"/>
  <c r="C10" i="6"/>
  <c r="C7" i="6"/>
  <c r="L190" i="40"/>
  <c r="B218" i="39"/>
  <c r="K38" i="60"/>
  <c r="K240" i="38"/>
  <c r="G22" i="6"/>
  <c r="K147" i="40"/>
  <c r="E143" i="40"/>
  <c r="H146" i="40"/>
  <c r="M144" i="40"/>
  <c r="F142" i="40"/>
  <c r="G82" i="37"/>
  <c r="K236" i="8"/>
  <c r="E9" i="38"/>
  <c r="E236" i="8"/>
  <c r="E236" i="39" s="1"/>
  <c r="G18" i="6"/>
  <c r="G20" i="6"/>
  <c r="E240" i="38"/>
  <c r="E12" i="38"/>
  <c r="I55" i="58"/>
  <c r="D240" i="38"/>
  <c r="G19" i="6"/>
  <c r="E7" i="38"/>
  <c r="I240" i="38"/>
  <c r="D236" i="8"/>
  <c r="G21" i="6"/>
  <c r="J145" i="40"/>
  <c r="G240" i="38"/>
  <c r="E11" i="38"/>
  <c r="G236" i="39"/>
  <c r="C9" i="6"/>
  <c r="B32" i="38"/>
  <c r="C11" i="6"/>
  <c r="C5" i="6"/>
  <c r="E10" i="38"/>
  <c r="H242" i="39"/>
  <c r="J51" i="58"/>
  <c r="H49" i="58"/>
  <c r="G52" i="58"/>
  <c r="K236" i="39"/>
  <c r="B33" i="38"/>
  <c r="B34" i="38"/>
  <c r="C32" i="8"/>
  <c r="C8" i="6"/>
  <c r="H240" i="38"/>
  <c r="I144" i="40"/>
  <c r="H145" i="40"/>
  <c r="L149" i="40"/>
  <c r="I150" i="4" a="1"/>
  <c r="I150" i="4" s="1"/>
  <c r="F236" i="8"/>
  <c r="F236" i="39" s="1"/>
  <c r="B236" i="8"/>
  <c r="B236" i="39" s="1"/>
  <c r="B240" i="38"/>
  <c r="I235" i="8"/>
  <c r="D236" i="39"/>
  <c r="I44" i="60"/>
  <c r="F12" i="35"/>
  <c r="F12" i="37" s="1"/>
  <c r="G9" i="7"/>
  <c r="G97" i="35"/>
  <c r="E144" i="40"/>
  <c r="E146" i="40"/>
  <c r="C82" i="35"/>
  <c r="C233" i="39"/>
  <c r="G97" i="7"/>
  <c r="C86" i="7"/>
  <c r="E31" i="39"/>
  <c r="B371" i="38"/>
  <c r="C8" i="7"/>
  <c r="D10" i="35"/>
  <c r="B235" i="8"/>
  <c r="B56" i="59"/>
  <c r="B56" i="60" s="1"/>
  <c r="C46" i="58"/>
  <c r="H126" i="34"/>
  <c r="C138" i="40"/>
  <c r="B372" i="38"/>
  <c r="G8" i="7"/>
  <c r="G95" i="35" s="1"/>
  <c r="C97" i="7"/>
  <c r="F97" i="7"/>
  <c r="C32" i="35"/>
  <c r="G12" i="7"/>
  <c r="C12" i="39"/>
  <c r="I242" i="39"/>
  <c r="K52" i="58"/>
  <c r="J150" i="4" a="1"/>
  <c r="J150" i="4" s="1"/>
  <c r="C140" i="40"/>
  <c r="C32" i="7"/>
  <c r="G242" i="39"/>
  <c r="G11" i="7"/>
  <c r="H98" i="35" s="1"/>
  <c r="C82" i="7"/>
  <c r="G7" i="7"/>
  <c r="F94" i="35" s="1"/>
  <c r="F241" i="38"/>
  <c r="C240" i="38"/>
  <c r="F240" i="38"/>
  <c r="D237" i="38"/>
  <c r="B8" i="8"/>
  <c r="B8" i="39" s="1"/>
  <c r="F237" i="38"/>
  <c r="F148" i="40"/>
  <c r="B7" i="8"/>
  <c r="B10" i="8"/>
  <c r="M149" i="40"/>
  <c r="B6" i="8"/>
  <c r="I149" i="40"/>
  <c r="G146" i="40"/>
  <c r="I236" i="8"/>
  <c r="J236" i="8"/>
  <c r="J236" i="39" s="1"/>
  <c r="G143" i="40"/>
  <c r="B48" i="58" a="1"/>
  <c r="B54" i="58" s="1"/>
  <c r="M150" i="4" a="1"/>
  <c r="M150" i="4" s="1"/>
  <c r="E145" i="40"/>
  <c r="C166" i="4"/>
  <c r="C48" i="59" a="1"/>
  <c r="I51" i="59" s="1"/>
  <c r="D143" i="40"/>
  <c r="M143" i="40"/>
  <c r="B5" i="39"/>
  <c r="D55" i="58"/>
  <c r="D7" i="8"/>
  <c r="C6" i="35"/>
  <c r="C11" i="35"/>
  <c r="C9" i="35"/>
  <c r="C7" i="35"/>
  <c r="C7" i="37" s="1"/>
  <c r="C10" i="35"/>
  <c r="H149" i="40"/>
  <c r="B48" i="59" a="1"/>
  <c r="B52" i="59" s="1"/>
  <c r="K97" i="35"/>
  <c r="K86" i="7"/>
  <c r="B10" i="38"/>
  <c r="E126" i="34"/>
  <c r="G42" i="60"/>
  <c r="G53" i="58"/>
  <c r="G94" i="35"/>
  <c r="G94" i="7"/>
  <c r="B94" i="35"/>
  <c r="C94" i="7"/>
  <c r="C94" i="35"/>
  <c r="H94" i="7"/>
  <c r="K94" i="35"/>
  <c r="F150" i="4" a="1"/>
  <c r="F150" i="4" s="1"/>
  <c r="D22" i="38"/>
  <c r="D22" i="39" s="1"/>
  <c r="D23" i="38"/>
  <c r="D23" i="39" s="1"/>
  <c r="D24" i="38"/>
  <c r="D24" i="39" s="1"/>
  <c r="D21" i="38"/>
  <c r="D21" i="39" s="1"/>
  <c r="D20" i="38"/>
  <c r="D20" i="39" s="1"/>
  <c r="D25" i="38"/>
  <c r="D25" i="39" s="1"/>
  <c r="C52" i="4"/>
  <c r="C70" i="4"/>
  <c r="B6" i="38"/>
  <c r="B6" i="39" s="1"/>
  <c r="C70" i="29"/>
  <c r="F235" i="8"/>
  <c r="G235" i="8"/>
  <c r="H235" i="8"/>
  <c r="C150" i="4" a="1"/>
  <c r="C150" i="4" s="1"/>
  <c r="K97" i="7"/>
  <c r="L150" i="4" a="1"/>
  <c r="L150" i="4" s="1"/>
  <c r="J97" i="35"/>
  <c r="J32" i="7"/>
  <c r="I86" i="7"/>
  <c r="C8" i="35"/>
  <c r="C12" i="35"/>
  <c r="B263" i="8" a="1"/>
  <c r="B263" i="38" a="1"/>
  <c r="C266" i="38" s="1"/>
  <c r="G52" i="35"/>
  <c r="C52" i="7"/>
  <c r="C52" i="37" s="1"/>
  <c r="D5" i="37"/>
  <c r="G52" i="7"/>
  <c r="J52" i="7"/>
  <c r="H52" i="7"/>
  <c r="E44" i="60"/>
  <c r="E55" i="58"/>
  <c r="D9" i="35"/>
  <c r="D12" i="35"/>
  <c r="D11" i="35"/>
  <c r="D7" i="35"/>
  <c r="D8" i="35"/>
  <c r="F237" i="8"/>
  <c r="J237" i="8"/>
  <c r="J237" i="39" s="1"/>
  <c r="D237" i="8"/>
  <c r="D237" i="39" s="1"/>
  <c r="C237" i="8"/>
  <c r="C237" i="39" s="1"/>
  <c r="J242" i="39"/>
  <c r="K242" i="39"/>
  <c r="D8" i="8"/>
  <c r="C236" i="39"/>
  <c r="G126" i="34"/>
  <c r="C136" i="40"/>
  <c r="D44" i="60"/>
  <c r="F6" i="35"/>
  <c r="K237" i="8"/>
  <c r="K237" i="39" s="1"/>
  <c r="G237" i="8"/>
  <c r="G237" i="39" s="1"/>
  <c r="B97" i="7"/>
  <c r="C97" i="37"/>
  <c r="D36" i="39"/>
  <c r="J99" i="35"/>
  <c r="G86" i="35"/>
  <c r="K144" i="40"/>
  <c r="K149" i="40"/>
  <c r="F11" i="7"/>
  <c r="F11" i="37" s="1"/>
  <c r="G144" i="40"/>
  <c r="B375" i="38"/>
  <c r="C86" i="35"/>
  <c r="H148" i="40"/>
  <c r="C241" i="38"/>
  <c r="I241" i="38"/>
  <c r="H241" i="38"/>
  <c r="G241" i="38"/>
  <c r="E241" i="38"/>
  <c r="D241" i="38"/>
  <c r="B353" i="38"/>
  <c r="F6" i="7"/>
  <c r="B242" i="39"/>
  <c r="K145" i="40"/>
  <c r="K146" i="40"/>
  <c r="D150" i="29" a="1"/>
  <c r="D150" i="29" s="1"/>
  <c r="C7" i="39"/>
  <c r="D11" i="8"/>
  <c r="E48" i="58"/>
  <c r="D126" i="34"/>
  <c r="C137" i="40"/>
  <c r="F190" i="40"/>
  <c r="B237" i="8"/>
  <c r="B237" i="39" s="1"/>
  <c r="E237" i="8"/>
  <c r="E237" i="39" s="1"/>
  <c r="J144" i="40"/>
  <c r="G86" i="7"/>
  <c r="G86" i="37" s="1"/>
  <c r="G150" i="29" a="1"/>
  <c r="G150" i="29" s="1"/>
  <c r="G150" i="40" s="1"/>
  <c r="I145" i="40"/>
  <c r="M142" i="40"/>
  <c r="L148" i="40"/>
  <c r="I146" i="40"/>
  <c r="F143" i="40"/>
  <c r="D147" i="40"/>
  <c r="E23" i="8"/>
  <c r="E23" i="39" s="1"/>
  <c r="E19" i="8"/>
  <c r="E25" i="8"/>
  <c r="E25" i="39" s="1"/>
  <c r="E21" i="8"/>
  <c r="E21" i="39" s="1"/>
  <c r="E24" i="8"/>
  <c r="E24" i="39" s="1"/>
  <c r="E20" i="8"/>
  <c r="E20" i="39" s="1"/>
  <c r="E22" i="8"/>
  <c r="E22" i="39" s="1"/>
  <c r="G190" i="29"/>
  <c r="G190" i="40" s="1"/>
  <c r="K190" i="29"/>
  <c r="K190" i="40" s="1"/>
  <c r="C108" i="29"/>
  <c r="C108" i="4"/>
  <c r="L144" i="40"/>
  <c r="H144" i="40"/>
  <c r="D144" i="40"/>
  <c r="C6" i="7"/>
  <c r="E33" i="35" s="1"/>
  <c r="C11" i="7"/>
  <c r="J38" i="7" s="1"/>
  <c r="C10" i="7"/>
  <c r="C10" i="37" s="1"/>
  <c r="C12" i="7"/>
  <c r="I39" i="7" s="1"/>
  <c r="C9" i="7"/>
  <c r="K38" i="7"/>
  <c r="F7" i="35"/>
  <c r="F10" i="35"/>
  <c r="F10" i="37" s="1"/>
  <c r="F9" i="35"/>
  <c r="F9" i="37" s="1"/>
  <c r="D19" i="39"/>
  <c r="B208" i="39"/>
  <c r="C94" i="40"/>
  <c r="H237" i="39"/>
  <c r="J142" i="40"/>
  <c r="D148" i="40"/>
  <c r="I147" i="40"/>
  <c r="E149" i="40"/>
  <c r="D34" i="38"/>
  <c r="D34" i="39" s="1"/>
  <c r="D35" i="38"/>
  <c r="D35" i="39" s="1"/>
  <c r="D32" i="38"/>
  <c r="D32" i="39" s="1"/>
  <c r="D33" i="38"/>
  <c r="D33" i="39" s="1"/>
  <c r="D9" i="38"/>
  <c r="D9" i="39" s="1"/>
  <c r="D7" i="38"/>
  <c r="D8" i="38"/>
  <c r="D10" i="38"/>
  <c r="D10" i="39" s="1"/>
  <c r="D11" i="38"/>
  <c r="D6" i="38"/>
  <c r="D6" i="39" s="1"/>
  <c r="D12" i="38"/>
  <c r="D12" i="39" s="1"/>
  <c r="J32" i="37"/>
  <c r="C141" i="29" a="1"/>
  <c r="C141" i="29" s="1"/>
  <c r="B212" i="39"/>
  <c r="G147" i="40"/>
  <c r="E148" i="40"/>
  <c r="I143" i="40"/>
  <c r="G99" i="7"/>
  <c r="C99" i="7"/>
  <c r="K150" i="4" a="1"/>
  <c r="K150" i="4" s="1"/>
  <c r="J241" i="8"/>
  <c r="J241" i="39" s="1"/>
  <c r="K241" i="8"/>
  <c r="K241" i="39" s="1"/>
  <c r="B241" i="8"/>
  <c r="B241" i="39" s="1"/>
  <c r="D241" i="8"/>
  <c r="C241" i="8"/>
  <c r="H241" i="8"/>
  <c r="E241" i="8"/>
  <c r="E241" i="39" s="1"/>
  <c r="G241" i="8"/>
  <c r="I241" i="8"/>
  <c r="I241" i="39" s="1"/>
  <c r="F241" i="8"/>
  <c r="F241" i="39" s="1"/>
  <c r="C25" i="38"/>
  <c r="C23" i="38"/>
  <c r="C24" i="38"/>
  <c r="C21" i="38"/>
  <c r="C19" i="38"/>
  <c r="C20" i="38"/>
  <c r="C22" i="38"/>
  <c r="H240" i="8"/>
  <c r="H240" i="39" s="1"/>
  <c r="I240" i="8"/>
  <c r="I240" i="39" s="1"/>
  <c r="C240" i="8"/>
  <c r="D240" i="8"/>
  <c r="D240" i="39" s="1"/>
  <c r="B240" i="8"/>
  <c r="B240" i="39" s="1"/>
  <c r="K240" i="8"/>
  <c r="K240" i="39" s="1"/>
  <c r="J240" i="8"/>
  <c r="J240" i="39" s="1"/>
  <c r="G240" i="8"/>
  <c r="G240" i="39" s="1"/>
  <c r="F240" i="8"/>
  <c r="E240" i="8"/>
  <c r="E240" i="39" s="1"/>
  <c r="B36" i="8"/>
  <c r="B358" i="38" s="1"/>
  <c r="B33" i="8"/>
  <c r="B33" i="39" s="1"/>
  <c r="B34" i="8"/>
  <c r="B356" i="8" s="1"/>
  <c r="B35" i="8"/>
  <c r="B357" i="38" s="1"/>
  <c r="B32" i="8"/>
  <c r="B32" i="39" s="1"/>
  <c r="B38" i="8"/>
  <c r="B360" i="38" s="1"/>
  <c r="B37" i="8"/>
  <c r="B37" i="39" s="1"/>
  <c r="F243" i="8"/>
  <c r="E243" i="8"/>
  <c r="C243" i="8"/>
  <c r="I243" i="8"/>
  <c r="K243" i="8"/>
  <c r="B243" i="8"/>
  <c r="J243" i="8"/>
  <c r="H243" i="8"/>
  <c r="B25" i="38"/>
  <c r="B25" i="39" s="1"/>
  <c r="B23" i="38"/>
  <c r="B19" i="38"/>
  <c r="B19" i="39" s="1"/>
  <c r="B24" i="38"/>
  <c r="B24" i="39" s="1"/>
  <c r="B21" i="38"/>
  <c r="B21" i="39" s="1"/>
  <c r="B20" i="38"/>
  <c r="B20" i="39" s="1"/>
  <c r="B22" i="38"/>
  <c r="B22" i="39" s="1"/>
  <c r="E10" i="8"/>
  <c r="E10" i="39" s="1"/>
  <c r="E6" i="8"/>
  <c r="E9" i="8"/>
  <c r="E9" i="39" s="1"/>
  <c r="E7" i="8"/>
  <c r="E7" i="39" s="1"/>
  <c r="E11" i="8"/>
  <c r="E11" i="39" s="1"/>
  <c r="E8" i="8"/>
  <c r="E12" i="8"/>
  <c r="G235" i="38"/>
  <c r="J235" i="38"/>
  <c r="D235" i="38"/>
  <c r="F235" i="38"/>
  <c r="F235" i="39" s="1"/>
  <c r="C235" i="38"/>
  <c r="H235" i="38"/>
  <c r="B235" i="38"/>
  <c r="B235" i="39" s="1"/>
  <c r="K235" i="38"/>
  <c r="K235" i="39" s="1"/>
  <c r="I235" i="38"/>
  <c r="I235" i="39" s="1"/>
  <c r="E235" i="38"/>
  <c r="B41" i="59"/>
  <c r="B41" i="60" s="1"/>
  <c r="B40" i="59"/>
  <c r="B40" i="60" s="1"/>
  <c r="B38" i="59"/>
  <c r="B38" i="60" s="1"/>
  <c r="B37" i="59"/>
  <c r="B37" i="60" s="1"/>
  <c r="B43" i="59"/>
  <c r="B43" i="60" s="1"/>
  <c r="B44" i="59"/>
  <c r="B44" i="60" s="1"/>
  <c r="B42" i="59"/>
  <c r="B42" i="60" s="1"/>
  <c r="B39" i="59"/>
  <c r="B39" i="60" s="1"/>
  <c r="H238" i="38"/>
  <c r="I238" i="38"/>
  <c r="G238" i="38"/>
  <c r="F238" i="38"/>
  <c r="K238" i="38"/>
  <c r="D238" i="38"/>
  <c r="B238" i="38"/>
  <c r="J238" i="38"/>
  <c r="E238" i="38"/>
  <c r="C238" i="38"/>
  <c r="C45" i="59"/>
  <c r="C46" i="59" s="1"/>
  <c r="D45" i="59"/>
  <c r="D56" i="59" s="1"/>
  <c r="G45" i="59"/>
  <c r="G56" i="59" s="1"/>
  <c r="K45" i="59"/>
  <c r="K56" i="59" s="1"/>
  <c r="H45" i="59"/>
  <c r="H56" i="59" s="1"/>
  <c r="F45" i="59"/>
  <c r="I45" i="59"/>
  <c r="I56" i="59" s="1"/>
  <c r="J45" i="59"/>
  <c r="J56" i="59" s="1"/>
  <c r="L45" i="59"/>
  <c r="L56" i="59" s="1"/>
  <c r="E45" i="59"/>
  <c r="E45" i="60" s="1"/>
  <c r="C175" i="4"/>
  <c r="C87" i="29"/>
  <c r="C88" i="4"/>
  <c r="C90" i="4" s="1"/>
  <c r="C90" i="40" s="1"/>
  <c r="C87" i="4"/>
  <c r="C43" i="60"/>
  <c r="H44" i="60"/>
  <c r="B216" i="39"/>
  <c r="B93" i="35"/>
  <c r="K93" i="35"/>
  <c r="C93" i="7"/>
  <c r="C93" i="35"/>
  <c r="G93" i="35"/>
  <c r="F93" i="35"/>
  <c r="F93" i="7"/>
  <c r="G93" i="7"/>
  <c r="H93" i="35"/>
  <c r="H93" i="7"/>
  <c r="B93" i="7"/>
  <c r="E93" i="7"/>
  <c r="K93" i="7"/>
  <c r="J93" i="7"/>
  <c r="D93" i="35"/>
  <c r="J93" i="35"/>
  <c r="D93" i="7"/>
  <c r="I93" i="7"/>
  <c r="I93" i="35"/>
  <c r="E93" i="35"/>
  <c r="H150" i="4" a="1"/>
  <c r="H150" i="4" s="1"/>
  <c r="H142" i="40"/>
  <c r="F7" i="37"/>
  <c r="K84" i="35"/>
  <c r="C84" i="35"/>
  <c r="F84" i="7"/>
  <c r="E84" i="35"/>
  <c r="D84" i="7"/>
  <c r="J84" i="7"/>
  <c r="B84" i="35"/>
  <c r="I84" i="35"/>
  <c r="H84" i="35"/>
  <c r="K84" i="7"/>
  <c r="C84" i="7"/>
  <c r="G84" i="35"/>
  <c r="F84" i="35"/>
  <c r="H84" i="7"/>
  <c r="D84" i="35"/>
  <c r="G84" i="7"/>
  <c r="G84" i="37" s="1"/>
  <c r="J84" i="35"/>
  <c r="B84" i="7"/>
  <c r="I84" i="7"/>
  <c r="E84" i="7"/>
  <c r="E84" i="37" s="1"/>
  <c r="G32" i="37"/>
  <c r="J92" i="7"/>
  <c r="J92" i="35"/>
  <c r="J82" i="35"/>
  <c r="J82" i="7"/>
  <c r="J82" i="37" s="1"/>
  <c r="J52" i="35"/>
  <c r="J86" i="35"/>
  <c r="J86" i="37" s="1"/>
  <c r="J97" i="7"/>
  <c r="J233" i="39"/>
  <c r="J94" i="7"/>
  <c r="J94" i="35"/>
  <c r="J37" i="7"/>
  <c r="I82" i="35"/>
  <c r="I92" i="35"/>
  <c r="I94" i="35"/>
  <c r="I38" i="7"/>
  <c r="I32" i="35"/>
  <c r="I32" i="37" s="1"/>
  <c r="I52" i="35"/>
  <c r="I82" i="7"/>
  <c r="I97" i="35"/>
  <c r="I97" i="7"/>
  <c r="I92" i="7"/>
  <c r="I52" i="7"/>
  <c r="I37" i="7"/>
  <c r="I86" i="35"/>
  <c r="I37" i="35"/>
  <c r="I94" i="7"/>
  <c r="I233" i="39"/>
  <c r="I266" i="8"/>
  <c r="K267" i="8"/>
  <c r="E268" i="8"/>
  <c r="B269" i="8"/>
  <c r="F263" i="8"/>
  <c r="H267" i="8"/>
  <c r="I45" i="60"/>
  <c r="B23" i="39"/>
  <c r="B228" i="39"/>
  <c r="C22" i="8"/>
  <c r="C21" i="8"/>
  <c r="C20" i="8"/>
  <c r="C19" i="8"/>
  <c r="C24" i="8"/>
  <c r="C25" i="8"/>
  <c r="C23" i="8"/>
  <c r="E35" i="8"/>
  <c r="E32" i="8"/>
  <c r="E32" i="39" s="1"/>
  <c r="E33" i="8"/>
  <c r="E38" i="8"/>
  <c r="E38" i="39" s="1"/>
  <c r="E34" i="8"/>
  <c r="E36" i="8"/>
  <c r="E36" i="39" s="1"/>
  <c r="E37" i="8"/>
  <c r="E37" i="39" s="1"/>
  <c r="B18" i="39"/>
  <c r="D235" i="8"/>
  <c r="J235" i="8"/>
  <c r="E235" i="8"/>
  <c r="C235" i="8"/>
  <c r="B45" i="60"/>
  <c r="C57" i="4"/>
  <c r="C55" i="29"/>
  <c r="C56" i="4"/>
  <c r="C58" i="4"/>
  <c r="C58" i="29" s="1"/>
  <c r="L42" i="60"/>
  <c r="E242" i="39"/>
  <c r="K96" i="7"/>
  <c r="F96" i="7"/>
  <c r="J96" i="35"/>
  <c r="B96" i="35"/>
  <c r="I96" i="7"/>
  <c r="G96" i="35"/>
  <c r="E96" i="7"/>
  <c r="F96" i="35"/>
  <c r="H96" i="7"/>
  <c r="J96" i="7"/>
  <c r="B96" i="7"/>
  <c r="K96" i="35"/>
  <c r="C96" i="7"/>
  <c r="C96" i="35"/>
  <c r="E96" i="35"/>
  <c r="D96" i="35"/>
  <c r="G96" i="7"/>
  <c r="H96" i="35"/>
  <c r="I96" i="35"/>
  <c r="D96" i="7"/>
  <c r="D96" i="37" s="1"/>
  <c r="B374" i="38"/>
  <c r="B374" i="8"/>
  <c r="K97" i="37"/>
  <c r="F146" i="40"/>
  <c r="F145" i="40"/>
  <c r="D150" i="4" a="1"/>
  <c r="D150" i="4" s="1"/>
  <c r="D142" i="40"/>
  <c r="M145" i="40"/>
  <c r="H143" i="40"/>
  <c r="F8" i="37"/>
  <c r="F85" i="35"/>
  <c r="J85" i="35"/>
  <c r="C85" i="7"/>
  <c r="G85" i="35"/>
  <c r="E85" i="35"/>
  <c r="D85" i="7"/>
  <c r="D85" i="35"/>
  <c r="C85" i="35"/>
  <c r="J85" i="7"/>
  <c r="B85" i="7"/>
  <c r="I85" i="7"/>
  <c r="F85" i="7"/>
  <c r="H85" i="7"/>
  <c r="I85" i="35"/>
  <c r="K85" i="7"/>
  <c r="H85" i="35"/>
  <c r="B85" i="35"/>
  <c r="K85" i="35"/>
  <c r="E85" i="7"/>
  <c r="G85" i="7"/>
  <c r="G85" i="37" s="1"/>
  <c r="L143" i="40"/>
  <c r="L150" i="29" a="1"/>
  <c r="L150" i="29" s="1"/>
  <c r="H82" i="7"/>
  <c r="H92" i="35"/>
  <c r="H233" i="39"/>
  <c r="H32" i="35"/>
  <c r="H82" i="35"/>
  <c r="H97" i="7"/>
  <c r="H52" i="35"/>
  <c r="H86" i="7"/>
  <c r="H32" i="7"/>
  <c r="H92" i="7"/>
  <c r="H38" i="7"/>
  <c r="H86" i="35"/>
  <c r="H39" i="35"/>
  <c r="H97" i="35"/>
  <c r="B377" i="38"/>
  <c r="B92" i="7"/>
  <c r="B233" i="39"/>
  <c r="B92" i="35"/>
  <c r="B82" i="35"/>
  <c r="B353" i="8"/>
  <c r="B362" i="8"/>
  <c r="B86" i="7"/>
  <c r="B32" i="35"/>
  <c r="B86" i="35"/>
  <c r="B52" i="7"/>
  <c r="B52" i="35"/>
  <c r="B94" i="7"/>
  <c r="B94" i="37" s="1"/>
  <c r="B371" i="8"/>
  <c r="B380" i="38"/>
  <c r="B372" i="8"/>
  <c r="B32" i="7"/>
  <c r="B376" i="8"/>
  <c r="B62" i="35" a="1"/>
  <c r="B97" i="35"/>
  <c r="B380" i="8"/>
  <c r="B82" i="7"/>
  <c r="B99" i="7"/>
  <c r="B362" i="38"/>
  <c r="B62" i="7" a="1"/>
  <c r="E8" i="39"/>
  <c r="B11" i="38"/>
  <c r="B11" i="39" s="1"/>
  <c r="B9" i="38"/>
  <c r="B9" i="39" s="1"/>
  <c r="B7" i="38"/>
  <c r="B7" i="39" s="1"/>
  <c r="B12" i="38"/>
  <c r="B12" i="39" s="1"/>
  <c r="C18" i="39"/>
  <c r="B219" i="39"/>
  <c r="B375" i="8"/>
  <c r="B375" i="39" s="1"/>
  <c r="C10" i="8"/>
  <c r="C10" i="39" s="1"/>
  <c r="C8" i="8"/>
  <c r="C9" i="8"/>
  <c r="C9" i="39" s="1"/>
  <c r="C11" i="8"/>
  <c r="C11" i="39" s="1"/>
  <c r="C32" i="38"/>
  <c r="C32" i="39" s="1"/>
  <c r="C37" i="38"/>
  <c r="C37" i="39" s="1"/>
  <c r="C36" i="38"/>
  <c r="C36" i="39" s="1"/>
  <c r="C35" i="38"/>
  <c r="C35" i="39" s="1"/>
  <c r="C34" i="38"/>
  <c r="C34" i="39" s="1"/>
  <c r="C33" i="38"/>
  <c r="C33" i="39" s="1"/>
  <c r="I236" i="38"/>
  <c r="H236" i="38"/>
  <c r="H236" i="39" s="1"/>
  <c r="D11" i="7"/>
  <c r="D7" i="7"/>
  <c r="D10" i="7"/>
  <c r="D12" i="7"/>
  <c r="D8" i="7"/>
  <c r="D9" i="7"/>
  <c r="D6" i="7"/>
  <c r="D6" i="37" s="1"/>
  <c r="B8" i="35"/>
  <c r="B10" i="35"/>
  <c r="B9" i="35"/>
  <c r="B12" i="35"/>
  <c r="B7" i="35"/>
  <c r="B11" i="35"/>
  <c r="B6" i="35"/>
  <c r="G43" i="60"/>
  <c r="C95" i="35"/>
  <c r="K95" i="7"/>
  <c r="C95" i="7"/>
  <c r="I95" i="7"/>
  <c r="E95" i="7"/>
  <c r="D95" i="7"/>
  <c r="H95" i="35"/>
  <c r="D95" i="35"/>
  <c r="K95" i="35"/>
  <c r="B95" i="35"/>
  <c r="D37" i="39"/>
  <c r="B377" i="8"/>
  <c r="C39" i="4"/>
  <c r="C42" i="4" s="1"/>
  <c r="C40" i="4"/>
  <c r="C38" i="29"/>
  <c r="C48" i="4"/>
  <c r="C41" i="4"/>
  <c r="C49" i="4"/>
  <c r="C47" i="4"/>
  <c r="C50" i="4" s="1"/>
  <c r="C167" i="4"/>
  <c r="C54" i="58"/>
  <c r="G149" i="40"/>
  <c r="J146" i="40"/>
  <c r="L145" i="40"/>
  <c r="L147" i="40"/>
  <c r="M146" i="40"/>
  <c r="M150" i="29" a="1"/>
  <c r="M150" i="29" s="1"/>
  <c r="B373" i="8"/>
  <c r="B373" i="39" s="1"/>
  <c r="D97" i="7"/>
  <c r="D32" i="35"/>
  <c r="D97" i="35"/>
  <c r="D37" i="7"/>
  <c r="D52" i="7"/>
  <c r="D82" i="7"/>
  <c r="D92" i="7"/>
  <c r="D94" i="35"/>
  <c r="D92" i="35"/>
  <c r="D52" i="35"/>
  <c r="D94" i="7"/>
  <c r="D37" i="35"/>
  <c r="D233" i="39"/>
  <c r="D82" i="35"/>
  <c r="D86" i="35"/>
  <c r="D99" i="35"/>
  <c r="D32" i="7"/>
  <c r="D86" i="7"/>
  <c r="E32" i="35"/>
  <c r="E233" i="39"/>
  <c r="E92" i="7"/>
  <c r="E37" i="7"/>
  <c r="E86" i="35"/>
  <c r="E32" i="7"/>
  <c r="E97" i="7"/>
  <c r="E52" i="7"/>
  <c r="E94" i="7"/>
  <c r="E82" i="7"/>
  <c r="E92" i="35"/>
  <c r="E37" i="35"/>
  <c r="E82" i="35"/>
  <c r="E86" i="7"/>
  <c r="E99" i="7"/>
  <c r="E52" i="35"/>
  <c r="E94" i="35"/>
  <c r="E97" i="35"/>
  <c r="L142" i="40"/>
  <c r="C92" i="37"/>
  <c r="G92" i="37"/>
  <c r="C56" i="58" a="1"/>
  <c r="K56" i="58" s="1"/>
  <c r="D243" i="38"/>
  <c r="D243" i="39" s="1"/>
  <c r="H243" i="38"/>
  <c r="J243" i="38"/>
  <c r="B243" i="38"/>
  <c r="I243" i="38"/>
  <c r="K243" i="38"/>
  <c r="F243" i="38"/>
  <c r="C243" i="38"/>
  <c r="E243" i="38"/>
  <c r="G243" i="38"/>
  <c r="G243" i="39" s="1"/>
  <c r="F238" i="8"/>
  <c r="K238" i="8"/>
  <c r="D238" i="8"/>
  <c r="E238" i="8"/>
  <c r="G238" i="8"/>
  <c r="H238" i="8"/>
  <c r="B238" i="8"/>
  <c r="J238" i="8"/>
  <c r="I238" i="8"/>
  <c r="C238" i="8"/>
  <c r="C22" i="6"/>
  <c r="C17" i="6"/>
  <c r="C21" i="6"/>
  <c r="C20" i="6"/>
  <c r="C19" i="6"/>
  <c r="C16" i="6"/>
  <c r="C18" i="6"/>
  <c r="E17" i="6"/>
  <c r="E20" i="6"/>
  <c r="E19" i="6"/>
  <c r="E18" i="6"/>
  <c r="E21" i="6"/>
  <c r="E16" i="6"/>
  <c r="E22" i="6"/>
  <c r="L29" i="1"/>
  <c r="L32" i="1"/>
  <c r="L27" i="1"/>
  <c r="L28" i="1"/>
  <c r="L30" i="1"/>
  <c r="L26" i="1"/>
  <c r="L33" i="1"/>
  <c r="L31" i="1"/>
  <c r="G44" i="60"/>
  <c r="D39" i="60"/>
  <c r="C98" i="7"/>
  <c r="J98" i="35"/>
  <c r="B98" i="35"/>
  <c r="K98" i="7"/>
  <c r="G98" i="7"/>
  <c r="C98" i="35"/>
  <c r="G98" i="35"/>
  <c r="K98" i="35"/>
  <c r="J98" i="7"/>
  <c r="F98" i="7"/>
  <c r="B378" i="38"/>
  <c r="B378" i="8"/>
  <c r="D38" i="39"/>
  <c r="C189" i="40"/>
  <c r="E150" i="29" a="1"/>
  <c r="E150" i="29" s="1"/>
  <c r="K148" i="40"/>
  <c r="E150" i="4" a="1"/>
  <c r="E150" i="4" s="1"/>
  <c r="E142" i="40"/>
  <c r="G142" i="40"/>
  <c r="K82" i="35"/>
  <c r="K92" i="7"/>
  <c r="K82" i="7"/>
  <c r="K94" i="7"/>
  <c r="K94" i="37" s="1"/>
  <c r="K52" i="7"/>
  <c r="K52" i="35"/>
  <c r="K32" i="35"/>
  <c r="K86" i="35"/>
  <c r="K86" i="37" s="1"/>
  <c r="K92" i="35"/>
  <c r="K99" i="35"/>
  <c r="K37" i="7"/>
  <c r="K233" i="39"/>
  <c r="K32" i="7"/>
  <c r="I270" i="38"/>
  <c r="F266" i="38"/>
  <c r="B267" i="38"/>
  <c r="F233" i="39"/>
  <c r="F82" i="35"/>
  <c r="F92" i="35"/>
  <c r="F92" i="7"/>
  <c r="F99" i="7"/>
  <c r="F52" i="7"/>
  <c r="F97" i="35"/>
  <c r="F97" i="37" s="1"/>
  <c r="F86" i="35"/>
  <c r="F52" i="35"/>
  <c r="F37" i="35"/>
  <c r="F32" i="35"/>
  <c r="F86" i="7"/>
  <c r="F86" i="37" s="1"/>
  <c r="F82" i="7"/>
  <c r="F32" i="7"/>
  <c r="F37" i="7"/>
  <c r="F56" i="58"/>
  <c r="E8" i="35"/>
  <c r="E8" i="37" s="1"/>
  <c r="E6" i="35"/>
  <c r="E6" i="37" s="1"/>
  <c r="E9" i="35"/>
  <c r="E9" i="37" s="1"/>
  <c r="E12" i="35"/>
  <c r="E12" i="37" s="1"/>
  <c r="E11" i="35"/>
  <c r="E11" i="37" s="1"/>
  <c r="E10" i="35"/>
  <c r="E10" i="37" s="1"/>
  <c r="E7" i="35"/>
  <c r="E7" i="37" s="1"/>
  <c r="G87" i="7"/>
  <c r="H87" i="35"/>
  <c r="I87" i="35"/>
  <c r="F87" i="7"/>
  <c r="F87" i="35"/>
  <c r="H87" i="7"/>
  <c r="H87" i="37" s="1"/>
  <c r="J87" i="35"/>
  <c r="D87" i="7"/>
  <c r="D87" i="35"/>
  <c r="K87" i="7"/>
  <c r="K87" i="35"/>
  <c r="C87" i="35"/>
  <c r="B87" i="35"/>
  <c r="B87" i="7"/>
  <c r="I87" i="7"/>
  <c r="I87" i="37" s="1"/>
  <c r="E87" i="35"/>
  <c r="C87" i="7"/>
  <c r="J87" i="7"/>
  <c r="G87" i="35"/>
  <c r="E87" i="7"/>
  <c r="K42" i="60"/>
  <c r="K53" i="58"/>
  <c r="E43" i="60"/>
  <c r="E54" i="58"/>
  <c r="C44" i="60"/>
  <c r="F34" i="35"/>
  <c r="J34" i="35"/>
  <c r="E34" i="7"/>
  <c r="K34" i="35"/>
  <c r="H34" i="7"/>
  <c r="B34" i="35"/>
  <c r="I34" i="7"/>
  <c r="E34" i="35"/>
  <c r="D34" i="35"/>
  <c r="K34" i="7"/>
  <c r="C34" i="35"/>
  <c r="F34" i="7"/>
  <c r="G34" i="7"/>
  <c r="H34" i="35"/>
  <c r="J34" i="7"/>
  <c r="I34" i="35"/>
  <c r="B34" i="7"/>
  <c r="D34" i="7"/>
  <c r="C34" i="7"/>
  <c r="G34" i="35"/>
  <c r="G38" i="60"/>
  <c r="F37" i="60"/>
  <c r="F48" i="58"/>
  <c r="L43" i="60"/>
  <c r="L54" i="58"/>
  <c r="E42" i="60"/>
  <c r="G39" i="60"/>
  <c r="C67" i="4"/>
  <c r="C44" i="4"/>
  <c r="C67" i="29"/>
  <c r="C75" i="29" s="1"/>
  <c r="J38" i="60"/>
  <c r="L40" i="60"/>
  <c r="L51" i="58"/>
  <c r="F39" i="60"/>
  <c r="F50" i="58"/>
  <c r="F41" i="60"/>
  <c r="F52" i="58"/>
  <c r="C38" i="60"/>
  <c r="F73" i="4"/>
  <c r="E73" i="40"/>
  <c r="E53" i="58"/>
  <c r="G49" i="58"/>
  <c r="B245" i="38" a="1"/>
  <c r="B245" i="8" a="1"/>
  <c r="H150" i="29" a="1"/>
  <c r="H150" i="29" s="1"/>
  <c r="O126" i="6"/>
  <c r="C126" i="34"/>
  <c r="B363" i="8"/>
  <c r="B363" i="38"/>
  <c r="B367" i="8"/>
  <c r="B367" i="38"/>
  <c r="G226" i="34"/>
  <c r="B220" i="39"/>
  <c r="B376" i="38"/>
  <c r="B376" i="39" s="1"/>
  <c r="B202" i="39"/>
  <c r="G8" i="35"/>
  <c r="G8" i="37" s="1"/>
  <c r="G6" i="35"/>
  <c r="G6" i="37" s="1"/>
  <c r="G10" i="35"/>
  <c r="G10" i="37" s="1"/>
  <c r="G9" i="35"/>
  <c r="G9" i="37" s="1"/>
  <c r="G11" i="35"/>
  <c r="G11" i="37" s="1"/>
  <c r="G12" i="35"/>
  <c r="G12" i="37" s="1"/>
  <c r="G7" i="35"/>
  <c r="G7" i="37" s="1"/>
  <c r="J41" i="60"/>
  <c r="J52" i="58"/>
  <c r="E39" i="60"/>
  <c r="J43" i="60"/>
  <c r="J54" i="58"/>
  <c r="J143" i="40"/>
  <c r="J150" i="29" a="1"/>
  <c r="J150" i="29" s="1"/>
  <c r="I42" i="60"/>
  <c r="C37" i="60"/>
  <c r="E38" i="60"/>
  <c r="D43" i="60"/>
  <c r="D54" i="58"/>
  <c r="C6" i="39"/>
  <c r="D170" i="1"/>
  <c r="C163" i="1"/>
  <c r="G163" i="1"/>
  <c r="K164" i="1"/>
  <c r="D164" i="1"/>
  <c r="D168" i="1"/>
  <c r="D165" i="1"/>
  <c r="E169" i="1"/>
  <c r="H166" i="1"/>
  <c r="H163" i="1"/>
  <c r="J166" i="1"/>
  <c r="L166" i="1"/>
  <c r="H165" i="1"/>
  <c r="J168" i="1"/>
  <c r="G170" i="1"/>
  <c r="G165" i="1"/>
  <c r="E167" i="1"/>
  <c r="G167" i="1"/>
  <c r="L164" i="1"/>
  <c r="K169" i="1"/>
  <c r="H170" i="1"/>
  <c r="G168" i="1"/>
  <c r="I163" i="1"/>
  <c r="E164" i="1"/>
  <c r="F164" i="1"/>
  <c r="L165" i="1"/>
  <c r="J164" i="1"/>
  <c r="L163" i="1"/>
  <c r="H169" i="1"/>
  <c r="C167" i="1"/>
  <c r="J170" i="1"/>
  <c r="D163" i="1"/>
  <c r="L170" i="1"/>
  <c r="J165" i="1"/>
  <c r="I164" i="1"/>
  <c r="F168" i="1"/>
  <c r="E168" i="1"/>
  <c r="F166" i="1"/>
  <c r="F170" i="1"/>
  <c r="H164" i="1"/>
  <c r="H167" i="1"/>
  <c r="L167" i="1"/>
  <c r="D167" i="1"/>
  <c r="C169" i="1"/>
  <c r="L169" i="1"/>
  <c r="D166" i="1"/>
  <c r="F167" i="1"/>
  <c r="F163" i="1"/>
  <c r="I166" i="1"/>
  <c r="C168" i="1"/>
  <c r="K168" i="1"/>
  <c r="D169" i="1"/>
  <c r="F165" i="1"/>
  <c r="I170" i="1"/>
  <c r="E165" i="1"/>
  <c r="E163" i="1"/>
  <c r="I168" i="1"/>
  <c r="F169" i="1"/>
  <c r="C164" i="1"/>
  <c r="C165" i="1"/>
  <c r="E166" i="1"/>
  <c r="E170" i="1"/>
  <c r="G169" i="1"/>
  <c r="G164" i="1"/>
  <c r="I167" i="1"/>
  <c r="J169" i="1"/>
  <c r="K163" i="1"/>
  <c r="K166" i="1"/>
  <c r="G166" i="1"/>
  <c r="K170" i="1"/>
  <c r="C170" i="1"/>
  <c r="I169" i="1"/>
  <c r="K167" i="1"/>
  <c r="H168" i="1"/>
  <c r="J163" i="1"/>
  <c r="I165" i="1"/>
  <c r="J167" i="1"/>
  <c r="L168" i="1"/>
  <c r="K165" i="1"/>
  <c r="C166" i="1"/>
  <c r="K39" i="60"/>
  <c r="L37" i="60"/>
  <c r="F40" i="60"/>
  <c r="D41" i="60"/>
  <c r="I40" i="60"/>
  <c r="J49" i="58"/>
  <c r="C49" i="58"/>
  <c r="L48" i="58"/>
  <c r="I51" i="58"/>
  <c r="J49" i="59"/>
  <c r="L53" i="59"/>
  <c r="L53" i="60" s="1"/>
  <c r="D53" i="59"/>
  <c r="D53" i="60" s="1"/>
  <c r="J48" i="59"/>
  <c r="J48" i="60" s="1"/>
  <c r="L48" i="59"/>
  <c r="F55" i="59"/>
  <c r="H53" i="59"/>
  <c r="H53" i="60" s="1"/>
  <c r="F51" i="59"/>
  <c r="C51" i="59"/>
  <c r="C51" i="60" s="1"/>
  <c r="E55" i="59"/>
  <c r="I55" i="59"/>
  <c r="I55" i="60" s="1"/>
  <c r="G55" i="59"/>
  <c r="G55" i="60" s="1"/>
  <c r="K51" i="59"/>
  <c r="K51" i="60" s="1"/>
  <c r="K54" i="59"/>
  <c r="C49" i="59"/>
  <c r="L55" i="59"/>
  <c r="D55" i="59"/>
  <c r="F52" i="59"/>
  <c r="J54" i="59"/>
  <c r="L50" i="59"/>
  <c r="L50" i="60" s="1"/>
  <c r="I54" i="59"/>
  <c r="I54" i="60" s="1"/>
  <c r="F48" i="59"/>
  <c r="G50" i="59"/>
  <c r="H49" i="59"/>
  <c r="H49" i="60" s="1"/>
  <c r="K48" i="59"/>
  <c r="K48" i="60" s="1"/>
  <c r="H54" i="59"/>
  <c r="H54" i="60" s="1"/>
  <c r="C55" i="59"/>
  <c r="G49" i="59"/>
  <c r="K50" i="59"/>
  <c r="K50" i="60" s="1"/>
  <c r="C48" i="59"/>
  <c r="E48" i="59"/>
  <c r="G53" i="59"/>
  <c r="I49" i="59"/>
  <c r="I49" i="60" s="1"/>
  <c r="G54" i="59"/>
  <c r="G54" i="60" s="1"/>
  <c r="G52" i="59"/>
  <c r="G52" i="60" s="1"/>
  <c r="G51" i="59"/>
  <c r="H52" i="59"/>
  <c r="H52" i="60" s="1"/>
  <c r="D54" i="59"/>
  <c r="E51" i="59"/>
  <c r="E51" i="60" s="1"/>
  <c r="I52" i="59"/>
  <c r="I52" i="60" s="1"/>
  <c r="B197" i="39"/>
  <c r="D146" i="40"/>
  <c r="B368" i="38"/>
  <c r="B368" i="8"/>
  <c r="B366" i="8"/>
  <c r="B366" i="38"/>
  <c r="C133" i="40"/>
  <c r="D133" i="29" a="1"/>
  <c r="C141" i="4" a="1"/>
  <c r="C141" i="4" s="1"/>
  <c r="D133" i="4" a="1"/>
  <c r="B200" i="39"/>
  <c r="I227" i="34"/>
  <c r="B201" i="39"/>
  <c r="B357" i="8"/>
  <c r="B11" i="7"/>
  <c r="B9" i="7"/>
  <c r="B12" i="7"/>
  <c r="B12" i="37" s="1"/>
  <c r="B6" i="7"/>
  <c r="B10" i="7"/>
  <c r="B8" i="7"/>
  <c r="B7" i="7"/>
  <c r="H83" i="35"/>
  <c r="H40" i="60"/>
  <c r="H51" i="58"/>
  <c r="C41" i="60"/>
  <c r="I39" i="60"/>
  <c r="K143" i="40"/>
  <c r="K150" i="29" a="1"/>
  <c r="K150" i="29" s="1"/>
  <c r="K150" i="40" s="1"/>
  <c r="D46" i="58" a="1"/>
  <c r="G37" i="60"/>
  <c r="G48" i="58"/>
  <c r="D40" i="60"/>
  <c r="G40" i="60"/>
  <c r="L39" i="60"/>
  <c r="H71" i="58"/>
  <c r="E69" i="58"/>
  <c r="D69" i="58"/>
  <c r="D74" i="58"/>
  <c r="H72" i="58"/>
  <c r="E72" i="58"/>
  <c r="J73" i="58"/>
  <c r="K68" i="58"/>
  <c r="D72" i="58"/>
  <c r="C67" i="58"/>
  <c r="L74" i="58"/>
  <c r="K70" i="58"/>
  <c r="K73" i="58"/>
  <c r="H68" i="58"/>
  <c r="C70" i="58"/>
  <c r="D68" i="58"/>
  <c r="L71" i="58"/>
  <c r="E68" i="58"/>
  <c r="J71" i="58"/>
  <c r="K72" i="58"/>
  <c r="L69" i="58"/>
  <c r="J74" i="58"/>
  <c r="G69" i="58"/>
  <c r="C71" i="58"/>
  <c r="E73" i="58"/>
  <c r="K74" i="58"/>
  <c r="I69" i="58"/>
  <c r="F69" i="58"/>
  <c r="H74" i="58"/>
  <c r="F71" i="58"/>
  <c r="G68" i="58"/>
  <c r="F72" i="58"/>
  <c r="I73" i="58"/>
  <c r="G71" i="58"/>
  <c r="E70" i="58"/>
  <c r="H73" i="58"/>
  <c r="D71" i="58"/>
  <c r="I71" i="58"/>
  <c r="L67" i="58"/>
  <c r="G67" i="58"/>
  <c r="H67" i="58"/>
  <c r="I68" i="58"/>
  <c r="E71" i="58"/>
  <c r="J67" i="58"/>
  <c r="E74" i="58"/>
  <c r="G70" i="58"/>
  <c r="K69" i="58"/>
  <c r="L68" i="58"/>
  <c r="D73" i="58"/>
  <c r="D67" i="58"/>
  <c r="F74" i="58"/>
  <c r="C69" i="58"/>
  <c r="L72" i="58"/>
  <c r="J69" i="58"/>
  <c r="H70" i="58"/>
  <c r="J70" i="58"/>
  <c r="G73" i="58"/>
  <c r="L70" i="58"/>
  <c r="F70" i="58"/>
  <c r="F73" i="58"/>
  <c r="L73" i="58"/>
  <c r="I72" i="58"/>
  <c r="I67" i="58"/>
  <c r="C68" i="58"/>
  <c r="E67" i="58"/>
  <c r="G74" i="58"/>
  <c r="J68" i="58"/>
  <c r="H69" i="58"/>
  <c r="G72" i="58"/>
  <c r="C72" i="58"/>
  <c r="F67" i="58"/>
  <c r="F68" i="58"/>
  <c r="D70" i="58"/>
  <c r="J72" i="58"/>
  <c r="C73" i="58"/>
  <c r="I70" i="58"/>
  <c r="K67" i="58"/>
  <c r="K71" i="58"/>
  <c r="I74" i="58"/>
  <c r="C74" i="58"/>
  <c r="J53" i="58"/>
  <c r="J42" i="60"/>
  <c r="E40" i="60"/>
  <c r="C42" i="60"/>
  <c r="I37" i="60"/>
  <c r="H41" i="60"/>
  <c r="L41" i="60"/>
  <c r="C53" i="58"/>
  <c r="F51" i="58"/>
  <c r="E49" i="58"/>
  <c r="C55" i="58"/>
  <c r="G50" i="58"/>
  <c r="L52" i="58"/>
  <c r="I53" i="58"/>
  <c r="B215" i="39"/>
  <c r="B53" i="58"/>
  <c r="B51" i="58"/>
  <c r="B50" i="58"/>
  <c r="B55" i="58"/>
  <c r="B365" i="8"/>
  <c r="B365" i="38"/>
  <c r="B204" i="39"/>
  <c r="C89" i="7"/>
  <c r="C89" i="35"/>
  <c r="G89" i="35"/>
  <c r="J89" i="35"/>
  <c r="I89" i="35"/>
  <c r="D89" i="35"/>
  <c r="G89" i="7"/>
  <c r="B89" i="7"/>
  <c r="E89" i="35"/>
  <c r="K89" i="35"/>
  <c r="F89" i="35"/>
  <c r="F89" i="7"/>
  <c r="H89" i="7"/>
  <c r="B89" i="35"/>
  <c r="E89" i="7"/>
  <c r="K89" i="7"/>
  <c r="H89" i="35"/>
  <c r="I89" i="7"/>
  <c r="J89" i="7"/>
  <c r="D89" i="7"/>
  <c r="J37" i="60"/>
  <c r="F42" i="60"/>
  <c r="E41" i="60"/>
  <c r="E52" i="58"/>
  <c r="L44" i="60"/>
  <c r="L55" i="58"/>
  <c r="C8" i="37"/>
  <c r="K35" i="35"/>
  <c r="C35" i="7"/>
  <c r="G35" i="35"/>
  <c r="J35" i="35"/>
  <c r="B35" i="35"/>
  <c r="I35" i="35"/>
  <c r="E35" i="35"/>
  <c r="E35" i="7"/>
  <c r="F35" i="7"/>
  <c r="D35" i="7"/>
  <c r="K35" i="7"/>
  <c r="H35" i="7"/>
  <c r="J35" i="7"/>
  <c r="B35" i="7"/>
  <c r="I35" i="7"/>
  <c r="F35" i="35"/>
  <c r="C35" i="35"/>
  <c r="H35" i="35"/>
  <c r="G35" i="7"/>
  <c r="G35" i="37" s="1"/>
  <c r="D35" i="35"/>
  <c r="I142" i="40"/>
  <c r="I150" i="29" a="1"/>
  <c r="I150" i="29" s="1"/>
  <c r="I150" i="40" s="1"/>
  <c r="D37" i="60"/>
  <c r="D48" i="58"/>
  <c r="H42" i="60"/>
  <c r="K43" i="60"/>
  <c r="K54" i="58"/>
  <c r="H39" i="60"/>
  <c r="C39" i="60"/>
  <c r="H43" i="60"/>
  <c r="L38" i="60"/>
  <c r="L49" i="58"/>
  <c r="D42" i="60"/>
  <c r="F44" i="60"/>
  <c r="D38" i="60"/>
  <c r="F55" i="58"/>
  <c r="C48" i="58"/>
  <c r="F53" i="58"/>
  <c r="G51" i="58"/>
  <c r="C52" i="58"/>
  <c r="F150" i="29" a="1"/>
  <c r="F150" i="29" s="1"/>
  <c r="C38" i="39"/>
  <c r="B369" i="38"/>
  <c r="B369" i="8"/>
  <c r="B364" i="38"/>
  <c r="B364" i="8"/>
  <c r="E60" i="57"/>
  <c r="B52" i="58" l="1"/>
  <c r="B49" i="58"/>
  <c r="E49" i="60"/>
  <c r="I53" i="59"/>
  <c r="K49" i="59"/>
  <c r="K49" i="60" s="1"/>
  <c r="H51" i="59"/>
  <c r="H51" i="60" s="1"/>
  <c r="J53" i="59"/>
  <c r="C53" i="59"/>
  <c r="F54" i="59"/>
  <c r="F54" i="60" s="1"/>
  <c r="H55" i="59"/>
  <c r="H55" i="60" s="1"/>
  <c r="G48" i="59"/>
  <c r="B49" i="38" a="1"/>
  <c r="B51" i="59"/>
  <c r="E39" i="7"/>
  <c r="D39" i="35"/>
  <c r="B371" i="39"/>
  <c r="B353" i="39"/>
  <c r="I39" i="35"/>
  <c r="B10" i="39"/>
  <c r="H48" i="59"/>
  <c r="H48" i="60" s="1"/>
  <c r="C54" i="59"/>
  <c r="C54" i="60" s="1"/>
  <c r="E49" i="59"/>
  <c r="J52" i="59"/>
  <c r="E52" i="59"/>
  <c r="E52" i="60" s="1"/>
  <c r="D52" i="59"/>
  <c r="D52" i="60" s="1"/>
  <c r="F49" i="59"/>
  <c r="F49" i="60" s="1"/>
  <c r="F53" i="59"/>
  <c r="F53" i="60" s="1"/>
  <c r="K55" i="59"/>
  <c r="K55" i="60" s="1"/>
  <c r="J50" i="59"/>
  <c r="J50" i="60" s="1"/>
  <c r="D48" i="59"/>
  <c r="D48" i="60" s="1"/>
  <c r="K53" i="59"/>
  <c r="B48" i="58"/>
  <c r="E50" i="59"/>
  <c r="E50" i="60" s="1"/>
  <c r="D50" i="59"/>
  <c r="D50" i="60" s="1"/>
  <c r="C50" i="59"/>
  <c r="C50" i="60" s="1"/>
  <c r="L49" i="59"/>
  <c r="I50" i="59"/>
  <c r="I50" i="60" s="1"/>
  <c r="H50" i="59"/>
  <c r="H50" i="60" s="1"/>
  <c r="J55" i="59"/>
  <c r="J55" i="60" s="1"/>
  <c r="J51" i="59"/>
  <c r="J51" i="60" s="1"/>
  <c r="D51" i="59"/>
  <c r="D51" i="60" s="1"/>
  <c r="C52" i="59"/>
  <c r="C52" i="60" s="1"/>
  <c r="F50" i="59"/>
  <c r="L51" i="59"/>
  <c r="I48" i="59"/>
  <c r="I48" i="60" s="1"/>
  <c r="E53" i="59"/>
  <c r="K52" i="59"/>
  <c r="K52" i="60" s="1"/>
  <c r="L54" i="59"/>
  <c r="E54" i="59"/>
  <c r="D49" i="59"/>
  <c r="D49" i="60" s="1"/>
  <c r="L52" i="59"/>
  <c r="E12" i="39"/>
  <c r="D241" i="39"/>
  <c r="B49" i="8" a="1"/>
  <c r="C82" i="37"/>
  <c r="B34" i="39"/>
  <c r="D86" i="37"/>
  <c r="C95" i="37"/>
  <c r="B372" i="39"/>
  <c r="C9" i="37"/>
  <c r="G99" i="35"/>
  <c r="E99" i="35"/>
  <c r="E99" i="37" s="1"/>
  <c r="H99" i="35"/>
  <c r="F99" i="35"/>
  <c r="F99" i="37" s="1"/>
  <c r="C99" i="35"/>
  <c r="C99" i="37"/>
  <c r="K238" i="39"/>
  <c r="B38" i="35"/>
  <c r="D235" i="39"/>
  <c r="F240" i="39"/>
  <c r="F6" i="37"/>
  <c r="B8" i="37"/>
  <c r="H266" i="38"/>
  <c r="F98" i="35"/>
  <c r="E98" i="7"/>
  <c r="E100" i="7" s="1"/>
  <c r="D98" i="35"/>
  <c r="E98" i="35"/>
  <c r="H98" i="7"/>
  <c r="H98" i="37" s="1"/>
  <c r="F238" i="39"/>
  <c r="E38" i="7"/>
  <c r="E88" i="35"/>
  <c r="F95" i="7"/>
  <c r="J95" i="7"/>
  <c r="J100" i="7" s="1"/>
  <c r="E95" i="35"/>
  <c r="I95" i="35"/>
  <c r="B95" i="7"/>
  <c r="B95" i="37" s="1"/>
  <c r="D9" i="37"/>
  <c r="B99" i="35"/>
  <c r="I86" i="37"/>
  <c r="I99" i="35"/>
  <c r="I99" i="37" s="1"/>
  <c r="C46" i="60"/>
  <c r="C241" i="39"/>
  <c r="K38" i="35"/>
  <c r="K38" i="37" s="1"/>
  <c r="H99" i="7"/>
  <c r="H99" i="37" s="1"/>
  <c r="C86" i="37"/>
  <c r="J99" i="7"/>
  <c r="I99" i="7"/>
  <c r="K99" i="7"/>
  <c r="G97" i="37"/>
  <c r="F38" i="35"/>
  <c r="K99" i="37"/>
  <c r="H238" i="39"/>
  <c r="J52" i="37"/>
  <c r="G99" i="37"/>
  <c r="B67" i="8" a="1"/>
  <c r="K74" i="8" s="1"/>
  <c r="D55" i="60"/>
  <c r="D45" i="60"/>
  <c r="E83" i="35"/>
  <c r="B356" i="38"/>
  <c r="B356" i="39" s="1"/>
  <c r="J150" i="40"/>
  <c r="E263" i="38"/>
  <c r="B98" i="7"/>
  <c r="I98" i="35"/>
  <c r="I100" i="35" s="1"/>
  <c r="D98" i="7"/>
  <c r="I98" i="7"/>
  <c r="J238" i="39"/>
  <c r="E238" i="39"/>
  <c r="E38" i="35"/>
  <c r="D38" i="35"/>
  <c r="D38" i="7"/>
  <c r="J95" i="35"/>
  <c r="J100" i="35" s="1"/>
  <c r="H95" i="7"/>
  <c r="F95" i="35"/>
  <c r="G95" i="7"/>
  <c r="G95" i="37" s="1"/>
  <c r="C25" i="39"/>
  <c r="I38" i="35"/>
  <c r="J97" i="37"/>
  <c r="C240" i="39"/>
  <c r="D7" i="39"/>
  <c r="D99" i="7"/>
  <c r="D99" i="37" s="1"/>
  <c r="F237" i="39"/>
  <c r="H94" i="37"/>
  <c r="F94" i="37"/>
  <c r="F94" i="7"/>
  <c r="H94" i="35"/>
  <c r="C32" i="37"/>
  <c r="C21" i="39"/>
  <c r="H241" i="39"/>
  <c r="C108" i="40"/>
  <c r="L49" i="60"/>
  <c r="E235" i="39"/>
  <c r="G51" i="60"/>
  <c r="B7" i="37"/>
  <c r="B93" i="37"/>
  <c r="L52" i="60"/>
  <c r="D32" i="37"/>
  <c r="J235" i="39"/>
  <c r="H93" i="37"/>
  <c r="G235" i="39"/>
  <c r="I265" i="38"/>
  <c r="G265" i="38"/>
  <c r="F267" i="38"/>
  <c r="F88" i="7"/>
  <c r="G83" i="7"/>
  <c r="J53" i="60"/>
  <c r="G48" i="60"/>
  <c r="E83" i="7"/>
  <c r="I56" i="58"/>
  <c r="I56" i="60" s="1"/>
  <c r="D269" i="38"/>
  <c r="J263" i="38"/>
  <c r="C264" i="38"/>
  <c r="G270" i="38"/>
  <c r="K266" i="38"/>
  <c r="B88" i="35"/>
  <c r="C88" i="35"/>
  <c r="I236" i="39"/>
  <c r="B48" i="59"/>
  <c r="B48" i="60" s="1"/>
  <c r="H56" i="58"/>
  <c r="D267" i="38"/>
  <c r="H264" i="38"/>
  <c r="F150" i="40"/>
  <c r="D83" i="35"/>
  <c r="B67" i="38" a="1"/>
  <c r="C68" i="38" s="1"/>
  <c r="J56" i="58"/>
  <c r="J56" i="60" s="1"/>
  <c r="C265" i="38"/>
  <c r="E269" i="38"/>
  <c r="D265" i="38"/>
  <c r="C268" i="38"/>
  <c r="B263" i="38"/>
  <c r="M150" i="40"/>
  <c r="J88" i="7"/>
  <c r="B377" i="39"/>
  <c r="C235" i="39"/>
  <c r="B38" i="39"/>
  <c r="D11" i="39"/>
  <c r="I84" i="37"/>
  <c r="C56" i="58"/>
  <c r="B32" i="37"/>
  <c r="H84" i="37"/>
  <c r="K84" i="37"/>
  <c r="G94" i="37"/>
  <c r="E95" i="37"/>
  <c r="J85" i="37"/>
  <c r="E48" i="60"/>
  <c r="K32" i="37"/>
  <c r="E86" i="37"/>
  <c r="I37" i="37"/>
  <c r="B374" i="39"/>
  <c r="C100" i="7"/>
  <c r="H235" i="39"/>
  <c r="G52" i="37"/>
  <c r="L150" i="40"/>
  <c r="C8" i="39"/>
  <c r="B58" i="38" a="1"/>
  <c r="B254" i="38" a="1"/>
  <c r="C259" i="38" s="1"/>
  <c r="B97" i="37"/>
  <c r="B360" i="8"/>
  <c r="B51" i="60"/>
  <c r="H56" i="60"/>
  <c r="I268" i="38"/>
  <c r="E265" i="38"/>
  <c r="G267" i="38"/>
  <c r="J269" i="38"/>
  <c r="C270" i="38"/>
  <c r="H265" i="38"/>
  <c r="B264" i="38"/>
  <c r="K269" i="38"/>
  <c r="E268" i="38"/>
  <c r="K36" i="35"/>
  <c r="G238" i="39"/>
  <c r="H45" i="60"/>
  <c r="H88" i="35"/>
  <c r="H90" i="35" s="1"/>
  <c r="I88" i="7"/>
  <c r="K88" i="35"/>
  <c r="B99" i="37"/>
  <c r="B96" i="37"/>
  <c r="I97" i="37"/>
  <c r="B84" i="37"/>
  <c r="E19" i="39"/>
  <c r="B272" i="38" a="1"/>
  <c r="B272" i="8" a="1"/>
  <c r="J99" i="37"/>
  <c r="D264" i="8"/>
  <c r="G269" i="8"/>
  <c r="C270" i="8"/>
  <c r="J267" i="8"/>
  <c r="D269" i="8"/>
  <c r="K270" i="8"/>
  <c r="B267" i="8"/>
  <c r="B267" i="39" s="1"/>
  <c r="K263" i="8"/>
  <c r="B266" i="8"/>
  <c r="K269" i="8"/>
  <c r="J264" i="8"/>
  <c r="E267" i="8"/>
  <c r="F270" i="8"/>
  <c r="H266" i="8"/>
  <c r="H266" i="39" s="1"/>
  <c r="E269" i="8"/>
  <c r="E269" i="39" s="1"/>
  <c r="D265" i="8"/>
  <c r="G266" i="8"/>
  <c r="C265" i="8"/>
  <c r="G270" i="8"/>
  <c r="H270" i="8"/>
  <c r="I263" i="8"/>
  <c r="G265" i="8"/>
  <c r="G264" i="8"/>
  <c r="K264" i="8"/>
  <c r="E264" i="8"/>
  <c r="J268" i="8"/>
  <c r="D268" i="8"/>
  <c r="F268" i="8"/>
  <c r="D270" i="8"/>
  <c r="I265" i="8"/>
  <c r="I265" i="39" s="1"/>
  <c r="D266" i="8"/>
  <c r="F267" i="8"/>
  <c r="C263" i="8"/>
  <c r="K265" i="8"/>
  <c r="C266" i="8"/>
  <c r="C266" i="39" s="1"/>
  <c r="H263" i="8"/>
  <c r="H269" i="8"/>
  <c r="E266" i="8"/>
  <c r="B268" i="8"/>
  <c r="I264" i="8"/>
  <c r="C269" i="8"/>
  <c r="J266" i="8"/>
  <c r="K266" i="8"/>
  <c r="F264" i="8"/>
  <c r="F266" i="8"/>
  <c r="F266" i="39" s="1"/>
  <c r="E263" i="8"/>
  <c r="E263" i="39" s="1"/>
  <c r="H268" i="8"/>
  <c r="B264" i="8"/>
  <c r="G267" i="8"/>
  <c r="E265" i="8"/>
  <c r="G263" i="8"/>
  <c r="G268" i="8"/>
  <c r="C268" i="8"/>
  <c r="H265" i="8"/>
  <c r="D263" i="8"/>
  <c r="B270" i="8"/>
  <c r="J263" i="8"/>
  <c r="J263" i="39" s="1"/>
  <c r="B265" i="8"/>
  <c r="D267" i="8"/>
  <c r="D267" i="39" s="1"/>
  <c r="I268" i="8"/>
  <c r="K268" i="8"/>
  <c r="H264" i="8"/>
  <c r="I270" i="8"/>
  <c r="I270" i="39" s="1"/>
  <c r="J269" i="8"/>
  <c r="J270" i="8"/>
  <c r="I267" i="8"/>
  <c r="F269" i="8"/>
  <c r="C264" i="8"/>
  <c r="C264" i="39" s="1"/>
  <c r="B52" i="60"/>
  <c r="I53" i="60"/>
  <c r="C53" i="60"/>
  <c r="G83" i="35"/>
  <c r="C83" i="7"/>
  <c r="C83" i="37" s="1"/>
  <c r="J83" i="7"/>
  <c r="J83" i="35"/>
  <c r="C83" i="35"/>
  <c r="B50" i="59"/>
  <c r="B50" i="60" s="1"/>
  <c r="B54" i="59"/>
  <c r="B54" i="60" s="1"/>
  <c r="F39" i="35"/>
  <c r="J264" i="38"/>
  <c r="K265" i="38"/>
  <c r="K270" i="38"/>
  <c r="K270" i="39" s="1"/>
  <c r="J265" i="38"/>
  <c r="B270" i="38"/>
  <c r="B270" i="39" s="1"/>
  <c r="J267" i="38"/>
  <c r="K267" i="38"/>
  <c r="K267" i="39" s="1"/>
  <c r="F268" i="38"/>
  <c r="K268" i="38"/>
  <c r="F263" i="38"/>
  <c r="F263" i="39" s="1"/>
  <c r="H267" i="38"/>
  <c r="H267" i="39" s="1"/>
  <c r="J266" i="38"/>
  <c r="C267" i="38"/>
  <c r="C269" i="38"/>
  <c r="C269" i="39" s="1"/>
  <c r="G269" i="38"/>
  <c r="G269" i="39" s="1"/>
  <c r="D263" i="38"/>
  <c r="D263" i="39" s="1"/>
  <c r="H270" i="38"/>
  <c r="H270" i="39" s="1"/>
  <c r="H268" i="38"/>
  <c r="H263" i="38"/>
  <c r="J268" i="38"/>
  <c r="K39" i="7"/>
  <c r="K39" i="35"/>
  <c r="G100" i="35"/>
  <c r="E38" i="37"/>
  <c r="E39" i="35"/>
  <c r="E39" i="37" s="1"/>
  <c r="D36" i="7"/>
  <c r="D39" i="7"/>
  <c r="D39" i="37" s="1"/>
  <c r="D88" i="7"/>
  <c r="I88" i="35"/>
  <c r="G88" i="35"/>
  <c r="G90" i="35" s="1"/>
  <c r="J88" i="35"/>
  <c r="B88" i="7"/>
  <c r="B88" i="37" s="1"/>
  <c r="H39" i="7"/>
  <c r="F96" i="37"/>
  <c r="C24" i="39"/>
  <c r="C22" i="39"/>
  <c r="I269" i="8"/>
  <c r="F265" i="8"/>
  <c r="B263" i="8"/>
  <c r="L45" i="60"/>
  <c r="G241" i="39"/>
  <c r="C12" i="37"/>
  <c r="B83" i="35"/>
  <c r="F83" i="35"/>
  <c r="I83" i="7"/>
  <c r="I90" i="7" s="1"/>
  <c r="I83" i="35"/>
  <c r="F83" i="7"/>
  <c r="B9" i="37"/>
  <c r="B49" i="59"/>
  <c r="B49" i="60" s="1"/>
  <c r="B53" i="59"/>
  <c r="B53" i="60" s="1"/>
  <c r="G266" i="38"/>
  <c r="I267" i="38"/>
  <c r="E264" i="38"/>
  <c r="E264" i="39" s="1"/>
  <c r="E270" i="38"/>
  <c r="B266" i="38"/>
  <c r="B265" i="38"/>
  <c r="D268" i="38"/>
  <c r="H269" i="38"/>
  <c r="C263" i="38"/>
  <c r="I266" i="38"/>
  <c r="B269" i="38"/>
  <c r="B269" i="39" s="1"/>
  <c r="C88" i="7"/>
  <c r="C88" i="37" s="1"/>
  <c r="K88" i="7"/>
  <c r="K88" i="37" s="1"/>
  <c r="D150" i="40"/>
  <c r="I36" i="7"/>
  <c r="I82" i="37"/>
  <c r="C55" i="60"/>
  <c r="D83" i="7"/>
  <c r="D83" i="37" s="1"/>
  <c r="B83" i="7"/>
  <c r="B90" i="7" s="1"/>
  <c r="K83" i="35"/>
  <c r="K83" i="7"/>
  <c r="H83" i="7"/>
  <c r="H83" i="37" s="1"/>
  <c r="G53" i="60"/>
  <c r="E55" i="60"/>
  <c r="B55" i="59"/>
  <c r="B55" i="60" s="1"/>
  <c r="I269" i="38"/>
  <c r="I269" i="39" s="1"/>
  <c r="F264" i="38"/>
  <c r="I263" i="38"/>
  <c r="I264" i="38"/>
  <c r="I264" i="39" s="1"/>
  <c r="G264" i="38"/>
  <c r="G264" i="39" s="1"/>
  <c r="F270" i="38"/>
  <c r="F269" i="38"/>
  <c r="G268" i="38"/>
  <c r="G268" i="39" s="1"/>
  <c r="J270" i="38"/>
  <c r="G263" i="38"/>
  <c r="D264" i="38"/>
  <c r="K263" i="38"/>
  <c r="K263" i="39" s="1"/>
  <c r="E267" i="38"/>
  <c r="E267" i="39" s="1"/>
  <c r="E266" i="38"/>
  <c r="D270" i="38"/>
  <c r="B268" i="38"/>
  <c r="K264" i="38"/>
  <c r="K264" i="39" s="1"/>
  <c r="F265" i="38"/>
  <c r="D266" i="38"/>
  <c r="K36" i="7"/>
  <c r="B238" i="39"/>
  <c r="D238" i="39"/>
  <c r="E243" i="39"/>
  <c r="K56" i="60"/>
  <c r="E88" i="7"/>
  <c r="E88" i="37" s="1"/>
  <c r="G88" i="7"/>
  <c r="G90" i="7" s="1"/>
  <c r="D88" i="35"/>
  <c r="D90" i="35" s="1"/>
  <c r="F88" i="35"/>
  <c r="F88" i="37" s="1"/>
  <c r="H88" i="7"/>
  <c r="B39" i="35"/>
  <c r="C267" i="8"/>
  <c r="E270" i="8"/>
  <c r="J265" i="8"/>
  <c r="J265" i="39" s="1"/>
  <c r="D8" i="39"/>
  <c r="C94" i="37"/>
  <c r="F33" i="35"/>
  <c r="J33" i="35"/>
  <c r="I33" i="35"/>
  <c r="C33" i="35"/>
  <c r="G33" i="35"/>
  <c r="I33" i="7"/>
  <c r="H33" i="7"/>
  <c r="C33" i="7"/>
  <c r="C33" i="37" s="1"/>
  <c r="H33" i="35"/>
  <c r="G33" i="7"/>
  <c r="C238" i="39"/>
  <c r="B33" i="35"/>
  <c r="B36" i="35"/>
  <c r="B36" i="7"/>
  <c r="F85" i="37"/>
  <c r="J96" i="37"/>
  <c r="I94" i="37"/>
  <c r="J33" i="7"/>
  <c r="J36" i="7"/>
  <c r="G39" i="7"/>
  <c r="G39" i="35"/>
  <c r="J39" i="35"/>
  <c r="C39" i="7"/>
  <c r="B39" i="7"/>
  <c r="C39" i="35"/>
  <c r="F39" i="7"/>
  <c r="J39" i="7"/>
  <c r="G36" i="7"/>
  <c r="C36" i="35"/>
  <c r="G36" i="35"/>
  <c r="C36" i="7"/>
  <c r="C48" i="60"/>
  <c r="L55" i="60"/>
  <c r="F36" i="35"/>
  <c r="F51" i="60"/>
  <c r="B58" i="8" a="1"/>
  <c r="J59" i="8" s="1"/>
  <c r="G56" i="58"/>
  <c r="G56" i="60" s="1"/>
  <c r="L56" i="58"/>
  <c r="L56" i="60" s="1"/>
  <c r="D56" i="58"/>
  <c r="D56" i="60" s="1"/>
  <c r="F33" i="7"/>
  <c r="F33" i="37" s="1"/>
  <c r="I238" i="39"/>
  <c r="E33" i="7"/>
  <c r="E33" i="37" s="1"/>
  <c r="D33" i="7"/>
  <c r="F95" i="37"/>
  <c r="B82" i="37"/>
  <c r="B33" i="7"/>
  <c r="B33" i="37" s="1"/>
  <c r="H36" i="35"/>
  <c r="E85" i="37"/>
  <c r="C6" i="37"/>
  <c r="C37" i="7"/>
  <c r="H37" i="7"/>
  <c r="G37" i="35"/>
  <c r="B37" i="7"/>
  <c r="J37" i="35"/>
  <c r="J37" i="37" s="1"/>
  <c r="G37" i="7"/>
  <c r="K37" i="35"/>
  <c r="K37" i="37" s="1"/>
  <c r="B37" i="35"/>
  <c r="H37" i="35"/>
  <c r="C37" i="35"/>
  <c r="K54" i="60"/>
  <c r="H150" i="40"/>
  <c r="E87" i="37"/>
  <c r="E98" i="37"/>
  <c r="F55" i="60"/>
  <c r="D89" i="37"/>
  <c r="K89" i="37"/>
  <c r="B89" i="37"/>
  <c r="G50" i="60"/>
  <c r="B10" i="37"/>
  <c r="B11" i="37"/>
  <c r="E56" i="58"/>
  <c r="F36" i="7"/>
  <c r="K33" i="35"/>
  <c r="K40" i="35" s="1"/>
  <c r="K33" i="7"/>
  <c r="E36" i="7"/>
  <c r="E36" i="35"/>
  <c r="E40" i="35" s="1"/>
  <c r="D33" i="35"/>
  <c r="D36" i="35"/>
  <c r="H36" i="7"/>
  <c r="C20" i="39"/>
  <c r="I36" i="35"/>
  <c r="I36" i="37" s="1"/>
  <c r="J36" i="35"/>
  <c r="C11" i="37"/>
  <c r="F38" i="7"/>
  <c r="C38" i="35"/>
  <c r="G38" i="35"/>
  <c r="C38" i="7"/>
  <c r="H38" i="35"/>
  <c r="H38" i="37" s="1"/>
  <c r="G38" i="7"/>
  <c r="J38" i="35"/>
  <c r="J38" i="37" s="1"/>
  <c r="B38" i="7"/>
  <c r="B38" i="37" s="1"/>
  <c r="C87" i="37"/>
  <c r="K39" i="37"/>
  <c r="J98" i="37"/>
  <c r="C98" i="37"/>
  <c r="C93" i="37"/>
  <c r="D94" i="37"/>
  <c r="F32" i="37"/>
  <c r="H39" i="37"/>
  <c r="H82" i="37"/>
  <c r="K85" i="37"/>
  <c r="I85" i="37"/>
  <c r="G96" i="37"/>
  <c r="K96" i="37"/>
  <c r="I39" i="37"/>
  <c r="D93" i="37"/>
  <c r="K93" i="37"/>
  <c r="K52" i="37"/>
  <c r="D58" i="1" a="1"/>
  <c r="D58" i="1" s="1"/>
  <c r="E82" i="37"/>
  <c r="E97" i="37"/>
  <c r="D8" i="37"/>
  <c r="C55" i="35"/>
  <c r="F55" i="7"/>
  <c r="J55" i="7"/>
  <c r="K55" i="35"/>
  <c r="K55" i="7"/>
  <c r="G55" i="7"/>
  <c r="B55" i="35"/>
  <c r="E55" i="7"/>
  <c r="H55" i="7"/>
  <c r="I55" i="35"/>
  <c r="C55" i="7"/>
  <c r="F55" i="35"/>
  <c r="G55" i="35"/>
  <c r="J55" i="35"/>
  <c r="D55" i="35"/>
  <c r="H55" i="35"/>
  <c r="B55" i="7"/>
  <c r="I55" i="7"/>
  <c r="I55" i="37" s="1"/>
  <c r="E55" i="35"/>
  <c r="D55" i="7"/>
  <c r="K58" i="7"/>
  <c r="C58" i="7"/>
  <c r="F58" i="35"/>
  <c r="G58" i="7"/>
  <c r="G58" i="35"/>
  <c r="H58" i="7"/>
  <c r="B58" i="7"/>
  <c r="K58" i="35"/>
  <c r="H58" i="35"/>
  <c r="D58" i="7"/>
  <c r="E58" i="7"/>
  <c r="D58" i="35"/>
  <c r="F58" i="7"/>
  <c r="J58" i="7"/>
  <c r="I58" i="7"/>
  <c r="J58" i="35"/>
  <c r="C58" i="35"/>
  <c r="E58" i="35"/>
  <c r="I58" i="35"/>
  <c r="B58" i="35"/>
  <c r="J254" i="38"/>
  <c r="K260" i="38"/>
  <c r="B261" i="38"/>
  <c r="K254" i="38"/>
  <c r="B254" i="38"/>
  <c r="K259" i="38"/>
  <c r="E255" i="38"/>
  <c r="G258" i="38"/>
  <c r="H260" i="38"/>
  <c r="C256" i="38"/>
  <c r="K255" i="38"/>
  <c r="D261" i="38"/>
  <c r="F259" i="38"/>
  <c r="F257" i="38"/>
  <c r="I259" i="38"/>
  <c r="C260" i="38"/>
  <c r="B259" i="38"/>
  <c r="I256" i="38"/>
  <c r="H259" i="38"/>
  <c r="H255" i="38"/>
  <c r="J68" i="7"/>
  <c r="I62" i="7"/>
  <c r="G64" i="7"/>
  <c r="C68" i="7"/>
  <c r="B67" i="7"/>
  <c r="H68" i="7"/>
  <c r="K63" i="7"/>
  <c r="G65" i="7"/>
  <c r="C64" i="7"/>
  <c r="B66" i="7"/>
  <c r="G69" i="7"/>
  <c r="K62" i="7"/>
  <c r="E62" i="7"/>
  <c r="G63" i="7"/>
  <c r="J62" i="7"/>
  <c r="D62" i="7"/>
  <c r="F68" i="7"/>
  <c r="D67" i="7"/>
  <c r="D68" i="7"/>
  <c r="I67" i="7"/>
  <c r="B62" i="7"/>
  <c r="E67" i="7"/>
  <c r="J64" i="7"/>
  <c r="I68" i="7"/>
  <c r="H64" i="7"/>
  <c r="C62" i="7"/>
  <c r="I63" i="7"/>
  <c r="K69" i="7"/>
  <c r="I64" i="7"/>
  <c r="I66" i="7"/>
  <c r="F63" i="7"/>
  <c r="B69" i="7"/>
  <c r="G68" i="7"/>
  <c r="F64" i="7"/>
  <c r="H69" i="7"/>
  <c r="C63" i="7"/>
  <c r="E63" i="7"/>
  <c r="G62" i="7"/>
  <c r="C69" i="7"/>
  <c r="F66" i="7"/>
  <c r="C66" i="7"/>
  <c r="K65" i="7"/>
  <c r="C67" i="7"/>
  <c r="D64" i="7"/>
  <c r="K64" i="7"/>
  <c r="F67" i="7"/>
  <c r="J63" i="7"/>
  <c r="E65" i="7"/>
  <c r="J66" i="7"/>
  <c r="I69" i="7"/>
  <c r="K66" i="7"/>
  <c r="D63" i="7"/>
  <c r="D65" i="7"/>
  <c r="G66" i="7"/>
  <c r="G67" i="7"/>
  <c r="F65" i="7"/>
  <c r="B63" i="7"/>
  <c r="E66" i="7"/>
  <c r="H65" i="7"/>
  <c r="H67" i="7"/>
  <c r="I65" i="7"/>
  <c r="H62" i="7"/>
  <c r="D66" i="7"/>
  <c r="B65" i="7"/>
  <c r="K68" i="7"/>
  <c r="E69" i="7"/>
  <c r="H63" i="7"/>
  <c r="E68" i="7"/>
  <c r="E64" i="7"/>
  <c r="F62" i="7"/>
  <c r="J69" i="7"/>
  <c r="B68" i="7"/>
  <c r="K67" i="7"/>
  <c r="J67" i="7"/>
  <c r="F69" i="7"/>
  <c r="D69" i="7"/>
  <c r="J65" i="7"/>
  <c r="C65" i="7"/>
  <c r="H66" i="7"/>
  <c r="B64" i="7"/>
  <c r="B380" i="39"/>
  <c r="B52" i="37"/>
  <c r="C85" i="37"/>
  <c r="C96" i="37"/>
  <c r="H96" i="37"/>
  <c r="I96" i="37"/>
  <c r="C59" i="4"/>
  <c r="C62" i="4" s="1"/>
  <c r="C56" i="29"/>
  <c r="B383" i="8"/>
  <c r="B383" i="38"/>
  <c r="B384" i="38"/>
  <c r="B384" i="8"/>
  <c r="C19" i="39"/>
  <c r="B254" i="8" a="1"/>
  <c r="C267" i="39"/>
  <c r="I52" i="37"/>
  <c r="J94" i="37"/>
  <c r="D84" i="37"/>
  <c r="E93" i="37"/>
  <c r="G93" i="37"/>
  <c r="G100" i="7"/>
  <c r="C100" i="35"/>
  <c r="C100" i="37" s="1"/>
  <c r="C45" i="60"/>
  <c r="C56" i="59"/>
  <c r="C56" i="60" s="1"/>
  <c r="J243" i="39"/>
  <c r="C243" i="39"/>
  <c r="B355" i="38"/>
  <c r="B355" i="8"/>
  <c r="K45" i="60"/>
  <c r="E35" i="37"/>
  <c r="J89" i="37"/>
  <c r="F82" i="37"/>
  <c r="B378" i="39"/>
  <c r="B98" i="37"/>
  <c r="D98" i="37"/>
  <c r="E94" i="37"/>
  <c r="E32" i="37"/>
  <c r="E37" i="37"/>
  <c r="D38" i="37"/>
  <c r="D82" i="37"/>
  <c r="C170" i="4"/>
  <c r="C169" i="4"/>
  <c r="D95" i="37"/>
  <c r="I95" i="37"/>
  <c r="K95" i="37"/>
  <c r="H59" i="7"/>
  <c r="B59" i="35"/>
  <c r="I59" i="7"/>
  <c r="C59" i="35"/>
  <c r="F59" i="35"/>
  <c r="B59" i="7"/>
  <c r="B59" i="37" s="1"/>
  <c r="I59" i="35"/>
  <c r="E59" i="7"/>
  <c r="D59" i="35"/>
  <c r="C59" i="7"/>
  <c r="G59" i="7"/>
  <c r="H59" i="35"/>
  <c r="J59" i="35"/>
  <c r="D59" i="7"/>
  <c r="K59" i="35"/>
  <c r="K59" i="7"/>
  <c r="F59" i="7"/>
  <c r="F59" i="37" s="1"/>
  <c r="E59" i="35"/>
  <c r="G59" i="35"/>
  <c r="J59" i="7"/>
  <c r="B92" i="37"/>
  <c r="B100" i="7"/>
  <c r="H92" i="37"/>
  <c r="H100" i="7"/>
  <c r="H97" i="37"/>
  <c r="B85" i="37"/>
  <c r="D85" i="37"/>
  <c r="H52" i="37"/>
  <c r="B387" i="8"/>
  <c r="B387" i="38"/>
  <c r="E35" i="39"/>
  <c r="D11" i="37"/>
  <c r="E268" i="39"/>
  <c r="I266" i="39"/>
  <c r="I100" i="7"/>
  <c r="I92" i="37"/>
  <c r="I38" i="37"/>
  <c r="B243" i="39"/>
  <c r="B354" i="8"/>
  <c r="B354" i="38"/>
  <c r="B358" i="8"/>
  <c r="B358" i="39" s="1"/>
  <c r="B36" i="39"/>
  <c r="C23" i="39"/>
  <c r="B35" i="39"/>
  <c r="J45" i="60"/>
  <c r="C90" i="35"/>
  <c r="J52" i="60"/>
  <c r="F37" i="37"/>
  <c r="F52" i="37"/>
  <c r="F92" i="37"/>
  <c r="F100" i="7"/>
  <c r="K82" i="37"/>
  <c r="G98" i="37"/>
  <c r="C346" i="6" a="1"/>
  <c r="C346" i="30" a="1"/>
  <c r="E92" i="37"/>
  <c r="D52" i="37"/>
  <c r="D97" i="37"/>
  <c r="K53" i="7"/>
  <c r="C53" i="35"/>
  <c r="F53" i="7"/>
  <c r="G53" i="7"/>
  <c r="H53" i="35"/>
  <c r="B53" i="7"/>
  <c r="I53" i="7"/>
  <c r="I53" i="35"/>
  <c r="D53" i="7"/>
  <c r="D53" i="35"/>
  <c r="C53" i="7"/>
  <c r="H53" i="7"/>
  <c r="J53" i="7"/>
  <c r="E53" i="7"/>
  <c r="K53" i="35"/>
  <c r="G53" i="35"/>
  <c r="B53" i="35"/>
  <c r="J53" i="35"/>
  <c r="E53" i="35"/>
  <c r="F53" i="35"/>
  <c r="K57" i="35"/>
  <c r="C57" i="7"/>
  <c r="G57" i="7"/>
  <c r="G57" i="35"/>
  <c r="B57" i="35"/>
  <c r="F57" i="7"/>
  <c r="F57" i="35"/>
  <c r="H57" i="35"/>
  <c r="J57" i="7"/>
  <c r="I57" i="7"/>
  <c r="E57" i="35"/>
  <c r="K57" i="7"/>
  <c r="C57" i="35"/>
  <c r="J57" i="35"/>
  <c r="E57" i="7"/>
  <c r="E57" i="37" s="1"/>
  <c r="H57" i="7"/>
  <c r="H57" i="37" s="1"/>
  <c r="I57" i="35"/>
  <c r="B57" i="7"/>
  <c r="D57" i="35"/>
  <c r="D57" i="7"/>
  <c r="D10" i="37"/>
  <c r="I63" i="35"/>
  <c r="K69" i="35"/>
  <c r="H63" i="35"/>
  <c r="C68" i="35"/>
  <c r="J69" i="35"/>
  <c r="C64" i="35"/>
  <c r="K66" i="35"/>
  <c r="B67" i="35"/>
  <c r="F68" i="35"/>
  <c r="J68" i="35"/>
  <c r="E65" i="35"/>
  <c r="I69" i="35"/>
  <c r="H66" i="35"/>
  <c r="F69" i="35"/>
  <c r="J63" i="35"/>
  <c r="E62" i="35"/>
  <c r="I65" i="35"/>
  <c r="J66" i="35"/>
  <c r="F62" i="35"/>
  <c r="J67" i="35"/>
  <c r="D68" i="35"/>
  <c r="I66" i="35"/>
  <c r="H69" i="35"/>
  <c r="G65" i="35"/>
  <c r="E64" i="35"/>
  <c r="I68" i="35"/>
  <c r="F64" i="35"/>
  <c r="D62" i="35"/>
  <c r="K67" i="35"/>
  <c r="H68" i="35"/>
  <c r="J64" i="35"/>
  <c r="D67" i="35"/>
  <c r="K68" i="35"/>
  <c r="H64" i="35"/>
  <c r="G63" i="35"/>
  <c r="E63" i="35"/>
  <c r="B66" i="35"/>
  <c r="C62" i="35"/>
  <c r="D65" i="35"/>
  <c r="E69" i="35"/>
  <c r="B62" i="35"/>
  <c r="G64" i="35"/>
  <c r="D66" i="35"/>
  <c r="I64" i="35"/>
  <c r="C69" i="35"/>
  <c r="G62" i="35"/>
  <c r="I67" i="35"/>
  <c r="B64" i="35"/>
  <c r="H67" i="35"/>
  <c r="G69" i="35"/>
  <c r="D64" i="35"/>
  <c r="K65" i="35"/>
  <c r="H62" i="35"/>
  <c r="F67" i="35"/>
  <c r="G66" i="35"/>
  <c r="I62" i="35"/>
  <c r="C63" i="35"/>
  <c r="J62" i="35"/>
  <c r="K63" i="35"/>
  <c r="B68" i="35"/>
  <c r="F65" i="35"/>
  <c r="D63" i="35"/>
  <c r="K64" i="35"/>
  <c r="C66" i="35"/>
  <c r="F66" i="35"/>
  <c r="D69" i="35"/>
  <c r="E66" i="35"/>
  <c r="E67" i="35"/>
  <c r="E68" i="35"/>
  <c r="K62" i="35"/>
  <c r="B63" i="35"/>
  <c r="B69" i="35"/>
  <c r="B65" i="35"/>
  <c r="H65" i="35"/>
  <c r="C65" i="35"/>
  <c r="C67" i="35"/>
  <c r="F63" i="35"/>
  <c r="G67" i="35"/>
  <c r="G68" i="35"/>
  <c r="J65" i="35"/>
  <c r="B86" i="37"/>
  <c r="H86" i="37"/>
  <c r="H32" i="37"/>
  <c r="H100" i="35"/>
  <c r="H85" i="37"/>
  <c r="E96" i="37"/>
  <c r="C57" i="29"/>
  <c r="B386" i="8"/>
  <c r="B386" i="38"/>
  <c r="B382" i="8"/>
  <c r="B382" i="38"/>
  <c r="E33" i="39"/>
  <c r="J92" i="37"/>
  <c r="C84" i="37"/>
  <c r="F84" i="37"/>
  <c r="I93" i="37"/>
  <c r="J93" i="37"/>
  <c r="F93" i="37"/>
  <c r="E6" i="39"/>
  <c r="B76" i="8" a="1"/>
  <c r="B76" i="38" a="1"/>
  <c r="K243" i="39"/>
  <c r="F243" i="39"/>
  <c r="E34" i="39"/>
  <c r="G45" i="60"/>
  <c r="B35" i="37"/>
  <c r="D35" i="37"/>
  <c r="C35" i="37"/>
  <c r="C89" i="37"/>
  <c r="F100" i="35"/>
  <c r="K100" i="35"/>
  <c r="K100" i="7"/>
  <c r="K92" i="37"/>
  <c r="E150" i="40"/>
  <c r="F98" i="37"/>
  <c r="K98" i="37"/>
  <c r="E100" i="35"/>
  <c r="E52" i="37"/>
  <c r="D100" i="35"/>
  <c r="D92" i="37"/>
  <c r="D100" i="7"/>
  <c r="D37" i="37"/>
  <c r="C45" i="29"/>
  <c r="C45" i="4"/>
  <c r="H95" i="37"/>
  <c r="C56" i="35"/>
  <c r="F56" i="35"/>
  <c r="B56" i="7"/>
  <c r="C56" i="7"/>
  <c r="B56" i="35"/>
  <c r="I56" i="7"/>
  <c r="E56" i="7"/>
  <c r="E56" i="35"/>
  <c r="H56" i="7"/>
  <c r="J56" i="7"/>
  <c r="I56" i="35"/>
  <c r="K56" i="35"/>
  <c r="K56" i="7"/>
  <c r="H56" i="35"/>
  <c r="J56" i="35"/>
  <c r="D56" i="35"/>
  <c r="F56" i="7"/>
  <c r="D56" i="7"/>
  <c r="G56" i="35"/>
  <c r="G56" i="7"/>
  <c r="D7" i="37"/>
  <c r="H54" i="35"/>
  <c r="K54" i="35"/>
  <c r="J54" i="35"/>
  <c r="B54" i="35"/>
  <c r="E54" i="7"/>
  <c r="K54" i="7"/>
  <c r="K54" i="37" s="1"/>
  <c r="F54" i="35"/>
  <c r="F54" i="7"/>
  <c r="G54" i="35"/>
  <c r="C54" i="35"/>
  <c r="G54" i="7"/>
  <c r="H54" i="7"/>
  <c r="I54" i="7"/>
  <c r="D54" i="7"/>
  <c r="D54" i="35"/>
  <c r="C54" i="7"/>
  <c r="B54" i="7"/>
  <c r="J54" i="7"/>
  <c r="I54" i="35"/>
  <c r="E54" i="35"/>
  <c r="B362" i="39"/>
  <c r="B100" i="35"/>
  <c r="B100" i="37" s="1"/>
  <c r="B385" i="8"/>
  <c r="B385" i="38"/>
  <c r="B381" i="38"/>
  <c r="B381" i="8"/>
  <c r="D12" i="37"/>
  <c r="B263" i="39"/>
  <c r="J84" i="37"/>
  <c r="C87" i="40"/>
  <c r="D46" i="59" a="1"/>
  <c r="E56" i="59"/>
  <c r="F45" i="60"/>
  <c r="F56" i="59"/>
  <c r="F56" i="60" s="1"/>
  <c r="H243" i="39"/>
  <c r="I243" i="39"/>
  <c r="B359" i="8"/>
  <c r="B359" i="38"/>
  <c r="H35" i="37"/>
  <c r="G89" i="37"/>
  <c r="B360" i="39"/>
  <c r="B364" i="39"/>
  <c r="I35" i="37"/>
  <c r="K35" i="37"/>
  <c r="I89" i="37"/>
  <c r="K90" i="35"/>
  <c r="K90" i="7"/>
  <c r="K83" i="37"/>
  <c r="B6" i="37"/>
  <c r="B22" i="35" a="1"/>
  <c r="B22" i="7" a="1"/>
  <c r="B357" i="39"/>
  <c r="B366" i="39"/>
  <c r="B368" i="39"/>
  <c r="J49" i="60"/>
  <c r="G49" i="60"/>
  <c r="F73" i="40"/>
  <c r="G73" i="4"/>
  <c r="F52" i="60"/>
  <c r="D206" i="4"/>
  <c r="C75" i="4"/>
  <c r="B34" i="37"/>
  <c r="G34" i="37"/>
  <c r="H34" i="37"/>
  <c r="K53" i="60"/>
  <c r="J87" i="37"/>
  <c r="B87" i="37"/>
  <c r="K87" i="37"/>
  <c r="H89" i="37"/>
  <c r="B365" i="39"/>
  <c r="E90" i="35"/>
  <c r="G83" i="37"/>
  <c r="E83" i="37"/>
  <c r="H140" i="4"/>
  <c r="D138" i="4"/>
  <c r="E136" i="4"/>
  <c r="L135" i="4"/>
  <c r="L137" i="4"/>
  <c r="K133" i="4"/>
  <c r="F139" i="4"/>
  <c r="F133" i="4"/>
  <c r="J133" i="4"/>
  <c r="D135" i="4"/>
  <c r="G140" i="4"/>
  <c r="J139" i="4"/>
  <c r="H133" i="4"/>
  <c r="F137" i="4"/>
  <c r="I137" i="4"/>
  <c r="D134" i="4"/>
  <c r="G135" i="4"/>
  <c r="G137" i="4"/>
  <c r="K134" i="4"/>
  <c r="I136" i="4"/>
  <c r="L136" i="4"/>
  <c r="E139" i="4"/>
  <c r="J135" i="4"/>
  <c r="M134" i="4"/>
  <c r="F138" i="4"/>
  <c r="K140" i="4"/>
  <c r="E133" i="4"/>
  <c r="G139" i="4"/>
  <c r="K136" i="4"/>
  <c r="F134" i="4"/>
  <c r="D136" i="4"/>
  <c r="G138" i="4"/>
  <c r="I139" i="4"/>
  <c r="J134" i="4"/>
  <c r="F140" i="4"/>
  <c r="K137" i="4"/>
  <c r="E135" i="4"/>
  <c r="M136" i="4"/>
  <c r="D137" i="4"/>
  <c r="I135" i="4"/>
  <c r="M133" i="4"/>
  <c r="E137" i="4"/>
  <c r="I138" i="4"/>
  <c r="F135" i="4"/>
  <c r="L140" i="4"/>
  <c r="F136" i="4"/>
  <c r="E138" i="4"/>
  <c r="I133" i="4"/>
  <c r="L138" i="4"/>
  <c r="J138" i="4"/>
  <c r="D133" i="4"/>
  <c r="M138" i="4"/>
  <c r="L139" i="4"/>
  <c r="H134" i="4"/>
  <c r="E134" i="4"/>
  <c r="D139" i="4"/>
  <c r="K139" i="4"/>
  <c r="J137" i="4"/>
  <c r="K135" i="4"/>
  <c r="M139" i="4"/>
  <c r="D140" i="4"/>
  <c r="G136" i="4"/>
  <c r="L133" i="4"/>
  <c r="J140" i="4"/>
  <c r="E140" i="4"/>
  <c r="G133" i="4"/>
  <c r="H136" i="4"/>
  <c r="I140" i="4"/>
  <c r="M137" i="4"/>
  <c r="I134" i="4"/>
  <c r="H138" i="4"/>
  <c r="H139" i="4"/>
  <c r="M135" i="4"/>
  <c r="J136" i="4"/>
  <c r="K138" i="4"/>
  <c r="H135" i="4"/>
  <c r="L134" i="4"/>
  <c r="H137" i="4"/>
  <c r="M140" i="4"/>
  <c r="G134" i="4"/>
  <c r="I51" i="60"/>
  <c r="C58" i="58" a="1"/>
  <c r="C196" i="1" a="1"/>
  <c r="C58" i="8"/>
  <c r="D65" i="8"/>
  <c r="B64" i="8"/>
  <c r="D63" i="8"/>
  <c r="K61" i="8"/>
  <c r="C59" i="8"/>
  <c r="J65" i="8"/>
  <c r="E63" i="8"/>
  <c r="C63" i="8"/>
  <c r="K58" i="8"/>
  <c r="E65" i="8"/>
  <c r="H59" i="8"/>
  <c r="G60" i="8"/>
  <c r="J62" i="8"/>
  <c r="E60" i="8"/>
  <c r="B62" i="8"/>
  <c r="B59" i="8"/>
  <c r="G63" i="8"/>
  <c r="E62" i="8"/>
  <c r="K60" i="8"/>
  <c r="K63" i="8"/>
  <c r="C62" i="8"/>
  <c r="D59" i="8"/>
  <c r="I61" i="8"/>
  <c r="H63" i="8"/>
  <c r="E59" i="8"/>
  <c r="C61" i="8"/>
  <c r="D62" i="8"/>
  <c r="E58" i="8"/>
  <c r="K62" i="8"/>
  <c r="B63" i="8"/>
  <c r="C64" i="8"/>
  <c r="D64" i="8"/>
  <c r="D58" i="8"/>
  <c r="H65" i="8"/>
  <c r="C65" i="8"/>
  <c r="E61" i="8"/>
  <c r="C60" i="8"/>
  <c r="I58" i="8"/>
  <c r="K59" i="8"/>
  <c r="B367" i="39"/>
  <c r="K248" i="8"/>
  <c r="K250" i="8"/>
  <c r="B252" i="8"/>
  <c r="C252" i="8"/>
  <c r="B250" i="8"/>
  <c r="D252" i="8"/>
  <c r="I246" i="8"/>
  <c r="E251" i="8"/>
  <c r="J249" i="8"/>
  <c r="J250" i="8"/>
  <c r="B247" i="8"/>
  <c r="K252" i="8"/>
  <c r="I245" i="8"/>
  <c r="C245" i="8"/>
  <c r="H251" i="8"/>
  <c r="I250" i="8"/>
  <c r="G250" i="8"/>
  <c r="I249" i="8"/>
  <c r="G245" i="8"/>
  <c r="D246" i="8"/>
  <c r="E252" i="8"/>
  <c r="D248" i="8"/>
  <c r="J248" i="8"/>
  <c r="J251" i="8"/>
  <c r="D245" i="8"/>
  <c r="J246" i="8"/>
  <c r="H246" i="8"/>
  <c r="E250" i="8"/>
  <c r="D249" i="8"/>
  <c r="F250" i="8"/>
  <c r="I251" i="8"/>
  <c r="F247" i="8"/>
  <c r="H252" i="8"/>
  <c r="F245" i="8"/>
  <c r="I247" i="8"/>
  <c r="C251" i="8"/>
  <c r="J245" i="8"/>
  <c r="J252" i="8"/>
  <c r="F252" i="8"/>
  <c r="B251" i="8"/>
  <c r="H248" i="8"/>
  <c r="G251" i="8"/>
  <c r="K251" i="8"/>
  <c r="B246" i="8"/>
  <c r="C249" i="8"/>
  <c r="H247" i="8"/>
  <c r="E248" i="8"/>
  <c r="D247" i="8"/>
  <c r="E245" i="8"/>
  <c r="E249" i="8"/>
  <c r="K246" i="8"/>
  <c r="B248" i="8"/>
  <c r="C250" i="8"/>
  <c r="F251" i="8"/>
  <c r="C247" i="8"/>
  <c r="I248" i="8"/>
  <c r="F249" i="8"/>
  <c r="K245" i="8"/>
  <c r="D250" i="8"/>
  <c r="G248" i="8"/>
  <c r="D251" i="8"/>
  <c r="G252" i="8"/>
  <c r="B245" i="8"/>
  <c r="H250" i="8"/>
  <c r="F248" i="8"/>
  <c r="G246" i="8"/>
  <c r="F246" i="8"/>
  <c r="E247" i="8"/>
  <c r="B249" i="8"/>
  <c r="H249" i="8"/>
  <c r="E246" i="8"/>
  <c r="C248" i="8"/>
  <c r="H245" i="8"/>
  <c r="J247" i="8"/>
  <c r="G247" i="8"/>
  <c r="C246" i="8"/>
  <c r="K249" i="8"/>
  <c r="K247" i="8"/>
  <c r="G249" i="8"/>
  <c r="I252" i="8"/>
  <c r="E53" i="60"/>
  <c r="F48" i="60"/>
  <c r="F34" i="37"/>
  <c r="E54" i="60"/>
  <c r="G87" i="37"/>
  <c r="B369" i="39"/>
  <c r="C55" i="8"/>
  <c r="B51" i="8"/>
  <c r="E49" i="8"/>
  <c r="I50" i="8"/>
  <c r="J52" i="8"/>
  <c r="F50" i="8"/>
  <c r="K49" i="8"/>
  <c r="D51" i="8"/>
  <c r="J55" i="8"/>
  <c r="F55" i="8"/>
  <c r="I54" i="8"/>
  <c r="H52" i="8"/>
  <c r="I56" i="8"/>
  <c r="F54" i="8"/>
  <c r="K56" i="8"/>
  <c r="I49" i="8"/>
  <c r="I51" i="8"/>
  <c r="H51" i="8"/>
  <c r="G51" i="8"/>
  <c r="C56" i="8"/>
  <c r="H55" i="8"/>
  <c r="K55" i="8"/>
  <c r="E56" i="8"/>
  <c r="K51" i="8"/>
  <c r="B49" i="8"/>
  <c r="D49" i="8"/>
  <c r="B55" i="8"/>
  <c r="I55" i="8"/>
  <c r="J54" i="8"/>
  <c r="D54" i="8"/>
  <c r="H50" i="8"/>
  <c r="J53" i="8"/>
  <c r="F56" i="8"/>
  <c r="C53" i="8"/>
  <c r="B50" i="8"/>
  <c r="D56" i="8"/>
  <c r="G52" i="8"/>
  <c r="G50" i="8"/>
  <c r="E53" i="8"/>
  <c r="J49" i="8"/>
  <c r="C49" i="8"/>
  <c r="C52" i="8"/>
  <c r="D53" i="8"/>
  <c r="I53" i="8"/>
  <c r="E51" i="8"/>
  <c r="G54" i="8"/>
  <c r="J50" i="8"/>
  <c r="D50" i="8"/>
  <c r="D55" i="8"/>
  <c r="G55" i="8"/>
  <c r="F49" i="8"/>
  <c r="B56" i="8"/>
  <c r="B52" i="8"/>
  <c r="E52" i="8"/>
  <c r="B53" i="8"/>
  <c r="H49" i="8"/>
  <c r="G56" i="8"/>
  <c r="G49" i="8"/>
  <c r="K53" i="8"/>
  <c r="F51" i="8"/>
  <c r="H56" i="8"/>
  <c r="C54" i="8"/>
  <c r="K50" i="8"/>
  <c r="E50" i="8"/>
  <c r="F52" i="8"/>
  <c r="F53" i="8"/>
  <c r="H53" i="8"/>
  <c r="J56" i="8"/>
  <c r="H54" i="8"/>
  <c r="K52" i="8"/>
  <c r="D52" i="8"/>
  <c r="G53" i="8"/>
  <c r="C51" i="8"/>
  <c r="I52" i="8"/>
  <c r="C50" i="8"/>
  <c r="E54" i="8"/>
  <c r="K54" i="8"/>
  <c r="J51" i="8"/>
  <c r="E55" i="8"/>
  <c r="B54" i="8"/>
  <c r="J35" i="37"/>
  <c r="F35" i="37"/>
  <c r="F89" i="37"/>
  <c r="C440" i="30" a="1"/>
  <c r="C440" i="6" a="1"/>
  <c r="L46" i="58"/>
  <c r="H46" i="58"/>
  <c r="K46" i="58"/>
  <c r="D46" i="58"/>
  <c r="E46" i="58"/>
  <c r="I46" i="58"/>
  <c r="F46" i="58"/>
  <c r="J46" i="58"/>
  <c r="G46" i="58"/>
  <c r="B90" i="35"/>
  <c r="F83" i="37"/>
  <c r="F90" i="7"/>
  <c r="C141" i="40"/>
  <c r="C161" i="4"/>
  <c r="L48" i="60"/>
  <c r="J54" i="60"/>
  <c r="B363" i="39"/>
  <c r="D68" i="38"/>
  <c r="K69" i="38"/>
  <c r="G70" i="38"/>
  <c r="K73" i="38"/>
  <c r="H70" i="38"/>
  <c r="E73" i="38"/>
  <c r="I72" i="38"/>
  <c r="E67" i="38"/>
  <c r="F73" i="38"/>
  <c r="D73" i="38"/>
  <c r="C67" i="38"/>
  <c r="G73" i="38"/>
  <c r="D70" i="38"/>
  <c r="D72" i="38"/>
  <c r="J67" i="38"/>
  <c r="G74" i="38"/>
  <c r="B71" i="38"/>
  <c r="E68" i="38"/>
  <c r="H74" i="38"/>
  <c r="B74" i="38"/>
  <c r="I249" i="38"/>
  <c r="H245" i="38"/>
  <c r="F249" i="38"/>
  <c r="G249" i="38"/>
  <c r="B252" i="38"/>
  <c r="F245" i="38"/>
  <c r="F250" i="38"/>
  <c r="G245" i="38"/>
  <c r="I245" i="38"/>
  <c r="I248" i="38"/>
  <c r="E249" i="38"/>
  <c r="C246" i="38"/>
  <c r="E252" i="38"/>
  <c r="E247" i="38"/>
  <c r="I251" i="38"/>
  <c r="K245" i="38"/>
  <c r="K250" i="38"/>
  <c r="E248" i="38"/>
  <c r="I246" i="38"/>
  <c r="D249" i="38"/>
  <c r="E245" i="38"/>
  <c r="C252" i="38"/>
  <c r="I250" i="38"/>
  <c r="D245" i="38"/>
  <c r="C245" i="38"/>
  <c r="H246" i="38"/>
  <c r="K247" i="38"/>
  <c r="E250" i="38"/>
  <c r="B246" i="38"/>
  <c r="J251" i="38"/>
  <c r="G246" i="38"/>
  <c r="J248" i="38"/>
  <c r="B251" i="38"/>
  <c r="D247" i="38"/>
  <c r="K248" i="38"/>
  <c r="E251" i="38"/>
  <c r="G247" i="38"/>
  <c r="H248" i="38"/>
  <c r="H247" i="38"/>
  <c r="F246" i="38"/>
  <c r="H252" i="38"/>
  <c r="B249" i="38"/>
  <c r="J245" i="38"/>
  <c r="G251" i="38"/>
  <c r="F252" i="38"/>
  <c r="B245" i="38"/>
  <c r="B247" i="38"/>
  <c r="C247" i="38"/>
  <c r="I252" i="38"/>
  <c r="J247" i="38"/>
  <c r="G250" i="38"/>
  <c r="C248" i="38"/>
  <c r="C250" i="38"/>
  <c r="J250" i="38"/>
  <c r="J246" i="38"/>
  <c r="C249" i="38"/>
  <c r="E246" i="38"/>
  <c r="D246" i="38"/>
  <c r="H250" i="38"/>
  <c r="F248" i="38"/>
  <c r="K251" i="38"/>
  <c r="K246" i="38"/>
  <c r="J252" i="38"/>
  <c r="H249" i="38"/>
  <c r="H251" i="38"/>
  <c r="D252" i="38"/>
  <c r="F251" i="38"/>
  <c r="G248" i="38"/>
  <c r="J249" i="38"/>
  <c r="B248" i="38"/>
  <c r="K252" i="38"/>
  <c r="K249" i="38"/>
  <c r="D250" i="38"/>
  <c r="F247" i="38"/>
  <c r="D248" i="38"/>
  <c r="B250" i="38"/>
  <c r="D251" i="38"/>
  <c r="G252" i="38"/>
  <c r="C251" i="38"/>
  <c r="I247" i="38"/>
  <c r="L51" i="60"/>
  <c r="L54" i="60"/>
  <c r="C34" i="37"/>
  <c r="J34" i="37"/>
  <c r="I34" i="37"/>
  <c r="E34" i="37"/>
  <c r="E40" i="7"/>
  <c r="D87" i="37"/>
  <c r="F87" i="37"/>
  <c r="H71" i="8"/>
  <c r="D73" i="8"/>
  <c r="J74" i="8"/>
  <c r="I69" i="8"/>
  <c r="H68" i="8"/>
  <c r="F69" i="8"/>
  <c r="B72" i="8"/>
  <c r="F71" i="8"/>
  <c r="K72" i="8"/>
  <c r="E69" i="8"/>
  <c r="G70" i="8"/>
  <c r="C67" i="8"/>
  <c r="G67" i="8"/>
  <c r="F73" i="8"/>
  <c r="E74" i="8"/>
  <c r="E70" i="8"/>
  <c r="K73" i="8"/>
  <c r="H72" i="8"/>
  <c r="H70" i="8"/>
  <c r="I68" i="8"/>
  <c r="E89" i="37"/>
  <c r="H137" i="29"/>
  <c r="G140" i="29"/>
  <c r="J136" i="29"/>
  <c r="M139" i="29"/>
  <c r="D140" i="29"/>
  <c r="E140" i="29"/>
  <c r="L136" i="29"/>
  <c r="L134" i="29"/>
  <c r="K139" i="29"/>
  <c r="J135" i="29"/>
  <c r="K137" i="29"/>
  <c r="D137" i="29"/>
  <c r="I133" i="29"/>
  <c r="I134" i="29"/>
  <c r="E138" i="29"/>
  <c r="H139" i="29"/>
  <c r="F134" i="29"/>
  <c r="J138" i="29"/>
  <c r="D139" i="29"/>
  <c r="E133" i="29"/>
  <c r="D133" i="29"/>
  <c r="D136" i="29"/>
  <c r="K135" i="29"/>
  <c r="K134" i="29"/>
  <c r="E135" i="29"/>
  <c r="I139" i="29"/>
  <c r="M133" i="29"/>
  <c r="G136" i="29"/>
  <c r="K140" i="29"/>
  <c r="J137" i="29"/>
  <c r="F133" i="29"/>
  <c r="L140" i="29"/>
  <c r="F139" i="29"/>
  <c r="H136" i="29"/>
  <c r="M136" i="29"/>
  <c r="I137" i="29"/>
  <c r="E137" i="29"/>
  <c r="F135" i="29"/>
  <c r="K133" i="29"/>
  <c r="L135" i="29"/>
  <c r="F138" i="29"/>
  <c r="H138" i="29"/>
  <c r="L138" i="29"/>
  <c r="K138" i="29"/>
  <c r="I136" i="29"/>
  <c r="M138" i="29"/>
  <c r="L133" i="29"/>
  <c r="I138" i="29"/>
  <c r="G139" i="29"/>
  <c r="D134" i="29"/>
  <c r="G134" i="29"/>
  <c r="K136" i="29"/>
  <c r="L137" i="29"/>
  <c r="J140" i="29"/>
  <c r="F136" i="29"/>
  <c r="D138" i="29"/>
  <c r="D135" i="29"/>
  <c r="G138" i="29"/>
  <c r="H134" i="29"/>
  <c r="M140" i="29"/>
  <c r="J139" i="29"/>
  <c r="H135" i="29"/>
  <c r="H140" i="29"/>
  <c r="I140" i="29"/>
  <c r="E136" i="29"/>
  <c r="L139" i="29"/>
  <c r="F137" i="29"/>
  <c r="I135" i="29"/>
  <c r="E134" i="29"/>
  <c r="G137" i="29"/>
  <c r="M134" i="29"/>
  <c r="G133" i="29"/>
  <c r="G135" i="29"/>
  <c r="M137" i="29"/>
  <c r="M135" i="29"/>
  <c r="H133" i="29"/>
  <c r="E139" i="29"/>
  <c r="J134" i="29"/>
  <c r="F140" i="29"/>
  <c r="J133" i="29"/>
  <c r="C49" i="60"/>
  <c r="C61" i="38"/>
  <c r="E61" i="38"/>
  <c r="C63" i="38"/>
  <c r="G65" i="38"/>
  <c r="I65" i="38"/>
  <c r="J61" i="38"/>
  <c r="I59" i="38"/>
  <c r="H60" i="38"/>
  <c r="G59" i="38"/>
  <c r="E65" i="38"/>
  <c r="K58" i="38"/>
  <c r="H62" i="38"/>
  <c r="C59" i="38"/>
  <c r="B60" i="38"/>
  <c r="E59" i="38"/>
  <c r="B59" i="38"/>
  <c r="F64" i="38"/>
  <c r="K59" i="38"/>
  <c r="H63" i="38"/>
  <c r="I58" i="38"/>
  <c r="F59" i="38"/>
  <c r="J58" i="38"/>
  <c r="E62" i="38"/>
  <c r="H59" i="38"/>
  <c r="H58" i="38"/>
  <c r="K60" i="38"/>
  <c r="F63" i="38"/>
  <c r="I60" i="38"/>
  <c r="F58" i="38"/>
  <c r="B62" i="38"/>
  <c r="D58" i="38"/>
  <c r="G63" i="38"/>
  <c r="E63" i="38"/>
  <c r="D62" i="38"/>
  <c r="J59" i="38"/>
  <c r="B61" i="38"/>
  <c r="B58" i="38"/>
  <c r="E60" i="38"/>
  <c r="J62" i="38"/>
  <c r="I63" i="38"/>
  <c r="G60" i="38"/>
  <c r="C62" i="38"/>
  <c r="I61" i="38"/>
  <c r="K63" i="38"/>
  <c r="J63" i="38"/>
  <c r="F61" i="38"/>
  <c r="B63" i="38"/>
  <c r="C64" i="38"/>
  <c r="G58" i="38"/>
  <c r="G62" i="38"/>
  <c r="J60" i="38"/>
  <c r="F62" i="38"/>
  <c r="K62" i="38"/>
  <c r="I62" i="38"/>
  <c r="K61" i="38"/>
  <c r="J65" i="38"/>
  <c r="F65" i="38"/>
  <c r="D65" i="38"/>
  <c r="E64" i="38"/>
  <c r="C60" i="38"/>
  <c r="G61" i="38"/>
  <c r="H65" i="38"/>
  <c r="D63" i="38"/>
  <c r="K65" i="38"/>
  <c r="D64" i="38"/>
  <c r="C58" i="38"/>
  <c r="H64" i="38"/>
  <c r="B64" i="38"/>
  <c r="D59" i="38"/>
  <c r="C65" i="38"/>
  <c r="B65" i="38"/>
  <c r="K64" i="38"/>
  <c r="D61" i="38"/>
  <c r="J64" i="38"/>
  <c r="I64" i="38"/>
  <c r="D60" i="38"/>
  <c r="F60" i="38"/>
  <c r="G64" i="38"/>
  <c r="H61" i="38"/>
  <c r="E58" i="38"/>
  <c r="D54" i="60"/>
  <c r="D52" i="38"/>
  <c r="I49" i="38"/>
  <c r="F49" i="38"/>
  <c r="D54" i="38"/>
  <c r="K55" i="38"/>
  <c r="I52" i="38"/>
  <c r="J50" i="38"/>
  <c r="G55" i="38"/>
  <c r="K53" i="38"/>
  <c r="C54" i="38"/>
  <c r="F55" i="38"/>
  <c r="I50" i="38"/>
  <c r="B50" i="38"/>
  <c r="D51" i="38"/>
  <c r="E56" i="38"/>
  <c r="D56" i="38"/>
  <c r="H51" i="38"/>
  <c r="J53" i="38"/>
  <c r="E52" i="38"/>
  <c r="I55" i="38"/>
  <c r="K52" i="38"/>
  <c r="D53" i="38"/>
  <c r="H54" i="38"/>
  <c r="F51" i="38"/>
  <c r="K50" i="38"/>
  <c r="G53" i="38"/>
  <c r="F52" i="38"/>
  <c r="C52" i="38"/>
  <c r="F56" i="38"/>
  <c r="C50" i="38"/>
  <c r="E50" i="38"/>
  <c r="K51" i="38"/>
  <c r="B54" i="38"/>
  <c r="B52" i="38"/>
  <c r="C49" i="38"/>
  <c r="I51" i="38"/>
  <c r="E53" i="38"/>
  <c r="C53" i="38"/>
  <c r="J54" i="38"/>
  <c r="H50" i="38"/>
  <c r="K54" i="38"/>
  <c r="J52" i="38"/>
  <c r="G50" i="38"/>
  <c r="B55" i="38"/>
  <c r="I54" i="38"/>
  <c r="D49" i="38"/>
  <c r="B56" i="38"/>
  <c r="J56" i="38"/>
  <c r="C56" i="38"/>
  <c r="H56" i="38"/>
  <c r="F50" i="38"/>
  <c r="J55" i="38"/>
  <c r="K49" i="38"/>
  <c r="J49" i="38"/>
  <c r="I56" i="38"/>
  <c r="C55" i="38"/>
  <c r="G52" i="38"/>
  <c r="E51" i="38"/>
  <c r="G51" i="38"/>
  <c r="K56" i="38"/>
  <c r="B53" i="38"/>
  <c r="G56" i="38"/>
  <c r="G54" i="38"/>
  <c r="B51" i="38"/>
  <c r="H49" i="38"/>
  <c r="C51" i="38"/>
  <c r="D50" i="38"/>
  <c r="J51" i="38"/>
  <c r="G49" i="38"/>
  <c r="H53" i="38"/>
  <c r="E54" i="38"/>
  <c r="B49" i="38"/>
  <c r="E49" i="38"/>
  <c r="H52" i="38"/>
  <c r="F54" i="38"/>
  <c r="D55" i="38"/>
  <c r="I53" i="38"/>
  <c r="H55" i="38"/>
  <c r="E55" i="38"/>
  <c r="F53" i="38"/>
  <c r="F50" i="60"/>
  <c r="D34" i="37"/>
  <c r="D40" i="7"/>
  <c r="K34" i="37"/>
  <c r="C75" i="57"/>
  <c r="F60" i="57"/>
  <c r="J270" i="39" l="1"/>
  <c r="J95" i="37"/>
  <c r="J36" i="37"/>
  <c r="H40" i="35"/>
  <c r="J40" i="7"/>
  <c r="H88" i="37"/>
  <c r="F265" i="39"/>
  <c r="C268" i="39"/>
  <c r="D269" i="39"/>
  <c r="F72" i="8"/>
  <c r="C74" i="8"/>
  <c r="B70" i="8"/>
  <c r="B70" i="39" s="1"/>
  <c r="K70" i="8"/>
  <c r="E67" i="8"/>
  <c r="E67" i="39" s="1"/>
  <c r="B74" i="8"/>
  <c r="J67" i="8"/>
  <c r="C103" i="8" s="1" a="1"/>
  <c r="B73" i="8"/>
  <c r="E72" i="8"/>
  <c r="J73" i="8"/>
  <c r="B69" i="8"/>
  <c r="J71" i="8"/>
  <c r="D67" i="8"/>
  <c r="E73" i="8"/>
  <c r="B68" i="8"/>
  <c r="D68" i="8"/>
  <c r="D74" i="8"/>
  <c r="C72" i="8"/>
  <c r="J72" i="8"/>
  <c r="E71" i="8"/>
  <c r="B83" i="37"/>
  <c r="F267" i="39"/>
  <c r="D71" i="8"/>
  <c r="D71" i="39" s="1"/>
  <c r="I72" i="8"/>
  <c r="I72" i="39" s="1"/>
  <c r="B67" i="8"/>
  <c r="H73" i="8"/>
  <c r="F70" i="8"/>
  <c r="E68" i="8"/>
  <c r="E68" i="39" s="1"/>
  <c r="D70" i="8"/>
  <c r="D70" i="39" s="1"/>
  <c r="F67" i="8"/>
  <c r="F68" i="8"/>
  <c r="K67" i="8"/>
  <c r="D69" i="8"/>
  <c r="C68" i="8"/>
  <c r="D72" i="8"/>
  <c r="D72" i="39" s="1"/>
  <c r="F74" i="8"/>
  <c r="G71" i="8"/>
  <c r="G69" i="8"/>
  <c r="I71" i="8"/>
  <c r="J68" i="8"/>
  <c r="K68" i="8"/>
  <c r="H67" i="8"/>
  <c r="H69" i="8"/>
  <c r="J70" i="8"/>
  <c r="I67" i="8"/>
  <c r="G72" i="8"/>
  <c r="G73" i="8"/>
  <c r="G73" i="39" s="1"/>
  <c r="C71" i="8"/>
  <c r="G74" i="8"/>
  <c r="C73" i="8"/>
  <c r="I70" i="8"/>
  <c r="I73" i="8"/>
  <c r="H74" i="8"/>
  <c r="I74" i="8"/>
  <c r="C70" i="8"/>
  <c r="C70" i="39" s="1"/>
  <c r="B71" i="8"/>
  <c r="K69" i="8"/>
  <c r="K69" i="39" s="1"/>
  <c r="C69" i="8"/>
  <c r="G68" i="8"/>
  <c r="J69" i="8"/>
  <c r="K71" i="8"/>
  <c r="I98" i="37"/>
  <c r="J268" i="39"/>
  <c r="J266" i="39"/>
  <c r="K266" i="39"/>
  <c r="J90" i="7"/>
  <c r="J90" i="37" s="1"/>
  <c r="F268" i="39"/>
  <c r="G67" i="38"/>
  <c r="D67" i="38"/>
  <c r="K72" i="38"/>
  <c r="K72" i="39" s="1"/>
  <c r="B68" i="38"/>
  <c r="B68" i="39" s="1"/>
  <c r="I69" i="38"/>
  <c r="I69" i="39" s="1"/>
  <c r="D69" i="38"/>
  <c r="C69" i="38"/>
  <c r="C69" i="39" s="1"/>
  <c r="J74" i="38"/>
  <c r="H67" i="38"/>
  <c r="H67" i="39" s="1"/>
  <c r="C70" i="38"/>
  <c r="B69" i="38"/>
  <c r="F67" i="38"/>
  <c r="F67" i="39" s="1"/>
  <c r="C74" i="38"/>
  <c r="C74" i="39" s="1"/>
  <c r="J70" i="38"/>
  <c r="J70" i="39" s="1"/>
  <c r="D74" i="38"/>
  <c r="H72" i="38"/>
  <c r="I71" i="38"/>
  <c r="J71" i="38"/>
  <c r="J71" i="39" s="1"/>
  <c r="H68" i="38"/>
  <c r="H68" i="39" s="1"/>
  <c r="K70" i="38"/>
  <c r="K70" i="39" s="1"/>
  <c r="H69" i="38"/>
  <c r="I100" i="37"/>
  <c r="G257" i="38"/>
  <c r="H261" i="38"/>
  <c r="C261" i="38"/>
  <c r="C258" i="38"/>
  <c r="H256" i="38"/>
  <c r="G256" i="38"/>
  <c r="D259" i="38"/>
  <c r="F260" i="38"/>
  <c r="C254" i="38"/>
  <c r="H254" i="38"/>
  <c r="G255" i="38"/>
  <c r="D258" i="38"/>
  <c r="K257" i="38"/>
  <c r="J259" i="38"/>
  <c r="G259" i="38"/>
  <c r="F256" i="38"/>
  <c r="B255" i="38"/>
  <c r="J257" i="38"/>
  <c r="I255" i="38"/>
  <c r="I260" i="38"/>
  <c r="D270" i="39"/>
  <c r="D264" i="39"/>
  <c r="I263" i="39"/>
  <c r="C263" i="39"/>
  <c r="B266" i="39"/>
  <c r="G266" i="39"/>
  <c r="G270" i="39"/>
  <c r="F69" i="38"/>
  <c r="F69" i="39" s="1"/>
  <c r="F68" i="38"/>
  <c r="C73" i="38"/>
  <c r="C73" i="39" s="1"/>
  <c r="I73" i="38"/>
  <c r="I73" i="39" s="1"/>
  <c r="I74" i="38"/>
  <c r="B72" i="38"/>
  <c r="E70" i="38"/>
  <c r="E70" i="39" s="1"/>
  <c r="D71" i="38"/>
  <c r="J73" i="38"/>
  <c r="E71" i="38"/>
  <c r="J69" i="38"/>
  <c r="J69" i="39" s="1"/>
  <c r="I68" i="38"/>
  <c r="I68" i="39" s="1"/>
  <c r="H73" i="38"/>
  <c r="E74" i="38"/>
  <c r="E74" i="39" s="1"/>
  <c r="G69" i="38"/>
  <c r="G68" i="38"/>
  <c r="K71" i="38"/>
  <c r="E72" i="38"/>
  <c r="I70" i="38"/>
  <c r="K68" i="38"/>
  <c r="B70" i="38"/>
  <c r="F255" i="38"/>
  <c r="E261" i="38"/>
  <c r="H258" i="38"/>
  <c r="D255" i="38"/>
  <c r="I254" i="38"/>
  <c r="J256" i="38"/>
  <c r="K261" i="38"/>
  <c r="G254" i="38"/>
  <c r="I261" i="38"/>
  <c r="K256" i="38"/>
  <c r="G260" i="38"/>
  <c r="G261" i="38"/>
  <c r="K258" i="38"/>
  <c r="H257" i="38"/>
  <c r="C257" i="38"/>
  <c r="F258" i="38"/>
  <c r="E256" i="38"/>
  <c r="J261" i="38"/>
  <c r="D260" i="38"/>
  <c r="E259" i="38"/>
  <c r="D36" i="37"/>
  <c r="G88" i="37"/>
  <c r="F270" i="39"/>
  <c r="F264" i="39"/>
  <c r="H269" i="39"/>
  <c r="J88" i="37"/>
  <c r="H263" i="39"/>
  <c r="H264" i="39"/>
  <c r="G265" i="39"/>
  <c r="C265" i="39"/>
  <c r="H73" i="39"/>
  <c r="I71" i="39"/>
  <c r="C72" i="38"/>
  <c r="F70" i="38"/>
  <c r="F74" i="38"/>
  <c r="F74" i="39" s="1"/>
  <c r="B67" i="38"/>
  <c r="H71" i="38"/>
  <c r="H71" i="39" s="1"/>
  <c r="K67" i="38"/>
  <c r="K67" i="39" s="1"/>
  <c r="B73" i="38"/>
  <c r="B73" i="39" s="1"/>
  <c r="G71" i="38"/>
  <c r="C71" i="38"/>
  <c r="C71" i="39" s="1"/>
  <c r="I67" i="38"/>
  <c r="J72" i="38"/>
  <c r="J68" i="38"/>
  <c r="J68" i="39" s="1"/>
  <c r="K74" i="38"/>
  <c r="K74" i="39" s="1"/>
  <c r="G72" i="38"/>
  <c r="F71" i="38"/>
  <c r="F71" i="39" s="1"/>
  <c r="E69" i="38"/>
  <c r="F72" i="38"/>
  <c r="F72" i="39" s="1"/>
  <c r="B387" i="39"/>
  <c r="J258" i="38"/>
  <c r="B260" i="38"/>
  <c r="E257" i="38"/>
  <c r="C255" i="38"/>
  <c r="D254" i="38"/>
  <c r="E254" i="38"/>
  <c r="I257" i="38"/>
  <c r="D257" i="38"/>
  <c r="J260" i="38"/>
  <c r="D256" i="38"/>
  <c r="B257" i="38"/>
  <c r="E258" i="38"/>
  <c r="I258" i="38"/>
  <c r="F261" i="38"/>
  <c r="B256" i="38"/>
  <c r="E260" i="38"/>
  <c r="B258" i="38"/>
  <c r="F254" i="38"/>
  <c r="J255" i="38"/>
  <c r="G39" i="37"/>
  <c r="K36" i="37"/>
  <c r="D265" i="39"/>
  <c r="G33" i="37"/>
  <c r="G37" i="37"/>
  <c r="H36" i="37"/>
  <c r="J83" i="37"/>
  <c r="C68" i="39"/>
  <c r="D40" i="35"/>
  <c r="D40" i="37" s="1"/>
  <c r="I33" i="37"/>
  <c r="J40" i="35"/>
  <c r="J40" i="37" s="1"/>
  <c r="E270" i="39"/>
  <c r="B39" i="37"/>
  <c r="B40" i="35"/>
  <c r="K268" i="39"/>
  <c r="B264" i="39"/>
  <c r="G267" i="39"/>
  <c r="I60" i="35"/>
  <c r="H37" i="37"/>
  <c r="B102" i="35" a="1"/>
  <c r="G109" i="35" s="1"/>
  <c r="D88" i="37"/>
  <c r="J90" i="35"/>
  <c r="I88" i="37"/>
  <c r="J278" i="8"/>
  <c r="H274" i="8"/>
  <c r="F273" i="8"/>
  <c r="F276" i="8"/>
  <c r="I277" i="8"/>
  <c r="D276" i="8"/>
  <c r="K279" i="8"/>
  <c r="E277" i="8"/>
  <c r="F277" i="8"/>
  <c r="J277" i="8"/>
  <c r="C275" i="8"/>
  <c r="B275" i="8"/>
  <c r="J272" i="8"/>
  <c r="G277" i="8"/>
  <c r="H275" i="8"/>
  <c r="B272" i="8"/>
  <c r="H278" i="8"/>
  <c r="F274" i="8"/>
  <c r="E275" i="8"/>
  <c r="I279" i="8"/>
  <c r="H272" i="8"/>
  <c r="B274" i="8"/>
  <c r="D278" i="8"/>
  <c r="I274" i="8"/>
  <c r="J275" i="8"/>
  <c r="K275" i="8"/>
  <c r="J276" i="8"/>
  <c r="C273" i="8"/>
  <c r="F278" i="8"/>
  <c r="G279" i="8"/>
  <c r="J279" i="8"/>
  <c r="C274" i="8"/>
  <c r="C279" i="8"/>
  <c r="K274" i="8"/>
  <c r="G278" i="8"/>
  <c r="E278" i="8"/>
  <c r="G274" i="8"/>
  <c r="B277" i="8"/>
  <c r="C277" i="8"/>
  <c r="I273" i="8"/>
  <c r="F272" i="8"/>
  <c r="C278" i="8"/>
  <c r="F279" i="8"/>
  <c r="K278" i="8"/>
  <c r="E274" i="8"/>
  <c r="B279" i="8"/>
  <c r="I278" i="8"/>
  <c r="K273" i="8"/>
  <c r="H276" i="8"/>
  <c r="K276" i="8"/>
  <c r="G272" i="8"/>
  <c r="K272" i="8"/>
  <c r="I276" i="8"/>
  <c r="G273" i="8"/>
  <c r="F275" i="8"/>
  <c r="G276" i="8"/>
  <c r="I272" i="8"/>
  <c r="J274" i="8"/>
  <c r="K277" i="8"/>
  <c r="E272" i="8"/>
  <c r="D275" i="8"/>
  <c r="E279" i="8"/>
  <c r="B276" i="8"/>
  <c r="E273" i="8"/>
  <c r="B278" i="8"/>
  <c r="D274" i="8"/>
  <c r="H279" i="8"/>
  <c r="C272" i="8"/>
  <c r="H277" i="8"/>
  <c r="E276" i="8"/>
  <c r="J273" i="8"/>
  <c r="C276" i="8"/>
  <c r="G275" i="8"/>
  <c r="B273" i="8"/>
  <c r="I275" i="8"/>
  <c r="D273" i="8"/>
  <c r="D279" i="8"/>
  <c r="D277" i="8"/>
  <c r="H273" i="8"/>
  <c r="D272" i="8"/>
  <c r="C90" i="7"/>
  <c r="C90" i="37" s="1"/>
  <c r="I83" i="37"/>
  <c r="E274" i="38"/>
  <c r="I276" i="38"/>
  <c r="J272" i="38"/>
  <c r="J276" i="38"/>
  <c r="K277" i="38"/>
  <c r="F272" i="38"/>
  <c r="C278" i="38"/>
  <c r="I278" i="38"/>
  <c r="E277" i="38"/>
  <c r="G275" i="38"/>
  <c r="E278" i="38"/>
  <c r="C273" i="38"/>
  <c r="B272" i="38"/>
  <c r="I273" i="38"/>
  <c r="H275" i="38"/>
  <c r="B273" i="38"/>
  <c r="I275" i="38"/>
  <c r="C276" i="38"/>
  <c r="H272" i="38"/>
  <c r="K272" i="38"/>
  <c r="D272" i="38"/>
  <c r="D274" i="38"/>
  <c r="E275" i="38"/>
  <c r="F274" i="38"/>
  <c r="E276" i="38"/>
  <c r="K276" i="38"/>
  <c r="C272" i="38"/>
  <c r="F273" i="38"/>
  <c r="D273" i="38"/>
  <c r="J273" i="38"/>
  <c r="F276" i="38"/>
  <c r="H276" i="38"/>
  <c r="G274" i="38"/>
  <c r="I279" i="38"/>
  <c r="G278" i="38"/>
  <c r="D277" i="38"/>
  <c r="H279" i="38"/>
  <c r="C274" i="38"/>
  <c r="F279" i="38"/>
  <c r="F275" i="38"/>
  <c r="B277" i="38"/>
  <c r="I277" i="38"/>
  <c r="B278" i="38"/>
  <c r="G276" i="38"/>
  <c r="B274" i="38"/>
  <c r="G277" i="38"/>
  <c r="C275" i="38"/>
  <c r="J277" i="38"/>
  <c r="B276" i="38"/>
  <c r="I272" i="38"/>
  <c r="H277" i="38"/>
  <c r="D278" i="38"/>
  <c r="K275" i="38"/>
  <c r="H274" i="38"/>
  <c r="H273" i="38"/>
  <c r="B279" i="38"/>
  <c r="D275" i="38"/>
  <c r="D279" i="38"/>
  <c r="F277" i="38"/>
  <c r="D276" i="38"/>
  <c r="J274" i="38"/>
  <c r="J275" i="38"/>
  <c r="I274" i="38"/>
  <c r="G279" i="38"/>
  <c r="H278" i="38"/>
  <c r="G272" i="38"/>
  <c r="K273" i="38"/>
  <c r="B275" i="38"/>
  <c r="F278" i="38"/>
  <c r="K279" i="38"/>
  <c r="G273" i="38"/>
  <c r="C277" i="38"/>
  <c r="E279" i="38"/>
  <c r="J279" i="38"/>
  <c r="J278" i="38"/>
  <c r="K278" i="38"/>
  <c r="C279" i="38"/>
  <c r="E273" i="38"/>
  <c r="E272" i="38"/>
  <c r="K274" i="38"/>
  <c r="H265" i="39"/>
  <c r="E265" i="39"/>
  <c r="F90" i="35"/>
  <c r="F63" i="8"/>
  <c r="G61" i="8"/>
  <c r="G61" i="39" s="1"/>
  <c r="F64" i="8"/>
  <c r="F64" i="39" s="1"/>
  <c r="I60" i="8"/>
  <c r="I60" i="39" s="1"/>
  <c r="I62" i="8"/>
  <c r="G65" i="8"/>
  <c r="I65" i="8"/>
  <c r="I65" i="39" s="1"/>
  <c r="K64" i="8"/>
  <c r="G64" i="8"/>
  <c r="F60" i="8"/>
  <c r="F60" i="39" s="1"/>
  <c r="H62" i="8"/>
  <c r="H62" i="39" s="1"/>
  <c r="D61" i="8"/>
  <c r="D61" i="39" s="1"/>
  <c r="G62" i="8"/>
  <c r="J61" i="8"/>
  <c r="J61" i="39" s="1"/>
  <c r="D60" i="8"/>
  <c r="D60" i="39" s="1"/>
  <c r="B60" i="8"/>
  <c r="B60" i="39" s="1"/>
  <c r="H60" i="8"/>
  <c r="F65" i="8"/>
  <c r="F65" i="39" s="1"/>
  <c r="J60" i="8"/>
  <c r="J60" i="39" s="1"/>
  <c r="B58" i="8"/>
  <c r="B58" i="39" s="1"/>
  <c r="H90" i="7"/>
  <c r="D90" i="7"/>
  <c r="D90" i="37" s="1"/>
  <c r="J100" i="37"/>
  <c r="C38" i="37"/>
  <c r="C40" i="35"/>
  <c r="D266" i="39"/>
  <c r="F269" i="39"/>
  <c r="B265" i="39"/>
  <c r="I267" i="39"/>
  <c r="H268" i="39"/>
  <c r="J267" i="39"/>
  <c r="K265" i="39"/>
  <c r="C270" i="39"/>
  <c r="I268" i="39"/>
  <c r="I40" i="7"/>
  <c r="I40" i="35"/>
  <c r="F40" i="7"/>
  <c r="B268" i="39"/>
  <c r="D268" i="39"/>
  <c r="H70" i="39"/>
  <c r="K73" i="39"/>
  <c r="B72" i="39"/>
  <c r="I90" i="35"/>
  <c r="I90" i="37" s="1"/>
  <c r="B61" i="8"/>
  <c r="B61" i="39" s="1"/>
  <c r="B65" i="8"/>
  <c r="J63" i="8"/>
  <c r="J63" i="39" s="1"/>
  <c r="F58" i="8"/>
  <c r="K65" i="8"/>
  <c r="H61" i="8"/>
  <c r="F61" i="8"/>
  <c r="F61" i="39" s="1"/>
  <c r="H64" i="8"/>
  <c r="H64" i="39" s="1"/>
  <c r="H58" i="8"/>
  <c r="H58" i="39" s="1"/>
  <c r="F62" i="8"/>
  <c r="F59" i="8"/>
  <c r="F59" i="39" s="1"/>
  <c r="I64" i="8"/>
  <c r="I64" i="39" s="1"/>
  <c r="I59" i="8"/>
  <c r="E64" i="8"/>
  <c r="G59" i="8"/>
  <c r="G59" i="39" s="1"/>
  <c r="I63" i="8"/>
  <c r="I63" i="39" s="1"/>
  <c r="J58" i="8"/>
  <c r="J58" i="39" s="1"/>
  <c r="J64" i="8"/>
  <c r="G58" i="8"/>
  <c r="G58" i="39" s="1"/>
  <c r="E90" i="7"/>
  <c r="E90" i="37" s="1"/>
  <c r="B102" i="7" a="1"/>
  <c r="D106" i="7" s="1"/>
  <c r="B57" i="37"/>
  <c r="G100" i="37"/>
  <c r="K40" i="7"/>
  <c r="K40" i="37" s="1"/>
  <c r="F40" i="35"/>
  <c r="G36" i="37"/>
  <c r="F39" i="37"/>
  <c r="J33" i="37"/>
  <c r="B36" i="37"/>
  <c r="H33" i="37"/>
  <c r="E266" i="39"/>
  <c r="G263" i="39"/>
  <c r="J264" i="39"/>
  <c r="K269" i="39"/>
  <c r="J269" i="39"/>
  <c r="F38" i="37"/>
  <c r="E56" i="60"/>
  <c r="D54" i="37"/>
  <c r="K33" i="37"/>
  <c r="B383" i="39"/>
  <c r="C37" i="37"/>
  <c r="G40" i="35"/>
  <c r="G40" i="37" s="1"/>
  <c r="J54" i="37"/>
  <c r="C40" i="7"/>
  <c r="G40" i="7"/>
  <c r="I54" i="37"/>
  <c r="D56" i="37"/>
  <c r="K57" i="37"/>
  <c r="F36" i="37"/>
  <c r="F58" i="37"/>
  <c r="B55" i="37"/>
  <c r="B37" i="37"/>
  <c r="D33" i="37"/>
  <c r="K141" i="29" a="1"/>
  <c r="K141" i="29" s="1"/>
  <c r="H72" i="39"/>
  <c r="G67" i="39"/>
  <c r="E69" i="39"/>
  <c r="J74" i="39"/>
  <c r="E40" i="37"/>
  <c r="H40" i="7"/>
  <c r="B40" i="7"/>
  <c r="E60" i="35"/>
  <c r="B60" i="35"/>
  <c r="D55" i="37"/>
  <c r="G38" i="37"/>
  <c r="E36" i="37"/>
  <c r="C36" i="37"/>
  <c r="J39" i="37"/>
  <c r="C39" i="37"/>
  <c r="J72" i="39"/>
  <c r="C54" i="37"/>
  <c r="E56" i="37"/>
  <c r="B56" i="37"/>
  <c r="D100" i="37"/>
  <c r="I70" i="35"/>
  <c r="J57" i="37"/>
  <c r="D53" i="37"/>
  <c r="H60" i="35"/>
  <c r="K53" i="37"/>
  <c r="J59" i="37"/>
  <c r="K59" i="37"/>
  <c r="E59" i="37"/>
  <c r="B54" i="37"/>
  <c r="E54" i="37"/>
  <c r="D57" i="37"/>
  <c r="F60" i="35"/>
  <c r="K60" i="35"/>
  <c r="B355" i="39"/>
  <c r="G58" i="37"/>
  <c r="C72" i="39"/>
  <c r="B381" i="39"/>
  <c r="C56" i="37"/>
  <c r="F57" i="37"/>
  <c r="J60" i="35"/>
  <c r="E53" i="37"/>
  <c r="D60" i="35"/>
  <c r="C55" i="37"/>
  <c r="L141" i="29" a="1"/>
  <c r="L141" i="29" s="1"/>
  <c r="F73" i="39"/>
  <c r="G70" i="39"/>
  <c r="D73" i="39"/>
  <c r="G247" i="39"/>
  <c r="E246" i="39"/>
  <c r="D250" i="39"/>
  <c r="K251" i="39"/>
  <c r="F252" i="39"/>
  <c r="B359" i="39"/>
  <c r="J56" i="37"/>
  <c r="I56" i="37"/>
  <c r="F79" i="8"/>
  <c r="J83" i="8"/>
  <c r="E80" i="8"/>
  <c r="E81" i="8"/>
  <c r="K76" i="8"/>
  <c r="G81" i="8"/>
  <c r="H83" i="8"/>
  <c r="I78" i="8"/>
  <c r="E82" i="8"/>
  <c r="J82" i="8"/>
  <c r="I76" i="8"/>
  <c r="G82" i="8"/>
  <c r="D76" i="8"/>
  <c r="B77" i="8"/>
  <c r="C78" i="8"/>
  <c r="H76" i="8"/>
  <c r="B78" i="8"/>
  <c r="J77" i="8"/>
  <c r="F82" i="8"/>
  <c r="K79" i="8"/>
  <c r="H77" i="8"/>
  <c r="J76" i="8"/>
  <c r="C82" i="8"/>
  <c r="G80" i="8"/>
  <c r="K80" i="8"/>
  <c r="I79" i="8"/>
  <c r="C81" i="8"/>
  <c r="F81" i="8"/>
  <c r="J78" i="8"/>
  <c r="I83" i="8"/>
  <c r="D82" i="8"/>
  <c r="B80" i="8"/>
  <c r="F83" i="8"/>
  <c r="D79" i="8"/>
  <c r="B81" i="8"/>
  <c r="F80" i="8"/>
  <c r="H79" i="8"/>
  <c r="K82" i="8"/>
  <c r="G78" i="8"/>
  <c r="B79" i="8"/>
  <c r="D78" i="8"/>
  <c r="F78" i="8"/>
  <c r="I81" i="8"/>
  <c r="B76" i="8"/>
  <c r="G76" i="8"/>
  <c r="E78" i="8"/>
  <c r="K77" i="8"/>
  <c r="E77" i="8"/>
  <c r="E79" i="8"/>
  <c r="H82" i="8"/>
  <c r="G83" i="8"/>
  <c r="B82" i="8"/>
  <c r="H81" i="8"/>
  <c r="I77" i="8"/>
  <c r="I80" i="8"/>
  <c r="E83" i="8"/>
  <c r="B83" i="8"/>
  <c r="C83" i="8"/>
  <c r="C80" i="8"/>
  <c r="D83" i="8"/>
  <c r="G79" i="8"/>
  <c r="C79" i="8"/>
  <c r="E76" i="8"/>
  <c r="D77" i="8"/>
  <c r="D81" i="8"/>
  <c r="J80" i="8"/>
  <c r="C77" i="8"/>
  <c r="K81" i="8"/>
  <c r="C76" i="8"/>
  <c r="F76" i="8"/>
  <c r="K83" i="8"/>
  <c r="I82" i="8"/>
  <c r="D80" i="8"/>
  <c r="K78" i="8"/>
  <c r="G77" i="8"/>
  <c r="H80" i="8"/>
  <c r="F77" i="8"/>
  <c r="J81" i="8"/>
  <c r="H78" i="8"/>
  <c r="J79" i="8"/>
  <c r="B382" i="39"/>
  <c r="B386" i="39"/>
  <c r="K70" i="35"/>
  <c r="J70" i="35"/>
  <c r="G70" i="35"/>
  <c r="C70" i="35"/>
  <c r="G57" i="37"/>
  <c r="C53" i="37"/>
  <c r="C60" i="7"/>
  <c r="I53" i="37"/>
  <c r="F53" i="37"/>
  <c r="F60" i="7"/>
  <c r="F60" i="37" s="1"/>
  <c r="B354" i="39"/>
  <c r="G59" i="37"/>
  <c r="I59" i="37"/>
  <c r="B384" i="39"/>
  <c r="J65" i="37"/>
  <c r="K67" i="37"/>
  <c r="E64" i="37"/>
  <c r="K68" i="37"/>
  <c r="I65" i="37"/>
  <c r="B63" i="37"/>
  <c r="D65" i="37"/>
  <c r="J66" i="37"/>
  <c r="K64" i="37"/>
  <c r="C66" i="37"/>
  <c r="E63" i="37"/>
  <c r="G68" i="37"/>
  <c r="I64" i="37"/>
  <c r="H64" i="37"/>
  <c r="B70" i="7"/>
  <c r="B62" i="37"/>
  <c r="F68" i="37"/>
  <c r="E70" i="7"/>
  <c r="E62" i="37"/>
  <c r="C64" i="37"/>
  <c r="B67" i="37"/>
  <c r="J68" i="37"/>
  <c r="K58" i="37"/>
  <c r="H55" i="37"/>
  <c r="K55" i="37"/>
  <c r="B385" i="39"/>
  <c r="H54" i="37"/>
  <c r="F54" i="37"/>
  <c r="F56" i="37"/>
  <c r="K56" i="37"/>
  <c r="H56" i="37"/>
  <c r="H70" i="35"/>
  <c r="B72" i="35" a="1"/>
  <c r="B70" i="35"/>
  <c r="I57" i="37"/>
  <c r="C57" i="37"/>
  <c r="B53" i="37"/>
  <c r="C60" i="35"/>
  <c r="D60" i="7"/>
  <c r="D60" i="37" s="1"/>
  <c r="H352" i="30"/>
  <c r="D350" i="30"/>
  <c r="C346" i="30"/>
  <c r="J349" i="30"/>
  <c r="K353" i="30"/>
  <c r="H349" i="30"/>
  <c r="D348" i="30"/>
  <c r="K352" i="30"/>
  <c r="H346" i="30"/>
  <c r="J353" i="30"/>
  <c r="K349" i="30"/>
  <c r="F349" i="30"/>
  <c r="L347" i="30"/>
  <c r="C353" i="30"/>
  <c r="I352" i="30"/>
  <c r="E348" i="30"/>
  <c r="J348" i="30"/>
  <c r="G349" i="30"/>
  <c r="I349" i="30"/>
  <c r="C348" i="30"/>
  <c r="H350" i="30"/>
  <c r="J352" i="30"/>
  <c r="L352" i="30"/>
  <c r="C351" i="30"/>
  <c r="K347" i="30"/>
  <c r="E351" i="30"/>
  <c r="D349" i="30"/>
  <c r="I348" i="30"/>
  <c r="L349" i="30"/>
  <c r="G347" i="30"/>
  <c r="E352" i="30"/>
  <c r="J347" i="30"/>
  <c r="E347" i="30"/>
  <c r="K351" i="30"/>
  <c r="K348" i="30"/>
  <c r="E346" i="30"/>
  <c r="G352" i="30"/>
  <c r="C347" i="30"/>
  <c r="G353" i="30"/>
  <c r="K350" i="30"/>
  <c r="K346" i="30"/>
  <c r="D347" i="30"/>
  <c r="E350" i="30"/>
  <c r="I347" i="30"/>
  <c r="H347" i="30"/>
  <c r="F353" i="30"/>
  <c r="I346" i="30"/>
  <c r="F350" i="30"/>
  <c r="C352" i="30"/>
  <c r="L351" i="30"/>
  <c r="C350" i="30"/>
  <c r="D352" i="30"/>
  <c r="I353" i="30"/>
  <c r="G350" i="30"/>
  <c r="F352" i="30"/>
  <c r="F347" i="30"/>
  <c r="H353" i="30"/>
  <c r="D346" i="30"/>
  <c r="F348" i="30"/>
  <c r="D353" i="30"/>
  <c r="G351" i="30"/>
  <c r="E353" i="30"/>
  <c r="H348" i="30"/>
  <c r="D351" i="30"/>
  <c r="L353" i="30"/>
  <c r="J351" i="30"/>
  <c r="L346" i="30"/>
  <c r="G348" i="30"/>
  <c r="F346" i="30"/>
  <c r="L350" i="30"/>
  <c r="L348" i="30"/>
  <c r="J346" i="30"/>
  <c r="I350" i="30"/>
  <c r="F351" i="30"/>
  <c r="G346" i="30"/>
  <c r="I351" i="30"/>
  <c r="J350" i="30"/>
  <c r="C349" i="30"/>
  <c r="E349" i="30"/>
  <c r="H351" i="30"/>
  <c r="D59" i="37"/>
  <c r="C59" i="37"/>
  <c r="B64" i="37"/>
  <c r="D69" i="37"/>
  <c r="B68" i="37"/>
  <c r="E68" i="37"/>
  <c r="B65" i="37"/>
  <c r="H67" i="37"/>
  <c r="F65" i="37"/>
  <c r="D63" i="37"/>
  <c r="E65" i="37"/>
  <c r="D64" i="37"/>
  <c r="F66" i="37"/>
  <c r="C63" i="37"/>
  <c r="B69" i="37"/>
  <c r="K69" i="37"/>
  <c r="I68" i="37"/>
  <c r="I67" i="37"/>
  <c r="B72" i="7" a="1"/>
  <c r="D70" i="7"/>
  <c r="D62" i="37"/>
  <c r="K62" i="37"/>
  <c r="K70" i="7"/>
  <c r="G65" i="37"/>
  <c r="C68" i="37"/>
  <c r="E55" i="37"/>
  <c r="C185" i="4"/>
  <c r="C185" i="29"/>
  <c r="C187" i="4"/>
  <c r="C187" i="29"/>
  <c r="F46" i="59"/>
  <c r="F46" i="60" s="1"/>
  <c r="I46" i="59"/>
  <c r="I46" i="60" s="1"/>
  <c r="D46" i="59"/>
  <c r="D46" i="60" s="1"/>
  <c r="H46" i="59"/>
  <c r="H46" i="60" s="1"/>
  <c r="K46" i="59"/>
  <c r="K46" i="60" s="1"/>
  <c r="L46" i="59"/>
  <c r="L46" i="60" s="1"/>
  <c r="J46" i="59"/>
  <c r="J46" i="60" s="1"/>
  <c r="G46" i="59"/>
  <c r="G46" i="60" s="1"/>
  <c r="E46" i="59"/>
  <c r="E46" i="60" s="1"/>
  <c r="G54" i="37"/>
  <c r="G56" i="37"/>
  <c r="K100" i="37"/>
  <c r="D70" i="35"/>
  <c r="E70" i="35"/>
  <c r="J53" i="37"/>
  <c r="J60" i="7"/>
  <c r="J60" i="37" s="1"/>
  <c r="J353" i="6"/>
  <c r="I349" i="6"/>
  <c r="G353" i="6"/>
  <c r="I347" i="6"/>
  <c r="G350" i="6"/>
  <c r="G349" i="6"/>
  <c r="E349" i="6"/>
  <c r="C346" i="6"/>
  <c r="L353" i="6"/>
  <c r="I346" i="6"/>
  <c r="I348" i="6"/>
  <c r="H353" i="6"/>
  <c r="D349" i="6"/>
  <c r="D349" i="34" s="1"/>
  <c r="F352" i="6"/>
  <c r="J348" i="6"/>
  <c r="J348" i="34" s="1"/>
  <c r="C349" i="6"/>
  <c r="C349" i="34" s="1"/>
  <c r="H350" i="6"/>
  <c r="F351" i="6"/>
  <c r="I350" i="6"/>
  <c r="I350" i="34" s="1"/>
  <c r="K348" i="6"/>
  <c r="C351" i="6"/>
  <c r="H352" i="6"/>
  <c r="E348" i="6"/>
  <c r="L348" i="6"/>
  <c r="H349" i="6"/>
  <c r="C348" i="6"/>
  <c r="C348" i="34" s="1"/>
  <c r="L346" i="6"/>
  <c r="E353" i="6"/>
  <c r="E353" i="34" s="1"/>
  <c r="D347" i="6"/>
  <c r="J351" i="6"/>
  <c r="K346" i="6"/>
  <c r="K346" i="34" s="1"/>
  <c r="G351" i="6"/>
  <c r="I353" i="6"/>
  <c r="F346" i="6"/>
  <c r="C352" i="6"/>
  <c r="C352" i="34" s="1"/>
  <c r="J346" i="6"/>
  <c r="L349" i="6"/>
  <c r="E347" i="6"/>
  <c r="F353" i="6"/>
  <c r="D353" i="6"/>
  <c r="D348" i="6"/>
  <c r="D348" i="34" s="1"/>
  <c r="G352" i="6"/>
  <c r="D351" i="6"/>
  <c r="K347" i="6"/>
  <c r="G346" i="6"/>
  <c r="G346" i="34" s="1"/>
  <c r="L347" i="6"/>
  <c r="K352" i="6"/>
  <c r="E351" i="6"/>
  <c r="E351" i="34" s="1"/>
  <c r="C353" i="6"/>
  <c r="C350" i="6"/>
  <c r="D352" i="6"/>
  <c r="J347" i="6"/>
  <c r="E346" i="6"/>
  <c r="G348" i="6"/>
  <c r="G348" i="34" s="1"/>
  <c r="L350" i="6"/>
  <c r="F348" i="6"/>
  <c r="E350" i="6"/>
  <c r="E350" i="34" s="1"/>
  <c r="H346" i="6"/>
  <c r="I351" i="6"/>
  <c r="H347" i="6"/>
  <c r="C347" i="6"/>
  <c r="F350" i="6"/>
  <c r="F350" i="34" s="1"/>
  <c r="J349" i="6"/>
  <c r="K353" i="6"/>
  <c r="F349" i="6"/>
  <c r="K351" i="6"/>
  <c r="K350" i="6"/>
  <c r="D350" i="6"/>
  <c r="D350" i="34" s="1"/>
  <c r="L351" i="6"/>
  <c r="H351" i="6"/>
  <c r="H351" i="34" s="1"/>
  <c r="H348" i="6"/>
  <c r="E352" i="6"/>
  <c r="D346" i="6"/>
  <c r="G347" i="6"/>
  <c r="L352" i="6"/>
  <c r="F347" i="6"/>
  <c r="I352" i="6"/>
  <c r="I352" i="34" s="1"/>
  <c r="J352" i="6"/>
  <c r="K349" i="6"/>
  <c r="J350" i="6"/>
  <c r="F100" i="37"/>
  <c r="H59" i="37"/>
  <c r="B60" i="7"/>
  <c r="B60" i="37" s="1"/>
  <c r="H66" i="37"/>
  <c r="F69" i="37"/>
  <c r="J69" i="37"/>
  <c r="H63" i="37"/>
  <c r="D66" i="37"/>
  <c r="H65" i="37"/>
  <c r="G67" i="37"/>
  <c r="K66" i="37"/>
  <c r="J63" i="37"/>
  <c r="C67" i="37"/>
  <c r="C69" i="37"/>
  <c r="H69" i="37"/>
  <c r="F63" i="37"/>
  <c r="I63" i="37"/>
  <c r="J64" i="37"/>
  <c r="D68" i="37"/>
  <c r="J62" i="37"/>
  <c r="J70" i="7"/>
  <c r="G69" i="37"/>
  <c r="K63" i="37"/>
  <c r="G64" i="37"/>
  <c r="I58" i="37"/>
  <c r="E58" i="37"/>
  <c r="B58" i="37"/>
  <c r="J55" i="37"/>
  <c r="G72" i="39"/>
  <c r="F90" i="37"/>
  <c r="D52" i="39"/>
  <c r="K50" i="39"/>
  <c r="K53" i="39"/>
  <c r="C68" i="29"/>
  <c r="C76" i="29" s="1"/>
  <c r="B13" i="29" s="1"/>
  <c r="B14" i="29" s="1"/>
  <c r="D81" i="29" s="1" a="1"/>
  <c r="C68" i="4"/>
  <c r="C76" i="4" s="1"/>
  <c r="D13" i="4" s="1"/>
  <c r="D14" i="4" s="1"/>
  <c r="C45" i="40"/>
  <c r="E60" i="7"/>
  <c r="K76" i="38"/>
  <c r="E79" i="38"/>
  <c r="F81" i="38"/>
  <c r="B83" i="38"/>
  <c r="B79" i="38"/>
  <c r="J82" i="38"/>
  <c r="D77" i="38"/>
  <c r="J83" i="38"/>
  <c r="K80" i="38"/>
  <c r="I83" i="38"/>
  <c r="H82" i="38"/>
  <c r="F78" i="38"/>
  <c r="B78" i="38"/>
  <c r="H79" i="38"/>
  <c r="B76" i="38"/>
  <c r="C80" i="38"/>
  <c r="J80" i="38"/>
  <c r="K81" i="38"/>
  <c r="D83" i="38"/>
  <c r="F76" i="38"/>
  <c r="I80" i="38"/>
  <c r="I77" i="38"/>
  <c r="G79" i="38"/>
  <c r="F83" i="38"/>
  <c r="K83" i="38"/>
  <c r="J79" i="38"/>
  <c r="I82" i="38"/>
  <c r="G76" i="38"/>
  <c r="E78" i="38"/>
  <c r="C82" i="38"/>
  <c r="H78" i="38"/>
  <c r="F80" i="38"/>
  <c r="I76" i="38"/>
  <c r="G77" i="38"/>
  <c r="I78" i="38"/>
  <c r="J78" i="38"/>
  <c r="B80" i="38"/>
  <c r="C81" i="38"/>
  <c r="D79" i="38"/>
  <c r="K78" i="38"/>
  <c r="B81" i="38"/>
  <c r="E77" i="38"/>
  <c r="H80" i="38"/>
  <c r="C83" i="38"/>
  <c r="C76" i="38"/>
  <c r="G82" i="38"/>
  <c r="K77" i="38"/>
  <c r="G78" i="38"/>
  <c r="F82" i="38"/>
  <c r="E76" i="38"/>
  <c r="F79" i="38"/>
  <c r="G80" i="38"/>
  <c r="H76" i="38"/>
  <c r="C78" i="38"/>
  <c r="D80" i="38"/>
  <c r="K79" i="38"/>
  <c r="E80" i="38"/>
  <c r="F77" i="38"/>
  <c r="H83" i="38"/>
  <c r="I81" i="38"/>
  <c r="D76" i="38"/>
  <c r="C77" i="38"/>
  <c r="G83" i="38"/>
  <c r="J77" i="38"/>
  <c r="B82" i="38"/>
  <c r="E83" i="38"/>
  <c r="D82" i="38"/>
  <c r="G81" i="38"/>
  <c r="D78" i="38"/>
  <c r="H81" i="38"/>
  <c r="D81" i="38"/>
  <c r="C79" i="38"/>
  <c r="E82" i="38"/>
  <c r="E81" i="38"/>
  <c r="B77" i="38"/>
  <c r="K82" i="38"/>
  <c r="I79" i="38"/>
  <c r="H77" i="38"/>
  <c r="J81" i="38"/>
  <c r="J76" i="38"/>
  <c r="F70" i="35"/>
  <c r="G60" i="35"/>
  <c r="H53" i="37"/>
  <c r="H60" i="7"/>
  <c r="G53" i="37"/>
  <c r="G60" i="7"/>
  <c r="G60" i="37" s="1"/>
  <c r="E100" i="37"/>
  <c r="H100" i="37"/>
  <c r="I60" i="7"/>
  <c r="K255" i="8"/>
  <c r="K255" i="39" s="1"/>
  <c r="J257" i="8"/>
  <c r="J257" i="39" s="1"/>
  <c r="F254" i="8"/>
  <c r="F254" i="39" s="1"/>
  <c r="D260" i="8"/>
  <c r="I260" i="8"/>
  <c r="I260" i="39" s="1"/>
  <c r="E256" i="8"/>
  <c r="E256" i="39" s="1"/>
  <c r="K260" i="8"/>
  <c r="K260" i="39" s="1"/>
  <c r="H259" i="8"/>
  <c r="H259" i="39" s="1"/>
  <c r="H258" i="8"/>
  <c r="K259" i="8"/>
  <c r="K259" i="39" s="1"/>
  <c r="H254" i="8"/>
  <c r="H261" i="8"/>
  <c r="G259" i="8"/>
  <c r="F259" i="8"/>
  <c r="F259" i="39" s="1"/>
  <c r="I254" i="8"/>
  <c r="F255" i="8"/>
  <c r="F255" i="39" s="1"/>
  <c r="H255" i="8"/>
  <c r="H255" i="39" s="1"/>
  <c r="C258" i="8"/>
  <c r="C258" i="39" s="1"/>
  <c r="K256" i="8"/>
  <c r="G260" i="8"/>
  <c r="J260" i="8"/>
  <c r="B258" i="8"/>
  <c r="B258" i="39" s="1"/>
  <c r="D256" i="8"/>
  <c r="D256" i="39" s="1"/>
  <c r="H257" i="8"/>
  <c r="C255" i="8"/>
  <c r="C255" i="39" s="1"/>
  <c r="E257" i="8"/>
  <c r="B260" i="8"/>
  <c r="B260" i="39" s="1"/>
  <c r="F260" i="8"/>
  <c r="F260" i="39" s="1"/>
  <c r="J255" i="8"/>
  <c r="C259" i="8"/>
  <c r="C259" i="39" s="1"/>
  <c r="J256" i="8"/>
  <c r="E261" i="8"/>
  <c r="J258" i="8"/>
  <c r="C261" i="8"/>
  <c r="B256" i="8"/>
  <c r="B255" i="8"/>
  <c r="I255" i="8"/>
  <c r="I256" i="8"/>
  <c r="I256" i="39" s="1"/>
  <c r="D259" i="8"/>
  <c r="D259" i="39" s="1"/>
  <c r="H256" i="8"/>
  <c r="C257" i="8"/>
  <c r="B254" i="8"/>
  <c r="B254" i="39" s="1"/>
  <c r="F256" i="8"/>
  <c r="F256" i="39" s="1"/>
  <c r="I257" i="8"/>
  <c r="E255" i="8"/>
  <c r="E255" i="39" s="1"/>
  <c r="B261" i="8"/>
  <c r="B261" i="39" s="1"/>
  <c r="I258" i="8"/>
  <c r="K254" i="8"/>
  <c r="K254" i="39" s="1"/>
  <c r="D258" i="8"/>
  <c r="D258" i="39" s="1"/>
  <c r="D254" i="8"/>
  <c r="D254" i="39" s="1"/>
  <c r="I261" i="8"/>
  <c r="D261" i="8"/>
  <c r="D261" i="39" s="1"/>
  <c r="G255" i="8"/>
  <c r="H260" i="8"/>
  <c r="H260" i="39" s="1"/>
  <c r="J261" i="8"/>
  <c r="D257" i="8"/>
  <c r="D257" i="39" s="1"/>
  <c r="C256" i="8"/>
  <c r="C256" i="39" s="1"/>
  <c r="E258" i="8"/>
  <c r="E258" i="39" s="1"/>
  <c r="G261" i="8"/>
  <c r="K258" i="8"/>
  <c r="K258" i="39" s="1"/>
  <c r="E259" i="8"/>
  <c r="F257" i="8"/>
  <c r="F257" i="39" s="1"/>
  <c r="C260" i="8"/>
  <c r="C260" i="39" s="1"/>
  <c r="G254" i="8"/>
  <c r="J254" i="8"/>
  <c r="J254" i="39" s="1"/>
  <c r="J259" i="8"/>
  <c r="J259" i="39" s="1"/>
  <c r="D255" i="8"/>
  <c r="B259" i="8"/>
  <c r="B259" i="39" s="1"/>
  <c r="K257" i="8"/>
  <c r="F261" i="8"/>
  <c r="F261" i="39" s="1"/>
  <c r="E254" i="8"/>
  <c r="E254" i="39" s="1"/>
  <c r="G258" i="8"/>
  <c r="G258" i="39" s="1"/>
  <c r="E260" i="8"/>
  <c r="E260" i="39" s="1"/>
  <c r="I259" i="8"/>
  <c r="I259" i="39" s="1"/>
  <c r="F258" i="8"/>
  <c r="C254" i="8"/>
  <c r="G256" i="8"/>
  <c r="K261" i="8"/>
  <c r="B257" i="8"/>
  <c r="G257" i="8"/>
  <c r="C65" i="37"/>
  <c r="J67" i="37"/>
  <c r="F62" i="37"/>
  <c r="F70" i="7"/>
  <c r="F70" i="37" s="1"/>
  <c r="E69" i="37"/>
  <c r="H62" i="37"/>
  <c r="H70" i="7"/>
  <c r="E66" i="37"/>
  <c r="G66" i="37"/>
  <c r="I69" i="37"/>
  <c r="F67" i="37"/>
  <c r="K65" i="37"/>
  <c r="G70" i="7"/>
  <c r="G62" i="37"/>
  <c r="F64" i="37"/>
  <c r="I66" i="37"/>
  <c r="C70" i="7"/>
  <c r="C62" i="37"/>
  <c r="E67" i="37"/>
  <c r="D67" i="37"/>
  <c r="G63" i="37"/>
  <c r="B66" i="37"/>
  <c r="H68" i="37"/>
  <c r="I70" i="7"/>
  <c r="I62" i="37"/>
  <c r="J58" i="37"/>
  <c r="D58" i="37"/>
  <c r="H58" i="37"/>
  <c r="C58" i="37"/>
  <c r="G55" i="37"/>
  <c r="F55" i="37"/>
  <c r="K60" i="7"/>
  <c r="F141" i="29" a="1"/>
  <c r="F141" i="29" s="1"/>
  <c r="C50" i="39"/>
  <c r="H53" i="39"/>
  <c r="B53" i="39"/>
  <c r="F49" i="39"/>
  <c r="J50" i="39"/>
  <c r="D53" i="39"/>
  <c r="E53" i="39"/>
  <c r="B50" i="39"/>
  <c r="H50" i="39"/>
  <c r="B55" i="39"/>
  <c r="E56" i="39"/>
  <c r="G51" i="39"/>
  <c r="K56" i="39"/>
  <c r="I54" i="39"/>
  <c r="K49" i="39"/>
  <c r="E49" i="39"/>
  <c r="G249" i="39"/>
  <c r="F246" i="39"/>
  <c r="B281" i="8" a="1"/>
  <c r="B245" i="39"/>
  <c r="B281" i="38" a="1"/>
  <c r="C247" i="39"/>
  <c r="K246" i="39"/>
  <c r="E248" i="39"/>
  <c r="I247" i="39"/>
  <c r="I251" i="39"/>
  <c r="H246" i="39"/>
  <c r="J248" i="39"/>
  <c r="G245" i="39"/>
  <c r="H251" i="39"/>
  <c r="B247" i="39"/>
  <c r="I246" i="39"/>
  <c r="B252" i="39"/>
  <c r="K59" i="39"/>
  <c r="C60" i="39"/>
  <c r="C65" i="39"/>
  <c r="D58" i="39"/>
  <c r="C64" i="39"/>
  <c r="K62" i="39"/>
  <c r="D62" i="39"/>
  <c r="E59" i="39"/>
  <c r="I61" i="39"/>
  <c r="C62" i="39"/>
  <c r="K60" i="39"/>
  <c r="G63" i="39"/>
  <c r="B62" i="39"/>
  <c r="J62" i="39"/>
  <c r="H59" i="39"/>
  <c r="K58" i="39"/>
  <c r="E63" i="39"/>
  <c r="C59" i="39"/>
  <c r="D63" i="39"/>
  <c r="D65" i="39"/>
  <c r="L134" i="40"/>
  <c r="L152" i="4"/>
  <c r="M153" i="4"/>
  <c r="M135" i="40"/>
  <c r="M155" i="4"/>
  <c r="M137" i="40"/>
  <c r="E140" i="40"/>
  <c r="E158" i="4"/>
  <c r="D158" i="4"/>
  <c r="D140" i="40"/>
  <c r="K139" i="40"/>
  <c r="K157" i="4"/>
  <c r="L157" i="4"/>
  <c r="L139" i="40"/>
  <c r="L156" i="4"/>
  <c r="L138" i="40"/>
  <c r="L158" i="4"/>
  <c r="L140" i="40"/>
  <c r="M133" i="40"/>
  <c r="M151" i="4"/>
  <c r="M141" i="4" a="1"/>
  <c r="M141" i="4" s="1"/>
  <c r="E153" i="4"/>
  <c r="E135" i="40"/>
  <c r="I139" i="40"/>
  <c r="I157" i="4"/>
  <c r="K136" i="40"/>
  <c r="K154" i="4"/>
  <c r="F156" i="4"/>
  <c r="F138" i="40"/>
  <c r="L154" i="4"/>
  <c r="L136" i="40"/>
  <c r="G153" i="4"/>
  <c r="G135" i="40"/>
  <c r="H151" i="4"/>
  <c r="H141" i="4" a="1"/>
  <c r="H141" i="4" s="1"/>
  <c r="H133" i="40"/>
  <c r="J141" i="4" a="1"/>
  <c r="J141" i="4" s="1"/>
  <c r="J151" i="4"/>
  <c r="J133" i="40"/>
  <c r="L137" i="40"/>
  <c r="L155" i="4"/>
  <c r="H140" i="40"/>
  <c r="H158" i="4"/>
  <c r="C75" i="40"/>
  <c r="H73" i="4"/>
  <c r="G73" i="40"/>
  <c r="B26" i="7"/>
  <c r="G25" i="7"/>
  <c r="K23" i="7"/>
  <c r="C26" i="7"/>
  <c r="K24" i="7"/>
  <c r="D22" i="7"/>
  <c r="I28" i="7"/>
  <c r="H29" i="7"/>
  <c r="J29" i="7"/>
  <c r="K26" i="7"/>
  <c r="J22" i="7"/>
  <c r="E29" i="7"/>
  <c r="C28" i="7"/>
  <c r="H27" i="7"/>
  <c r="E25" i="7"/>
  <c r="D26" i="7"/>
  <c r="F24" i="7"/>
  <c r="H28" i="7"/>
  <c r="G28" i="7"/>
  <c r="D28" i="7"/>
  <c r="K25" i="7"/>
  <c r="E27" i="7"/>
  <c r="F25" i="7"/>
  <c r="H25" i="7"/>
  <c r="K29" i="7"/>
  <c r="D29" i="7"/>
  <c r="F22" i="7"/>
  <c r="C23" i="7"/>
  <c r="H23" i="7"/>
  <c r="G24" i="7"/>
  <c r="D25" i="7"/>
  <c r="F23" i="7"/>
  <c r="B28" i="7"/>
  <c r="K27" i="7"/>
  <c r="J25" i="7"/>
  <c r="I22" i="7"/>
  <c r="C25" i="7"/>
  <c r="K22" i="7"/>
  <c r="J23" i="7"/>
  <c r="B24" i="7"/>
  <c r="I23" i="7"/>
  <c r="G29" i="7"/>
  <c r="F27" i="7"/>
  <c r="G27" i="7"/>
  <c r="G23" i="7"/>
  <c r="E23" i="7"/>
  <c r="F26" i="7"/>
  <c r="C27" i="7"/>
  <c r="D23" i="7"/>
  <c r="J28" i="7"/>
  <c r="E26" i="7"/>
  <c r="F29" i="7"/>
  <c r="J27" i="7"/>
  <c r="G26" i="7"/>
  <c r="D27" i="7"/>
  <c r="I26" i="7"/>
  <c r="J24" i="7"/>
  <c r="K28" i="7"/>
  <c r="B29" i="7"/>
  <c r="E22" i="7"/>
  <c r="I27" i="7"/>
  <c r="E28" i="7"/>
  <c r="C22" i="7"/>
  <c r="H24" i="7"/>
  <c r="B27" i="7"/>
  <c r="I24" i="7"/>
  <c r="F28" i="7"/>
  <c r="C29" i="7"/>
  <c r="H26" i="7"/>
  <c r="B23" i="7"/>
  <c r="I25" i="7"/>
  <c r="C24" i="7"/>
  <c r="E24" i="7"/>
  <c r="D24" i="7"/>
  <c r="B22" i="7"/>
  <c r="B25" i="7"/>
  <c r="H22" i="7"/>
  <c r="G22" i="7"/>
  <c r="J26" i="7"/>
  <c r="I29" i="7"/>
  <c r="G102" i="7"/>
  <c r="I104" i="7"/>
  <c r="K107" i="7"/>
  <c r="D104" i="7"/>
  <c r="J104" i="7"/>
  <c r="H102" i="7"/>
  <c r="K105" i="7"/>
  <c r="G107" i="7"/>
  <c r="G106" i="7"/>
  <c r="G103" i="7"/>
  <c r="I105" i="7"/>
  <c r="K109" i="7"/>
  <c r="F108" i="7"/>
  <c r="C102" i="7"/>
  <c r="G109" i="7"/>
  <c r="K103" i="7"/>
  <c r="B105" i="7"/>
  <c r="G108" i="7"/>
  <c r="I109" i="7"/>
  <c r="E107" i="7"/>
  <c r="G69" i="39"/>
  <c r="K68" i="39"/>
  <c r="E55" i="39"/>
  <c r="D151" i="29" a="1"/>
  <c r="D141" i="29" a="1"/>
  <c r="D141" i="29" s="1"/>
  <c r="I141" i="29" a="1"/>
  <c r="I141" i="29" s="1"/>
  <c r="B74" i="39"/>
  <c r="J67" i="39"/>
  <c r="J73" i="39"/>
  <c r="E73" i="39"/>
  <c r="D68" i="39"/>
  <c r="E71" i="39"/>
  <c r="J51" i="39"/>
  <c r="I52" i="39"/>
  <c r="K52" i="39"/>
  <c r="F53" i="39"/>
  <c r="C54" i="39"/>
  <c r="G49" i="39"/>
  <c r="E52" i="39"/>
  <c r="G55" i="39"/>
  <c r="G54" i="39"/>
  <c r="C52" i="39"/>
  <c r="G50" i="39"/>
  <c r="C53" i="39"/>
  <c r="D54" i="39"/>
  <c r="D49" i="39"/>
  <c r="K55" i="39"/>
  <c r="H51" i="39"/>
  <c r="F54" i="39"/>
  <c r="F55" i="39"/>
  <c r="F50" i="39"/>
  <c r="B51" i="39"/>
  <c r="K247" i="39"/>
  <c r="J247" i="39"/>
  <c r="H249" i="39"/>
  <c r="G246" i="39"/>
  <c r="G252" i="39"/>
  <c r="K245" i="39"/>
  <c r="F251" i="39"/>
  <c r="E249" i="39"/>
  <c r="H247" i="39"/>
  <c r="G251" i="39"/>
  <c r="J252" i="39"/>
  <c r="F245" i="39"/>
  <c r="F250" i="39"/>
  <c r="J246" i="39"/>
  <c r="D248" i="39"/>
  <c r="I249" i="39"/>
  <c r="C245" i="39"/>
  <c r="J250" i="39"/>
  <c r="D252" i="39"/>
  <c r="K250" i="39"/>
  <c r="I58" i="39"/>
  <c r="E61" i="39"/>
  <c r="H65" i="39"/>
  <c r="D64" i="39"/>
  <c r="B63" i="39"/>
  <c r="E58" i="39"/>
  <c r="C61" i="39"/>
  <c r="H63" i="39"/>
  <c r="D59" i="39"/>
  <c r="K63" i="39"/>
  <c r="E62" i="39"/>
  <c r="B59" i="39"/>
  <c r="E60" i="39"/>
  <c r="G60" i="39"/>
  <c r="E65" i="39"/>
  <c r="C63" i="39"/>
  <c r="J65" i="39"/>
  <c r="K61" i="39"/>
  <c r="B64" i="39"/>
  <c r="C58" i="39"/>
  <c r="G152" i="4"/>
  <c r="G134" i="40"/>
  <c r="H153" i="4"/>
  <c r="H135" i="40"/>
  <c r="H139" i="40"/>
  <c r="H157" i="4"/>
  <c r="I158" i="4"/>
  <c r="I140" i="40"/>
  <c r="J158" i="4"/>
  <c r="J140" i="40"/>
  <c r="M139" i="40"/>
  <c r="M157" i="4"/>
  <c r="D139" i="40"/>
  <c r="D157" i="4"/>
  <c r="M156" i="4"/>
  <c r="M138" i="40"/>
  <c r="I133" i="40"/>
  <c r="I141" i="4" a="1"/>
  <c r="I141" i="4" s="1"/>
  <c r="I151" i="4"/>
  <c r="F153" i="4"/>
  <c r="F135" i="40"/>
  <c r="I153" i="4"/>
  <c r="I135" i="40"/>
  <c r="K137" i="40"/>
  <c r="K155" i="4"/>
  <c r="G156" i="4"/>
  <c r="G138" i="40"/>
  <c r="G157" i="4"/>
  <c r="G139" i="40"/>
  <c r="M134" i="40"/>
  <c r="M152" i="4"/>
  <c r="I154" i="4"/>
  <c r="I136" i="40"/>
  <c r="D152" i="4"/>
  <c r="D134" i="40"/>
  <c r="J157" i="4"/>
  <c r="J139" i="40"/>
  <c r="F151" i="4"/>
  <c r="F141" i="4" a="1"/>
  <c r="F141" i="4" s="1"/>
  <c r="F133" i="40"/>
  <c r="L135" i="40"/>
  <c r="L153" i="4"/>
  <c r="I27" i="35"/>
  <c r="H24" i="35"/>
  <c r="G25" i="35"/>
  <c r="K22" i="35"/>
  <c r="F26" i="35"/>
  <c r="K27" i="35"/>
  <c r="D25" i="35"/>
  <c r="E29" i="35"/>
  <c r="E24" i="35"/>
  <c r="C27" i="35"/>
  <c r="H23" i="35"/>
  <c r="B29" i="35"/>
  <c r="D27" i="35"/>
  <c r="J29" i="35"/>
  <c r="K24" i="35"/>
  <c r="K23" i="35"/>
  <c r="H27" i="35"/>
  <c r="G24" i="35"/>
  <c r="H25" i="35"/>
  <c r="E25" i="35"/>
  <c r="G26" i="35"/>
  <c r="G27" i="35"/>
  <c r="E27" i="35"/>
  <c r="D28" i="35"/>
  <c r="H29" i="35"/>
  <c r="B24" i="35"/>
  <c r="G23" i="35"/>
  <c r="F22" i="35"/>
  <c r="K28" i="35"/>
  <c r="F25" i="35"/>
  <c r="I29" i="35"/>
  <c r="D23" i="35"/>
  <c r="C23" i="35"/>
  <c r="C26" i="35"/>
  <c r="C25" i="35"/>
  <c r="D26" i="35"/>
  <c r="B22" i="35"/>
  <c r="J24" i="35"/>
  <c r="C22" i="35"/>
  <c r="K29" i="35"/>
  <c r="J22" i="35"/>
  <c r="I26" i="35"/>
  <c r="B27" i="35"/>
  <c r="B26" i="35"/>
  <c r="C24" i="35"/>
  <c r="E28" i="35"/>
  <c r="H28" i="35"/>
  <c r="C28" i="35"/>
  <c r="D24" i="35"/>
  <c r="J25" i="35"/>
  <c r="E22" i="35"/>
  <c r="F27" i="35"/>
  <c r="E23" i="35"/>
  <c r="F28" i="35"/>
  <c r="I24" i="35"/>
  <c r="D22" i="35"/>
  <c r="F23" i="35"/>
  <c r="F29" i="35"/>
  <c r="F24" i="35"/>
  <c r="C29" i="35"/>
  <c r="J28" i="35"/>
  <c r="K25" i="35"/>
  <c r="H26" i="35"/>
  <c r="I23" i="35"/>
  <c r="J26" i="35"/>
  <c r="I22" i="35"/>
  <c r="B23" i="35"/>
  <c r="B28" i="35"/>
  <c r="E26" i="35"/>
  <c r="K26" i="35"/>
  <c r="G22" i="35"/>
  <c r="B25" i="35"/>
  <c r="J27" i="35"/>
  <c r="D29" i="35"/>
  <c r="J23" i="35"/>
  <c r="G28" i="35"/>
  <c r="G29" i="35"/>
  <c r="H22" i="35"/>
  <c r="I25" i="35"/>
  <c r="I28" i="35"/>
  <c r="B90" i="37"/>
  <c r="M141" i="29" a="1"/>
  <c r="M141" i="29" s="1"/>
  <c r="C67" i="39"/>
  <c r="F68" i="39"/>
  <c r="J141" i="29" a="1"/>
  <c r="J141" i="29" s="1"/>
  <c r="H141" i="29" a="1"/>
  <c r="H141" i="29" s="1"/>
  <c r="G141" i="29" a="1"/>
  <c r="G141" i="29" s="1"/>
  <c r="E141" i="29" a="1"/>
  <c r="E141" i="29" s="1"/>
  <c r="G74" i="39"/>
  <c r="I70" i="39"/>
  <c r="H74" i="39"/>
  <c r="I74" i="39"/>
  <c r="B71" i="39"/>
  <c r="G68" i="39"/>
  <c r="C40" i="37"/>
  <c r="L440" i="6"/>
  <c r="I440" i="6"/>
  <c r="J440" i="6"/>
  <c r="D440" i="6"/>
  <c r="C440" i="6"/>
  <c r="F440" i="6"/>
  <c r="H440" i="6"/>
  <c r="G440" i="6"/>
  <c r="E440" i="6"/>
  <c r="K440" i="6"/>
  <c r="K54" i="39"/>
  <c r="C51" i="39"/>
  <c r="H54" i="39"/>
  <c r="F52" i="39"/>
  <c r="H56" i="39"/>
  <c r="G56" i="39"/>
  <c r="B52" i="39"/>
  <c r="D55" i="39"/>
  <c r="E51" i="39"/>
  <c r="C49" i="39"/>
  <c r="C85" i="8" a="1"/>
  <c r="C85" i="38" a="1"/>
  <c r="G52" i="39"/>
  <c r="F56" i="39"/>
  <c r="J54" i="39"/>
  <c r="B49" i="39"/>
  <c r="B85" i="38" a="1"/>
  <c r="B85" i="8" a="1"/>
  <c r="H55" i="39"/>
  <c r="I51" i="39"/>
  <c r="I56" i="39"/>
  <c r="J55" i="39"/>
  <c r="J52" i="39"/>
  <c r="C55" i="39"/>
  <c r="K249" i="39"/>
  <c r="H245" i="39"/>
  <c r="B249" i="39"/>
  <c r="F248" i="39"/>
  <c r="D251" i="39"/>
  <c r="F249" i="39"/>
  <c r="C250" i="39"/>
  <c r="E245" i="39"/>
  <c r="C249" i="39"/>
  <c r="H248" i="39"/>
  <c r="J245" i="39"/>
  <c r="H252" i="39"/>
  <c r="D249" i="39"/>
  <c r="D245" i="39"/>
  <c r="E252" i="39"/>
  <c r="G250" i="39"/>
  <c r="I245" i="39"/>
  <c r="J249" i="39"/>
  <c r="B250" i="39"/>
  <c r="K248" i="39"/>
  <c r="F63" i="39"/>
  <c r="I62" i="39"/>
  <c r="G65" i="39"/>
  <c r="K64" i="39"/>
  <c r="G64" i="39"/>
  <c r="G62" i="39"/>
  <c r="H60" i="39"/>
  <c r="G202" i="1"/>
  <c r="C198" i="1"/>
  <c r="L196" i="1"/>
  <c r="F198" i="1"/>
  <c r="H198" i="1"/>
  <c r="G197" i="1"/>
  <c r="I201" i="1"/>
  <c r="E201" i="1"/>
  <c r="I199" i="1"/>
  <c r="G198" i="1"/>
  <c r="H202" i="1"/>
  <c r="F199" i="1"/>
  <c r="K196" i="1"/>
  <c r="J196" i="1"/>
  <c r="D202" i="1"/>
  <c r="L198" i="1"/>
  <c r="F201" i="1"/>
  <c r="H199" i="1"/>
  <c r="L200" i="1"/>
  <c r="E203" i="1"/>
  <c r="G199" i="1"/>
  <c r="L203" i="1"/>
  <c r="E199" i="1"/>
  <c r="H201" i="1"/>
  <c r="D200" i="1"/>
  <c r="J197" i="1"/>
  <c r="F202" i="1"/>
  <c r="C200" i="1"/>
  <c r="E200" i="1"/>
  <c r="D197" i="1"/>
  <c r="E197" i="1"/>
  <c r="C197" i="1"/>
  <c r="I202" i="1"/>
  <c r="H203" i="1"/>
  <c r="C199" i="1"/>
  <c r="H197" i="1"/>
  <c r="K200" i="1"/>
  <c r="C201" i="1"/>
  <c r="F200" i="1"/>
  <c r="K199" i="1"/>
  <c r="C202" i="1"/>
  <c r="F197" i="1"/>
  <c r="H196" i="1"/>
  <c r="I196" i="1"/>
  <c r="D199" i="1"/>
  <c r="D196" i="1"/>
  <c r="G201" i="1"/>
  <c r="J201" i="1"/>
  <c r="C203" i="1"/>
  <c r="G203" i="1"/>
  <c r="J203" i="1"/>
  <c r="L197" i="1"/>
  <c r="H200" i="1"/>
  <c r="L201" i="1"/>
  <c r="J202" i="1"/>
  <c r="E202" i="1"/>
  <c r="K197" i="1"/>
  <c r="L199" i="1"/>
  <c r="K203" i="1"/>
  <c r="G200" i="1"/>
  <c r="E198" i="1"/>
  <c r="D203" i="1"/>
  <c r="G196" i="1"/>
  <c r="L202" i="1"/>
  <c r="J199" i="1"/>
  <c r="E196" i="1"/>
  <c r="I197" i="1"/>
  <c r="D201" i="1"/>
  <c r="I200" i="1"/>
  <c r="J200" i="1"/>
  <c r="C196" i="1"/>
  <c r="I203" i="1"/>
  <c r="F196" i="1"/>
  <c r="J198" i="1"/>
  <c r="I198" i="1"/>
  <c r="F203" i="1"/>
  <c r="K198" i="1"/>
  <c r="K201" i="1"/>
  <c r="K202" i="1"/>
  <c r="D198" i="1"/>
  <c r="M158" i="4"/>
  <c r="M140" i="40"/>
  <c r="K138" i="40"/>
  <c r="K156" i="4"/>
  <c r="H156" i="4"/>
  <c r="H138" i="40"/>
  <c r="H136" i="40"/>
  <c r="H154" i="4"/>
  <c r="L151" i="4"/>
  <c r="L133" i="40"/>
  <c r="L141" i="4" a="1"/>
  <c r="L141" i="4" s="1"/>
  <c r="K153" i="4"/>
  <c r="K135" i="40"/>
  <c r="E134" i="40"/>
  <c r="E152" i="4"/>
  <c r="D133" i="40"/>
  <c r="D151" i="4"/>
  <c r="D141" i="4" a="1"/>
  <c r="D141" i="4" s="1"/>
  <c r="E138" i="40"/>
  <c r="E156" i="4"/>
  <c r="I138" i="40"/>
  <c r="I156" i="4"/>
  <c r="D137" i="40"/>
  <c r="D155" i="4"/>
  <c r="F140" i="40"/>
  <c r="F158" i="4"/>
  <c r="D136" i="40"/>
  <c r="D154" i="4"/>
  <c r="E133" i="40"/>
  <c r="E151" i="4"/>
  <c r="E141" i="4" a="1"/>
  <c r="E141" i="4" s="1"/>
  <c r="J135" i="40"/>
  <c r="J153" i="4"/>
  <c r="K152" i="4"/>
  <c r="K134" i="40"/>
  <c r="I155" i="4"/>
  <c r="I137" i="40"/>
  <c r="G158" i="4"/>
  <c r="G140" i="40"/>
  <c r="F157" i="4"/>
  <c r="F139" i="40"/>
  <c r="E136" i="40"/>
  <c r="E154" i="4"/>
  <c r="G90" i="37"/>
  <c r="K90" i="37"/>
  <c r="D164" i="4"/>
  <c r="D164" i="29"/>
  <c r="C161" i="29"/>
  <c r="C161" i="40" s="1"/>
  <c r="G103" i="35"/>
  <c r="E104" i="35"/>
  <c r="I107" i="35"/>
  <c r="J105" i="35"/>
  <c r="F109" i="35"/>
  <c r="E108" i="35"/>
  <c r="G106" i="35"/>
  <c r="G102" i="35"/>
  <c r="H103" i="35"/>
  <c r="J109" i="35"/>
  <c r="B104" i="35"/>
  <c r="E103" i="35"/>
  <c r="B108" i="35"/>
  <c r="F108" i="35"/>
  <c r="C105" i="35"/>
  <c r="E109" i="35"/>
  <c r="G107" i="35"/>
  <c r="E105" i="35"/>
  <c r="K108" i="35"/>
  <c r="F104" i="35"/>
  <c r="I440" i="30"/>
  <c r="D440" i="30"/>
  <c r="J440" i="30"/>
  <c r="C440" i="30"/>
  <c r="H440" i="30"/>
  <c r="F440" i="30"/>
  <c r="K440" i="30"/>
  <c r="L440" i="30"/>
  <c r="E440" i="30"/>
  <c r="G440" i="30"/>
  <c r="B54" i="39"/>
  <c r="E54" i="39"/>
  <c r="G53" i="39"/>
  <c r="J56" i="39"/>
  <c r="E50" i="39"/>
  <c r="F51" i="39"/>
  <c r="H49" i="39"/>
  <c r="B56" i="39"/>
  <c r="D50" i="39"/>
  <c r="I53" i="39"/>
  <c r="J49" i="39"/>
  <c r="D56" i="39"/>
  <c r="J53" i="39"/>
  <c r="I55" i="39"/>
  <c r="K51" i="39"/>
  <c r="C56" i="39"/>
  <c r="I49" i="39"/>
  <c r="H52" i="39"/>
  <c r="D51" i="39"/>
  <c r="I50" i="39"/>
  <c r="I252" i="39"/>
  <c r="C246" i="39"/>
  <c r="C248" i="39"/>
  <c r="E247" i="39"/>
  <c r="H250" i="39"/>
  <c r="G248" i="39"/>
  <c r="I248" i="39"/>
  <c r="B248" i="39"/>
  <c r="D247" i="39"/>
  <c r="B246" i="39"/>
  <c r="B251" i="39"/>
  <c r="C251" i="39"/>
  <c r="F247" i="39"/>
  <c r="E250" i="39"/>
  <c r="J251" i="39"/>
  <c r="D246" i="39"/>
  <c r="I250" i="39"/>
  <c r="K252" i="39"/>
  <c r="E251" i="39"/>
  <c r="C252" i="39"/>
  <c r="B65" i="39"/>
  <c r="K65" i="39"/>
  <c r="H61" i="39"/>
  <c r="F62" i="39"/>
  <c r="I59" i="39"/>
  <c r="E64" i="39"/>
  <c r="J64" i="39"/>
  <c r="J59" i="39"/>
  <c r="C59" i="58"/>
  <c r="C58" i="58"/>
  <c r="C62" i="58"/>
  <c r="C63" i="58"/>
  <c r="C65" i="58"/>
  <c r="C64" i="58"/>
  <c r="C60" i="58"/>
  <c r="C61" i="58"/>
  <c r="H155" i="4"/>
  <c r="H137" i="40"/>
  <c r="J136" i="40"/>
  <c r="J154" i="4"/>
  <c r="I134" i="40"/>
  <c r="I152" i="4"/>
  <c r="G133" i="40"/>
  <c r="G141" i="4" a="1"/>
  <c r="G141" i="4" s="1"/>
  <c r="G151" i="4"/>
  <c r="G136" i="40"/>
  <c r="G154" i="4"/>
  <c r="J155" i="4"/>
  <c r="J137" i="40"/>
  <c r="H152" i="4"/>
  <c r="H134" i="40"/>
  <c r="J138" i="40"/>
  <c r="J156" i="4"/>
  <c r="F154" i="4"/>
  <c r="F136" i="40"/>
  <c r="E137" i="40"/>
  <c r="E155" i="4"/>
  <c r="M136" i="40"/>
  <c r="M154" i="4"/>
  <c r="J152" i="4"/>
  <c r="J134" i="40"/>
  <c r="F152" i="4"/>
  <c r="F134" i="40"/>
  <c r="K158" i="4"/>
  <c r="K140" i="40"/>
  <c r="E157" i="4"/>
  <c r="E139" i="40"/>
  <c r="G137" i="40"/>
  <c r="G155" i="4"/>
  <c r="F137" i="40"/>
  <c r="F155" i="4"/>
  <c r="D135" i="40"/>
  <c r="D153" i="4"/>
  <c r="K151" i="4"/>
  <c r="K133" i="40"/>
  <c r="K141" i="4" a="1"/>
  <c r="K141" i="4" s="1"/>
  <c r="D138" i="40"/>
  <c r="D156" i="4"/>
  <c r="H90" i="37"/>
  <c r="G60" i="57"/>
  <c r="B299" i="38" l="1" a="1"/>
  <c r="E352" i="34"/>
  <c r="F348" i="34"/>
  <c r="L348" i="34"/>
  <c r="K348" i="34"/>
  <c r="C346" i="34"/>
  <c r="B40" i="37"/>
  <c r="F70" i="39"/>
  <c r="B69" i="39"/>
  <c r="C70" i="37"/>
  <c r="G256" i="39"/>
  <c r="J258" i="39"/>
  <c r="J260" i="39"/>
  <c r="E261" i="39"/>
  <c r="H257" i="39"/>
  <c r="H261" i="39"/>
  <c r="I60" i="37"/>
  <c r="K349" i="34"/>
  <c r="L352" i="34"/>
  <c r="H348" i="34"/>
  <c r="L346" i="34"/>
  <c r="G353" i="34"/>
  <c r="H40" i="37"/>
  <c r="I40" i="37"/>
  <c r="K71" i="39"/>
  <c r="I67" i="39"/>
  <c r="D69" i="39"/>
  <c r="B299" i="8" a="1"/>
  <c r="C103" i="38" a="1"/>
  <c r="E72" i="39"/>
  <c r="E141" i="40"/>
  <c r="J261" i="39"/>
  <c r="I261" i="39"/>
  <c r="I258" i="39"/>
  <c r="J256" i="39"/>
  <c r="K256" i="39"/>
  <c r="I254" i="39"/>
  <c r="H254" i="39"/>
  <c r="H60" i="37"/>
  <c r="E60" i="37"/>
  <c r="C350" i="34"/>
  <c r="F352" i="34"/>
  <c r="I346" i="34"/>
  <c r="I349" i="34"/>
  <c r="H69" i="39"/>
  <c r="J107" i="35"/>
  <c r="I105" i="35"/>
  <c r="C109" i="35"/>
  <c r="C109" i="37" s="1"/>
  <c r="H102" i="35"/>
  <c r="J108" i="35"/>
  <c r="D107" i="35"/>
  <c r="K104" i="35"/>
  <c r="G108" i="35"/>
  <c r="F103" i="35"/>
  <c r="K106" i="35"/>
  <c r="D103" i="35"/>
  <c r="J102" i="35"/>
  <c r="I102" i="35"/>
  <c r="B106" i="35"/>
  <c r="H109" i="35"/>
  <c r="B102" i="35"/>
  <c r="K107" i="35"/>
  <c r="G104" i="35"/>
  <c r="K261" i="39"/>
  <c r="C261" i="39"/>
  <c r="E257" i="39"/>
  <c r="G71" i="39"/>
  <c r="D67" i="39"/>
  <c r="B94" i="8" a="1"/>
  <c r="B101" i="8" s="1"/>
  <c r="B103" i="8" a="1"/>
  <c r="C109" i="7"/>
  <c r="E105" i="7"/>
  <c r="I106" i="7"/>
  <c r="H106" i="7"/>
  <c r="J106" i="7"/>
  <c r="I103" i="7"/>
  <c r="I103" i="37" s="1"/>
  <c r="H108" i="7"/>
  <c r="K108" i="7"/>
  <c r="D109" i="7"/>
  <c r="I102" i="7"/>
  <c r="H106" i="35"/>
  <c r="I103" i="35"/>
  <c r="D106" i="35"/>
  <c r="F106" i="35"/>
  <c r="D108" i="35"/>
  <c r="H104" i="35"/>
  <c r="B103" i="35"/>
  <c r="C104" i="35"/>
  <c r="C108" i="35"/>
  <c r="C107" i="35"/>
  <c r="J104" i="35"/>
  <c r="I106" i="35"/>
  <c r="F107" i="35"/>
  <c r="C103" i="35"/>
  <c r="C102" i="35"/>
  <c r="H105" i="35"/>
  <c r="H110" i="35" s="1"/>
  <c r="B109" i="35"/>
  <c r="F102" i="35"/>
  <c r="H107" i="35"/>
  <c r="F105" i="35"/>
  <c r="L141" i="40"/>
  <c r="B94" i="38" a="1"/>
  <c r="B103" i="38" a="1"/>
  <c r="G104" i="7"/>
  <c r="D107" i="7"/>
  <c r="D107" i="37" s="1"/>
  <c r="C103" i="7"/>
  <c r="B107" i="7"/>
  <c r="B108" i="7"/>
  <c r="H103" i="7"/>
  <c r="H103" i="37" s="1"/>
  <c r="C104" i="7"/>
  <c r="B109" i="7"/>
  <c r="K106" i="7"/>
  <c r="B106" i="7"/>
  <c r="B106" i="37" s="1"/>
  <c r="C107" i="7"/>
  <c r="B104" i="7"/>
  <c r="B103" i="7"/>
  <c r="K102" i="7"/>
  <c r="E108" i="7"/>
  <c r="G105" i="7"/>
  <c r="I107" i="7"/>
  <c r="J107" i="7"/>
  <c r="J110" i="7" s="1"/>
  <c r="F106" i="7"/>
  <c r="J102" i="7"/>
  <c r="G70" i="37"/>
  <c r="G255" i="39"/>
  <c r="C257" i="39"/>
  <c r="I255" i="39"/>
  <c r="G259" i="39"/>
  <c r="H258" i="39"/>
  <c r="D74" i="39"/>
  <c r="B105" i="35"/>
  <c r="H108" i="35"/>
  <c r="H104" i="7"/>
  <c r="H104" i="37" s="1"/>
  <c r="J105" i="7"/>
  <c r="H107" i="7"/>
  <c r="H109" i="7"/>
  <c r="H109" i="37" s="1"/>
  <c r="C106" i="7"/>
  <c r="J108" i="7"/>
  <c r="D105" i="7"/>
  <c r="E104" i="7"/>
  <c r="D103" i="7"/>
  <c r="J103" i="7"/>
  <c r="K102" i="35"/>
  <c r="J103" i="35"/>
  <c r="J103" i="37" s="1"/>
  <c r="C106" i="35"/>
  <c r="G105" i="35"/>
  <c r="E107" i="35"/>
  <c r="J106" i="35"/>
  <c r="K103" i="35"/>
  <c r="D102" i="35"/>
  <c r="D109" i="35"/>
  <c r="D104" i="35"/>
  <c r="K109" i="35"/>
  <c r="I104" i="35"/>
  <c r="B107" i="35"/>
  <c r="D105" i="35"/>
  <c r="D105" i="37" s="1"/>
  <c r="E106" i="35"/>
  <c r="K105" i="35"/>
  <c r="I108" i="35"/>
  <c r="I109" i="35"/>
  <c r="E102" i="35"/>
  <c r="B67" i="39"/>
  <c r="H105" i="7"/>
  <c r="C108" i="7"/>
  <c r="D108" i="7"/>
  <c r="J109" i="7"/>
  <c r="D102" i="7"/>
  <c r="F105" i="7"/>
  <c r="E109" i="7"/>
  <c r="F107" i="7"/>
  <c r="F102" i="7"/>
  <c r="F103" i="7"/>
  <c r="F109" i="7"/>
  <c r="I108" i="7"/>
  <c r="E103" i="7"/>
  <c r="F104" i="7"/>
  <c r="B102" i="7"/>
  <c r="C105" i="7"/>
  <c r="K104" i="7"/>
  <c r="E106" i="7"/>
  <c r="E102" i="7"/>
  <c r="K60" i="37"/>
  <c r="I70" i="37"/>
  <c r="G260" i="39"/>
  <c r="D260" i="39"/>
  <c r="C79" i="29"/>
  <c r="F141" i="40"/>
  <c r="G257" i="39"/>
  <c r="C254" i="39"/>
  <c r="G254" i="39"/>
  <c r="I257" i="39"/>
  <c r="H256" i="39"/>
  <c r="B255" i="39"/>
  <c r="B257" i="39"/>
  <c r="F258" i="39"/>
  <c r="D255" i="39"/>
  <c r="G261" i="39"/>
  <c r="B256" i="39"/>
  <c r="K257" i="39"/>
  <c r="E259" i="39"/>
  <c r="J255" i="39"/>
  <c r="F275" i="39"/>
  <c r="I278" i="39"/>
  <c r="C277" i="39"/>
  <c r="J276" i="39"/>
  <c r="D278" i="39"/>
  <c r="G276" i="39"/>
  <c r="K272" i="39"/>
  <c r="J352" i="34"/>
  <c r="D346" i="34"/>
  <c r="L350" i="34"/>
  <c r="F353" i="34"/>
  <c r="K278" i="39"/>
  <c r="C273" i="39"/>
  <c r="C94" i="38" a="1"/>
  <c r="D272" i="39"/>
  <c r="D273" i="39"/>
  <c r="C272" i="39"/>
  <c r="E272" i="39"/>
  <c r="K273" i="39"/>
  <c r="E278" i="39"/>
  <c r="I274" i="39"/>
  <c r="B272" i="39"/>
  <c r="B275" i="39"/>
  <c r="E277" i="39"/>
  <c r="F276" i="39"/>
  <c r="G347" i="34"/>
  <c r="K351" i="34"/>
  <c r="J351" i="34"/>
  <c r="F351" i="34"/>
  <c r="F40" i="37"/>
  <c r="H273" i="39"/>
  <c r="F279" i="39"/>
  <c r="G278" i="39"/>
  <c r="E275" i="39"/>
  <c r="H275" i="39"/>
  <c r="C275" i="39"/>
  <c r="F273" i="39"/>
  <c r="L351" i="34"/>
  <c r="C347" i="34"/>
  <c r="C353" i="34"/>
  <c r="D347" i="34"/>
  <c r="H349" i="34"/>
  <c r="C276" i="39"/>
  <c r="E273" i="39"/>
  <c r="I279" i="39"/>
  <c r="F58" i="39"/>
  <c r="C94" i="8" a="1"/>
  <c r="L347" i="34"/>
  <c r="E347" i="34"/>
  <c r="H352" i="34"/>
  <c r="H279" i="39"/>
  <c r="K277" i="39"/>
  <c r="G272" i="39"/>
  <c r="K279" i="39"/>
  <c r="D141" i="40"/>
  <c r="H70" i="37"/>
  <c r="J70" i="37"/>
  <c r="L349" i="34"/>
  <c r="I353" i="34"/>
  <c r="H350" i="34"/>
  <c r="L353" i="34"/>
  <c r="G350" i="34"/>
  <c r="J353" i="34"/>
  <c r="D277" i="39"/>
  <c r="B273" i="39"/>
  <c r="E276" i="39"/>
  <c r="D274" i="39"/>
  <c r="E279" i="39"/>
  <c r="J274" i="39"/>
  <c r="G273" i="39"/>
  <c r="K276" i="39"/>
  <c r="B279" i="39"/>
  <c r="C278" i="39"/>
  <c r="B277" i="39"/>
  <c r="K274" i="39"/>
  <c r="G279" i="39"/>
  <c r="K275" i="39"/>
  <c r="B274" i="39"/>
  <c r="F274" i="39"/>
  <c r="G277" i="39"/>
  <c r="J277" i="39"/>
  <c r="D276" i="39"/>
  <c r="H274" i="39"/>
  <c r="I273" i="39"/>
  <c r="C274" i="39"/>
  <c r="G141" i="40"/>
  <c r="H346" i="34"/>
  <c r="G352" i="34"/>
  <c r="F346" i="34"/>
  <c r="I275" i="39"/>
  <c r="J273" i="39"/>
  <c r="B276" i="39"/>
  <c r="J279" i="39"/>
  <c r="J350" i="34"/>
  <c r="K353" i="34"/>
  <c r="H347" i="34"/>
  <c r="K347" i="34"/>
  <c r="G351" i="34"/>
  <c r="H353" i="34"/>
  <c r="D279" i="39"/>
  <c r="G275" i="39"/>
  <c r="H277" i="39"/>
  <c r="B278" i="39"/>
  <c r="D275" i="39"/>
  <c r="I272" i="39"/>
  <c r="I276" i="39"/>
  <c r="H276" i="39"/>
  <c r="E274" i="39"/>
  <c r="F272" i="39"/>
  <c r="G274" i="39"/>
  <c r="C279" i="39"/>
  <c r="F278" i="39"/>
  <c r="J275" i="39"/>
  <c r="H272" i="39"/>
  <c r="H278" i="39"/>
  <c r="J272" i="39"/>
  <c r="F277" i="39"/>
  <c r="I277" i="39"/>
  <c r="J278" i="39"/>
  <c r="D78" i="29" a="1"/>
  <c r="J78" i="29" s="1"/>
  <c r="C78" i="29"/>
  <c r="F349" i="34"/>
  <c r="E346" i="34"/>
  <c r="C351" i="34"/>
  <c r="C185" i="40"/>
  <c r="K70" i="37"/>
  <c r="D30" i="35"/>
  <c r="C80" i="29"/>
  <c r="C81" i="29"/>
  <c r="F347" i="34"/>
  <c r="J347" i="34"/>
  <c r="D353" i="34"/>
  <c r="J346" i="34"/>
  <c r="I347" i="34"/>
  <c r="D80" i="29" a="1"/>
  <c r="G80" i="29" s="1"/>
  <c r="B290" i="8" a="1"/>
  <c r="E292" i="8" s="1"/>
  <c r="K141" i="40"/>
  <c r="I141" i="40"/>
  <c r="D79" i="29" a="1"/>
  <c r="H79" i="29" s="1"/>
  <c r="C76" i="40"/>
  <c r="K350" i="34"/>
  <c r="J349" i="34"/>
  <c r="I351" i="34"/>
  <c r="D352" i="34"/>
  <c r="K352" i="34"/>
  <c r="D351" i="34"/>
  <c r="E348" i="34"/>
  <c r="I348" i="34"/>
  <c r="E349" i="34"/>
  <c r="G349" i="34"/>
  <c r="B290" i="38" a="1"/>
  <c r="C187" i="40"/>
  <c r="E70" i="37"/>
  <c r="J81" i="39"/>
  <c r="K78" i="39"/>
  <c r="F76" i="39"/>
  <c r="J80" i="39"/>
  <c r="C79" i="39"/>
  <c r="C83" i="39"/>
  <c r="I77" i="39"/>
  <c r="H82" i="39"/>
  <c r="E78" i="39"/>
  <c r="F78" i="39"/>
  <c r="K82" i="39"/>
  <c r="D79" i="39"/>
  <c r="I83" i="39"/>
  <c r="I79" i="39"/>
  <c r="J76" i="39"/>
  <c r="J77" i="39"/>
  <c r="B77" i="39"/>
  <c r="J82" i="39"/>
  <c r="G81" i="39"/>
  <c r="J83" i="39"/>
  <c r="D70" i="37"/>
  <c r="C60" i="37"/>
  <c r="F77" i="39"/>
  <c r="D80" i="39"/>
  <c r="C76" i="39"/>
  <c r="C112" i="8" a="1"/>
  <c r="C112" i="38" a="1"/>
  <c r="D81" i="39"/>
  <c r="G79" i="39"/>
  <c r="B83" i="39"/>
  <c r="H81" i="39"/>
  <c r="E79" i="39"/>
  <c r="G76" i="39"/>
  <c r="D78" i="39"/>
  <c r="H79" i="39"/>
  <c r="F83" i="39"/>
  <c r="J78" i="39"/>
  <c r="K80" i="39"/>
  <c r="H77" i="39"/>
  <c r="B78" i="39"/>
  <c r="D76" i="39"/>
  <c r="E82" i="39"/>
  <c r="K76" i="39"/>
  <c r="F79" i="39"/>
  <c r="I76" i="7"/>
  <c r="D73" i="7"/>
  <c r="F72" i="7"/>
  <c r="H76" i="7"/>
  <c r="D76" i="7"/>
  <c r="D77" i="7"/>
  <c r="J77" i="7"/>
  <c r="C77" i="7"/>
  <c r="J73" i="7"/>
  <c r="I78" i="7"/>
  <c r="K74" i="7"/>
  <c r="H75" i="7"/>
  <c r="I79" i="7"/>
  <c r="C76" i="7"/>
  <c r="E77" i="7"/>
  <c r="C75" i="7"/>
  <c r="G74" i="7"/>
  <c r="I73" i="7"/>
  <c r="C72" i="7"/>
  <c r="F78" i="7"/>
  <c r="K78" i="7"/>
  <c r="E75" i="7"/>
  <c r="I74" i="7"/>
  <c r="F75" i="7"/>
  <c r="E76" i="7"/>
  <c r="H77" i="7"/>
  <c r="H74" i="7"/>
  <c r="D74" i="7"/>
  <c r="G78" i="7"/>
  <c r="J72" i="7"/>
  <c r="D75" i="7"/>
  <c r="H79" i="7"/>
  <c r="C79" i="7"/>
  <c r="B73" i="7"/>
  <c r="F77" i="7"/>
  <c r="B74" i="7"/>
  <c r="B79" i="7"/>
  <c r="E73" i="7"/>
  <c r="J75" i="7"/>
  <c r="C78" i="7"/>
  <c r="J78" i="7"/>
  <c r="I75" i="7"/>
  <c r="F79" i="7"/>
  <c r="K79" i="7"/>
  <c r="C74" i="7"/>
  <c r="K72" i="7"/>
  <c r="H78" i="7"/>
  <c r="G79" i="7"/>
  <c r="K77" i="7"/>
  <c r="B78" i="7"/>
  <c r="B72" i="7"/>
  <c r="E72" i="7"/>
  <c r="F73" i="7"/>
  <c r="F74" i="7"/>
  <c r="J79" i="7"/>
  <c r="G76" i="7"/>
  <c r="I77" i="7"/>
  <c r="K75" i="7"/>
  <c r="E79" i="7"/>
  <c r="J74" i="7"/>
  <c r="G75" i="7"/>
  <c r="B75" i="7"/>
  <c r="J76" i="7"/>
  <c r="D79" i="7"/>
  <c r="K76" i="7"/>
  <c r="B76" i="7"/>
  <c r="D78" i="7"/>
  <c r="B77" i="7"/>
  <c r="G73" i="7"/>
  <c r="G72" i="7"/>
  <c r="H73" i="7"/>
  <c r="I72" i="7"/>
  <c r="C73" i="7"/>
  <c r="H72" i="7"/>
  <c r="E74" i="7"/>
  <c r="D72" i="7"/>
  <c r="F76" i="7"/>
  <c r="K73" i="7"/>
  <c r="E78" i="7"/>
  <c r="G77" i="7"/>
  <c r="J79" i="39"/>
  <c r="H80" i="39"/>
  <c r="I82" i="39"/>
  <c r="K81" i="39"/>
  <c r="D77" i="39"/>
  <c r="D83" i="39"/>
  <c r="E83" i="39"/>
  <c r="B82" i="39"/>
  <c r="E77" i="39"/>
  <c r="B112" i="8" a="1"/>
  <c r="B76" i="39"/>
  <c r="B112" i="38" a="1"/>
  <c r="B308" i="8" a="1"/>
  <c r="B308" i="38" a="1"/>
  <c r="B79" i="39"/>
  <c r="F80" i="39"/>
  <c r="B80" i="39"/>
  <c r="F81" i="39"/>
  <c r="G80" i="39"/>
  <c r="K79" i="39"/>
  <c r="H76" i="39"/>
  <c r="G82" i="39"/>
  <c r="I78" i="39"/>
  <c r="E81" i="39"/>
  <c r="J440" i="34"/>
  <c r="I77" i="35"/>
  <c r="G75" i="35"/>
  <c r="I73" i="35"/>
  <c r="G74" i="35"/>
  <c r="I79" i="35"/>
  <c r="K72" i="35"/>
  <c r="J73" i="35"/>
  <c r="F78" i="35"/>
  <c r="D73" i="35"/>
  <c r="K74" i="35"/>
  <c r="K73" i="35"/>
  <c r="H75" i="35"/>
  <c r="D74" i="35"/>
  <c r="B74" i="35"/>
  <c r="E79" i="35"/>
  <c r="B73" i="35"/>
  <c r="I72" i="35"/>
  <c r="B79" i="35"/>
  <c r="C79" i="35"/>
  <c r="B76" i="35"/>
  <c r="J78" i="35"/>
  <c r="D78" i="35"/>
  <c r="J76" i="35"/>
  <c r="E73" i="35"/>
  <c r="C72" i="35"/>
  <c r="K79" i="35"/>
  <c r="K75" i="35"/>
  <c r="B77" i="35"/>
  <c r="I75" i="35"/>
  <c r="J79" i="35"/>
  <c r="C73" i="35"/>
  <c r="F79" i="35"/>
  <c r="K76" i="35"/>
  <c r="F76" i="35"/>
  <c r="G76" i="35"/>
  <c r="J72" i="35"/>
  <c r="B75" i="35"/>
  <c r="B78" i="35"/>
  <c r="E72" i="35"/>
  <c r="C76" i="35"/>
  <c r="D75" i="35"/>
  <c r="F72" i="35"/>
  <c r="F74" i="35"/>
  <c r="J75" i="35"/>
  <c r="H78" i="35"/>
  <c r="H79" i="35"/>
  <c r="J74" i="35"/>
  <c r="E76" i="35"/>
  <c r="H77" i="35"/>
  <c r="F75" i="35"/>
  <c r="G79" i="35"/>
  <c r="E77" i="35"/>
  <c r="I76" i="35"/>
  <c r="K78" i="35"/>
  <c r="G72" i="35"/>
  <c r="C74" i="35"/>
  <c r="D76" i="35"/>
  <c r="C75" i="35"/>
  <c r="E75" i="35"/>
  <c r="B72" i="35"/>
  <c r="D79" i="35"/>
  <c r="G77" i="35"/>
  <c r="H74" i="35"/>
  <c r="D77" i="35"/>
  <c r="H72" i="35"/>
  <c r="C78" i="35"/>
  <c r="F77" i="35"/>
  <c r="C77" i="35"/>
  <c r="J77" i="35"/>
  <c r="E74" i="35"/>
  <c r="F73" i="35"/>
  <c r="H76" i="35"/>
  <c r="E78" i="35"/>
  <c r="K77" i="35"/>
  <c r="G78" i="35"/>
  <c r="D72" i="35"/>
  <c r="H73" i="35"/>
  <c r="I74" i="35"/>
  <c r="I78" i="35"/>
  <c r="G73" i="35"/>
  <c r="B70" i="37"/>
  <c r="H78" i="39"/>
  <c r="G77" i="39"/>
  <c r="K83" i="39"/>
  <c r="C77" i="39"/>
  <c r="E76" i="39"/>
  <c r="C80" i="39"/>
  <c r="I80" i="39"/>
  <c r="G83" i="39"/>
  <c r="K77" i="39"/>
  <c r="I81" i="39"/>
  <c r="G78" i="39"/>
  <c r="B81" i="39"/>
  <c r="D82" i="39"/>
  <c r="C81" i="39"/>
  <c r="C82" i="39"/>
  <c r="F82" i="39"/>
  <c r="C78" i="39"/>
  <c r="I76" i="39"/>
  <c r="H83" i="39"/>
  <c r="E80" i="39"/>
  <c r="D65" i="58"/>
  <c r="D164" i="40"/>
  <c r="D166" i="4"/>
  <c r="D61" i="58"/>
  <c r="D63" i="58"/>
  <c r="M440" i="30"/>
  <c r="I110" i="35"/>
  <c r="D159" i="4" a="1"/>
  <c r="D159" i="4" s="1"/>
  <c r="L159" i="4" a="1"/>
  <c r="L159" i="4" s="1"/>
  <c r="B101" i="38"/>
  <c r="B137" i="38" s="1"/>
  <c r="C174" i="38" s="1"/>
  <c r="B94" i="38"/>
  <c r="B130" i="38" s="1"/>
  <c r="B98" i="38"/>
  <c r="B134" i="38" s="1"/>
  <c r="C171" i="38" s="1"/>
  <c r="B95" i="38"/>
  <c r="B131" i="38" s="1"/>
  <c r="C168" i="38" s="1"/>
  <c r="B96" i="38"/>
  <c r="B132" i="38" s="1"/>
  <c r="C169" i="38" s="1"/>
  <c r="B97" i="38"/>
  <c r="B133" i="38" s="1"/>
  <c r="C170" i="38" s="1"/>
  <c r="B99" i="38"/>
  <c r="B135" i="38" s="1"/>
  <c r="C172" i="38" s="1"/>
  <c r="B100" i="38"/>
  <c r="B136" i="38" s="1"/>
  <c r="C173" i="38" s="1"/>
  <c r="B92" i="8"/>
  <c r="B87" i="8"/>
  <c r="B85" i="8"/>
  <c r="B89" i="8"/>
  <c r="B90" i="8"/>
  <c r="B86" i="8"/>
  <c r="B91" i="8"/>
  <c r="B88" i="8"/>
  <c r="K440" i="34"/>
  <c r="F440" i="34"/>
  <c r="I440" i="34"/>
  <c r="B108" i="38"/>
  <c r="B144" i="38" s="1"/>
  <c r="C182" i="38" s="1"/>
  <c r="B110" i="38"/>
  <c r="B146" i="38" s="1"/>
  <c r="C184" i="38" s="1"/>
  <c r="B107" i="38"/>
  <c r="B143" i="38" s="1"/>
  <c r="C181" i="38" s="1"/>
  <c r="B105" i="38"/>
  <c r="B141" i="38" s="1"/>
  <c r="C179" i="38" s="1"/>
  <c r="B103" i="38"/>
  <c r="B139" i="38" s="1"/>
  <c r="B109" i="38"/>
  <c r="B145" i="38" s="1"/>
  <c r="C183" i="38" s="1"/>
  <c r="B104" i="38"/>
  <c r="B140" i="38" s="1"/>
  <c r="C178" i="38" s="1"/>
  <c r="B106" i="38"/>
  <c r="B142" i="38" s="1"/>
  <c r="C180" i="38" s="1"/>
  <c r="G30" i="35"/>
  <c r="E30" i="35"/>
  <c r="C30" i="35"/>
  <c r="I159" i="4" a="1"/>
  <c r="I159" i="4" s="1"/>
  <c r="K98" i="38"/>
  <c r="K134" i="38" s="1"/>
  <c r="E94" i="38"/>
  <c r="E130" i="38" s="1"/>
  <c r="C96" i="38"/>
  <c r="C132" i="38" s="1"/>
  <c r="K101" i="38"/>
  <c r="K137" i="38" s="1"/>
  <c r="G99" i="38"/>
  <c r="G135" i="38" s="1"/>
  <c r="C95" i="38"/>
  <c r="C131" i="38" s="1"/>
  <c r="H100" i="38"/>
  <c r="H136" i="38" s="1"/>
  <c r="I95" i="38"/>
  <c r="I131" i="38" s="1"/>
  <c r="H94" i="38"/>
  <c r="H130" i="38" s="1"/>
  <c r="J97" i="38"/>
  <c r="J133" i="38" s="1"/>
  <c r="J100" i="38"/>
  <c r="J136" i="38" s="1"/>
  <c r="D98" i="38"/>
  <c r="D134" i="38" s="1"/>
  <c r="F96" i="38"/>
  <c r="F132" i="38" s="1"/>
  <c r="J96" i="38"/>
  <c r="J132" i="38" s="1"/>
  <c r="I100" i="38"/>
  <c r="I136" i="38" s="1"/>
  <c r="G100" i="38"/>
  <c r="G136" i="38" s="1"/>
  <c r="F97" i="38"/>
  <c r="F133" i="38" s="1"/>
  <c r="G96" i="38"/>
  <c r="G132" i="38" s="1"/>
  <c r="E101" i="38"/>
  <c r="E137" i="38" s="1"/>
  <c r="J99" i="38"/>
  <c r="J135" i="38" s="1"/>
  <c r="G94" i="38"/>
  <c r="G130" i="38" s="1"/>
  <c r="D97" i="38"/>
  <c r="D133" i="38" s="1"/>
  <c r="H97" i="38"/>
  <c r="H133" i="38" s="1"/>
  <c r="C99" i="38"/>
  <c r="C135" i="38" s="1"/>
  <c r="C94" i="38"/>
  <c r="C130" i="38" s="1"/>
  <c r="K97" i="38"/>
  <c r="K133" i="38" s="1"/>
  <c r="K96" i="38"/>
  <c r="K132" i="38" s="1"/>
  <c r="E97" i="38"/>
  <c r="E133" i="38" s="1"/>
  <c r="K100" i="38"/>
  <c r="K136" i="38" s="1"/>
  <c r="E95" i="38"/>
  <c r="E131" i="38" s="1"/>
  <c r="H95" i="38"/>
  <c r="H131" i="38" s="1"/>
  <c r="D96" i="38"/>
  <c r="D132" i="38" s="1"/>
  <c r="G98" i="38"/>
  <c r="G134" i="38" s="1"/>
  <c r="H99" i="38"/>
  <c r="H135" i="38" s="1"/>
  <c r="F100" i="38"/>
  <c r="F136" i="38" s="1"/>
  <c r="F101" i="38"/>
  <c r="F137" i="38" s="1"/>
  <c r="G97" i="38"/>
  <c r="G133" i="38" s="1"/>
  <c r="F95" i="38"/>
  <c r="F131" i="38" s="1"/>
  <c r="K94" i="38"/>
  <c r="K130" i="38" s="1"/>
  <c r="E96" i="38"/>
  <c r="E132" i="38" s="1"/>
  <c r="F98" i="38"/>
  <c r="F134" i="38" s="1"/>
  <c r="F94" i="38"/>
  <c r="F130" i="38" s="1"/>
  <c r="J94" i="38"/>
  <c r="J130" i="38" s="1"/>
  <c r="I96" i="38"/>
  <c r="I132" i="38" s="1"/>
  <c r="I101" i="38"/>
  <c r="I137" i="38" s="1"/>
  <c r="J98" i="38"/>
  <c r="J134" i="38" s="1"/>
  <c r="H101" i="38"/>
  <c r="H137" i="38" s="1"/>
  <c r="H96" i="38"/>
  <c r="H132" i="38" s="1"/>
  <c r="I98" i="38"/>
  <c r="I134" i="38" s="1"/>
  <c r="H98" i="38"/>
  <c r="H134" i="38" s="1"/>
  <c r="G101" i="38"/>
  <c r="G137" i="38" s="1"/>
  <c r="E98" i="38"/>
  <c r="E134" i="38" s="1"/>
  <c r="C98" i="38"/>
  <c r="C134" i="38" s="1"/>
  <c r="D101" i="38"/>
  <c r="D137" i="38" s="1"/>
  <c r="K99" i="38"/>
  <c r="K135" i="38" s="1"/>
  <c r="C101" i="38"/>
  <c r="C137" i="38" s="1"/>
  <c r="I99" i="38"/>
  <c r="I135" i="38" s="1"/>
  <c r="K95" i="38"/>
  <c r="K131" i="38" s="1"/>
  <c r="D100" i="38"/>
  <c r="D136" i="38" s="1"/>
  <c r="F99" i="38"/>
  <c r="F135" i="38" s="1"/>
  <c r="D94" i="38"/>
  <c r="D130" i="38" s="1"/>
  <c r="I94" i="38"/>
  <c r="I130" i="38" s="1"/>
  <c r="G95" i="38"/>
  <c r="G131" i="38" s="1"/>
  <c r="E99" i="38"/>
  <c r="E135" i="38" s="1"/>
  <c r="E100" i="38"/>
  <c r="E136" i="38" s="1"/>
  <c r="D95" i="38"/>
  <c r="D131" i="38" s="1"/>
  <c r="D99" i="38"/>
  <c r="D135" i="38" s="1"/>
  <c r="C97" i="38"/>
  <c r="C133" i="38" s="1"/>
  <c r="J95" i="38"/>
  <c r="J131" i="38" s="1"/>
  <c r="I97" i="38"/>
  <c r="I133" i="38" s="1"/>
  <c r="J101" i="38"/>
  <c r="J137" i="38" s="1"/>
  <c r="C100" i="38"/>
  <c r="C136" i="38" s="1"/>
  <c r="J105" i="37"/>
  <c r="E105" i="37"/>
  <c r="H107" i="37"/>
  <c r="H106" i="37"/>
  <c r="J106" i="37"/>
  <c r="J108" i="37"/>
  <c r="E104" i="37"/>
  <c r="K108" i="37"/>
  <c r="D109" i="37"/>
  <c r="I110" i="7"/>
  <c r="I110" i="37" s="1"/>
  <c r="I102" i="37"/>
  <c r="H22" i="37"/>
  <c r="H30" i="7"/>
  <c r="E24" i="37"/>
  <c r="H26" i="37"/>
  <c r="B27" i="37"/>
  <c r="I27" i="37"/>
  <c r="J24" i="37"/>
  <c r="J27" i="37"/>
  <c r="D23" i="37"/>
  <c r="G23" i="37"/>
  <c r="I23" i="37"/>
  <c r="C25" i="37"/>
  <c r="B28" i="37"/>
  <c r="H23" i="37"/>
  <c r="K29" i="37"/>
  <c r="K25" i="37"/>
  <c r="F24" i="37"/>
  <c r="C28" i="37"/>
  <c r="J29" i="37"/>
  <c r="K24" i="37"/>
  <c r="B26" i="37"/>
  <c r="J141" i="40"/>
  <c r="M141" i="40"/>
  <c r="B96" i="8"/>
  <c r="B97" i="8"/>
  <c r="B95" i="8"/>
  <c r="B98" i="8"/>
  <c r="I293" i="8"/>
  <c r="E294" i="8"/>
  <c r="C290" i="8"/>
  <c r="H297" i="8"/>
  <c r="I296" i="8"/>
  <c r="D60" i="58"/>
  <c r="D62" i="58"/>
  <c r="D172" i="29"/>
  <c r="D166" i="29"/>
  <c r="B88" i="38"/>
  <c r="B124" i="38" s="1"/>
  <c r="C160" i="38" s="1"/>
  <c r="B91" i="38"/>
  <c r="B127" i="38" s="1"/>
  <c r="C163" i="38" s="1"/>
  <c r="B89" i="38"/>
  <c r="B125" i="38" s="1"/>
  <c r="C161" i="38" s="1"/>
  <c r="B92" i="38"/>
  <c r="B128" i="38" s="1"/>
  <c r="C164" i="38" s="1"/>
  <c r="B87" i="38"/>
  <c r="B123" i="38" s="1"/>
  <c r="C159" i="38" s="1"/>
  <c r="B85" i="38"/>
  <c r="B121" i="38" s="1"/>
  <c r="B90" i="38"/>
  <c r="B126" i="38" s="1"/>
  <c r="C162" i="38" s="1"/>
  <c r="B86" i="38"/>
  <c r="B122" i="38" s="1"/>
  <c r="C158" i="38" s="1"/>
  <c r="E440" i="34"/>
  <c r="M440" i="6"/>
  <c r="C440" i="34"/>
  <c r="L440" i="34"/>
  <c r="K300" i="8"/>
  <c r="D299" i="8"/>
  <c r="E305" i="8"/>
  <c r="F300" i="8"/>
  <c r="H303" i="8"/>
  <c r="C306" i="8"/>
  <c r="D305" i="8"/>
  <c r="K299" i="8"/>
  <c r="I305" i="8"/>
  <c r="B305" i="8"/>
  <c r="I301" i="8"/>
  <c r="I304" i="8"/>
  <c r="B299" i="8"/>
  <c r="B306" i="8"/>
  <c r="F306" i="8"/>
  <c r="I299" i="8"/>
  <c r="D301" i="8"/>
  <c r="C302" i="8"/>
  <c r="K302" i="8"/>
  <c r="B300" i="8"/>
  <c r="K305" i="8"/>
  <c r="I302" i="8"/>
  <c r="E306" i="8"/>
  <c r="D303" i="8"/>
  <c r="F304" i="8"/>
  <c r="E302" i="8"/>
  <c r="J301" i="8"/>
  <c r="D306" i="8"/>
  <c r="F301" i="8"/>
  <c r="G305" i="8"/>
  <c r="J306" i="8"/>
  <c r="E301" i="8"/>
  <c r="I300" i="8"/>
  <c r="F302" i="8"/>
  <c r="J302" i="8"/>
  <c r="G306" i="8"/>
  <c r="K306" i="8"/>
  <c r="K303" i="8"/>
  <c r="J299" i="8"/>
  <c r="J304" i="8"/>
  <c r="E303" i="8"/>
  <c r="C299" i="8"/>
  <c r="F299" i="8"/>
  <c r="H300" i="8"/>
  <c r="F303" i="8"/>
  <c r="H304" i="8"/>
  <c r="C304" i="8"/>
  <c r="J300" i="8"/>
  <c r="K301" i="8"/>
  <c r="G304" i="8"/>
  <c r="C303" i="8"/>
  <c r="G302" i="8"/>
  <c r="B302" i="8"/>
  <c r="B301" i="8"/>
  <c r="G301" i="8"/>
  <c r="D302" i="8"/>
  <c r="J305" i="8"/>
  <c r="H299" i="8"/>
  <c r="E304" i="8"/>
  <c r="F305" i="8"/>
  <c r="G303" i="8"/>
  <c r="D304" i="8"/>
  <c r="H306" i="8"/>
  <c r="C301" i="8"/>
  <c r="D300" i="8"/>
  <c r="B303" i="8"/>
  <c r="H302" i="8"/>
  <c r="B304" i="8"/>
  <c r="H305" i="8"/>
  <c r="C300" i="8"/>
  <c r="C305" i="8"/>
  <c r="I303" i="8"/>
  <c r="H301" i="8"/>
  <c r="J303" i="8"/>
  <c r="G300" i="8"/>
  <c r="I306" i="8"/>
  <c r="K304" i="8"/>
  <c r="E299" i="8"/>
  <c r="G299" i="8"/>
  <c r="E300" i="8"/>
  <c r="H30" i="35"/>
  <c r="I30" i="35"/>
  <c r="F159" i="4" a="1"/>
  <c r="F159" i="4" s="1"/>
  <c r="G104" i="37"/>
  <c r="C103" i="37"/>
  <c r="B107" i="37"/>
  <c r="B108" i="37"/>
  <c r="C104" i="37"/>
  <c r="B109" i="37"/>
  <c r="K106" i="37"/>
  <c r="C107" i="37"/>
  <c r="B104" i="37"/>
  <c r="B103" i="37"/>
  <c r="E108" i="37"/>
  <c r="G105" i="37"/>
  <c r="I107" i="37"/>
  <c r="F106" i="37"/>
  <c r="J102" i="37"/>
  <c r="I29" i="37"/>
  <c r="B25" i="37"/>
  <c r="C24" i="37"/>
  <c r="C29" i="37"/>
  <c r="H24" i="37"/>
  <c r="E22" i="37"/>
  <c r="E30" i="7"/>
  <c r="E30" i="37" s="1"/>
  <c r="I26" i="37"/>
  <c r="F29" i="37"/>
  <c r="C27" i="37"/>
  <c r="G27" i="37"/>
  <c r="B24" i="37"/>
  <c r="I22" i="37"/>
  <c r="I30" i="7"/>
  <c r="F23" i="37"/>
  <c r="C23" i="37"/>
  <c r="H25" i="37"/>
  <c r="D28" i="37"/>
  <c r="D26" i="37"/>
  <c r="E29" i="37"/>
  <c r="H29" i="37"/>
  <c r="C26" i="37"/>
  <c r="I73" i="4"/>
  <c r="H73" i="40"/>
  <c r="M159" i="4" a="1"/>
  <c r="M159" i="4" s="1"/>
  <c r="F288" i="38"/>
  <c r="C288" i="38"/>
  <c r="J281" i="38"/>
  <c r="I287" i="38"/>
  <c r="C281" i="38"/>
  <c r="C283" i="38"/>
  <c r="H285" i="38"/>
  <c r="H288" i="38"/>
  <c r="B281" i="38"/>
  <c r="C285" i="38"/>
  <c r="K288" i="38"/>
  <c r="F284" i="38"/>
  <c r="I281" i="38"/>
  <c r="D283" i="38"/>
  <c r="C282" i="38"/>
  <c r="B282" i="38"/>
  <c r="J286" i="38"/>
  <c r="H284" i="38"/>
  <c r="D287" i="38"/>
  <c r="B288" i="38"/>
  <c r="B283" i="38"/>
  <c r="B286" i="38"/>
  <c r="G282" i="38"/>
  <c r="H287" i="38"/>
  <c r="F282" i="38"/>
  <c r="B285" i="38"/>
  <c r="H281" i="38"/>
  <c r="C284" i="38"/>
  <c r="H282" i="38"/>
  <c r="B284" i="38"/>
  <c r="D288" i="38"/>
  <c r="J285" i="38"/>
  <c r="F286" i="38"/>
  <c r="K284" i="38"/>
  <c r="H283" i="38"/>
  <c r="G288" i="38"/>
  <c r="J288" i="38"/>
  <c r="D281" i="38"/>
  <c r="I284" i="38"/>
  <c r="G283" i="38"/>
  <c r="I286" i="38"/>
  <c r="K282" i="38"/>
  <c r="K285" i="38"/>
  <c r="E288" i="38"/>
  <c r="E283" i="38"/>
  <c r="E282" i="38"/>
  <c r="I282" i="38"/>
  <c r="G284" i="38"/>
  <c r="J282" i="38"/>
  <c r="G281" i="38"/>
  <c r="I283" i="38"/>
  <c r="B287" i="38"/>
  <c r="K286" i="38"/>
  <c r="E286" i="38"/>
  <c r="E281" i="38"/>
  <c r="D282" i="38"/>
  <c r="F283" i="38"/>
  <c r="D285" i="38"/>
  <c r="F285" i="38"/>
  <c r="C287" i="38"/>
  <c r="F287" i="38"/>
  <c r="I285" i="38"/>
  <c r="D284" i="38"/>
  <c r="I288" i="38"/>
  <c r="G287" i="38"/>
  <c r="E284" i="38"/>
  <c r="F281" i="38"/>
  <c r="C286" i="38"/>
  <c r="K281" i="38"/>
  <c r="H286" i="38"/>
  <c r="G286" i="38"/>
  <c r="E287" i="38"/>
  <c r="J287" i="38"/>
  <c r="K287" i="38"/>
  <c r="K283" i="38"/>
  <c r="J284" i="38"/>
  <c r="E285" i="38"/>
  <c r="G285" i="38"/>
  <c r="D286" i="38"/>
  <c r="J283" i="38"/>
  <c r="D64" i="58"/>
  <c r="D58" i="58"/>
  <c r="E110" i="35"/>
  <c r="C58" i="59" a="1"/>
  <c r="I89" i="38"/>
  <c r="I125" i="38" s="1"/>
  <c r="G87" i="38"/>
  <c r="G123" i="38" s="1"/>
  <c r="E87" i="38"/>
  <c r="E123" i="38" s="1"/>
  <c r="D91" i="38"/>
  <c r="D127" i="38" s="1"/>
  <c r="I92" i="38"/>
  <c r="I128" i="38" s="1"/>
  <c r="D90" i="38"/>
  <c r="D126" i="38" s="1"/>
  <c r="F89" i="38"/>
  <c r="F125" i="38" s="1"/>
  <c r="K92" i="38"/>
  <c r="K128" i="38" s="1"/>
  <c r="H87" i="38"/>
  <c r="H123" i="38" s="1"/>
  <c r="D92" i="38"/>
  <c r="D128" i="38" s="1"/>
  <c r="C85" i="38"/>
  <c r="C121" i="38" s="1"/>
  <c r="G91" i="38"/>
  <c r="G127" i="38" s="1"/>
  <c r="D85" i="38"/>
  <c r="D121" i="38" s="1"/>
  <c r="H92" i="38"/>
  <c r="H128" i="38" s="1"/>
  <c r="G85" i="38"/>
  <c r="G121" i="38" s="1"/>
  <c r="D86" i="38"/>
  <c r="D122" i="38" s="1"/>
  <c r="J86" i="38"/>
  <c r="J122" i="38" s="1"/>
  <c r="D88" i="38"/>
  <c r="D124" i="38" s="1"/>
  <c r="J88" i="38"/>
  <c r="J124" i="38" s="1"/>
  <c r="I91" i="38"/>
  <c r="I127" i="38" s="1"/>
  <c r="G92" i="38"/>
  <c r="G128" i="38" s="1"/>
  <c r="H85" i="38"/>
  <c r="H121" i="38" s="1"/>
  <c r="F91" i="38"/>
  <c r="F127" i="38" s="1"/>
  <c r="F92" i="38"/>
  <c r="F128" i="38" s="1"/>
  <c r="F87" i="38"/>
  <c r="F123" i="38" s="1"/>
  <c r="C87" i="38"/>
  <c r="C123" i="38" s="1"/>
  <c r="C90" i="38"/>
  <c r="C126" i="38" s="1"/>
  <c r="C91" i="38"/>
  <c r="C127" i="38" s="1"/>
  <c r="C92" i="38"/>
  <c r="C128" i="38" s="1"/>
  <c r="G86" i="38"/>
  <c r="G122" i="38" s="1"/>
  <c r="I86" i="38"/>
  <c r="I122" i="38" s="1"/>
  <c r="H90" i="38"/>
  <c r="H126" i="38" s="1"/>
  <c r="E90" i="38"/>
  <c r="E126" i="38" s="1"/>
  <c r="G88" i="38"/>
  <c r="G124" i="38" s="1"/>
  <c r="J90" i="38"/>
  <c r="J126" i="38" s="1"/>
  <c r="J85" i="38"/>
  <c r="J121" i="38" s="1"/>
  <c r="J92" i="38"/>
  <c r="J128" i="38" s="1"/>
  <c r="K91" i="38"/>
  <c r="K127" i="38" s="1"/>
  <c r="E92" i="38"/>
  <c r="E128" i="38" s="1"/>
  <c r="E85" i="38"/>
  <c r="E121" i="38" s="1"/>
  <c r="C86" i="38"/>
  <c r="C122" i="38" s="1"/>
  <c r="K90" i="38"/>
  <c r="K126" i="38" s="1"/>
  <c r="H88" i="38"/>
  <c r="H124" i="38" s="1"/>
  <c r="F86" i="38"/>
  <c r="F122" i="38" s="1"/>
  <c r="C88" i="38"/>
  <c r="C124" i="38" s="1"/>
  <c r="H86" i="38"/>
  <c r="H122" i="38" s="1"/>
  <c r="E86" i="38"/>
  <c r="E122" i="38" s="1"/>
  <c r="F85" i="38"/>
  <c r="F121" i="38" s="1"/>
  <c r="K85" i="38"/>
  <c r="K121" i="38" s="1"/>
  <c r="E91" i="38"/>
  <c r="E127" i="38" s="1"/>
  <c r="K89" i="38"/>
  <c r="K125" i="38" s="1"/>
  <c r="D89" i="38"/>
  <c r="D125" i="38" s="1"/>
  <c r="J91" i="38"/>
  <c r="J127" i="38" s="1"/>
  <c r="K86" i="38"/>
  <c r="K122" i="38" s="1"/>
  <c r="F90" i="38"/>
  <c r="F126" i="38" s="1"/>
  <c r="D87" i="38"/>
  <c r="D123" i="38" s="1"/>
  <c r="C89" i="38"/>
  <c r="C125" i="38" s="1"/>
  <c r="I85" i="38"/>
  <c r="I121" i="38" s="1"/>
  <c r="E88" i="38"/>
  <c r="E124" i="38" s="1"/>
  <c r="G90" i="38"/>
  <c r="G126" i="38" s="1"/>
  <c r="I88" i="38"/>
  <c r="I124" i="38" s="1"/>
  <c r="J89" i="38"/>
  <c r="J125" i="38" s="1"/>
  <c r="E89" i="38"/>
  <c r="E125" i="38" s="1"/>
  <c r="I90" i="38"/>
  <c r="I126" i="38" s="1"/>
  <c r="K88" i="38"/>
  <c r="K124" i="38" s="1"/>
  <c r="H89" i="38"/>
  <c r="H125" i="38" s="1"/>
  <c r="H91" i="38"/>
  <c r="H127" i="38" s="1"/>
  <c r="J87" i="38"/>
  <c r="J123" i="38" s="1"/>
  <c r="K87" i="38"/>
  <c r="K123" i="38" s="1"/>
  <c r="G89" i="38"/>
  <c r="G125" i="38" s="1"/>
  <c r="F88" i="38"/>
  <c r="F124" i="38" s="1"/>
  <c r="I87" i="38"/>
  <c r="I123" i="38" s="1"/>
  <c r="G440" i="34"/>
  <c r="D440" i="34"/>
  <c r="B300" i="38"/>
  <c r="D300" i="38"/>
  <c r="E303" i="38"/>
  <c r="B305" i="38"/>
  <c r="C305" i="38"/>
  <c r="E305" i="38"/>
  <c r="B303" i="38"/>
  <c r="D306" i="38"/>
  <c r="H302" i="38"/>
  <c r="I305" i="38"/>
  <c r="D299" i="38"/>
  <c r="E302" i="38"/>
  <c r="I302" i="38"/>
  <c r="B301" i="38"/>
  <c r="D304" i="38"/>
  <c r="H299" i="38"/>
  <c r="H301" i="38"/>
  <c r="K302" i="38"/>
  <c r="H305" i="38"/>
  <c r="F299" i="38"/>
  <c r="C299" i="38"/>
  <c r="E300" i="38"/>
  <c r="F302" i="38"/>
  <c r="J305" i="38"/>
  <c r="G299" i="38"/>
  <c r="D303" i="38"/>
  <c r="K300" i="38"/>
  <c r="J303" i="38"/>
  <c r="F306" i="38"/>
  <c r="C300" i="38"/>
  <c r="D302" i="38"/>
  <c r="H303" i="38"/>
  <c r="E304" i="38"/>
  <c r="D301" i="38"/>
  <c r="G300" i="38"/>
  <c r="H304" i="38"/>
  <c r="J301" i="38"/>
  <c r="C306" i="38"/>
  <c r="F303" i="38"/>
  <c r="J304" i="38"/>
  <c r="G301" i="38"/>
  <c r="K305" i="38"/>
  <c r="J300" i="38"/>
  <c r="K299" i="38"/>
  <c r="E306" i="38"/>
  <c r="D305" i="38"/>
  <c r="G304" i="38"/>
  <c r="H300" i="38"/>
  <c r="F304" i="38"/>
  <c r="C302" i="38"/>
  <c r="G305" i="38"/>
  <c r="K304" i="38"/>
  <c r="J306" i="38"/>
  <c r="B302" i="38"/>
  <c r="B299" i="38"/>
  <c r="J299" i="38"/>
  <c r="B306" i="38"/>
  <c r="K303" i="38"/>
  <c r="F301" i="38"/>
  <c r="F300" i="38"/>
  <c r="H306" i="38"/>
  <c r="I299" i="38"/>
  <c r="I304" i="38"/>
  <c r="B304" i="38"/>
  <c r="E301" i="38"/>
  <c r="I306" i="38"/>
  <c r="C304" i="38"/>
  <c r="E299" i="38"/>
  <c r="C303" i="38"/>
  <c r="K306" i="38"/>
  <c r="G303" i="38"/>
  <c r="I303" i="38"/>
  <c r="K301" i="38"/>
  <c r="C301" i="38"/>
  <c r="J302" i="38"/>
  <c r="G302" i="38"/>
  <c r="F305" i="38"/>
  <c r="I301" i="38"/>
  <c r="G306" i="38"/>
  <c r="I300" i="38"/>
  <c r="C104" i="8"/>
  <c r="E109" i="8"/>
  <c r="D106" i="8"/>
  <c r="I104" i="8"/>
  <c r="E108" i="8"/>
  <c r="G105" i="8"/>
  <c r="G104" i="8"/>
  <c r="C106" i="8"/>
  <c r="K108" i="8"/>
  <c r="C105" i="8"/>
  <c r="I110" i="8"/>
  <c r="F104" i="8"/>
  <c r="C103" i="8"/>
  <c r="J103" i="8"/>
  <c r="C107" i="8"/>
  <c r="F106" i="8"/>
  <c r="I103" i="8"/>
  <c r="G110" i="8"/>
  <c r="K104" i="8"/>
  <c r="I105" i="8"/>
  <c r="H105" i="8"/>
  <c r="G106" i="8"/>
  <c r="I108" i="8"/>
  <c r="H104" i="8"/>
  <c r="H107" i="8"/>
  <c r="E104" i="8"/>
  <c r="I109" i="8"/>
  <c r="E106" i="8"/>
  <c r="G108" i="8"/>
  <c r="C109" i="8"/>
  <c r="J105" i="8"/>
  <c r="H109" i="8"/>
  <c r="G109" i="8"/>
  <c r="D103" i="8"/>
  <c r="I107" i="8"/>
  <c r="K105" i="8"/>
  <c r="I106" i="8"/>
  <c r="D110" i="8"/>
  <c r="K110" i="8"/>
  <c r="F110" i="8"/>
  <c r="D104" i="8"/>
  <c r="D105" i="8"/>
  <c r="J110" i="8"/>
  <c r="K109" i="8"/>
  <c r="J104" i="8"/>
  <c r="E107" i="8"/>
  <c r="F103" i="8"/>
  <c r="D107" i="8"/>
  <c r="K103" i="8"/>
  <c r="J109" i="8"/>
  <c r="C108" i="8"/>
  <c r="E103" i="8"/>
  <c r="D108" i="8"/>
  <c r="J108" i="8"/>
  <c r="J106" i="8"/>
  <c r="K107" i="8"/>
  <c r="H110" i="8"/>
  <c r="D109" i="8"/>
  <c r="G103" i="8"/>
  <c r="E110" i="8"/>
  <c r="K106" i="8"/>
  <c r="H108" i="8"/>
  <c r="J107" i="8"/>
  <c r="F108" i="8"/>
  <c r="H106" i="8"/>
  <c r="F107" i="8"/>
  <c r="H103" i="8"/>
  <c r="C110" i="8"/>
  <c r="G107" i="8"/>
  <c r="F109" i="8"/>
  <c r="E105" i="8"/>
  <c r="F105" i="8"/>
  <c r="J30" i="35"/>
  <c r="B42" i="35" a="1"/>
  <c r="B30" i="35"/>
  <c r="D153" i="29"/>
  <c r="D153" i="40" s="1"/>
  <c r="E151" i="29"/>
  <c r="F151" i="29"/>
  <c r="F151" i="40" s="1"/>
  <c r="M152" i="29"/>
  <c r="M152" i="40" s="1"/>
  <c r="F152" i="29"/>
  <c r="F152" i="40" s="1"/>
  <c r="G154" i="29"/>
  <c r="G154" i="40" s="1"/>
  <c r="E156" i="29"/>
  <c r="E156" i="40" s="1"/>
  <c r="L156" i="29"/>
  <c r="L156" i="40" s="1"/>
  <c r="G153" i="29"/>
  <c r="G153" i="40" s="1"/>
  <c r="M157" i="29"/>
  <c r="M157" i="40" s="1"/>
  <c r="D156" i="29"/>
  <c r="D156" i="40" s="1"/>
  <c r="D151" i="29"/>
  <c r="K153" i="29"/>
  <c r="K153" i="40" s="1"/>
  <c r="K156" i="29"/>
  <c r="K156" i="40" s="1"/>
  <c r="F153" i="29"/>
  <c r="F153" i="40" s="1"/>
  <c r="L152" i="29"/>
  <c r="L152" i="40" s="1"/>
  <c r="L154" i="29"/>
  <c r="L154" i="40" s="1"/>
  <c r="K155" i="29"/>
  <c r="K155" i="40" s="1"/>
  <c r="I155" i="29"/>
  <c r="I155" i="40" s="1"/>
  <c r="E154" i="29"/>
  <c r="E154" i="40" s="1"/>
  <c r="D154" i="29"/>
  <c r="D154" i="40" s="1"/>
  <c r="J155" i="29"/>
  <c r="J155" i="40" s="1"/>
  <c r="J154" i="29"/>
  <c r="J154" i="40" s="1"/>
  <c r="K152" i="29"/>
  <c r="K152" i="40" s="1"/>
  <c r="G157" i="29"/>
  <c r="G157" i="40" s="1"/>
  <c r="D155" i="29"/>
  <c r="D155" i="40" s="1"/>
  <c r="I151" i="29"/>
  <c r="J156" i="29"/>
  <c r="J156" i="40" s="1"/>
  <c r="E157" i="29"/>
  <c r="E157" i="40" s="1"/>
  <c r="L153" i="29"/>
  <c r="L153" i="40" s="1"/>
  <c r="F156" i="29"/>
  <c r="F156" i="40" s="1"/>
  <c r="E158" i="29"/>
  <c r="E158" i="40" s="1"/>
  <c r="I153" i="29"/>
  <c r="I153" i="40" s="1"/>
  <c r="G151" i="29"/>
  <c r="G151" i="40" s="1"/>
  <c r="J157" i="29"/>
  <c r="J157" i="40" s="1"/>
  <c r="F158" i="29"/>
  <c r="F158" i="40" s="1"/>
  <c r="K151" i="29"/>
  <c r="K151" i="40" s="1"/>
  <c r="G155" i="29"/>
  <c r="G155" i="40" s="1"/>
  <c r="K157" i="29"/>
  <c r="K157" i="40" s="1"/>
  <c r="L158" i="29"/>
  <c r="L158" i="40" s="1"/>
  <c r="F155" i="29"/>
  <c r="F155" i="40" s="1"/>
  <c r="M156" i="29"/>
  <c r="M156" i="40" s="1"/>
  <c r="H156" i="29"/>
  <c r="H156" i="40" s="1"/>
  <c r="I157" i="29"/>
  <c r="I157" i="40" s="1"/>
  <c r="H151" i="29"/>
  <c r="H151" i="40" s="1"/>
  <c r="K158" i="29"/>
  <c r="K158" i="40" s="1"/>
  <c r="G158" i="29"/>
  <c r="G158" i="40" s="1"/>
  <c r="H152" i="29"/>
  <c r="H152" i="40" s="1"/>
  <c r="E152" i="29"/>
  <c r="E152" i="40" s="1"/>
  <c r="E153" i="29"/>
  <c r="E153" i="40" s="1"/>
  <c r="I152" i="29"/>
  <c r="I152" i="40" s="1"/>
  <c r="H155" i="29"/>
  <c r="H155" i="40" s="1"/>
  <c r="J158" i="29"/>
  <c r="J158" i="40" s="1"/>
  <c r="E155" i="29"/>
  <c r="E155" i="40" s="1"/>
  <c r="G152" i="29"/>
  <c r="G152" i="40" s="1"/>
  <c r="M155" i="29"/>
  <c r="M155" i="40" s="1"/>
  <c r="J152" i="29"/>
  <c r="J152" i="40" s="1"/>
  <c r="M151" i="29"/>
  <c r="M151" i="40" s="1"/>
  <c r="M158" i="29"/>
  <c r="M158" i="40" s="1"/>
  <c r="M153" i="29"/>
  <c r="M153" i="40" s="1"/>
  <c r="H158" i="29"/>
  <c r="H158" i="40" s="1"/>
  <c r="I154" i="29"/>
  <c r="I154" i="40" s="1"/>
  <c r="F157" i="29"/>
  <c r="F157" i="40" s="1"/>
  <c r="L155" i="29"/>
  <c r="L155" i="40" s="1"/>
  <c r="L151" i="29"/>
  <c r="L151" i="40" s="1"/>
  <c r="D157" i="29"/>
  <c r="D157" i="40" s="1"/>
  <c r="H153" i="29"/>
  <c r="H153" i="40" s="1"/>
  <c r="K154" i="29"/>
  <c r="K154" i="40" s="1"/>
  <c r="D152" i="29"/>
  <c r="D152" i="40" s="1"/>
  <c r="G156" i="29"/>
  <c r="G156" i="40" s="1"/>
  <c r="I158" i="29"/>
  <c r="I158" i="40" s="1"/>
  <c r="D158" i="29"/>
  <c r="D158" i="40" s="1"/>
  <c r="J151" i="29"/>
  <c r="J151" i="40" s="1"/>
  <c r="J153" i="29"/>
  <c r="J153" i="40" s="1"/>
  <c r="I156" i="29"/>
  <c r="I156" i="40" s="1"/>
  <c r="H157" i="29"/>
  <c r="H157" i="40" s="1"/>
  <c r="F154" i="29"/>
  <c r="F154" i="40" s="1"/>
  <c r="L157" i="29"/>
  <c r="L157" i="40" s="1"/>
  <c r="H154" i="29"/>
  <c r="H154" i="40" s="1"/>
  <c r="M154" i="29"/>
  <c r="M154" i="40" s="1"/>
  <c r="H105" i="37"/>
  <c r="C108" i="37"/>
  <c r="D108" i="37"/>
  <c r="J109" i="37"/>
  <c r="D102" i="37"/>
  <c r="D110" i="7"/>
  <c r="F105" i="37"/>
  <c r="E109" i="37"/>
  <c r="F107" i="37"/>
  <c r="F110" i="7"/>
  <c r="F102" i="37"/>
  <c r="F103" i="37"/>
  <c r="F109" i="37"/>
  <c r="I108" i="37"/>
  <c r="E103" i="37"/>
  <c r="F104" i="37"/>
  <c r="B110" i="7"/>
  <c r="B102" i="37"/>
  <c r="C105" i="37"/>
  <c r="K104" i="37"/>
  <c r="E106" i="37"/>
  <c r="E110" i="7"/>
  <c r="E102" i="37"/>
  <c r="D106" i="37"/>
  <c r="J26" i="37"/>
  <c r="B42" i="7" a="1"/>
  <c r="B30" i="7"/>
  <c r="B22" i="37"/>
  <c r="I25" i="37"/>
  <c r="F28" i="37"/>
  <c r="C22" i="37"/>
  <c r="C30" i="7"/>
  <c r="B29" i="37"/>
  <c r="D27" i="37"/>
  <c r="E26" i="37"/>
  <c r="F26" i="37"/>
  <c r="F27" i="37"/>
  <c r="J23" i="37"/>
  <c r="J25" i="37"/>
  <c r="D25" i="37"/>
  <c r="F22" i="37"/>
  <c r="F30" i="7"/>
  <c r="F25" i="37"/>
  <c r="G28" i="37"/>
  <c r="E25" i="37"/>
  <c r="J22" i="37"/>
  <c r="J30" i="7"/>
  <c r="I28" i="37"/>
  <c r="K23" i="37"/>
  <c r="D78" i="4" a="1"/>
  <c r="D79" i="4" a="1"/>
  <c r="C79" i="4"/>
  <c r="C79" i="40" s="1"/>
  <c r="C81" i="4"/>
  <c r="C81" i="40" s="1"/>
  <c r="D81" i="4" a="1"/>
  <c r="C78" i="4"/>
  <c r="C78" i="40" s="1"/>
  <c r="D80" i="4" a="1"/>
  <c r="C80" i="4"/>
  <c r="C80" i="40" s="1"/>
  <c r="H141" i="40"/>
  <c r="K159" i="4" a="1"/>
  <c r="K159" i="4" s="1"/>
  <c r="G159" i="4" a="1"/>
  <c r="G159" i="4" s="1"/>
  <c r="D59" i="58"/>
  <c r="G110" i="35"/>
  <c r="E159" i="4" a="1"/>
  <c r="E159" i="4" s="1"/>
  <c r="C87" i="8"/>
  <c r="G86" i="8"/>
  <c r="J86" i="8"/>
  <c r="E88" i="8"/>
  <c r="F92" i="8"/>
  <c r="E89" i="8"/>
  <c r="G85" i="8"/>
  <c r="C89" i="8"/>
  <c r="D88" i="8"/>
  <c r="H85" i="8"/>
  <c r="K86" i="8"/>
  <c r="F89" i="8"/>
  <c r="C91" i="8"/>
  <c r="D87" i="8"/>
  <c r="C86" i="8"/>
  <c r="D90" i="8"/>
  <c r="D91" i="8"/>
  <c r="F85" i="8"/>
  <c r="I92" i="8"/>
  <c r="H90" i="8"/>
  <c r="H90" i="39" s="1"/>
  <c r="E86" i="8"/>
  <c r="K88" i="8"/>
  <c r="J91" i="8"/>
  <c r="F90" i="8"/>
  <c r="F86" i="8"/>
  <c r="G90" i="8"/>
  <c r="I88" i="8"/>
  <c r="E87" i="8"/>
  <c r="E90" i="8"/>
  <c r="K87" i="8"/>
  <c r="E92" i="8"/>
  <c r="H91" i="8"/>
  <c r="H87" i="8"/>
  <c r="I87" i="8"/>
  <c r="K91" i="8"/>
  <c r="I90" i="8"/>
  <c r="I90" i="39" s="1"/>
  <c r="J88" i="8"/>
  <c r="K90" i="8"/>
  <c r="K89" i="8"/>
  <c r="F88" i="8"/>
  <c r="G89" i="8"/>
  <c r="I86" i="8"/>
  <c r="F87" i="8"/>
  <c r="H89" i="8"/>
  <c r="H86" i="8"/>
  <c r="C85" i="8"/>
  <c r="I91" i="8"/>
  <c r="J90" i="8"/>
  <c r="C90" i="8"/>
  <c r="J92" i="8"/>
  <c r="C88" i="8"/>
  <c r="G88" i="8"/>
  <c r="K92" i="8"/>
  <c r="J89" i="8"/>
  <c r="D86" i="8"/>
  <c r="G91" i="8"/>
  <c r="G91" i="39" s="1"/>
  <c r="G87" i="8"/>
  <c r="E85" i="8"/>
  <c r="H92" i="8"/>
  <c r="K85" i="8"/>
  <c r="F91" i="8"/>
  <c r="H88" i="8"/>
  <c r="E91" i="8"/>
  <c r="D92" i="8"/>
  <c r="J87" i="8"/>
  <c r="G92" i="8"/>
  <c r="I85" i="8"/>
  <c r="C92" i="8"/>
  <c r="D89" i="8"/>
  <c r="D85" i="8"/>
  <c r="I89" i="8"/>
  <c r="J85" i="8"/>
  <c r="J85" i="39" s="1"/>
  <c r="H440" i="34"/>
  <c r="B105" i="8"/>
  <c r="B106" i="8"/>
  <c r="B104" i="8"/>
  <c r="B110" i="8"/>
  <c r="B107" i="8"/>
  <c r="B108" i="8"/>
  <c r="B108" i="39" s="1"/>
  <c r="B103" i="8"/>
  <c r="B109" i="8"/>
  <c r="C104" i="38"/>
  <c r="C140" i="38" s="1"/>
  <c r="I106" i="38"/>
  <c r="I142" i="38" s="1"/>
  <c r="J107" i="38"/>
  <c r="J143" i="38" s="1"/>
  <c r="D107" i="38"/>
  <c r="D143" i="38" s="1"/>
  <c r="C108" i="38"/>
  <c r="C144" i="38" s="1"/>
  <c r="I108" i="38"/>
  <c r="I144" i="38" s="1"/>
  <c r="D110" i="38"/>
  <c r="D146" i="38" s="1"/>
  <c r="H106" i="38"/>
  <c r="H142" i="38" s="1"/>
  <c r="F109" i="38"/>
  <c r="F145" i="38" s="1"/>
  <c r="E104" i="38"/>
  <c r="E140" i="38" s="1"/>
  <c r="E108" i="38"/>
  <c r="E144" i="38" s="1"/>
  <c r="F103" i="38"/>
  <c r="F139" i="38" s="1"/>
  <c r="C105" i="38"/>
  <c r="C141" i="38" s="1"/>
  <c r="C107" i="38"/>
  <c r="C143" i="38" s="1"/>
  <c r="J110" i="38"/>
  <c r="J146" i="38" s="1"/>
  <c r="K106" i="38"/>
  <c r="K142" i="38" s="1"/>
  <c r="H104" i="38"/>
  <c r="H140" i="38" s="1"/>
  <c r="I105" i="38"/>
  <c r="I141" i="38" s="1"/>
  <c r="J105" i="38"/>
  <c r="J141" i="38" s="1"/>
  <c r="D105" i="38"/>
  <c r="D141" i="38" s="1"/>
  <c r="G109" i="38"/>
  <c r="G145" i="38" s="1"/>
  <c r="K110" i="38"/>
  <c r="K146" i="38" s="1"/>
  <c r="H105" i="38"/>
  <c r="H141" i="38" s="1"/>
  <c r="J106" i="38"/>
  <c r="J142" i="38" s="1"/>
  <c r="G105" i="38"/>
  <c r="G141" i="38" s="1"/>
  <c r="G106" i="38"/>
  <c r="G142" i="38" s="1"/>
  <c r="I109" i="38"/>
  <c r="I145" i="38" s="1"/>
  <c r="F105" i="38"/>
  <c r="F141" i="38" s="1"/>
  <c r="E106" i="38"/>
  <c r="E142" i="38" s="1"/>
  <c r="G103" i="38"/>
  <c r="G139" i="38" s="1"/>
  <c r="K103" i="38"/>
  <c r="K139" i="38" s="1"/>
  <c r="J104" i="38"/>
  <c r="J140" i="38" s="1"/>
  <c r="C110" i="38"/>
  <c r="C146" i="38" s="1"/>
  <c r="H110" i="38"/>
  <c r="H146" i="38" s="1"/>
  <c r="H108" i="38"/>
  <c r="H144" i="38" s="1"/>
  <c r="E110" i="38"/>
  <c r="E146" i="38" s="1"/>
  <c r="G110" i="38"/>
  <c r="G146" i="38" s="1"/>
  <c r="K104" i="38"/>
  <c r="K140" i="38" s="1"/>
  <c r="E105" i="38"/>
  <c r="E141" i="38" s="1"/>
  <c r="C109" i="38"/>
  <c r="C145" i="38" s="1"/>
  <c r="F110" i="38"/>
  <c r="F146" i="38" s="1"/>
  <c r="C106" i="38"/>
  <c r="C142" i="38" s="1"/>
  <c r="F106" i="38"/>
  <c r="F142" i="38" s="1"/>
  <c r="K108" i="38"/>
  <c r="K144" i="38" s="1"/>
  <c r="D103" i="38"/>
  <c r="D139" i="38" s="1"/>
  <c r="E107" i="38"/>
  <c r="E143" i="38" s="1"/>
  <c r="H107" i="38"/>
  <c r="H143" i="38" s="1"/>
  <c r="C103" i="38"/>
  <c r="C139" i="38" s="1"/>
  <c r="H109" i="38"/>
  <c r="H145" i="38" s="1"/>
  <c r="K107" i="38"/>
  <c r="K143" i="38" s="1"/>
  <c r="E103" i="38"/>
  <c r="E139" i="38" s="1"/>
  <c r="G107" i="38"/>
  <c r="G143" i="38" s="1"/>
  <c r="H103" i="38"/>
  <c r="H139" i="38" s="1"/>
  <c r="I104" i="38"/>
  <c r="I140" i="38" s="1"/>
  <c r="J109" i="38"/>
  <c r="J145" i="38" s="1"/>
  <c r="F104" i="38"/>
  <c r="F140" i="38" s="1"/>
  <c r="E109" i="38"/>
  <c r="E145" i="38" s="1"/>
  <c r="G108" i="38"/>
  <c r="G144" i="38" s="1"/>
  <c r="D109" i="38"/>
  <c r="D145" i="38" s="1"/>
  <c r="K109" i="38"/>
  <c r="K145" i="38" s="1"/>
  <c r="I110" i="38"/>
  <c r="I146" i="38" s="1"/>
  <c r="D106" i="38"/>
  <c r="D142" i="38" s="1"/>
  <c r="D104" i="38"/>
  <c r="D140" i="38" s="1"/>
  <c r="I103" i="38"/>
  <c r="I139" i="38" s="1"/>
  <c r="K105" i="38"/>
  <c r="K141" i="38" s="1"/>
  <c r="G104" i="38"/>
  <c r="G140" i="38" s="1"/>
  <c r="F107" i="38"/>
  <c r="F143" i="38" s="1"/>
  <c r="F108" i="38"/>
  <c r="F144" i="38" s="1"/>
  <c r="J108" i="38"/>
  <c r="J144" i="38" s="1"/>
  <c r="D108" i="38"/>
  <c r="D144" i="38" s="1"/>
  <c r="I107" i="38"/>
  <c r="I143" i="38" s="1"/>
  <c r="J103" i="38"/>
  <c r="J139" i="38" s="1"/>
  <c r="F30" i="35"/>
  <c r="K30" i="35"/>
  <c r="I95" i="8"/>
  <c r="F94" i="8"/>
  <c r="J99" i="8"/>
  <c r="K94" i="8"/>
  <c r="C94" i="8"/>
  <c r="C94" i="39" s="1"/>
  <c r="D97" i="8"/>
  <c r="C99" i="8"/>
  <c r="F96" i="8"/>
  <c r="F96" i="39" s="1"/>
  <c r="D94" i="8"/>
  <c r="D94" i="39" s="1"/>
  <c r="C97" i="8"/>
  <c r="K95" i="8"/>
  <c r="K95" i="39" s="1"/>
  <c r="J101" i="8"/>
  <c r="G101" i="8"/>
  <c r="J95" i="8"/>
  <c r="J95" i="39" s="1"/>
  <c r="J100" i="8"/>
  <c r="F95" i="8"/>
  <c r="F97" i="8"/>
  <c r="F97" i="39" s="1"/>
  <c r="K96" i="8"/>
  <c r="C96" i="8"/>
  <c r="H99" i="8"/>
  <c r="E95" i="8"/>
  <c r="E95" i="39" s="1"/>
  <c r="H97" i="8"/>
  <c r="D98" i="8"/>
  <c r="J96" i="8"/>
  <c r="I94" i="8"/>
  <c r="I94" i="39" s="1"/>
  <c r="E98" i="8"/>
  <c r="J97" i="8"/>
  <c r="J97" i="39" s="1"/>
  <c r="K99" i="8"/>
  <c r="K101" i="8"/>
  <c r="H101" i="8"/>
  <c r="I99" i="8"/>
  <c r="I99" i="39" s="1"/>
  <c r="H94" i="8"/>
  <c r="H94" i="39" s="1"/>
  <c r="G94" i="8"/>
  <c r="G94" i="39" s="1"/>
  <c r="E97" i="8"/>
  <c r="D101" i="8"/>
  <c r="D101" i="39" s="1"/>
  <c r="I96" i="8"/>
  <c r="G100" i="8"/>
  <c r="D100" i="8"/>
  <c r="G96" i="8"/>
  <c r="G96" i="39" s="1"/>
  <c r="C98" i="8"/>
  <c r="C98" i="39" s="1"/>
  <c r="F100" i="8"/>
  <c r="D96" i="8"/>
  <c r="I101" i="8"/>
  <c r="I101" i="39" s="1"/>
  <c r="F99" i="8"/>
  <c r="H100" i="8"/>
  <c r="D95" i="8"/>
  <c r="G99" i="8"/>
  <c r="G99" i="39" s="1"/>
  <c r="E99" i="8"/>
  <c r="E100" i="8"/>
  <c r="E100" i="39" s="1"/>
  <c r="J94" i="8"/>
  <c r="E96" i="8"/>
  <c r="H98" i="8"/>
  <c r="I98" i="8"/>
  <c r="I98" i="39" s="1"/>
  <c r="G97" i="8"/>
  <c r="G97" i="39" s="1"/>
  <c r="J98" i="8"/>
  <c r="J98" i="39" s="1"/>
  <c r="F101" i="8"/>
  <c r="E101" i="8"/>
  <c r="K98" i="8"/>
  <c r="K98" i="39" s="1"/>
  <c r="K97" i="8"/>
  <c r="K97" i="39" s="1"/>
  <c r="K100" i="8"/>
  <c r="K100" i="39" s="1"/>
  <c r="C101" i="8"/>
  <c r="C95" i="8"/>
  <c r="H95" i="8"/>
  <c r="H96" i="8"/>
  <c r="F98" i="8"/>
  <c r="F98" i="39" s="1"/>
  <c r="G95" i="8"/>
  <c r="E94" i="8"/>
  <c r="E94" i="39" s="1"/>
  <c r="D99" i="8"/>
  <c r="I100" i="8"/>
  <c r="C100" i="8"/>
  <c r="I97" i="8"/>
  <c r="I97" i="39" s="1"/>
  <c r="G98" i="8"/>
  <c r="G98" i="39" s="1"/>
  <c r="E107" i="37"/>
  <c r="I109" i="37"/>
  <c r="G108" i="37"/>
  <c r="B105" i="37"/>
  <c r="K103" i="37"/>
  <c r="G109" i="37"/>
  <c r="C102" i="37"/>
  <c r="C110" i="7"/>
  <c r="F108" i="37"/>
  <c r="K109" i="37"/>
  <c r="I105" i="37"/>
  <c r="G103" i="37"/>
  <c r="G106" i="37"/>
  <c r="G107" i="37"/>
  <c r="K105" i="37"/>
  <c r="H102" i="37"/>
  <c r="H110" i="7"/>
  <c r="J104" i="37"/>
  <c r="D104" i="37"/>
  <c r="K107" i="37"/>
  <c r="I104" i="37"/>
  <c r="G102" i="37"/>
  <c r="G110" i="7"/>
  <c r="G22" i="37"/>
  <c r="G30" i="7"/>
  <c r="G30" i="37" s="1"/>
  <c r="D24" i="37"/>
  <c r="B23" i="37"/>
  <c r="I24" i="37"/>
  <c r="E28" i="37"/>
  <c r="K28" i="37"/>
  <c r="G26" i="37"/>
  <c r="J28" i="37"/>
  <c r="E23" i="37"/>
  <c r="G29" i="37"/>
  <c r="K22" i="37"/>
  <c r="K30" i="7"/>
  <c r="K27" i="37"/>
  <c r="G24" i="37"/>
  <c r="D29" i="37"/>
  <c r="E27" i="37"/>
  <c r="H28" i="37"/>
  <c r="H27" i="37"/>
  <c r="K26" i="37"/>
  <c r="D22" i="37"/>
  <c r="D30" i="7"/>
  <c r="D30" i="37" s="1"/>
  <c r="G25" i="37"/>
  <c r="J159" i="4" a="1"/>
  <c r="J159" i="4" s="1"/>
  <c r="H159" i="4" a="1"/>
  <c r="H159" i="4" s="1"/>
  <c r="E288" i="8"/>
  <c r="E288" i="39" s="1"/>
  <c r="F287" i="8"/>
  <c r="F287" i="39" s="1"/>
  <c r="G286" i="8"/>
  <c r="B287" i="8"/>
  <c r="H284" i="8"/>
  <c r="B288" i="8"/>
  <c r="C285" i="8"/>
  <c r="C285" i="39" s="1"/>
  <c r="E283" i="8"/>
  <c r="C287" i="8"/>
  <c r="C287" i="39" s="1"/>
  <c r="G285" i="8"/>
  <c r="G283" i="8"/>
  <c r="G283" i="39" s="1"/>
  <c r="E286" i="8"/>
  <c r="E281" i="8"/>
  <c r="C284" i="8"/>
  <c r="C288" i="8"/>
  <c r="C288" i="39" s="1"/>
  <c r="G281" i="8"/>
  <c r="C286" i="8"/>
  <c r="C286" i="39" s="1"/>
  <c r="I282" i="8"/>
  <c r="H282" i="8"/>
  <c r="K283" i="8"/>
  <c r="K283" i="39" s="1"/>
  <c r="H281" i="8"/>
  <c r="E284" i="8"/>
  <c r="I281" i="8"/>
  <c r="C283" i="8"/>
  <c r="B283" i="8"/>
  <c r="D286" i="8"/>
  <c r="J287" i="8"/>
  <c r="E287" i="8"/>
  <c r="F284" i="8"/>
  <c r="F284" i="39" s="1"/>
  <c r="C282" i="8"/>
  <c r="D284" i="8"/>
  <c r="B282" i="8"/>
  <c r="D281" i="8"/>
  <c r="J283" i="8"/>
  <c r="F282" i="8"/>
  <c r="J288" i="8"/>
  <c r="K285" i="8"/>
  <c r="J282" i="8"/>
  <c r="J282" i="39" s="1"/>
  <c r="I288" i="8"/>
  <c r="I288" i="39" s="1"/>
  <c r="F281" i="8"/>
  <c r="F281" i="39" s="1"/>
  <c r="B284" i="8"/>
  <c r="F283" i="8"/>
  <c r="F283" i="39" s="1"/>
  <c r="H288" i="8"/>
  <c r="H288" i="39" s="1"/>
  <c r="H283" i="8"/>
  <c r="H283" i="39" s="1"/>
  <c r="J286" i="8"/>
  <c r="D283" i="8"/>
  <c r="K287" i="8"/>
  <c r="K287" i="39" s="1"/>
  <c r="G284" i="8"/>
  <c r="D288" i="8"/>
  <c r="D282" i="8"/>
  <c r="B286" i="8"/>
  <c r="B286" i="39" s="1"/>
  <c r="E285" i="8"/>
  <c r="E282" i="8"/>
  <c r="J285" i="8"/>
  <c r="D285" i="8"/>
  <c r="D285" i="39" s="1"/>
  <c r="I285" i="8"/>
  <c r="I287" i="8"/>
  <c r="I287" i="39" s="1"/>
  <c r="K284" i="8"/>
  <c r="B285" i="8"/>
  <c r="B285" i="39" s="1"/>
  <c r="B281" i="8"/>
  <c r="J281" i="8"/>
  <c r="I284" i="8"/>
  <c r="J284" i="8"/>
  <c r="J284" i="39" s="1"/>
  <c r="G287" i="8"/>
  <c r="K282" i="8"/>
  <c r="F285" i="8"/>
  <c r="H287" i="8"/>
  <c r="H287" i="39" s="1"/>
  <c r="I286" i="8"/>
  <c r="C281" i="8"/>
  <c r="K288" i="8"/>
  <c r="G288" i="8"/>
  <c r="G288" i="39" s="1"/>
  <c r="H286" i="8"/>
  <c r="D287" i="8"/>
  <c r="F286" i="8"/>
  <c r="F286" i="39" s="1"/>
  <c r="G282" i="8"/>
  <c r="F288" i="8"/>
  <c r="I283" i="8"/>
  <c r="K281" i="8"/>
  <c r="K281" i="39" s="1"/>
  <c r="H285" i="8"/>
  <c r="K286" i="8"/>
  <c r="K79" i="29"/>
  <c r="M79" i="29"/>
  <c r="G79" i="29"/>
  <c r="D79" i="29"/>
  <c r="E79" i="29"/>
  <c r="I79" i="29"/>
  <c r="L79" i="29"/>
  <c r="G81" i="29"/>
  <c r="D81" i="29"/>
  <c r="K81" i="29"/>
  <c r="F81" i="29"/>
  <c r="H81" i="29"/>
  <c r="L81" i="29"/>
  <c r="M81" i="29"/>
  <c r="E81" i="29"/>
  <c r="I81" i="29"/>
  <c r="J81" i="29"/>
  <c r="H60" i="57"/>
  <c r="C161" i="57"/>
  <c r="C163" i="57"/>
  <c r="C167" i="57"/>
  <c r="C165" i="57"/>
  <c r="C164" i="57"/>
  <c r="C162" i="57"/>
  <c r="C168" i="57"/>
  <c r="B75" i="37" l="1"/>
  <c r="I75" i="37"/>
  <c r="H77" i="37"/>
  <c r="D73" i="37"/>
  <c r="D80" i="35"/>
  <c r="B80" i="35"/>
  <c r="K76" i="37"/>
  <c r="I77" i="37"/>
  <c r="J78" i="37"/>
  <c r="I79" i="37"/>
  <c r="D76" i="37"/>
  <c r="I76" i="37"/>
  <c r="I100" i="39"/>
  <c r="E101" i="39"/>
  <c r="H100" i="39"/>
  <c r="F100" i="39"/>
  <c r="B98" i="39"/>
  <c r="K80" i="29"/>
  <c r="I80" i="29"/>
  <c r="K110" i="35"/>
  <c r="K110" i="37" s="1"/>
  <c r="C110" i="35"/>
  <c r="D103" i="37"/>
  <c r="C106" i="37"/>
  <c r="J110" i="37"/>
  <c r="K110" i="7"/>
  <c r="F110" i="35"/>
  <c r="D110" i="35"/>
  <c r="H108" i="37"/>
  <c r="I106" i="37"/>
  <c r="B110" i="35"/>
  <c r="J110" i="35"/>
  <c r="B294" i="8"/>
  <c r="F297" i="8"/>
  <c r="J295" i="8"/>
  <c r="F295" i="8"/>
  <c r="I294" i="8"/>
  <c r="H110" i="37"/>
  <c r="C101" i="39"/>
  <c r="G100" i="39"/>
  <c r="K101" i="39"/>
  <c r="I95" i="39"/>
  <c r="J107" i="37"/>
  <c r="K102" i="37"/>
  <c r="F291" i="8"/>
  <c r="D290" i="8"/>
  <c r="J291" i="8"/>
  <c r="B291" i="8"/>
  <c r="J290" i="8"/>
  <c r="B100" i="8"/>
  <c r="B100" i="39" s="1"/>
  <c r="B94" i="8"/>
  <c r="K291" i="8"/>
  <c r="B296" i="8"/>
  <c r="G292" i="8"/>
  <c r="I290" i="8"/>
  <c r="J293" i="8"/>
  <c r="B99" i="8"/>
  <c r="B130" i="8" s="1" a="1"/>
  <c r="B78" i="37"/>
  <c r="B107" i="39"/>
  <c r="G101" i="39"/>
  <c r="H87" i="39"/>
  <c r="E90" i="39"/>
  <c r="E96" i="39"/>
  <c r="D98" i="39"/>
  <c r="C99" i="39"/>
  <c r="J99" i="39"/>
  <c r="B105" i="39"/>
  <c r="I78" i="29"/>
  <c r="H78" i="29"/>
  <c r="I295" i="8"/>
  <c r="I291" i="8"/>
  <c r="C291" i="8"/>
  <c r="E290" i="8"/>
  <c r="H294" i="8"/>
  <c r="G296" i="8"/>
  <c r="K293" i="8"/>
  <c r="B290" i="8"/>
  <c r="D296" i="8"/>
  <c r="K297" i="8"/>
  <c r="I297" i="8"/>
  <c r="H292" i="8"/>
  <c r="K295" i="8"/>
  <c r="H291" i="8"/>
  <c r="E293" i="8"/>
  <c r="D293" i="8"/>
  <c r="D292" i="8"/>
  <c r="H290" i="8"/>
  <c r="F290" i="8"/>
  <c r="G293" i="8"/>
  <c r="H286" i="39"/>
  <c r="I285" i="39"/>
  <c r="G284" i="39"/>
  <c r="B282" i="39"/>
  <c r="E287" i="39"/>
  <c r="C283" i="39"/>
  <c r="G281" i="39"/>
  <c r="E286" i="39"/>
  <c r="B287" i="39"/>
  <c r="C100" i="39"/>
  <c r="C95" i="39"/>
  <c r="D95" i="39"/>
  <c r="D96" i="39"/>
  <c r="E97" i="39"/>
  <c r="E98" i="39"/>
  <c r="C97" i="39"/>
  <c r="D97" i="39"/>
  <c r="F94" i="39"/>
  <c r="B109" i="39"/>
  <c r="B110" i="39"/>
  <c r="E78" i="29"/>
  <c r="M78" i="29"/>
  <c r="B297" i="8"/>
  <c r="C292" i="8"/>
  <c r="B293" i="8"/>
  <c r="F292" i="8"/>
  <c r="F294" i="8"/>
  <c r="D295" i="8"/>
  <c r="K290" i="8"/>
  <c r="G290" i="8"/>
  <c r="B295" i="8"/>
  <c r="F296" i="8"/>
  <c r="H296" i="8"/>
  <c r="J297" i="8"/>
  <c r="K294" i="8"/>
  <c r="D294" i="8"/>
  <c r="E296" i="8"/>
  <c r="I292" i="8"/>
  <c r="C293" i="8"/>
  <c r="J296" i="8"/>
  <c r="D297" i="8"/>
  <c r="B292" i="8"/>
  <c r="B101" i="39"/>
  <c r="L78" i="29"/>
  <c r="G78" i="29"/>
  <c r="F78" i="29"/>
  <c r="J285" i="39"/>
  <c r="D282" i="39"/>
  <c r="J283" i="39"/>
  <c r="C284" i="39"/>
  <c r="B288" i="39"/>
  <c r="H96" i="39"/>
  <c r="F101" i="39"/>
  <c r="H98" i="39"/>
  <c r="E99" i="39"/>
  <c r="F99" i="39"/>
  <c r="I96" i="39"/>
  <c r="J96" i="39"/>
  <c r="H99" i="39"/>
  <c r="F95" i="39"/>
  <c r="B106" i="39"/>
  <c r="F110" i="37"/>
  <c r="D110" i="37"/>
  <c r="D78" i="29"/>
  <c r="K78" i="29"/>
  <c r="F293" i="8"/>
  <c r="J294" i="8"/>
  <c r="J292" i="8"/>
  <c r="H295" i="8"/>
  <c r="C294" i="8"/>
  <c r="G297" i="8"/>
  <c r="D291" i="8"/>
  <c r="G291" i="8"/>
  <c r="G294" i="8"/>
  <c r="E297" i="8"/>
  <c r="C295" i="8"/>
  <c r="K292" i="8"/>
  <c r="H293" i="8"/>
  <c r="E295" i="8"/>
  <c r="K296" i="8"/>
  <c r="G295" i="8"/>
  <c r="C297" i="8"/>
  <c r="C296" i="8"/>
  <c r="E291" i="8"/>
  <c r="F76" i="37"/>
  <c r="G75" i="37"/>
  <c r="K77" i="37"/>
  <c r="B79" i="37"/>
  <c r="K78" i="37"/>
  <c r="F79" i="29"/>
  <c r="J79" i="29"/>
  <c r="C281" i="39"/>
  <c r="J286" i="39"/>
  <c r="B283" i="39"/>
  <c r="D99" i="39"/>
  <c r="K99" i="39"/>
  <c r="J101" i="39"/>
  <c r="K94" i="39"/>
  <c r="D89" i="39"/>
  <c r="J87" i="39"/>
  <c r="K92" i="39"/>
  <c r="F86" i="39"/>
  <c r="D91" i="39"/>
  <c r="C91" i="39"/>
  <c r="F92" i="39"/>
  <c r="B110" i="37"/>
  <c r="C300" i="39"/>
  <c r="B301" i="39"/>
  <c r="K303" i="39"/>
  <c r="C302" i="39"/>
  <c r="C306" i="39"/>
  <c r="M440" i="34"/>
  <c r="D163" i="38"/>
  <c r="E163" i="38" s="1"/>
  <c r="F163" i="38" s="1"/>
  <c r="G163" i="38" s="1"/>
  <c r="H163" i="38" s="1"/>
  <c r="I163" i="38" s="1"/>
  <c r="J163" i="38" s="1"/>
  <c r="K163" i="38" s="1"/>
  <c r="H80" i="29"/>
  <c r="E80" i="29"/>
  <c r="D80" i="29"/>
  <c r="K286" i="39"/>
  <c r="I286" i="39"/>
  <c r="E285" i="39"/>
  <c r="E283" i="39"/>
  <c r="J100" i="39"/>
  <c r="B104" i="39"/>
  <c r="J90" i="39"/>
  <c r="F88" i="39"/>
  <c r="H91" i="39"/>
  <c r="E87" i="39"/>
  <c r="F90" i="39"/>
  <c r="F89" i="39"/>
  <c r="E88" i="39"/>
  <c r="C30" i="37"/>
  <c r="M80" i="29"/>
  <c r="L80" i="29"/>
  <c r="F80" i="29"/>
  <c r="F288" i="39"/>
  <c r="G287" i="39"/>
  <c r="J288" i="39"/>
  <c r="H95" i="39"/>
  <c r="C96" i="39"/>
  <c r="F282" i="39"/>
  <c r="J287" i="39"/>
  <c r="I281" i="39"/>
  <c r="H282" i="39"/>
  <c r="G95" i="39"/>
  <c r="J94" i="39"/>
  <c r="D100" i="39"/>
  <c r="H101" i="39"/>
  <c r="H97" i="39"/>
  <c r="K96" i="39"/>
  <c r="K89" i="39"/>
  <c r="E92" i="39"/>
  <c r="G85" i="39"/>
  <c r="B97" i="39"/>
  <c r="J80" i="29"/>
  <c r="I85" i="39"/>
  <c r="E91" i="39"/>
  <c r="H92" i="39"/>
  <c r="K91" i="39"/>
  <c r="K86" i="39"/>
  <c r="B99" i="39"/>
  <c r="G110" i="37"/>
  <c r="D92" i="39"/>
  <c r="G88" i="39"/>
  <c r="H89" i="39"/>
  <c r="D90" i="39"/>
  <c r="K30" i="37"/>
  <c r="H88" i="39"/>
  <c r="J89" i="39"/>
  <c r="C85" i="39"/>
  <c r="I86" i="39"/>
  <c r="K90" i="39"/>
  <c r="H85" i="39"/>
  <c r="E89" i="39"/>
  <c r="G86" i="39"/>
  <c r="E105" i="39"/>
  <c r="H103" i="39"/>
  <c r="J107" i="39"/>
  <c r="G103" i="39"/>
  <c r="C108" i="39"/>
  <c r="J110" i="39"/>
  <c r="K110" i="39"/>
  <c r="I107" i="39"/>
  <c r="J105" i="39"/>
  <c r="I109" i="39"/>
  <c r="I108" i="39"/>
  <c r="K104" i="39"/>
  <c r="C107" i="39"/>
  <c r="I110" i="39"/>
  <c r="G104" i="39"/>
  <c r="D106" i="39"/>
  <c r="I30" i="37"/>
  <c r="K304" i="39"/>
  <c r="H301" i="39"/>
  <c r="J305" i="39"/>
  <c r="K301" i="39"/>
  <c r="I300" i="39"/>
  <c r="F304" i="39"/>
  <c r="H303" i="39"/>
  <c r="D159" i="38"/>
  <c r="E159" i="38" s="1"/>
  <c r="F159" i="38" s="1"/>
  <c r="G159" i="38" s="1"/>
  <c r="H159" i="38" s="1"/>
  <c r="I159" i="38" s="1"/>
  <c r="J159" i="38" s="1"/>
  <c r="K159" i="38" s="1"/>
  <c r="F80" i="35"/>
  <c r="K80" i="35"/>
  <c r="B113" i="38"/>
  <c r="B118" i="38"/>
  <c r="B112" i="38"/>
  <c r="B117" i="38"/>
  <c r="B114" i="38"/>
  <c r="B119" i="38"/>
  <c r="B115" i="38"/>
  <c r="B116" i="38"/>
  <c r="G77" i="37"/>
  <c r="D72" i="37"/>
  <c r="D80" i="7"/>
  <c r="D80" i="37" s="1"/>
  <c r="I72" i="37"/>
  <c r="I80" i="7"/>
  <c r="B77" i="37"/>
  <c r="D79" i="37"/>
  <c r="J74" i="37"/>
  <c r="G76" i="37"/>
  <c r="E72" i="37"/>
  <c r="E80" i="7"/>
  <c r="G79" i="37"/>
  <c r="K79" i="37"/>
  <c r="C78" i="37"/>
  <c r="B74" i="37"/>
  <c r="H79" i="37"/>
  <c r="D74" i="37"/>
  <c r="F75" i="37"/>
  <c r="F78" i="37"/>
  <c r="C75" i="37"/>
  <c r="H75" i="37"/>
  <c r="C77" i="37"/>
  <c r="H76" i="37"/>
  <c r="F91" i="39"/>
  <c r="G87" i="39"/>
  <c r="C90" i="39"/>
  <c r="H86" i="39"/>
  <c r="G89" i="39"/>
  <c r="J88" i="39"/>
  <c r="E86" i="39"/>
  <c r="D88" i="39"/>
  <c r="C87" i="39"/>
  <c r="J30" i="37"/>
  <c r="F109" i="39"/>
  <c r="J108" i="39"/>
  <c r="E107" i="39"/>
  <c r="D103" i="39"/>
  <c r="E104" i="39"/>
  <c r="G106" i="39"/>
  <c r="G110" i="39"/>
  <c r="C105" i="39"/>
  <c r="G105" i="39"/>
  <c r="E109" i="39"/>
  <c r="B95" i="39"/>
  <c r="B96" i="39"/>
  <c r="H80" i="35"/>
  <c r="C80" i="35"/>
  <c r="I80" i="35"/>
  <c r="E78" i="37"/>
  <c r="E74" i="37"/>
  <c r="H73" i="37"/>
  <c r="D78" i="37"/>
  <c r="J76" i="37"/>
  <c r="E79" i="37"/>
  <c r="J79" i="37"/>
  <c r="B80" i="7"/>
  <c r="B80" i="37" s="1"/>
  <c r="B72" i="37"/>
  <c r="H78" i="37"/>
  <c r="F79" i="37"/>
  <c r="J75" i="37"/>
  <c r="F77" i="37"/>
  <c r="D75" i="37"/>
  <c r="H74" i="37"/>
  <c r="I74" i="37"/>
  <c r="C72" i="37"/>
  <c r="C80" i="7"/>
  <c r="E77" i="37"/>
  <c r="K74" i="37"/>
  <c r="J77" i="37"/>
  <c r="F72" i="37"/>
  <c r="F80" i="7"/>
  <c r="F80" i="37" s="1"/>
  <c r="J80" i="35"/>
  <c r="D314" i="38"/>
  <c r="I315" i="38"/>
  <c r="H310" i="38"/>
  <c r="K310" i="38"/>
  <c r="J309" i="38"/>
  <c r="K311" i="38"/>
  <c r="D308" i="38"/>
  <c r="K308" i="38"/>
  <c r="E311" i="38"/>
  <c r="B309" i="38"/>
  <c r="H315" i="38"/>
  <c r="F315" i="38"/>
  <c r="D311" i="38"/>
  <c r="C309" i="38"/>
  <c r="I312" i="38"/>
  <c r="K313" i="38"/>
  <c r="H308" i="38"/>
  <c r="B313" i="38"/>
  <c r="I309" i="38"/>
  <c r="B314" i="38"/>
  <c r="E308" i="38"/>
  <c r="J311" i="38"/>
  <c r="D315" i="38"/>
  <c r="K314" i="38"/>
  <c r="F309" i="38"/>
  <c r="H309" i="38"/>
  <c r="E309" i="38"/>
  <c r="F313" i="38"/>
  <c r="I313" i="38"/>
  <c r="D313" i="38"/>
  <c r="C308" i="38"/>
  <c r="G312" i="38"/>
  <c r="K315" i="38"/>
  <c r="J312" i="38"/>
  <c r="G308" i="38"/>
  <c r="C315" i="38"/>
  <c r="B311" i="38"/>
  <c r="F308" i="38"/>
  <c r="B312" i="38"/>
  <c r="I308" i="38"/>
  <c r="G309" i="38"/>
  <c r="E310" i="38"/>
  <c r="C313" i="38"/>
  <c r="E314" i="38"/>
  <c r="C312" i="38"/>
  <c r="J314" i="38"/>
  <c r="H311" i="38"/>
  <c r="C311" i="38"/>
  <c r="J308" i="38"/>
  <c r="K309" i="38"/>
  <c r="E312" i="38"/>
  <c r="B315" i="38"/>
  <c r="D309" i="38"/>
  <c r="I310" i="38"/>
  <c r="G313" i="38"/>
  <c r="G315" i="38"/>
  <c r="J315" i="38"/>
  <c r="E315" i="38"/>
  <c r="B310" i="38"/>
  <c r="G310" i="38"/>
  <c r="F311" i="38"/>
  <c r="I314" i="38"/>
  <c r="C310" i="38"/>
  <c r="F312" i="38"/>
  <c r="H312" i="38"/>
  <c r="E313" i="38"/>
  <c r="I311" i="38"/>
  <c r="J313" i="38"/>
  <c r="J310" i="38"/>
  <c r="K312" i="38"/>
  <c r="F314" i="38"/>
  <c r="G314" i="38"/>
  <c r="C314" i="38"/>
  <c r="H313" i="38"/>
  <c r="H314" i="38"/>
  <c r="D312" i="38"/>
  <c r="B308" i="38"/>
  <c r="G311" i="38"/>
  <c r="F310" i="38"/>
  <c r="D310" i="38"/>
  <c r="B113" i="8"/>
  <c r="B113" i="39" s="1"/>
  <c r="B119" i="8"/>
  <c r="B119" i="39" s="1"/>
  <c r="B115" i="8"/>
  <c r="B115" i="39" s="1"/>
  <c r="B116" i="8"/>
  <c r="B116" i="39" s="1"/>
  <c r="B112" i="8"/>
  <c r="B117" i="8"/>
  <c r="B118" i="8"/>
  <c r="B114" i="8"/>
  <c r="K73" i="37"/>
  <c r="H72" i="37"/>
  <c r="H80" i="7"/>
  <c r="G80" i="7"/>
  <c r="G72" i="37"/>
  <c r="B76" i="37"/>
  <c r="K75" i="37"/>
  <c r="F74" i="37"/>
  <c r="K80" i="7"/>
  <c r="K72" i="37"/>
  <c r="E73" i="37"/>
  <c r="B73" i="37"/>
  <c r="J80" i="7"/>
  <c r="J72" i="37"/>
  <c r="E75" i="37"/>
  <c r="I73" i="37"/>
  <c r="C76" i="37"/>
  <c r="I78" i="37"/>
  <c r="D77" i="37"/>
  <c r="F114" i="38"/>
  <c r="J114" i="38"/>
  <c r="H119" i="38"/>
  <c r="H114" i="38"/>
  <c r="J119" i="38"/>
  <c r="G112" i="38"/>
  <c r="H117" i="38"/>
  <c r="F119" i="38"/>
  <c r="C117" i="38"/>
  <c r="K114" i="38"/>
  <c r="I119" i="38"/>
  <c r="I118" i="38"/>
  <c r="J112" i="38"/>
  <c r="H118" i="38"/>
  <c r="I112" i="38"/>
  <c r="F117" i="38"/>
  <c r="E112" i="38"/>
  <c r="G114" i="38"/>
  <c r="I117" i="38"/>
  <c r="H115" i="38"/>
  <c r="C119" i="38"/>
  <c r="E113" i="38"/>
  <c r="D117" i="38"/>
  <c r="I114" i="38"/>
  <c r="F112" i="38"/>
  <c r="D118" i="38"/>
  <c r="D115" i="38"/>
  <c r="C116" i="38"/>
  <c r="D116" i="38"/>
  <c r="I115" i="38"/>
  <c r="C114" i="38"/>
  <c r="F116" i="38"/>
  <c r="G119" i="38"/>
  <c r="K115" i="38"/>
  <c r="K112" i="38"/>
  <c r="I116" i="38"/>
  <c r="C118" i="38"/>
  <c r="G117" i="38"/>
  <c r="G116" i="38"/>
  <c r="D114" i="38"/>
  <c r="F118" i="38"/>
  <c r="E116" i="38"/>
  <c r="K113" i="38"/>
  <c r="D112" i="38"/>
  <c r="G118" i="38"/>
  <c r="C115" i="38"/>
  <c r="C113" i="38"/>
  <c r="C112" i="38"/>
  <c r="G113" i="38"/>
  <c r="F113" i="38"/>
  <c r="J118" i="38"/>
  <c r="K119" i="38"/>
  <c r="J115" i="38"/>
  <c r="J117" i="38"/>
  <c r="G115" i="38"/>
  <c r="E119" i="38"/>
  <c r="D113" i="38"/>
  <c r="H113" i="38"/>
  <c r="E117" i="38"/>
  <c r="D119" i="38"/>
  <c r="I113" i="38"/>
  <c r="F115" i="38"/>
  <c r="J113" i="38"/>
  <c r="E115" i="38"/>
  <c r="K116" i="38"/>
  <c r="J116" i="38"/>
  <c r="E118" i="38"/>
  <c r="K118" i="38"/>
  <c r="H112" i="38"/>
  <c r="K117" i="38"/>
  <c r="E114" i="38"/>
  <c r="H116" i="38"/>
  <c r="E299" i="39"/>
  <c r="J303" i="39"/>
  <c r="H299" i="39"/>
  <c r="H304" i="39"/>
  <c r="C299" i="39"/>
  <c r="E302" i="39"/>
  <c r="I302" i="39"/>
  <c r="B306" i="39"/>
  <c r="B305" i="39"/>
  <c r="G80" i="35"/>
  <c r="E80" i="35"/>
  <c r="I309" i="8"/>
  <c r="I309" i="39" s="1"/>
  <c r="D312" i="8"/>
  <c r="K310" i="8"/>
  <c r="F310" i="8"/>
  <c r="E315" i="8"/>
  <c r="K315" i="8"/>
  <c r="B310" i="8"/>
  <c r="F308" i="8"/>
  <c r="F308" i="39" s="1"/>
  <c r="I312" i="8"/>
  <c r="I312" i="39" s="1"/>
  <c r="F311" i="8"/>
  <c r="I314" i="8"/>
  <c r="C315" i="8"/>
  <c r="E309" i="8"/>
  <c r="E309" i="39" s="1"/>
  <c r="H314" i="8"/>
  <c r="I310" i="8"/>
  <c r="H309" i="8"/>
  <c r="H309" i="39" s="1"/>
  <c r="B315" i="8"/>
  <c r="C312" i="8"/>
  <c r="F315" i="8"/>
  <c r="C309" i="8"/>
  <c r="C309" i="39" s="1"/>
  <c r="E314" i="8"/>
  <c r="B314" i="8"/>
  <c r="B312" i="8"/>
  <c r="G314" i="8"/>
  <c r="F309" i="8"/>
  <c r="H308" i="8"/>
  <c r="K311" i="8"/>
  <c r="K308" i="8"/>
  <c r="H313" i="8"/>
  <c r="G309" i="8"/>
  <c r="C310" i="8"/>
  <c r="F314" i="8"/>
  <c r="J310" i="8"/>
  <c r="D310" i="8"/>
  <c r="J311" i="8"/>
  <c r="B309" i="8"/>
  <c r="B309" i="39" s="1"/>
  <c r="C314" i="8"/>
  <c r="G308" i="8"/>
  <c r="H311" i="8"/>
  <c r="E313" i="8"/>
  <c r="E313" i="39" s="1"/>
  <c r="G310" i="8"/>
  <c r="F313" i="8"/>
  <c r="K314" i="8"/>
  <c r="D313" i="8"/>
  <c r="D313" i="39" s="1"/>
  <c r="E311" i="8"/>
  <c r="D314" i="8"/>
  <c r="B313" i="8"/>
  <c r="B308" i="8"/>
  <c r="E312" i="8"/>
  <c r="E312" i="39" s="1"/>
  <c r="F312" i="8"/>
  <c r="K309" i="8"/>
  <c r="B311" i="8"/>
  <c r="H315" i="8"/>
  <c r="H315" i="39" s="1"/>
  <c r="D315" i="8"/>
  <c r="K313" i="8"/>
  <c r="I315" i="8"/>
  <c r="I315" i="39" s="1"/>
  <c r="D308" i="8"/>
  <c r="D308" i="39" s="1"/>
  <c r="G312" i="8"/>
  <c r="C311" i="8"/>
  <c r="H310" i="8"/>
  <c r="D311" i="8"/>
  <c r="C308" i="8"/>
  <c r="J315" i="8"/>
  <c r="J315" i="39" s="1"/>
  <c r="I311" i="8"/>
  <c r="G311" i="8"/>
  <c r="I313" i="8"/>
  <c r="G313" i="8"/>
  <c r="K312" i="8"/>
  <c r="K312" i="39" s="1"/>
  <c r="H312" i="8"/>
  <c r="D309" i="8"/>
  <c r="J313" i="8"/>
  <c r="E310" i="8"/>
  <c r="E310" i="39" s="1"/>
  <c r="E308" i="8"/>
  <c r="J314" i="8"/>
  <c r="J308" i="8"/>
  <c r="J308" i="39" s="1"/>
  <c r="I308" i="8"/>
  <c r="J312" i="8"/>
  <c r="J309" i="8"/>
  <c r="G315" i="8"/>
  <c r="C313" i="8"/>
  <c r="C73" i="37"/>
  <c r="G73" i="37"/>
  <c r="F73" i="37"/>
  <c r="C74" i="37"/>
  <c r="C79" i="37"/>
  <c r="G78" i="37"/>
  <c r="E76" i="37"/>
  <c r="G74" i="37"/>
  <c r="J73" i="37"/>
  <c r="J118" i="8"/>
  <c r="F118" i="8"/>
  <c r="H113" i="8"/>
  <c r="K112" i="8"/>
  <c r="D116" i="8"/>
  <c r="C113" i="8"/>
  <c r="J113" i="8"/>
  <c r="J113" i="39" s="1"/>
  <c r="G112" i="8"/>
  <c r="E119" i="8"/>
  <c r="F112" i="8"/>
  <c r="C117" i="8"/>
  <c r="G114" i="8"/>
  <c r="D119" i="8"/>
  <c r="J112" i="8"/>
  <c r="G116" i="8"/>
  <c r="G116" i="39" s="1"/>
  <c r="D118" i="8"/>
  <c r="J119" i="8"/>
  <c r="F117" i="8"/>
  <c r="K119" i="8"/>
  <c r="F116" i="8"/>
  <c r="F116" i="39" s="1"/>
  <c r="J116" i="8"/>
  <c r="I119" i="8"/>
  <c r="J117" i="8"/>
  <c r="D114" i="8"/>
  <c r="D114" i="39" s="1"/>
  <c r="H116" i="8"/>
  <c r="I112" i="8"/>
  <c r="E114" i="8"/>
  <c r="E114" i="39" s="1"/>
  <c r="C115" i="8"/>
  <c r="G117" i="8"/>
  <c r="I114" i="8"/>
  <c r="F113" i="8"/>
  <c r="F114" i="8"/>
  <c r="F114" i="39" s="1"/>
  <c r="C116" i="8"/>
  <c r="E118" i="8"/>
  <c r="F119" i="8"/>
  <c r="H112" i="8"/>
  <c r="H112" i="39" s="1"/>
  <c r="I116" i="8"/>
  <c r="K118" i="8"/>
  <c r="G113" i="8"/>
  <c r="H117" i="8"/>
  <c r="E116" i="8"/>
  <c r="G115" i="8"/>
  <c r="E112" i="8"/>
  <c r="D117" i="8"/>
  <c r="H118" i="8"/>
  <c r="E117" i="8"/>
  <c r="C112" i="8"/>
  <c r="K115" i="8"/>
  <c r="G119" i="8"/>
  <c r="H115" i="8"/>
  <c r="E113" i="8"/>
  <c r="D115" i="8"/>
  <c r="J115" i="8"/>
  <c r="H114" i="8"/>
  <c r="D112" i="8"/>
  <c r="J114" i="8"/>
  <c r="F115" i="8"/>
  <c r="D113" i="8"/>
  <c r="H119" i="8"/>
  <c r="H119" i="39" s="1"/>
  <c r="C119" i="8"/>
  <c r="C119" i="39" s="1"/>
  <c r="K114" i="8"/>
  <c r="I115" i="8"/>
  <c r="I115" i="39" s="1"/>
  <c r="I118" i="8"/>
  <c r="C118" i="8"/>
  <c r="C118" i="39" s="1"/>
  <c r="K116" i="8"/>
  <c r="I113" i="8"/>
  <c r="K117" i="8"/>
  <c r="I117" i="8"/>
  <c r="K113" i="8"/>
  <c r="E115" i="8"/>
  <c r="G118" i="8"/>
  <c r="C114" i="8"/>
  <c r="E290" i="38"/>
  <c r="B292" i="38"/>
  <c r="B292" i="39" s="1"/>
  <c r="F292" i="38"/>
  <c r="D296" i="38"/>
  <c r="D296" i="39" s="1"/>
  <c r="G294" i="38"/>
  <c r="K296" i="38"/>
  <c r="F290" i="38"/>
  <c r="F290" i="39" s="1"/>
  <c r="D290" i="38"/>
  <c r="D290" i="39" s="1"/>
  <c r="C296" i="38"/>
  <c r="C294" i="38"/>
  <c r="C294" i="39" s="1"/>
  <c r="I292" i="38"/>
  <c r="J297" i="38"/>
  <c r="K292" i="38"/>
  <c r="D291" i="38"/>
  <c r="K297" i="38"/>
  <c r="B290" i="38"/>
  <c r="G292" i="38"/>
  <c r="G292" i="39" s="1"/>
  <c r="I293" i="38"/>
  <c r="I293" i="39" s="1"/>
  <c r="E292" i="38"/>
  <c r="E292" i="39" s="1"/>
  <c r="D292" i="38"/>
  <c r="D292" i="39" s="1"/>
  <c r="B297" i="38"/>
  <c r="I295" i="38"/>
  <c r="F293" i="38"/>
  <c r="B291" i="38"/>
  <c r="E293" i="38"/>
  <c r="F297" i="38"/>
  <c r="F297" i="39" s="1"/>
  <c r="J295" i="38"/>
  <c r="J295" i="39" s="1"/>
  <c r="E291" i="38"/>
  <c r="E291" i="39" s="1"/>
  <c r="I297" i="38"/>
  <c r="E295" i="38"/>
  <c r="I291" i="38"/>
  <c r="E297" i="38"/>
  <c r="C293" i="38"/>
  <c r="I290" i="38"/>
  <c r="I290" i="39" s="1"/>
  <c r="G290" i="38"/>
  <c r="J291" i="38"/>
  <c r="J291" i="39" s="1"/>
  <c r="J294" i="38"/>
  <c r="F291" i="38"/>
  <c r="C295" i="38"/>
  <c r="J290" i="38"/>
  <c r="J290" i="39" s="1"/>
  <c r="J292" i="38"/>
  <c r="C290" i="38"/>
  <c r="C290" i="39" s="1"/>
  <c r="G295" i="38"/>
  <c r="E294" i="38"/>
  <c r="E294" i="39" s="1"/>
  <c r="G293" i="38"/>
  <c r="H293" i="38"/>
  <c r="H293" i="39" s="1"/>
  <c r="C292" i="38"/>
  <c r="C291" i="38"/>
  <c r="J293" i="38"/>
  <c r="K293" i="38"/>
  <c r="F294" i="38"/>
  <c r="F294" i="39" s="1"/>
  <c r="F295" i="38"/>
  <c r="K290" i="38"/>
  <c r="H292" i="38"/>
  <c r="G296" i="38"/>
  <c r="K294" i="38"/>
  <c r="I294" i="38"/>
  <c r="H294" i="38"/>
  <c r="K291" i="38"/>
  <c r="K291" i="39" s="1"/>
  <c r="D293" i="38"/>
  <c r="D293" i="39" s="1"/>
  <c r="H295" i="38"/>
  <c r="H291" i="38"/>
  <c r="H291" i="39" s="1"/>
  <c r="H290" i="38"/>
  <c r="K295" i="38"/>
  <c r="K295" i="39" s="1"/>
  <c r="B296" i="38"/>
  <c r="F296" i="38"/>
  <c r="J296" i="38"/>
  <c r="B293" i="38"/>
  <c r="B293" i="39" s="1"/>
  <c r="D294" i="38"/>
  <c r="E296" i="38"/>
  <c r="D297" i="38"/>
  <c r="D295" i="38"/>
  <c r="D295" i="39" s="1"/>
  <c r="C297" i="38"/>
  <c r="H296" i="38"/>
  <c r="G291" i="38"/>
  <c r="G297" i="38"/>
  <c r="I296" i="38"/>
  <c r="I296" i="39" s="1"/>
  <c r="H297" i="38"/>
  <c r="H297" i="39" s="1"/>
  <c r="B294" i="38"/>
  <c r="B295" i="38"/>
  <c r="B94" i="39"/>
  <c r="D180" i="38"/>
  <c r="E180" i="38" s="1"/>
  <c r="F180" i="38" s="1"/>
  <c r="G180" i="38" s="1"/>
  <c r="H180" i="38" s="1"/>
  <c r="I180" i="38" s="1"/>
  <c r="J180" i="38" s="1"/>
  <c r="K180" i="38" s="1"/>
  <c r="D179" i="38"/>
  <c r="E179" i="38" s="1"/>
  <c r="F179" i="38" s="1"/>
  <c r="G179" i="38" s="1"/>
  <c r="H179" i="38" s="1"/>
  <c r="I179" i="38" s="1"/>
  <c r="J179" i="38" s="1"/>
  <c r="K179" i="38" s="1"/>
  <c r="B91" i="39"/>
  <c r="B85" i="39"/>
  <c r="B121" i="8" a="1"/>
  <c r="D172" i="38"/>
  <c r="E172" i="38" s="1"/>
  <c r="F172" i="38" s="1"/>
  <c r="G172" i="38" s="1"/>
  <c r="H172" i="38" s="1"/>
  <c r="I172" i="38" s="1"/>
  <c r="J172" i="38" s="1"/>
  <c r="K172" i="38" s="1"/>
  <c r="D171" i="38"/>
  <c r="E171" i="38" s="1"/>
  <c r="F171" i="38" s="1"/>
  <c r="G171" i="38" s="1"/>
  <c r="H171" i="38" s="1"/>
  <c r="I171" i="38" s="1"/>
  <c r="J171" i="38" s="1"/>
  <c r="K171" i="38" s="1"/>
  <c r="E63" i="58"/>
  <c r="E65" i="58"/>
  <c r="G286" i="39"/>
  <c r="K85" i="39"/>
  <c r="F42" i="35"/>
  <c r="G47" i="35"/>
  <c r="G117" i="35" s="1"/>
  <c r="G127" i="35" s="1"/>
  <c r="D42" i="35"/>
  <c r="H48" i="35"/>
  <c r="H118" i="35" s="1"/>
  <c r="H128" i="35" s="1"/>
  <c r="G48" i="35"/>
  <c r="G118" i="35" s="1"/>
  <c r="G128" i="35" s="1"/>
  <c r="D47" i="35"/>
  <c r="D117" i="35" s="1"/>
  <c r="D127" i="35" s="1"/>
  <c r="E47" i="35"/>
  <c r="E117" i="35" s="1"/>
  <c r="E127" i="35" s="1"/>
  <c r="J49" i="35"/>
  <c r="J119" i="35" s="1"/>
  <c r="J129" i="35" s="1"/>
  <c r="B46" i="35"/>
  <c r="B116" i="35" s="1"/>
  <c r="B126" i="35" s="1"/>
  <c r="B42" i="35"/>
  <c r="E46" i="35"/>
  <c r="E116" i="35" s="1"/>
  <c r="E126" i="35" s="1"/>
  <c r="K42" i="35"/>
  <c r="I45" i="35"/>
  <c r="I115" i="35" s="1"/>
  <c r="I125" i="35" s="1"/>
  <c r="K43" i="35"/>
  <c r="K113" i="35" s="1"/>
  <c r="K123" i="35" s="1"/>
  <c r="E43" i="35"/>
  <c r="E113" i="35" s="1"/>
  <c r="E123" i="35" s="1"/>
  <c r="H45" i="35"/>
  <c r="H115" i="35" s="1"/>
  <c r="H125" i="35" s="1"/>
  <c r="I48" i="35"/>
  <c r="I118" i="35" s="1"/>
  <c r="I128" i="35" s="1"/>
  <c r="B48" i="35"/>
  <c r="B118" i="35" s="1"/>
  <c r="B128" i="35" s="1"/>
  <c r="E49" i="35"/>
  <c r="E119" i="35" s="1"/>
  <c r="E129" i="35" s="1"/>
  <c r="I47" i="35"/>
  <c r="I117" i="35" s="1"/>
  <c r="I127" i="35" s="1"/>
  <c r="J47" i="35"/>
  <c r="J117" i="35" s="1"/>
  <c r="J127" i="35" s="1"/>
  <c r="D49" i="35"/>
  <c r="D119" i="35" s="1"/>
  <c r="D129" i="35" s="1"/>
  <c r="E48" i="35"/>
  <c r="E118" i="35" s="1"/>
  <c r="E128" i="35" s="1"/>
  <c r="B49" i="35"/>
  <c r="B119" i="35" s="1"/>
  <c r="B129" i="35" s="1"/>
  <c r="H44" i="35"/>
  <c r="H114" i="35" s="1"/>
  <c r="H124" i="35" s="1"/>
  <c r="F45" i="35"/>
  <c r="F115" i="35" s="1"/>
  <c r="F125" i="35" s="1"/>
  <c r="F44" i="35"/>
  <c r="F114" i="35" s="1"/>
  <c r="F124" i="35" s="1"/>
  <c r="I49" i="35"/>
  <c r="I119" i="35" s="1"/>
  <c r="I129" i="35" s="1"/>
  <c r="E42" i="35"/>
  <c r="F43" i="35"/>
  <c r="F113" i="35" s="1"/>
  <c r="F123" i="35" s="1"/>
  <c r="D43" i="35"/>
  <c r="D113" i="35" s="1"/>
  <c r="D123" i="35" s="1"/>
  <c r="C44" i="35"/>
  <c r="C114" i="35" s="1"/>
  <c r="C124" i="35" s="1"/>
  <c r="F48" i="35"/>
  <c r="F118" i="35" s="1"/>
  <c r="F128" i="35" s="1"/>
  <c r="K47" i="35"/>
  <c r="K117" i="35" s="1"/>
  <c r="K127" i="35" s="1"/>
  <c r="G42" i="35"/>
  <c r="C45" i="35"/>
  <c r="C115" i="35" s="1"/>
  <c r="C125" i="35" s="1"/>
  <c r="G44" i="35"/>
  <c r="G114" i="35" s="1"/>
  <c r="G124" i="35" s="1"/>
  <c r="I43" i="35"/>
  <c r="I113" i="35" s="1"/>
  <c r="I123" i="35" s="1"/>
  <c r="K45" i="35"/>
  <c r="K115" i="35" s="1"/>
  <c r="K125" i="35" s="1"/>
  <c r="H43" i="35"/>
  <c r="H113" i="35" s="1"/>
  <c r="H123" i="35" s="1"/>
  <c r="K46" i="35"/>
  <c r="K116" i="35" s="1"/>
  <c r="K126" i="35" s="1"/>
  <c r="C42" i="35"/>
  <c r="J44" i="35"/>
  <c r="J114" i="35" s="1"/>
  <c r="J124" i="35" s="1"/>
  <c r="F49" i="35"/>
  <c r="F119" i="35" s="1"/>
  <c r="F129" i="35" s="1"/>
  <c r="G49" i="35"/>
  <c r="G119" i="35" s="1"/>
  <c r="G129" i="35" s="1"/>
  <c r="C47" i="35"/>
  <c r="C117" i="35" s="1"/>
  <c r="C127" i="35" s="1"/>
  <c r="C48" i="35"/>
  <c r="C118" i="35" s="1"/>
  <c r="C128" i="35" s="1"/>
  <c r="K48" i="35"/>
  <c r="K118" i="35" s="1"/>
  <c r="K128" i="35" s="1"/>
  <c r="F46" i="35"/>
  <c r="F116" i="35" s="1"/>
  <c r="F126" i="35" s="1"/>
  <c r="D46" i="35"/>
  <c r="D116" i="35" s="1"/>
  <c r="D126" i="35" s="1"/>
  <c r="I42" i="35"/>
  <c r="E44" i="35"/>
  <c r="E114" i="35" s="1"/>
  <c r="E124" i="35" s="1"/>
  <c r="C46" i="35"/>
  <c r="C116" i="35" s="1"/>
  <c r="C126" i="35" s="1"/>
  <c r="J45" i="35"/>
  <c r="J115" i="35" s="1"/>
  <c r="J125" i="35" s="1"/>
  <c r="H49" i="35"/>
  <c r="H119" i="35" s="1"/>
  <c r="H129" i="35" s="1"/>
  <c r="J42" i="35"/>
  <c r="G45" i="35"/>
  <c r="G115" i="35" s="1"/>
  <c r="G125" i="35" s="1"/>
  <c r="D44" i="35"/>
  <c r="D114" i="35" s="1"/>
  <c r="D124" i="35" s="1"/>
  <c r="I44" i="35"/>
  <c r="I114" i="35" s="1"/>
  <c r="I124" i="35" s="1"/>
  <c r="H47" i="35"/>
  <c r="H117" i="35" s="1"/>
  <c r="H127" i="35" s="1"/>
  <c r="C43" i="35"/>
  <c r="C113" i="35" s="1"/>
  <c r="C123" i="35" s="1"/>
  <c r="B45" i="35"/>
  <c r="B115" i="35" s="1"/>
  <c r="B125" i="35" s="1"/>
  <c r="B44" i="35"/>
  <c r="B114" i="35" s="1"/>
  <c r="B124" i="35" s="1"/>
  <c r="E45" i="35"/>
  <c r="E115" i="35" s="1"/>
  <c r="E125" i="35" s="1"/>
  <c r="G43" i="35"/>
  <c r="G113" i="35" s="1"/>
  <c r="G123" i="35" s="1"/>
  <c r="B47" i="35"/>
  <c r="B117" i="35" s="1"/>
  <c r="B127" i="35" s="1"/>
  <c r="K44" i="35"/>
  <c r="K114" i="35" s="1"/>
  <c r="K124" i="35" s="1"/>
  <c r="D45" i="35"/>
  <c r="D115" i="35" s="1"/>
  <c r="D125" i="35" s="1"/>
  <c r="D48" i="35"/>
  <c r="D118" i="35" s="1"/>
  <c r="D128" i="35" s="1"/>
  <c r="H46" i="35"/>
  <c r="H116" i="35" s="1"/>
  <c r="H126" i="35" s="1"/>
  <c r="G46" i="35"/>
  <c r="G116" i="35" s="1"/>
  <c r="G126" i="35" s="1"/>
  <c r="J43" i="35"/>
  <c r="J113" i="35" s="1"/>
  <c r="J123" i="35" s="1"/>
  <c r="K49" i="35"/>
  <c r="K119" i="35" s="1"/>
  <c r="K129" i="35" s="1"/>
  <c r="J46" i="35"/>
  <c r="J116" i="35" s="1"/>
  <c r="J126" i="35" s="1"/>
  <c r="F47" i="35"/>
  <c r="F117" i="35" s="1"/>
  <c r="F127" i="35" s="1"/>
  <c r="C49" i="35"/>
  <c r="C119" i="35" s="1"/>
  <c r="C129" i="35" s="1"/>
  <c r="I46" i="35"/>
  <c r="I116" i="35" s="1"/>
  <c r="I126" i="35" s="1"/>
  <c r="H42" i="35"/>
  <c r="B43" i="35"/>
  <c r="B113" i="35" s="1"/>
  <c r="B123" i="35" s="1"/>
  <c r="J48" i="35"/>
  <c r="J118" i="35" s="1"/>
  <c r="J128" i="35" s="1"/>
  <c r="D110" i="39"/>
  <c r="H305" i="39"/>
  <c r="D300" i="39"/>
  <c r="G303" i="39"/>
  <c r="B302" i="39"/>
  <c r="F303" i="39"/>
  <c r="E303" i="39"/>
  <c r="K306" i="39"/>
  <c r="F301" i="39"/>
  <c r="K305" i="39"/>
  <c r="D301" i="39"/>
  <c r="B407" i="38" a="1"/>
  <c r="B299" i="39"/>
  <c r="B407" i="8" a="1"/>
  <c r="B335" i="38" a="1"/>
  <c r="B335" i="8" a="1"/>
  <c r="I305" i="39"/>
  <c r="K300" i="39"/>
  <c r="D160" i="38"/>
  <c r="E160" i="38" s="1"/>
  <c r="F160" i="38" s="1"/>
  <c r="G160" i="38" s="1"/>
  <c r="H160" i="38" s="1"/>
  <c r="I160" i="38" s="1"/>
  <c r="J160" i="38" s="1"/>
  <c r="K160" i="38" s="1"/>
  <c r="D168" i="29"/>
  <c r="D167" i="29"/>
  <c r="E62" i="58"/>
  <c r="H30" i="37"/>
  <c r="D178" i="38"/>
  <c r="E178" i="38" s="1"/>
  <c r="F178" i="38" s="1"/>
  <c r="G178" i="38" s="1"/>
  <c r="H178" i="38" s="1"/>
  <c r="I178" i="38" s="1"/>
  <c r="J178" i="38" s="1"/>
  <c r="K178" i="38" s="1"/>
  <c r="D181" i="38"/>
  <c r="E181" i="38" s="1"/>
  <c r="F181" i="38" s="1"/>
  <c r="G181" i="38" s="1"/>
  <c r="H181" i="38" s="1"/>
  <c r="I181" i="38" s="1"/>
  <c r="J181" i="38" s="1"/>
  <c r="K181" i="38" s="1"/>
  <c r="B86" i="39"/>
  <c r="B87" i="39"/>
  <c r="D170" i="38"/>
  <c r="E170" i="38" s="1"/>
  <c r="F170" i="38" s="1"/>
  <c r="G170" i="38" s="1"/>
  <c r="H170" i="38" s="1"/>
  <c r="I170" i="38" s="1"/>
  <c r="J170" i="38" s="1"/>
  <c r="K170" i="38" s="1"/>
  <c r="C167" i="38"/>
  <c r="D166" i="40"/>
  <c r="D167" i="4"/>
  <c r="D168" i="4"/>
  <c r="D168" i="40" s="1"/>
  <c r="B281" i="39"/>
  <c r="B389" i="38" a="1"/>
  <c r="B389" i="8" a="1"/>
  <c r="B317" i="8" a="1"/>
  <c r="B317" i="38" a="1"/>
  <c r="G80" i="4"/>
  <c r="G80" i="40" s="1"/>
  <c r="H80" i="4"/>
  <c r="D80" i="4"/>
  <c r="E80" i="4"/>
  <c r="E80" i="40" s="1"/>
  <c r="F80" i="4"/>
  <c r="I80" i="4"/>
  <c r="I80" i="40" s="1"/>
  <c r="L80" i="4"/>
  <c r="K80" i="4"/>
  <c r="K80" i="40" s="1"/>
  <c r="M80" i="4"/>
  <c r="J80" i="4"/>
  <c r="I159" i="29" a="1"/>
  <c r="I159" i="29" s="1"/>
  <c r="I159" i="40" s="1"/>
  <c r="J106" i="39"/>
  <c r="F103" i="39"/>
  <c r="E64" i="58"/>
  <c r="D304" i="39"/>
  <c r="G304" i="39"/>
  <c r="F302" i="39"/>
  <c r="G305" i="39"/>
  <c r="D299" i="39"/>
  <c r="C157" i="38"/>
  <c r="H285" i="39"/>
  <c r="B139" i="8" a="1"/>
  <c r="B103" i="39"/>
  <c r="B30" i="37"/>
  <c r="G159" i="29" a="1"/>
  <c r="G159" i="29" s="1"/>
  <c r="G159" i="40" s="1"/>
  <c r="F107" i="39"/>
  <c r="D109" i="39"/>
  <c r="J109" i="39"/>
  <c r="D105" i="39"/>
  <c r="C109" i="39"/>
  <c r="C60" i="59"/>
  <c r="C65" i="59"/>
  <c r="C59" i="59"/>
  <c r="C62" i="59"/>
  <c r="C64" i="59"/>
  <c r="C58" i="59"/>
  <c r="C63" i="59"/>
  <c r="C61" i="59"/>
  <c r="K288" i="39"/>
  <c r="F285" i="39"/>
  <c r="I284" i="39"/>
  <c r="K284" i="39"/>
  <c r="D283" i="39"/>
  <c r="C282" i="39"/>
  <c r="D286" i="39"/>
  <c r="E284" i="39"/>
  <c r="I282" i="39"/>
  <c r="G285" i="39"/>
  <c r="I89" i="39"/>
  <c r="D86" i="39"/>
  <c r="C88" i="39"/>
  <c r="I91" i="39"/>
  <c r="F87" i="39"/>
  <c r="I88" i="39"/>
  <c r="J91" i="39"/>
  <c r="I92" i="39"/>
  <c r="C86" i="39"/>
  <c r="J86" i="39"/>
  <c r="I81" i="4"/>
  <c r="I81" i="40" s="1"/>
  <c r="M81" i="4"/>
  <c r="M81" i="40" s="1"/>
  <c r="F81" i="4"/>
  <c r="F81" i="40" s="1"/>
  <c r="L81" i="4"/>
  <c r="L81" i="40" s="1"/>
  <c r="G81" i="4"/>
  <c r="G81" i="40" s="1"/>
  <c r="K81" i="4"/>
  <c r="K81" i="40" s="1"/>
  <c r="E81" i="4"/>
  <c r="E81" i="40" s="1"/>
  <c r="H81" i="4"/>
  <c r="H81" i="40" s="1"/>
  <c r="D81" i="4"/>
  <c r="D81" i="40" s="1"/>
  <c r="J81" i="4"/>
  <c r="J81" i="40" s="1"/>
  <c r="G78" i="4"/>
  <c r="H78" i="4"/>
  <c r="D78" i="4"/>
  <c r="E78" i="4"/>
  <c r="I78" i="4"/>
  <c r="L78" i="4"/>
  <c r="K78" i="4"/>
  <c r="J78" i="4"/>
  <c r="M78" i="4"/>
  <c r="F78" i="4"/>
  <c r="F30" i="37"/>
  <c r="G47" i="7"/>
  <c r="J45" i="7"/>
  <c r="F43" i="7"/>
  <c r="I44" i="7"/>
  <c r="G49" i="7"/>
  <c r="D48" i="7"/>
  <c r="I49" i="7"/>
  <c r="I43" i="7"/>
  <c r="F44" i="7"/>
  <c r="B43" i="7"/>
  <c r="G45" i="7"/>
  <c r="D44" i="7"/>
  <c r="C47" i="7"/>
  <c r="B44" i="7"/>
  <c r="B46" i="7"/>
  <c r="J49" i="7"/>
  <c r="C46" i="7"/>
  <c r="J44" i="7"/>
  <c r="E42" i="7"/>
  <c r="H48" i="7"/>
  <c r="H46" i="7"/>
  <c r="G43" i="7"/>
  <c r="G48" i="7"/>
  <c r="F48" i="7"/>
  <c r="E47" i="7"/>
  <c r="H43" i="7"/>
  <c r="F49" i="7"/>
  <c r="B45" i="7"/>
  <c r="K46" i="7"/>
  <c r="I48" i="7"/>
  <c r="F46" i="7"/>
  <c r="D49" i="7"/>
  <c r="H45" i="7"/>
  <c r="D45" i="7"/>
  <c r="H49" i="7"/>
  <c r="J43" i="7"/>
  <c r="J42" i="7"/>
  <c r="I47" i="7"/>
  <c r="C44" i="7"/>
  <c r="K44" i="7"/>
  <c r="I42" i="7"/>
  <c r="H47" i="7"/>
  <c r="J47" i="7"/>
  <c r="D46" i="7"/>
  <c r="K47" i="7"/>
  <c r="E44" i="7"/>
  <c r="E49" i="7"/>
  <c r="I45" i="7"/>
  <c r="C42" i="7"/>
  <c r="D43" i="7"/>
  <c r="G42" i="7"/>
  <c r="G44" i="7"/>
  <c r="B48" i="7"/>
  <c r="E46" i="7"/>
  <c r="I46" i="7"/>
  <c r="K45" i="7"/>
  <c r="B42" i="7"/>
  <c r="F45" i="7"/>
  <c r="B47" i="7"/>
  <c r="K42" i="7"/>
  <c r="B49" i="7"/>
  <c r="C49" i="7"/>
  <c r="E45" i="7"/>
  <c r="K43" i="7"/>
  <c r="J48" i="7"/>
  <c r="C45" i="7"/>
  <c r="H42" i="7"/>
  <c r="C48" i="7"/>
  <c r="D47" i="7"/>
  <c r="E48" i="7"/>
  <c r="F42" i="7"/>
  <c r="K48" i="7"/>
  <c r="K49" i="7"/>
  <c r="G46" i="7"/>
  <c r="C43" i="7"/>
  <c r="D42" i="7"/>
  <c r="F47" i="7"/>
  <c r="H44" i="7"/>
  <c r="E43" i="7"/>
  <c r="J46" i="7"/>
  <c r="E110" i="37"/>
  <c r="J159" i="29" a="1"/>
  <c r="J159" i="29" s="1"/>
  <c r="J159" i="40" s="1"/>
  <c r="L159" i="29" a="1"/>
  <c r="L159" i="29" s="1"/>
  <c r="L159" i="40" s="1"/>
  <c r="H159" i="29" a="1"/>
  <c r="H159" i="29" s="1"/>
  <c r="H159" i="40" s="1"/>
  <c r="K159" i="29" a="1"/>
  <c r="K159" i="29" s="1"/>
  <c r="K159" i="40" s="1"/>
  <c r="G107" i="39"/>
  <c r="H106" i="39"/>
  <c r="K106" i="39"/>
  <c r="H110" i="39"/>
  <c r="D108" i="39"/>
  <c r="K103" i="39"/>
  <c r="J104" i="39"/>
  <c r="D104" i="39"/>
  <c r="I106" i="39"/>
  <c r="G109" i="39"/>
  <c r="G108" i="39"/>
  <c r="H107" i="39"/>
  <c r="H105" i="39"/>
  <c r="I103" i="39"/>
  <c r="C103" i="39"/>
  <c r="K108" i="39"/>
  <c r="E108" i="39"/>
  <c r="C104" i="39"/>
  <c r="E58" i="58"/>
  <c r="E300" i="39"/>
  <c r="I306" i="39"/>
  <c r="I303" i="39"/>
  <c r="B304" i="39"/>
  <c r="C301" i="39"/>
  <c r="F305" i="39"/>
  <c r="D302" i="39"/>
  <c r="G302" i="39"/>
  <c r="J300" i="39"/>
  <c r="H300" i="39"/>
  <c r="J304" i="39"/>
  <c r="G306" i="39"/>
  <c r="E301" i="39"/>
  <c r="D306" i="39"/>
  <c r="D303" i="39"/>
  <c r="B300" i="39"/>
  <c r="I299" i="39"/>
  <c r="I304" i="39"/>
  <c r="K299" i="39"/>
  <c r="F300" i="39"/>
  <c r="D158" i="38"/>
  <c r="E158" i="38" s="1"/>
  <c r="F158" i="38" s="1"/>
  <c r="G158" i="38" s="1"/>
  <c r="H158" i="38" s="1"/>
  <c r="I158" i="38" s="1"/>
  <c r="J158" i="38" s="1"/>
  <c r="K158" i="38" s="1"/>
  <c r="D164" i="38"/>
  <c r="E164" i="38" s="1"/>
  <c r="F164" i="38" s="1"/>
  <c r="G164" i="38" s="1"/>
  <c r="H164" i="38" s="1"/>
  <c r="I164" i="38" s="1"/>
  <c r="J164" i="38" s="1"/>
  <c r="K164" i="38" s="1"/>
  <c r="D199" i="29"/>
  <c r="D38" i="29"/>
  <c r="D55" i="29"/>
  <c r="D181" i="29"/>
  <c r="C101" i="30" s="1"/>
  <c r="C206" i="30" s="1"/>
  <c r="C215" i="30" s="1"/>
  <c r="C233" i="30" s="1"/>
  <c r="D179" i="29"/>
  <c r="C99" i="30" s="1"/>
  <c r="C204" i="30" s="1"/>
  <c r="C213" i="30" s="1"/>
  <c r="C231" i="30" s="1"/>
  <c r="D178" i="29"/>
  <c r="C98" i="30" s="1"/>
  <c r="C203" i="30" s="1"/>
  <c r="C212" i="30" s="1"/>
  <c r="C230" i="30" s="1"/>
  <c r="D175" i="29"/>
  <c r="D174" i="29"/>
  <c r="D200" i="29" s="1"/>
  <c r="D121" i="29"/>
  <c r="D122" i="29" s="1"/>
  <c r="D182" i="29"/>
  <c r="C102" i="30" s="1"/>
  <c r="C207" i="30" s="1"/>
  <c r="C216" i="30" s="1"/>
  <c r="C234" i="30" s="1"/>
  <c r="D189" i="29"/>
  <c r="D191" i="29" s="1"/>
  <c r="D107" i="29"/>
  <c r="D108" i="29" s="1"/>
  <c r="D184" i="29"/>
  <c r="C104" i="30" s="1"/>
  <c r="C209" i="30" s="1"/>
  <c r="C218" i="30" s="1"/>
  <c r="C236" i="30" s="1"/>
  <c r="D180" i="29"/>
  <c r="C100" i="30" s="1"/>
  <c r="C205" i="30" s="1"/>
  <c r="C214" i="30" s="1"/>
  <c r="C232" i="30" s="1"/>
  <c r="D94" i="29"/>
  <c r="D177" i="29"/>
  <c r="D183" i="29"/>
  <c r="C103" i="30" s="1"/>
  <c r="C208" i="30" s="1"/>
  <c r="C217" i="30" s="1"/>
  <c r="C235" i="30" s="1"/>
  <c r="C124" i="30"/>
  <c r="C125" i="30" s="1"/>
  <c r="C127" i="30" s="1"/>
  <c r="D89" i="29"/>
  <c r="I151" i="40"/>
  <c r="D183" i="38"/>
  <c r="E183" i="38" s="1"/>
  <c r="F183" i="38" s="1"/>
  <c r="G183" i="38" s="1"/>
  <c r="H183" i="38" s="1"/>
  <c r="I183" i="38" s="1"/>
  <c r="J183" i="38" s="1"/>
  <c r="K183" i="38" s="1"/>
  <c r="D184" i="38"/>
  <c r="E184" i="38" s="1"/>
  <c r="F184" i="38" s="1"/>
  <c r="G184" i="38" s="1"/>
  <c r="H184" i="38" s="1"/>
  <c r="I184" i="38" s="1"/>
  <c r="J184" i="38" s="1"/>
  <c r="K184" i="38" s="1"/>
  <c r="B90" i="39"/>
  <c r="B92" i="39"/>
  <c r="D169" i="38"/>
  <c r="E169" i="38" s="1"/>
  <c r="F169" i="38" s="1"/>
  <c r="G169" i="38" s="1"/>
  <c r="H169" i="38" s="1"/>
  <c r="I169" i="38" s="1"/>
  <c r="J169" i="38" s="1"/>
  <c r="K169" i="38" s="1"/>
  <c r="D174" i="38"/>
  <c r="E174" i="38" s="1"/>
  <c r="F174" i="38" s="1"/>
  <c r="G174" i="38" s="1"/>
  <c r="H174" i="38" s="1"/>
  <c r="I174" i="38" s="1"/>
  <c r="J174" i="38" s="1"/>
  <c r="K174" i="38" s="1"/>
  <c r="E61" i="58"/>
  <c r="F159" i="29" a="1"/>
  <c r="F159" i="29" s="1"/>
  <c r="F159" i="40" s="1"/>
  <c r="B303" i="39"/>
  <c r="G282" i="39"/>
  <c r="D284" i="39"/>
  <c r="C110" i="37"/>
  <c r="C92" i="39"/>
  <c r="C89" i="39"/>
  <c r="E79" i="4"/>
  <c r="E79" i="40" s="1"/>
  <c r="H79" i="4"/>
  <c r="H79" i="40" s="1"/>
  <c r="F79" i="4"/>
  <c r="F79" i="40" s="1"/>
  <c r="J79" i="4"/>
  <c r="G79" i="4"/>
  <c r="G79" i="40" s="1"/>
  <c r="K79" i="4"/>
  <c r="K79" i="40" s="1"/>
  <c r="M79" i="4"/>
  <c r="M79" i="40" s="1"/>
  <c r="I79" i="4"/>
  <c r="I79" i="40" s="1"/>
  <c r="D79" i="4"/>
  <c r="D79" i="40" s="1"/>
  <c r="L79" i="4"/>
  <c r="L79" i="40" s="1"/>
  <c r="M159" i="29" a="1"/>
  <c r="M159" i="29" s="1"/>
  <c r="M159" i="40" s="1"/>
  <c r="E159" i="29" a="1"/>
  <c r="E159" i="29" s="1"/>
  <c r="E159" i="40" s="1"/>
  <c r="H108" i="39"/>
  <c r="J103" i="39"/>
  <c r="I283" i="39"/>
  <c r="D287" i="39"/>
  <c r="K282" i="39"/>
  <c r="J281" i="39"/>
  <c r="E282" i="39"/>
  <c r="D288" i="39"/>
  <c r="B284" i="39"/>
  <c r="K285" i="39"/>
  <c r="D281" i="39"/>
  <c r="H281" i="39"/>
  <c r="E281" i="39"/>
  <c r="H284" i="39"/>
  <c r="D85" i="39"/>
  <c r="G92" i="39"/>
  <c r="E85" i="39"/>
  <c r="J92" i="39"/>
  <c r="I87" i="39"/>
  <c r="K87" i="39"/>
  <c r="G90" i="39"/>
  <c r="K88" i="39"/>
  <c r="F85" i="39"/>
  <c r="D87" i="39"/>
  <c r="E151" i="40"/>
  <c r="E59" i="58"/>
  <c r="D159" i="29" a="1"/>
  <c r="D159" i="29" s="1"/>
  <c r="D159" i="40" s="1"/>
  <c r="F105" i="39"/>
  <c r="C110" i="39"/>
  <c r="F108" i="39"/>
  <c r="E110" i="39"/>
  <c r="K107" i="39"/>
  <c r="E103" i="39"/>
  <c r="D107" i="39"/>
  <c r="K109" i="39"/>
  <c r="F110" i="39"/>
  <c r="K105" i="39"/>
  <c r="H109" i="39"/>
  <c r="E106" i="39"/>
  <c r="H104" i="39"/>
  <c r="I105" i="39"/>
  <c r="F106" i="39"/>
  <c r="F104" i="39"/>
  <c r="C106" i="39"/>
  <c r="I104" i="39"/>
  <c r="J73" i="4"/>
  <c r="I73" i="40"/>
  <c r="G299" i="39"/>
  <c r="G300" i="39"/>
  <c r="C305" i="39"/>
  <c r="H302" i="39"/>
  <c r="H306" i="39"/>
  <c r="E304" i="39"/>
  <c r="G301" i="39"/>
  <c r="C303" i="39"/>
  <c r="C304" i="39"/>
  <c r="F299" i="39"/>
  <c r="J299" i="39"/>
  <c r="J302" i="39"/>
  <c r="J306" i="39"/>
  <c r="J301" i="39"/>
  <c r="E306" i="39"/>
  <c r="K302" i="39"/>
  <c r="F306" i="39"/>
  <c r="I301" i="39"/>
  <c r="D305" i="39"/>
  <c r="E305" i="39"/>
  <c r="D162" i="38"/>
  <c r="E162" i="38" s="1"/>
  <c r="F162" i="38" s="1"/>
  <c r="G162" i="38" s="1"/>
  <c r="H162" i="38" s="1"/>
  <c r="I162" i="38" s="1"/>
  <c r="J162" i="38" s="1"/>
  <c r="K162" i="38" s="1"/>
  <c r="D161" i="38"/>
  <c r="E161" i="38" s="1"/>
  <c r="F161" i="38" s="1"/>
  <c r="G161" i="38" s="1"/>
  <c r="H161" i="38" s="1"/>
  <c r="I161" i="38" s="1"/>
  <c r="J161" i="38" s="1"/>
  <c r="K161" i="38" s="1"/>
  <c r="E60" i="58"/>
  <c r="C177" i="38"/>
  <c r="D182" i="38"/>
  <c r="E182" i="38" s="1"/>
  <c r="F182" i="38" s="1"/>
  <c r="G182" i="38" s="1"/>
  <c r="H182" i="38" s="1"/>
  <c r="I182" i="38" s="1"/>
  <c r="J182" i="38" s="1"/>
  <c r="K182" i="38" s="1"/>
  <c r="B88" i="39"/>
  <c r="B89" i="39"/>
  <c r="D173" i="38"/>
  <c r="E173" i="38" s="1"/>
  <c r="F173" i="38" s="1"/>
  <c r="G173" i="38" s="1"/>
  <c r="H173" i="38" s="1"/>
  <c r="I173" i="38" s="1"/>
  <c r="J173" i="38" s="1"/>
  <c r="K173" i="38" s="1"/>
  <c r="D168" i="38"/>
  <c r="E168" i="38" s="1"/>
  <c r="F168" i="38" s="1"/>
  <c r="G168" i="38" s="1"/>
  <c r="H168" i="38" s="1"/>
  <c r="I168" i="38" s="1"/>
  <c r="J168" i="38" s="1"/>
  <c r="K168" i="38" s="1"/>
  <c r="D151" i="40"/>
  <c r="I60" i="57"/>
  <c r="C81" i="57"/>
  <c r="C153" i="57"/>
  <c r="C151" i="57"/>
  <c r="C154" i="57"/>
  <c r="C152" i="57"/>
  <c r="C150" i="57"/>
  <c r="M80" i="40" l="1"/>
  <c r="B294" i="39"/>
  <c r="J296" i="39"/>
  <c r="C292" i="39"/>
  <c r="C295" i="39"/>
  <c r="I118" i="39"/>
  <c r="D112" i="39"/>
  <c r="C112" i="39"/>
  <c r="F119" i="39"/>
  <c r="K119" i="39"/>
  <c r="C313" i="39"/>
  <c r="I311" i="39"/>
  <c r="H310" i="39"/>
  <c r="F314" i="39"/>
  <c r="F310" i="39"/>
  <c r="F291" i="39"/>
  <c r="B296" i="39"/>
  <c r="I294" i="39"/>
  <c r="J79" i="40"/>
  <c r="K293" i="39"/>
  <c r="E295" i="39"/>
  <c r="E117" i="39"/>
  <c r="G115" i="39"/>
  <c r="E118" i="39"/>
  <c r="I112" i="39"/>
  <c r="I119" i="39"/>
  <c r="C113" i="39"/>
  <c r="K309" i="39"/>
  <c r="B313" i="39"/>
  <c r="J311" i="39"/>
  <c r="K311" i="39"/>
  <c r="I310" i="39"/>
  <c r="I314" i="39"/>
  <c r="J293" i="39"/>
  <c r="J294" i="39"/>
  <c r="C293" i="39"/>
  <c r="I297" i="39"/>
  <c r="E293" i="39"/>
  <c r="B297" i="39"/>
  <c r="C296" i="39"/>
  <c r="K113" i="39"/>
  <c r="J118" i="39"/>
  <c r="J314" i="39"/>
  <c r="B295" i="39"/>
  <c r="G297" i="39"/>
  <c r="K294" i="39"/>
  <c r="F295" i="39"/>
  <c r="C291" i="39"/>
  <c r="E297" i="39"/>
  <c r="B291" i="39"/>
  <c r="C114" i="39"/>
  <c r="I117" i="39"/>
  <c r="D115" i="39"/>
  <c r="D117" i="39"/>
  <c r="H117" i="39"/>
  <c r="K112" i="39"/>
  <c r="J312" i="39"/>
  <c r="G311" i="39"/>
  <c r="H313" i="39"/>
  <c r="E315" i="39"/>
  <c r="B118" i="39"/>
  <c r="B398" i="38" a="1"/>
  <c r="I401" i="38" s="1"/>
  <c r="B326" i="38" a="1"/>
  <c r="J80" i="40"/>
  <c r="H80" i="40"/>
  <c r="C297" i="39"/>
  <c r="G294" i="39"/>
  <c r="K114" i="39"/>
  <c r="F115" i="39"/>
  <c r="H118" i="39"/>
  <c r="E116" i="39"/>
  <c r="G117" i="39"/>
  <c r="J116" i="39"/>
  <c r="J309" i="39"/>
  <c r="D309" i="39"/>
  <c r="I313" i="39"/>
  <c r="D314" i="39"/>
  <c r="G309" i="39"/>
  <c r="H308" i="39"/>
  <c r="C312" i="39"/>
  <c r="F311" i="39"/>
  <c r="K315" i="39"/>
  <c r="B114" i="39"/>
  <c r="B326" i="8" a="1"/>
  <c r="F80" i="40"/>
  <c r="J297" i="39"/>
  <c r="J114" i="39"/>
  <c r="K115" i="39"/>
  <c r="C115" i="39"/>
  <c r="D118" i="39"/>
  <c r="G114" i="39"/>
  <c r="G112" i="39"/>
  <c r="E308" i="39"/>
  <c r="H312" i="39"/>
  <c r="D311" i="39"/>
  <c r="E311" i="39"/>
  <c r="G310" i="39"/>
  <c r="C314" i="39"/>
  <c r="J310" i="39"/>
  <c r="F309" i="39"/>
  <c r="E314" i="39"/>
  <c r="B315" i="39"/>
  <c r="B290" i="39"/>
  <c r="H290" i="39"/>
  <c r="G296" i="39"/>
  <c r="G290" i="39"/>
  <c r="I291" i="39"/>
  <c r="F293" i="39"/>
  <c r="K297" i="39"/>
  <c r="I292" i="39"/>
  <c r="F292" i="39"/>
  <c r="K117" i="39"/>
  <c r="E113" i="39"/>
  <c r="F113" i="39"/>
  <c r="J117" i="39"/>
  <c r="H113" i="39"/>
  <c r="B311" i="39"/>
  <c r="G291" i="39"/>
  <c r="G295" i="39"/>
  <c r="G118" i="39"/>
  <c r="G113" i="39"/>
  <c r="C117" i="39"/>
  <c r="I308" i="39"/>
  <c r="K308" i="39"/>
  <c r="B398" i="8" a="1"/>
  <c r="J398" i="8" s="1"/>
  <c r="L80" i="40"/>
  <c r="D80" i="40"/>
  <c r="H296" i="39"/>
  <c r="E296" i="39"/>
  <c r="F296" i="39"/>
  <c r="H294" i="39"/>
  <c r="H292" i="39"/>
  <c r="I295" i="39"/>
  <c r="D291" i="39"/>
  <c r="K296" i="39"/>
  <c r="E115" i="39"/>
  <c r="I113" i="39"/>
  <c r="D113" i="39"/>
  <c r="H114" i="39"/>
  <c r="H115" i="39"/>
  <c r="K118" i="39"/>
  <c r="I114" i="39"/>
  <c r="F117" i="39"/>
  <c r="J112" i="39"/>
  <c r="F112" i="39"/>
  <c r="F118" i="39"/>
  <c r="G315" i="39"/>
  <c r="J313" i="39"/>
  <c r="G313" i="39"/>
  <c r="C311" i="39"/>
  <c r="K313" i="39"/>
  <c r="H311" i="39"/>
  <c r="C310" i="39"/>
  <c r="B312" i="39"/>
  <c r="B310" i="39"/>
  <c r="B117" i="39"/>
  <c r="D297" i="39"/>
  <c r="E112" i="39"/>
  <c r="G314" i="39"/>
  <c r="D294" i="39"/>
  <c r="H295" i="39"/>
  <c r="K290" i="39"/>
  <c r="G293" i="39"/>
  <c r="J292" i="39"/>
  <c r="K292" i="39"/>
  <c r="E290" i="39"/>
  <c r="K116" i="39"/>
  <c r="J115" i="39"/>
  <c r="G119" i="39"/>
  <c r="I116" i="39"/>
  <c r="C116" i="39"/>
  <c r="H116" i="39"/>
  <c r="J119" i="39"/>
  <c r="D119" i="39"/>
  <c r="E119" i="39"/>
  <c r="D116" i="39"/>
  <c r="C308" i="39"/>
  <c r="G312" i="39"/>
  <c r="D315" i="39"/>
  <c r="F312" i="39"/>
  <c r="F313" i="39"/>
  <c r="G308" i="39"/>
  <c r="D310" i="39"/>
  <c r="B314" i="39"/>
  <c r="H314" i="39"/>
  <c r="K80" i="37"/>
  <c r="H80" i="37"/>
  <c r="G80" i="37"/>
  <c r="D312" i="39"/>
  <c r="J80" i="37"/>
  <c r="B148" i="8" a="1"/>
  <c r="B112" i="39"/>
  <c r="E80" i="37"/>
  <c r="B148" i="38" a="1"/>
  <c r="B416" i="8" a="1"/>
  <c r="B344" i="38" a="1"/>
  <c r="B344" i="8" a="1"/>
  <c r="B308" i="39"/>
  <c r="B416" i="38" a="1"/>
  <c r="C315" i="39"/>
  <c r="K314" i="39"/>
  <c r="F315" i="39"/>
  <c r="K310" i="39"/>
  <c r="C80" i="37"/>
  <c r="I80" i="37"/>
  <c r="C185" i="38"/>
  <c r="D177" i="38"/>
  <c r="F61" i="58"/>
  <c r="C112" i="30"/>
  <c r="C113" i="30"/>
  <c r="C117" i="30"/>
  <c r="C294" i="30" s="1"/>
  <c r="C107" i="30"/>
  <c r="C116" i="30"/>
  <c r="C293" i="30" s="1"/>
  <c r="C111" i="30"/>
  <c r="C120" i="30"/>
  <c r="C297" i="30" s="1"/>
  <c r="C108" i="30"/>
  <c r="C97" i="30"/>
  <c r="C202" i="30" s="1"/>
  <c r="C211" i="30" s="1"/>
  <c r="C229" i="30" s="1"/>
  <c r="C122" i="30"/>
  <c r="C299" i="30" s="1"/>
  <c r="C119" i="30"/>
  <c r="C296" i="30" s="1"/>
  <c r="C118" i="30"/>
  <c r="C295" i="30" s="1"/>
  <c r="C109" i="30"/>
  <c r="C106" i="30"/>
  <c r="D185" i="29" a="1"/>
  <c r="D185" i="29" s="1"/>
  <c r="D187" i="29" s="1"/>
  <c r="C110" i="30"/>
  <c r="C115" i="30"/>
  <c r="C292" i="30" s="1"/>
  <c r="C121" i="30"/>
  <c r="C298" i="30" s="1"/>
  <c r="D109" i="29"/>
  <c r="D112" i="29" s="1"/>
  <c r="D113" i="29" s="1"/>
  <c r="H114" i="7"/>
  <c r="H44" i="37"/>
  <c r="G46" i="37"/>
  <c r="G116" i="7"/>
  <c r="E48" i="37"/>
  <c r="E118" i="7"/>
  <c r="C115" i="7"/>
  <c r="C45" i="37"/>
  <c r="C49" i="37"/>
  <c r="C119" i="7"/>
  <c r="F115" i="7"/>
  <c r="F45" i="37"/>
  <c r="E116" i="7"/>
  <c r="E46" i="37"/>
  <c r="D43" i="37"/>
  <c r="D113" i="7"/>
  <c r="E44" i="37"/>
  <c r="E114" i="7"/>
  <c r="H117" i="7"/>
  <c r="H47" i="37"/>
  <c r="I47" i="37"/>
  <c r="I117" i="7"/>
  <c r="D115" i="7"/>
  <c r="D45" i="37"/>
  <c r="I48" i="37"/>
  <c r="I118" i="7"/>
  <c r="H43" i="37"/>
  <c r="H113" i="7"/>
  <c r="G43" i="37"/>
  <c r="G113" i="7"/>
  <c r="J114" i="7"/>
  <c r="J44" i="37"/>
  <c r="B44" i="37"/>
  <c r="B114" i="7"/>
  <c r="B113" i="7"/>
  <c r="B43" i="37"/>
  <c r="D48" i="37"/>
  <c r="D118" i="7"/>
  <c r="J115" i="7"/>
  <c r="J45" i="37"/>
  <c r="M78" i="40"/>
  <c r="I78" i="40"/>
  <c r="G78" i="40"/>
  <c r="D61" i="59"/>
  <c r="C61" i="60"/>
  <c r="D62" i="59"/>
  <c r="C62" i="60"/>
  <c r="C165" i="38"/>
  <c r="D157" i="38"/>
  <c r="F64" i="58"/>
  <c r="D323" i="8"/>
  <c r="F324" i="8"/>
  <c r="F319" i="8"/>
  <c r="E323" i="8"/>
  <c r="G321" i="8"/>
  <c r="C320" i="8"/>
  <c r="K322" i="8"/>
  <c r="K321" i="8"/>
  <c r="F320" i="8"/>
  <c r="G317" i="8"/>
  <c r="J318" i="8"/>
  <c r="K324" i="8"/>
  <c r="H322" i="8"/>
  <c r="C319" i="8"/>
  <c r="I318" i="8"/>
  <c r="G322" i="8"/>
  <c r="D321" i="8"/>
  <c r="C323" i="8"/>
  <c r="K319" i="8"/>
  <c r="D319" i="8"/>
  <c r="C317" i="8"/>
  <c r="H319" i="8"/>
  <c r="G318" i="8"/>
  <c r="D318" i="8"/>
  <c r="B324" i="8"/>
  <c r="D322" i="8"/>
  <c r="I320" i="8"/>
  <c r="E318" i="8"/>
  <c r="E324" i="8"/>
  <c r="H317" i="8"/>
  <c r="G324" i="8"/>
  <c r="E320" i="8"/>
  <c r="B317" i="8"/>
  <c r="B319" i="8"/>
  <c r="H318" i="8"/>
  <c r="H324" i="8"/>
  <c r="H321" i="8"/>
  <c r="H323" i="8"/>
  <c r="J323" i="8"/>
  <c r="F323" i="8"/>
  <c r="G323" i="8"/>
  <c r="B318" i="8"/>
  <c r="J322" i="8"/>
  <c r="J321" i="8"/>
  <c r="K317" i="8"/>
  <c r="I323" i="8"/>
  <c r="B323" i="8"/>
  <c r="K318" i="8"/>
  <c r="C324" i="8"/>
  <c r="J324" i="8"/>
  <c r="D324" i="8"/>
  <c r="C322" i="8"/>
  <c r="C318" i="8"/>
  <c r="J317" i="8"/>
  <c r="J319" i="8"/>
  <c r="G319" i="8"/>
  <c r="I324" i="8"/>
  <c r="E319" i="8"/>
  <c r="I317" i="8"/>
  <c r="I319" i="8"/>
  <c r="E321" i="8"/>
  <c r="H320" i="8"/>
  <c r="I322" i="8"/>
  <c r="J320" i="8"/>
  <c r="D317" i="8"/>
  <c r="I321" i="8"/>
  <c r="B322" i="8"/>
  <c r="C321" i="8"/>
  <c r="E317" i="8"/>
  <c r="F322" i="8"/>
  <c r="G320" i="8"/>
  <c r="E322" i="8"/>
  <c r="B320" i="8"/>
  <c r="F321" i="8"/>
  <c r="K320" i="8"/>
  <c r="B321" i="8"/>
  <c r="F318" i="8"/>
  <c r="D320" i="8"/>
  <c r="K323" i="8"/>
  <c r="F317" i="8"/>
  <c r="D170" i="29"/>
  <c r="D169" i="29"/>
  <c r="J413" i="8"/>
  <c r="H410" i="8"/>
  <c r="C411" i="8"/>
  <c r="G407" i="8"/>
  <c r="J414" i="8"/>
  <c r="H411" i="8"/>
  <c r="I409" i="8"/>
  <c r="K407" i="8"/>
  <c r="G412" i="8"/>
  <c r="G408" i="8"/>
  <c r="F407" i="8"/>
  <c r="K414" i="8"/>
  <c r="D413" i="8"/>
  <c r="G411" i="8"/>
  <c r="I412" i="8"/>
  <c r="F412" i="8"/>
  <c r="G410" i="8"/>
  <c r="D407" i="8"/>
  <c r="I411" i="8"/>
  <c r="H414" i="8"/>
  <c r="B412" i="8"/>
  <c r="C407" i="8"/>
  <c r="D408" i="8"/>
  <c r="C408" i="8"/>
  <c r="J410" i="8"/>
  <c r="B407" i="8"/>
  <c r="I413" i="8"/>
  <c r="D414" i="8"/>
  <c r="C413" i="8"/>
  <c r="J409" i="8"/>
  <c r="H407" i="8"/>
  <c r="K412" i="8"/>
  <c r="H409" i="8"/>
  <c r="E412" i="8"/>
  <c r="E414" i="8"/>
  <c r="I410" i="8"/>
  <c r="D411" i="8"/>
  <c r="F408" i="8"/>
  <c r="F409" i="8"/>
  <c r="F413" i="8"/>
  <c r="K411" i="8"/>
  <c r="C409" i="8"/>
  <c r="K409" i="8"/>
  <c r="D409" i="8"/>
  <c r="F411" i="8"/>
  <c r="J411" i="8"/>
  <c r="J408" i="8"/>
  <c r="I407" i="8"/>
  <c r="G413" i="8"/>
  <c r="K413" i="8"/>
  <c r="E407" i="8"/>
  <c r="G409" i="8"/>
  <c r="B411" i="8"/>
  <c r="K410" i="8"/>
  <c r="C412" i="8"/>
  <c r="K408" i="8"/>
  <c r="D412" i="8"/>
  <c r="F414" i="8"/>
  <c r="H408" i="8"/>
  <c r="J407" i="8"/>
  <c r="J412" i="8"/>
  <c r="F410" i="8"/>
  <c r="B409" i="8"/>
  <c r="E409" i="8"/>
  <c r="E411" i="8"/>
  <c r="E408" i="8"/>
  <c r="D410" i="8"/>
  <c r="B414" i="8"/>
  <c r="B410" i="8"/>
  <c r="E413" i="8"/>
  <c r="C410" i="8"/>
  <c r="E410" i="8"/>
  <c r="G414" i="8"/>
  <c r="I408" i="8"/>
  <c r="H413" i="8"/>
  <c r="B408" i="8"/>
  <c r="I414" i="8"/>
  <c r="B413" i="8"/>
  <c r="C414" i="8"/>
  <c r="H412" i="8"/>
  <c r="J50" i="35"/>
  <c r="J112" i="35"/>
  <c r="K112" i="35"/>
  <c r="K50" i="35"/>
  <c r="F60" i="58"/>
  <c r="C328" i="38"/>
  <c r="D328" i="38"/>
  <c r="J326" i="38"/>
  <c r="F326" i="38"/>
  <c r="K329" i="38"/>
  <c r="I329" i="38"/>
  <c r="E332" i="38"/>
  <c r="B333" i="38"/>
  <c r="F329" i="38"/>
  <c r="G328" i="38"/>
  <c r="J330" i="38"/>
  <c r="F333" i="38"/>
  <c r="D331" i="38"/>
  <c r="G332" i="38"/>
  <c r="F328" i="38"/>
  <c r="C332" i="38"/>
  <c r="E333" i="38"/>
  <c r="I330" i="38"/>
  <c r="H326" i="38"/>
  <c r="I333" i="38"/>
  <c r="I326" i="38"/>
  <c r="F327" i="38"/>
  <c r="B331" i="38"/>
  <c r="E328" i="38"/>
  <c r="H331" i="38"/>
  <c r="K327" i="38"/>
  <c r="G327" i="38"/>
  <c r="E329" i="38"/>
  <c r="D327" i="38"/>
  <c r="J327" i="38"/>
  <c r="H328" i="38"/>
  <c r="D332" i="38"/>
  <c r="E330" i="38"/>
  <c r="G333" i="38"/>
  <c r="C333" i="38"/>
  <c r="B332" i="38"/>
  <c r="I328" i="38"/>
  <c r="C329" i="38"/>
  <c r="G326" i="38"/>
  <c r="J328" i="38"/>
  <c r="H327" i="38"/>
  <c r="D333" i="38"/>
  <c r="C327" i="38"/>
  <c r="E326" i="38"/>
  <c r="E331" i="38"/>
  <c r="J331" i="38"/>
  <c r="K328" i="38"/>
  <c r="F330" i="38"/>
  <c r="K330" i="38"/>
  <c r="C326" i="38"/>
  <c r="I327" i="38"/>
  <c r="I332" i="38"/>
  <c r="G330" i="38"/>
  <c r="E327" i="38"/>
  <c r="B327" i="38"/>
  <c r="G329" i="38"/>
  <c r="C330" i="38"/>
  <c r="D326" i="38"/>
  <c r="I331" i="38"/>
  <c r="C331" i="38"/>
  <c r="K331" i="38"/>
  <c r="K333" i="38"/>
  <c r="B328" i="38"/>
  <c r="G331" i="38"/>
  <c r="B326" i="38"/>
  <c r="K326" i="38"/>
  <c r="F332" i="38"/>
  <c r="H330" i="38"/>
  <c r="B330" i="38"/>
  <c r="J332" i="38"/>
  <c r="J329" i="38"/>
  <c r="B329" i="38"/>
  <c r="D329" i="38"/>
  <c r="K332" i="38"/>
  <c r="J333" i="38"/>
  <c r="H329" i="38"/>
  <c r="F331" i="38"/>
  <c r="H333" i="38"/>
  <c r="D330" i="38"/>
  <c r="H332" i="38"/>
  <c r="I398" i="38"/>
  <c r="E403" i="38"/>
  <c r="F398" i="38"/>
  <c r="B404" i="38"/>
  <c r="H401" i="38"/>
  <c r="B403" i="38"/>
  <c r="F403" i="38"/>
  <c r="E401" i="38"/>
  <c r="D402" i="38"/>
  <c r="B399" i="38"/>
  <c r="J399" i="38"/>
  <c r="E405" i="38"/>
  <c r="G400" i="38"/>
  <c r="H404" i="38"/>
  <c r="K403" i="38"/>
  <c r="C403" i="38"/>
  <c r="D400" i="38"/>
  <c r="D405" i="38"/>
  <c r="F399" i="38"/>
  <c r="E404" i="38"/>
  <c r="D96" i="29"/>
  <c r="C93" i="30"/>
  <c r="C153" i="30" s="1"/>
  <c r="C91" i="30"/>
  <c r="C151" i="30" s="1"/>
  <c r="C88" i="30"/>
  <c r="C148" i="30" s="1"/>
  <c r="C95" i="30"/>
  <c r="C155" i="30" s="1"/>
  <c r="C94" i="30"/>
  <c r="C154" i="30" s="1"/>
  <c r="C92" i="30"/>
  <c r="C152" i="30" s="1"/>
  <c r="C89" i="30"/>
  <c r="C149" i="30" s="1"/>
  <c r="C90" i="30"/>
  <c r="C150" i="30" s="1"/>
  <c r="D58" i="29"/>
  <c r="D56" i="29"/>
  <c r="D57" i="29"/>
  <c r="F117" i="7"/>
  <c r="F47" i="37"/>
  <c r="K119" i="7"/>
  <c r="K49" i="37"/>
  <c r="D117" i="7"/>
  <c r="D47" i="37"/>
  <c r="J118" i="7"/>
  <c r="J48" i="37"/>
  <c r="B49" i="37"/>
  <c r="B119" i="7"/>
  <c r="B42" i="37"/>
  <c r="B50" i="7"/>
  <c r="B112" i="7"/>
  <c r="B118" i="7"/>
  <c r="B48" i="37"/>
  <c r="C112" i="7"/>
  <c r="C50" i="7"/>
  <c r="C42" i="37"/>
  <c r="K47" i="37"/>
  <c r="K117" i="7"/>
  <c r="I42" i="37"/>
  <c r="I112" i="7"/>
  <c r="I50" i="7"/>
  <c r="J42" i="37"/>
  <c r="J50" i="7"/>
  <c r="J50" i="37" s="1"/>
  <c r="J112" i="7"/>
  <c r="H115" i="7"/>
  <c r="H45" i="37"/>
  <c r="K116" i="7"/>
  <c r="K46" i="37"/>
  <c r="E117" i="7"/>
  <c r="E47" i="37"/>
  <c r="H116" i="7"/>
  <c r="H46" i="37"/>
  <c r="C46" i="37"/>
  <c r="C116" i="7"/>
  <c r="C47" i="37"/>
  <c r="C117" i="7"/>
  <c r="F44" i="37"/>
  <c r="F114" i="7"/>
  <c r="G119" i="7"/>
  <c r="G49" i="37"/>
  <c r="G47" i="37"/>
  <c r="G117" i="7"/>
  <c r="J78" i="40"/>
  <c r="E78" i="40"/>
  <c r="D63" i="59"/>
  <c r="C63" i="60"/>
  <c r="D59" i="59"/>
  <c r="C59" i="60"/>
  <c r="J141" i="8"/>
  <c r="J141" i="39" s="1"/>
  <c r="E142" i="8"/>
  <c r="E142" i="39" s="1"/>
  <c r="K143" i="8"/>
  <c r="K143" i="39" s="1"/>
  <c r="E144" i="8"/>
  <c r="E144" i="39" s="1"/>
  <c r="B141" i="8"/>
  <c r="C142" i="8"/>
  <c r="C142" i="39" s="1"/>
  <c r="F139" i="8"/>
  <c r="F139" i="39" s="1"/>
  <c r="J142" i="8"/>
  <c r="J142" i="39" s="1"/>
  <c r="C146" i="8"/>
  <c r="C146" i="39" s="1"/>
  <c r="K139" i="8"/>
  <c r="K139" i="39" s="1"/>
  <c r="E145" i="8"/>
  <c r="E145" i="39" s="1"/>
  <c r="G146" i="8"/>
  <c r="G146" i="39" s="1"/>
  <c r="F141" i="8"/>
  <c r="F141" i="39" s="1"/>
  <c r="D145" i="8"/>
  <c r="D145" i="39" s="1"/>
  <c r="G144" i="8"/>
  <c r="G144" i="39" s="1"/>
  <c r="C139" i="8"/>
  <c r="C139" i="39" s="1"/>
  <c r="I144" i="8"/>
  <c r="I144" i="39" s="1"/>
  <c r="F146" i="8"/>
  <c r="F146" i="39" s="1"/>
  <c r="K146" i="8"/>
  <c r="K146" i="39" s="1"/>
  <c r="K141" i="8"/>
  <c r="K141" i="39" s="1"/>
  <c r="J144" i="8"/>
  <c r="J144" i="39" s="1"/>
  <c r="G140" i="8"/>
  <c r="G140" i="39" s="1"/>
  <c r="B144" i="8"/>
  <c r="E140" i="8"/>
  <c r="E140" i="39" s="1"/>
  <c r="K142" i="8"/>
  <c r="K142" i="39" s="1"/>
  <c r="J140" i="8"/>
  <c r="J140" i="39" s="1"/>
  <c r="J146" i="8"/>
  <c r="J146" i="39" s="1"/>
  <c r="I141" i="8"/>
  <c r="I141" i="39" s="1"/>
  <c r="I140" i="8"/>
  <c r="I140" i="39" s="1"/>
  <c r="D144" i="8"/>
  <c r="D144" i="39" s="1"/>
  <c r="H141" i="8"/>
  <c r="H141" i="39" s="1"/>
  <c r="H143" i="8"/>
  <c r="H143" i="39" s="1"/>
  <c r="G142" i="8"/>
  <c r="G142" i="39" s="1"/>
  <c r="D140" i="8"/>
  <c r="D140" i="39" s="1"/>
  <c r="H140" i="8"/>
  <c r="H140" i="39" s="1"/>
  <c r="H146" i="8"/>
  <c r="H146" i="39" s="1"/>
  <c r="B146" i="8"/>
  <c r="D142" i="8"/>
  <c r="D142" i="39" s="1"/>
  <c r="G141" i="8"/>
  <c r="G141" i="39" s="1"/>
  <c r="D141" i="8"/>
  <c r="D141" i="39" s="1"/>
  <c r="C140" i="8"/>
  <c r="C140" i="39" s="1"/>
  <c r="B142" i="8"/>
  <c r="F144" i="8"/>
  <c r="F144" i="39" s="1"/>
  <c r="H142" i="8"/>
  <c r="H142" i="39" s="1"/>
  <c r="G139" i="8"/>
  <c r="G139" i="39" s="1"/>
  <c r="C141" i="8"/>
  <c r="C141" i="39" s="1"/>
  <c r="B143" i="8"/>
  <c r="J139" i="8"/>
  <c r="J139" i="39" s="1"/>
  <c r="J143" i="8"/>
  <c r="J143" i="39" s="1"/>
  <c r="D139" i="8"/>
  <c r="D139" i="39" s="1"/>
  <c r="K144" i="8"/>
  <c r="K144" i="39" s="1"/>
  <c r="D146" i="8"/>
  <c r="D146" i="39" s="1"/>
  <c r="I146" i="8"/>
  <c r="I146" i="39" s="1"/>
  <c r="B139" i="8"/>
  <c r="H145" i="8"/>
  <c r="H145" i="39" s="1"/>
  <c r="G145" i="8"/>
  <c r="G145" i="39" s="1"/>
  <c r="E139" i="8"/>
  <c r="E139" i="39" s="1"/>
  <c r="C144" i="8"/>
  <c r="C144" i="39" s="1"/>
  <c r="I142" i="8"/>
  <c r="I142" i="39" s="1"/>
  <c r="F143" i="8"/>
  <c r="F143" i="39" s="1"/>
  <c r="E141" i="8"/>
  <c r="E141" i="39" s="1"/>
  <c r="I143" i="8"/>
  <c r="I143" i="39" s="1"/>
  <c r="J145" i="8"/>
  <c r="J145" i="39" s="1"/>
  <c r="I139" i="8"/>
  <c r="I139" i="39" s="1"/>
  <c r="I145" i="8"/>
  <c r="I145" i="39" s="1"/>
  <c r="B140" i="8"/>
  <c r="E143" i="8"/>
  <c r="E143" i="39" s="1"/>
  <c r="E146" i="8"/>
  <c r="E146" i="39" s="1"/>
  <c r="B145" i="8"/>
  <c r="H139" i="8"/>
  <c r="H139" i="39" s="1"/>
  <c r="K140" i="8"/>
  <c r="K140" i="39" s="1"/>
  <c r="D143" i="8"/>
  <c r="D143" i="39" s="1"/>
  <c r="G143" i="8"/>
  <c r="G143" i="39" s="1"/>
  <c r="C145" i="8"/>
  <c r="C145" i="39" s="1"/>
  <c r="H144" i="8"/>
  <c r="H144" i="39" s="1"/>
  <c r="F142" i="8"/>
  <c r="F142" i="39" s="1"/>
  <c r="F145" i="8"/>
  <c r="F145" i="39" s="1"/>
  <c r="K145" i="8"/>
  <c r="K145" i="39" s="1"/>
  <c r="C143" i="8"/>
  <c r="C143" i="39" s="1"/>
  <c r="F140" i="8"/>
  <c r="F140" i="39" s="1"/>
  <c r="G392" i="8"/>
  <c r="F390" i="8"/>
  <c r="F391" i="8"/>
  <c r="G396" i="8"/>
  <c r="H390" i="8"/>
  <c r="G389" i="8"/>
  <c r="J396" i="8"/>
  <c r="K392" i="8"/>
  <c r="I394" i="8"/>
  <c r="J391" i="8"/>
  <c r="B389" i="8"/>
  <c r="D396" i="8"/>
  <c r="C395" i="8"/>
  <c r="I395" i="8"/>
  <c r="K394" i="8"/>
  <c r="E395" i="8"/>
  <c r="H389" i="8"/>
  <c r="G395" i="8"/>
  <c r="J389" i="8"/>
  <c r="K389" i="8"/>
  <c r="C391" i="8"/>
  <c r="F394" i="8"/>
  <c r="I393" i="8"/>
  <c r="G394" i="8"/>
  <c r="B394" i="8"/>
  <c r="C393" i="8"/>
  <c r="C394" i="8"/>
  <c r="E391" i="8"/>
  <c r="F393" i="8"/>
  <c r="B392" i="8"/>
  <c r="E394" i="8"/>
  <c r="H392" i="8"/>
  <c r="D391" i="8"/>
  <c r="K393" i="8"/>
  <c r="I389" i="8"/>
  <c r="D394" i="8"/>
  <c r="B393" i="8"/>
  <c r="D393" i="8"/>
  <c r="C389" i="8"/>
  <c r="C392" i="8"/>
  <c r="H393" i="8"/>
  <c r="J394" i="8"/>
  <c r="I392" i="8"/>
  <c r="J392" i="8"/>
  <c r="F392" i="8"/>
  <c r="J395" i="8"/>
  <c r="D395" i="8"/>
  <c r="H391" i="8"/>
  <c r="H394" i="8"/>
  <c r="E390" i="8"/>
  <c r="E392" i="8"/>
  <c r="K391" i="8"/>
  <c r="I396" i="8"/>
  <c r="D392" i="8"/>
  <c r="K396" i="8"/>
  <c r="B396" i="8"/>
  <c r="E396" i="8"/>
  <c r="I390" i="8"/>
  <c r="H395" i="8"/>
  <c r="F396" i="8"/>
  <c r="D389" i="8"/>
  <c r="B390" i="8"/>
  <c r="C390" i="8"/>
  <c r="G393" i="8"/>
  <c r="K395" i="8"/>
  <c r="E393" i="8"/>
  <c r="E389" i="8"/>
  <c r="C396" i="8"/>
  <c r="K390" i="8"/>
  <c r="B391" i="8"/>
  <c r="F395" i="8"/>
  <c r="G391" i="8"/>
  <c r="G390" i="8"/>
  <c r="I391" i="8"/>
  <c r="J393" i="8"/>
  <c r="F389" i="8"/>
  <c r="H396" i="8"/>
  <c r="J390" i="8"/>
  <c r="D390" i="8"/>
  <c r="B395" i="8"/>
  <c r="D167" i="40"/>
  <c r="D169" i="4"/>
  <c r="D170" i="4"/>
  <c r="D167" i="38"/>
  <c r="C175" i="38"/>
  <c r="I50" i="35"/>
  <c r="I112" i="35"/>
  <c r="G112" i="35"/>
  <c r="G50" i="35"/>
  <c r="D50" i="35"/>
  <c r="D112" i="35"/>
  <c r="F65" i="58"/>
  <c r="F63" i="58"/>
  <c r="F121" i="8"/>
  <c r="F121" i="39" s="1"/>
  <c r="G124" i="8"/>
  <c r="G124" i="39" s="1"/>
  <c r="J128" i="8"/>
  <c r="J128" i="39" s="1"/>
  <c r="K121" i="8"/>
  <c r="K121" i="39" s="1"/>
  <c r="F127" i="8"/>
  <c r="F127" i="39" s="1"/>
  <c r="D125" i="8"/>
  <c r="D125" i="39" s="1"/>
  <c r="D122" i="8"/>
  <c r="D122" i="39" s="1"/>
  <c r="H121" i="8"/>
  <c r="H121" i="39" s="1"/>
  <c r="K124" i="8"/>
  <c r="K124" i="39" s="1"/>
  <c r="J122" i="8"/>
  <c r="J122" i="39" s="1"/>
  <c r="C122" i="8"/>
  <c r="C122" i="39" s="1"/>
  <c r="F123" i="8"/>
  <c r="F123" i="39" s="1"/>
  <c r="I124" i="8"/>
  <c r="I124" i="39" s="1"/>
  <c r="D121" i="8"/>
  <c r="D121" i="39" s="1"/>
  <c r="E122" i="8"/>
  <c r="E122" i="39" s="1"/>
  <c r="C126" i="8"/>
  <c r="C126" i="39" s="1"/>
  <c r="G127" i="8"/>
  <c r="G127" i="39" s="1"/>
  <c r="J126" i="8"/>
  <c r="J126" i="39" s="1"/>
  <c r="C128" i="8"/>
  <c r="C128" i="39" s="1"/>
  <c r="F124" i="8"/>
  <c r="F124" i="39" s="1"/>
  <c r="H122" i="8"/>
  <c r="H122" i="39" s="1"/>
  <c r="B128" i="8"/>
  <c r="F128" i="8"/>
  <c r="F128" i="39" s="1"/>
  <c r="D124" i="8"/>
  <c r="D124" i="39" s="1"/>
  <c r="J125" i="8"/>
  <c r="J125" i="39" s="1"/>
  <c r="G122" i="8"/>
  <c r="G122" i="39" s="1"/>
  <c r="J127" i="8"/>
  <c r="J127" i="39" s="1"/>
  <c r="H125" i="8"/>
  <c r="H125" i="39" s="1"/>
  <c r="K127" i="8"/>
  <c r="K127" i="39" s="1"/>
  <c r="I126" i="8"/>
  <c r="I126" i="39" s="1"/>
  <c r="C127" i="8"/>
  <c r="C127" i="39" s="1"/>
  <c r="H127" i="8"/>
  <c r="H127" i="39" s="1"/>
  <c r="I127" i="8"/>
  <c r="I127" i="39" s="1"/>
  <c r="B122" i="8"/>
  <c r="J124" i="8"/>
  <c r="J124" i="39" s="1"/>
  <c r="D126" i="8"/>
  <c r="D126" i="39" s="1"/>
  <c r="J121" i="8"/>
  <c r="J121" i="39" s="1"/>
  <c r="F122" i="8"/>
  <c r="F122" i="39" s="1"/>
  <c r="C121" i="8"/>
  <c r="C121" i="39" s="1"/>
  <c r="B126" i="8"/>
  <c r="D123" i="8"/>
  <c r="D123" i="39" s="1"/>
  <c r="K128" i="8"/>
  <c r="K128" i="39" s="1"/>
  <c r="E121" i="8"/>
  <c r="E121" i="39" s="1"/>
  <c r="H128" i="8"/>
  <c r="H128" i="39" s="1"/>
  <c r="C124" i="8"/>
  <c r="C124" i="39" s="1"/>
  <c r="H124" i="8"/>
  <c r="H124" i="39" s="1"/>
  <c r="E125" i="8"/>
  <c r="E125" i="39" s="1"/>
  <c r="H126" i="8"/>
  <c r="H126" i="39" s="1"/>
  <c r="C123" i="8"/>
  <c r="C123" i="39" s="1"/>
  <c r="D127" i="8"/>
  <c r="D127" i="39" s="1"/>
  <c r="E128" i="8"/>
  <c r="E128" i="39" s="1"/>
  <c r="G121" i="8"/>
  <c r="G121" i="39" s="1"/>
  <c r="I122" i="8"/>
  <c r="I122" i="39" s="1"/>
  <c r="I121" i="8"/>
  <c r="I121" i="39" s="1"/>
  <c r="G126" i="8"/>
  <c r="G126" i="39" s="1"/>
  <c r="K123" i="8"/>
  <c r="K123" i="39" s="1"/>
  <c r="B123" i="8"/>
  <c r="K122" i="8"/>
  <c r="K122" i="39" s="1"/>
  <c r="I123" i="8"/>
  <c r="I123" i="39" s="1"/>
  <c r="I125" i="8"/>
  <c r="I125" i="39" s="1"/>
  <c r="F126" i="8"/>
  <c r="F126" i="39" s="1"/>
  <c r="H123" i="8"/>
  <c r="H123" i="39" s="1"/>
  <c r="E123" i="8"/>
  <c r="E123" i="39" s="1"/>
  <c r="J123" i="8"/>
  <c r="J123" i="39" s="1"/>
  <c r="B121" i="8"/>
  <c r="B124" i="8"/>
  <c r="F125" i="8"/>
  <c r="F125" i="39" s="1"/>
  <c r="B125" i="8"/>
  <c r="C125" i="8"/>
  <c r="C125" i="39" s="1"/>
  <c r="D128" i="8"/>
  <c r="D128" i="39" s="1"/>
  <c r="B127" i="8"/>
  <c r="I128" i="8"/>
  <c r="I128" i="39" s="1"/>
  <c r="K126" i="8"/>
  <c r="K126" i="39" s="1"/>
  <c r="G128" i="8"/>
  <c r="G128" i="39" s="1"/>
  <c r="K125" i="8"/>
  <c r="K125" i="39" s="1"/>
  <c r="E124" i="8"/>
  <c r="E124" i="39" s="1"/>
  <c r="E126" i="8"/>
  <c r="E126" i="39" s="1"/>
  <c r="G123" i="8"/>
  <c r="G123" i="39" s="1"/>
  <c r="G125" i="8"/>
  <c r="G125" i="39" s="1"/>
  <c r="E127" i="8"/>
  <c r="E127" i="39" s="1"/>
  <c r="K73" i="4"/>
  <c r="J73" i="40"/>
  <c r="J327" i="8"/>
  <c r="J327" i="39" s="1"/>
  <c r="J333" i="8"/>
  <c r="J333" i="39" s="1"/>
  <c r="J326" i="8"/>
  <c r="D326" i="8"/>
  <c r="K332" i="8"/>
  <c r="K332" i="39" s="1"/>
  <c r="K326" i="8"/>
  <c r="C328" i="8"/>
  <c r="F330" i="8"/>
  <c r="C333" i="8"/>
  <c r="E330" i="8"/>
  <c r="C330" i="8"/>
  <c r="D330" i="8"/>
  <c r="B331" i="8"/>
  <c r="D327" i="8"/>
  <c r="K329" i="8"/>
  <c r="D331" i="8"/>
  <c r="D331" i="39" s="1"/>
  <c r="C332" i="8"/>
  <c r="F333" i="8"/>
  <c r="F327" i="8"/>
  <c r="H326" i="8"/>
  <c r="H331" i="8"/>
  <c r="I328" i="8"/>
  <c r="K327" i="8"/>
  <c r="F331" i="8"/>
  <c r="F331" i="39" s="1"/>
  <c r="B328" i="8"/>
  <c r="E332" i="8"/>
  <c r="E332" i="39" s="1"/>
  <c r="B332" i="8"/>
  <c r="B332" i="39" s="1"/>
  <c r="I333" i="8"/>
  <c r="I333" i="39" s="1"/>
  <c r="K331" i="8"/>
  <c r="G328" i="8"/>
  <c r="F332" i="8"/>
  <c r="K333" i="8"/>
  <c r="C329" i="8"/>
  <c r="C329" i="39" s="1"/>
  <c r="J328" i="8"/>
  <c r="B327" i="8"/>
  <c r="C327" i="8"/>
  <c r="B330" i="8"/>
  <c r="B329" i="8"/>
  <c r="H329" i="8"/>
  <c r="H329" i="39" s="1"/>
  <c r="H332" i="8"/>
  <c r="H332" i="39" s="1"/>
  <c r="E331" i="8"/>
  <c r="E333" i="8"/>
  <c r="I332" i="8"/>
  <c r="I332" i="39" s="1"/>
  <c r="C331" i="8"/>
  <c r="C331" i="39" s="1"/>
  <c r="G327" i="8"/>
  <c r="E326" i="8"/>
  <c r="B326" i="8"/>
  <c r="C326" i="8"/>
  <c r="J330" i="8"/>
  <c r="E329" i="8"/>
  <c r="F328" i="8"/>
  <c r="I326" i="8"/>
  <c r="I326" i="39" s="1"/>
  <c r="D333" i="8"/>
  <c r="D333" i="39" s="1"/>
  <c r="I331" i="8"/>
  <c r="I331" i="39" s="1"/>
  <c r="F329" i="8"/>
  <c r="D328" i="8"/>
  <c r="J332" i="8"/>
  <c r="J332" i="39" s="1"/>
  <c r="D332" i="8"/>
  <c r="D329" i="8"/>
  <c r="E328" i="8"/>
  <c r="E328" i="39" s="1"/>
  <c r="J329" i="8"/>
  <c r="E327" i="8"/>
  <c r="G332" i="8"/>
  <c r="K328" i="8"/>
  <c r="G326" i="8"/>
  <c r="G329" i="8"/>
  <c r="G333" i="8"/>
  <c r="J331" i="8"/>
  <c r="F326" i="8"/>
  <c r="I330" i="8"/>
  <c r="B333" i="8"/>
  <c r="B333" i="39" s="1"/>
  <c r="H330" i="8"/>
  <c r="H330" i="39" s="1"/>
  <c r="I329" i="8"/>
  <c r="I329" i="39" s="1"/>
  <c r="H328" i="8"/>
  <c r="H328" i="39" s="1"/>
  <c r="H327" i="8"/>
  <c r="G330" i="8"/>
  <c r="G330" i="39" s="1"/>
  <c r="G331" i="8"/>
  <c r="I327" i="8"/>
  <c r="I327" i="39" s="1"/>
  <c r="H333" i="8"/>
  <c r="K330" i="8"/>
  <c r="K330" i="39" s="1"/>
  <c r="D48" i="29"/>
  <c r="D49" i="29"/>
  <c r="D40" i="29"/>
  <c r="D39" i="29"/>
  <c r="D47" i="29"/>
  <c r="D41" i="29"/>
  <c r="J116" i="7"/>
  <c r="J46" i="37"/>
  <c r="D112" i="7"/>
  <c r="D50" i="7"/>
  <c r="D42" i="37"/>
  <c r="K118" i="7"/>
  <c r="K48" i="37"/>
  <c r="C118" i="7"/>
  <c r="C48" i="37"/>
  <c r="K113" i="7"/>
  <c r="K43" i="37"/>
  <c r="K42" i="37"/>
  <c r="K112" i="7"/>
  <c r="K50" i="7"/>
  <c r="K115" i="7"/>
  <c r="K45" i="37"/>
  <c r="G114" i="7"/>
  <c r="G44" i="37"/>
  <c r="I45" i="37"/>
  <c r="I115" i="7"/>
  <c r="D116" i="7"/>
  <c r="D46" i="37"/>
  <c r="K114" i="7"/>
  <c r="K44" i="37"/>
  <c r="J113" i="7"/>
  <c r="J43" i="37"/>
  <c r="D119" i="7"/>
  <c r="D49" i="37"/>
  <c r="B115" i="7"/>
  <c r="B45" i="37"/>
  <c r="F48" i="37"/>
  <c r="F118" i="7"/>
  <c r="H48" i="37"/>
  <c r="H118" i="7"/>
  <c r="J49" i="37"/>
  <c r="J119" i="7"/>
  <c r="D44" i="37"/>
  <c r="D114" i="7"/>
  <c r="I43" i="37"/>
  <c r="I113" i="7"/>
  <c r="I44" i="37"/>
  <c r="I114" i="7"/>
  <c r="K78" i="40"/>
  <c r="D78" i="40"/>
  <c r="D58" i="59"/>
  <c r="C58" i="60"/>
  <c r="D65" i="59"/>
  <c r="C65" i="60"/>
  <c r="I390" i="38"/>
  <c r="K392" i="38"/>
  <c r="H391" i="38"/>
  <c r="G391" i="38"/>
  <c r="K396" i="38"/>
  <c r="G394" i="38"/>
  <c r="H389" i="38"/>
  <c r="F393" i="38"/>
  <c r="F389" i="38"/>
  <c r="F390" i="38"/>
  <c r="D390" i="38"/>
  <c r="F394" i="38"/>
  <c r="B393" i="38"/>
  <c r="F396" i="38"/>
  <c r="K389" i="38"/>
  <c r="I393" i="38"/>
  <c r="G389" i="38"/>
  <c r="D391" i="38"/>
  <c r="I389" i="38"/>
  <c r="E393" i="38"/>
  <c r="K393" i="38"/>
  <c r="B390" i="38"/>
  <c r="G392" i="38"/>
  <c r="D393" i="38"/>
  <c r="J392" i="38"/>
  <c r="E390" i="38"/>
  <c r="D396" i="38"/>
  <c r="J396" i="38"/>
  <c r="C392" i="38"/>
  <c r="J393" i="38"/>
  <c r="I396" i="38"/>
  <c r="K391" i="38"/>
  <c r="H395" i="38"/>
  <c r="G393" i="38"/>
  <c r="B392" i="38"/>
  <c r="H392" i="38"/>
  <c r="K390" i="38"/>
  <c r="E394" i="38"/>
  <c r="J394" i="38"/>
  <c r="D395" i="38"/>
  <c r="G396" i="38"/>
  <c r="J390" i="38"/>
  <c r="B395" i="38"/>
  <c r="G395" i="38"/>
  <c r="C393" i="38"/>
  <c r="C394" i="38"/>
  <c r="K395" i="38"/>
  <c r="E395" i="38"/>
  <c r="F391" i="38"/>
  <c r="D394" i="38"/>
  <c r="E389" i="38"/>
  <c r="J391" i="38"/>
  <c r="H394" i="38"/>
  <c r="C389" i="38"/>
  <c r="B389" i="38"/>
  <c r="C395" i="38"/>
  <c r="H390" i="38"/>
  <c r="D392" i="38"/>
  <c r="F392" i="38"/>
  <c r="J389" i="38"/>
  <c r="B394" i="38"/>
  <c r="E391" i="38"/>
  <c r="F395" i="38"/>
  <c r="H393" i="38"/>
  <c r="E392" i="38"/>
  <c r="E396" i="38"/>
  <c r="C396" i="38"/>
  <c r="G390" i="38"/>
  <c r="I391" i="38"/>
  <c r="B396" i="38"/>
  <c r="J395" i="38"/>
  <c r="C391" i="38"/>
  <c r="C390" i="38"/>
  <c r="K394" i="38"/>
  <c r="D389" i="38"/>
  <c r="I395" i="38"/>
  <c r="H396" i="38"/>
  <c r="I392" i="38"/>
  <c r="B391" i="38"/>
  <c r="I394" i="38"/>
  <c r="G341" i="8"/>
  <c r="I338" i="8"/>
  <c r="K340" i="8"/>
  <c r="F338" i="8"/>
  <c r="C335" i="8"/>
  <c r="G340" i="8"/>
  <c r="H340" i="8"/>
  <c r="B339" i="8"/>
  <c r="B338" i="8"/>
  <c r="E335" i="8"/>
  <c r="E338" i="8"/>
  <c r="C337" i="8"/>
  <c r="E336" i="8"/>
  <c r="E340" i="8"/>
  <c r="I339" i="8"/>
  <c r="E341" i="8"/>
  <c r="B337" i="8"/>
  <c r="K337" i="8"/>
  <c r="H336" i="8"/>
  <c r="H342" i="8"/>
  <c r="F341" i="8"/>
  <c r="C342" i="8"/>
  <c r="F340" i="8"/>
  <c r="I336" i="8"/>
  <c r="K341" i="8"/>
  <c r="J339" i="8"/>
  <c r="I337" i="8"/>
  <c r="F342" i="8"/>
  <c r="G338" i="8"/>
  <c r="D336" i="8"/>
  <c r="K336" i="8"/>
  <c r="D341" i="8"/>
  <c r="I341" i="8"/>
  <c r="J338" i="8"/>
  <c r="H338" i="8"/>
  <c r="J337" i="8"/>
  <c r="K342" i="8"/>
  <c r="D342" i="8"/>
  <c r="F337" i="8"/>
  <c r="B342" i="8"/>
  <c r="G335" i="8"/>
  <c r="C339" i="8"/>
  <c r="G337" i="8"/>
  <c r="C341" i="8"/>
  <c r="H339" i="8"/>
  <c r="B340" i="8"/>
  <c r="I335" i="8"/>
  <c r="H335" i="8"/>
  <c r="D339" i="8"/>
  <c r="G339" i="8"/>
  <c r="C340" i="8"/>
  <c r="J342" i="8"/>
  <c r="G336" i="8"/>
  <c r="F336" i="8"/>
  <c r="I342" i="8"/>
  <c r="E339" i="8"/>
  <c r="D340" i="8"/>
  <c r="J336" i="8"/>
  <c r="E342" i="8"/>
  <c r="K339" i="8"/>
  <c r="F335" i="8"/>
  <c r="J340" i="8"/>
  <c r="E337" i="8"/>
  <c r="C338" i="8"/>
  <c r="J335" i="8"/>
  <c r="B336" i="8"/>
  <c r="D338" i="8"/>
  <c r="H341" i="8"/>
  <c r="F339" i="8"/>
  <c r="D335" i="8"/>
  <c r="K338" i="8"/>
  <c r="C336" i="8"/>
  <c r="B341" i="8"/>
  <c r="J341" i="8"/>
  <c r="K335" i="8"/>
  <c r="B335" i="8"/>
  <c r="H337" i="8"/>
  <c r="D337" i="8"/>
  <c r="G342" i="8"/>
  <c r="I340" i="8"/>
  <c r="F413" i="38"/>
  <c r="B414" i="38"/>
  <c r="K408" i="38"/>
  <c r="I410" i="38"/>
  <c r="E410" i="38"/>
  <c r="B410" i="38"/>
  <c r="E414" i="38"/>
  <c r="G411" i="38"/>
  <c r="I407" i="38"/>
  <c r="C409" i="38"/>
  <c r="J410" i="38"/>
  <c r="H410" i="38"/>
  <c r="E412" i="38"/>
  <c r="D409" i="38"/>
  <c r="F409" i="38"/>
  <c r="F410" i="38"/>
  <c r="F407" i="38"/>
  <c r="J412" i="38"/>
  <c r="E411" i="38"/>
  <c r="G407" i="38"/>
  <c r="D414" i="38"/>
  <c r="B412" i="38"/>
  <c r="D413" i="38"/>
  <c r="C407" i="38"/>
  <c r="K411" i="38"/>
  <c r="B409" i="38"/>
  <c r="C414" i="38"/>
  <c r="D408" i="38"/>
  <c r="J411" i="38"/>
  <c r="G414" i="38"/>
  <c r="J414" i="38"/>
  <c r="G408" i="38"/>
  <c r="E413" i="38"/>
  <c r="H411" i="38"/>
  <c r="H412" i="38"/>
  <c r="B411" i="38"/>
  <c r="K410" i="38"/>
  <c r="J413" i="38"/>
  <c r="I414" i="38"/>
  <c r="I409" i="38"/>
  <c r="K414" i="38"/>
  <c r="H413" i="38"/>
  <c r="H407" i="38"/>
  <c r="G409" i="38"/>
  <c r="I412" i="38"/>
  <c r="D412" i="38"/>
  <c r="F412" i="38"/>
  <c r="J408" i="38"/>
  <c r="H414" i="38"/>
  <c r="E408" i="38"/>
  <c r="C413" i="38"/>
  <c r="J407" i="38"/>
  <c r="B413" i="38"/>
  <c r="B408" i="38"/>
  <c r="H409" i="38"/>
  <c r="D407" i="38"/>
  <c r="J409" i="38"/>
  <c r="F411" i="38"/>
  <c r="C408" i="38"/>
  <c r="G410" i="38"/>
  <c r="I413" i="38"/>
  <c r="F408" i="38"/>
  <c r="B407" i="38"/>
  <c r="E407" i="38"/>
  <c r="K407" i="38"/>
  <c r="C410" i="38"/>
  <c r="K413" i="38"/>
  <c r="G413" i="38"/>
  <c r="K412" i="38"/>
  <c r="F414" i="38"/>
  <c r="C411" i="38"/>
  <c r="D411" i="38"/>
  <c r="I408" i="38"/>
  <c r="H408" i="38"/>
  <c r="I411" i="38"/>
  <c r="G412" i="38"/>
  <c r="D410" i="38"/>
  <c r="E409" i="38"/>
  <c r="K409" i="38"/>
  <c r="C412" i="38"/>
  <c r="H112" i="35"/>
  <c r="H50" i="35"/>
  <c r="C50" i="35"/>
  <c r="C112" i="35"/>
  <c r="B50" i="35"/>
  <c r="B112" i="35"/>
  <c r="F59" i="58"/>
  <c r="D405" i="8"/>
  <c r="K405" i="8"/>
  <c r="I400" i="8"/>
  <c r="H403" i="8"/>
  <c r="G403" i="8"/>
  <c r="K398" i="8"/>
  <c r="E398" i="8"/>
  <c r="H405" i="8"/>
  <c r="D399" i="8"/>
  <c r="C405" i="8"/>
  <c r="K402" i="8"/>
  <c r="J403" i="8"/>
  <c r="E400" i="8"/>
  <c r="G399" i="8"/>
  <c r="K401" i="8"/>
  <c r="D123" i="29"/>
  <c r="D126" i="29" s="1"/>
  <c r="D127" i="29" s="1"/>
  <c r="F58" i="58"/>
  <c r="E43" i="37"/>
  <c r="E113" i="7"/>
  <c r="C43" i="37"/>
  <c r="C113" i="7"/>
  <c r="F50" i="7"/>
  <c r="F42" i="37"/>
  <c r="F112" i="7"/>
  <c r="H42" i="37"/>
  <c r="H50" i="7"/>
  <c r="H112" i="7"/>
  <c r="E45" i="37"/>
  <c r="E115" i="7"/>
  <c r="B47" i="37"/>
  <c r="B117" i="7"/>
  <c r="I116" i="7"/>
  <c r="I46" i="37"/>
  <c r="G50" i="7"/>
  <c r="G42" i="37"/>
  <c r="G112" i="7"/>
  <c r="E119" i="7"/>
  <c r="E49" i="37"/>
  <c r="J47" i="37"/>
  <c r="J117" i="7"/>
  <c r="C44" i="37"/>
  <c r="C114" i="7"/>
  <c r="H49" i="37"/>
  <c r="H119" i="7"/>
  <c r="F46" i="37"/>
  <c r="F116" i="7"/>
  <c r="F119" i="7"/>
  <c r="F49" i="37"/>
  <c r="G118" i="7"/>
  <c r="G48" i="37"/>
  <c r="E112" i="7"/>
  <c r="E42" i="37"/>
  <c r="E50" i="7"/>
  <c r="B116" i="7"/>
  <c r="B46" i="37"/>
  <c r="G45" i="37"/>
  <c r="G115" i="7"/>
  <c r="I49" i="37"/>
  <c r="I119" i="7"/>
  <c r="F43" i="37"/>
  <c r="F113" i="7"/>
  <c r="F78" i="40"/>
  <c r="L78" i="40"/>
  <c r="H78" i="40"/>
  <c r="D64" i="59"/>
  <c r="C64" i="60"/>
  <c r="D60" i="59"/>
  <c r="C60" i="60"/>
  <c r="F319" i="38"/>
  <c r="B318" i="38"/>
  <c r="G323" i="38"/>
  <c r="B323" i="38"/>
  <c r="K320" i="38"/>
  <c r="B322" i="38"/>
  <c r="G320" i="38"/>
  <c r="F322" i="38"/>
  <c r="K317" i="38"/>
  <c r="I321" i="38"/>
  <c r="C319" i="38"/>
  <c r="E322" i="38"/>
  <c r="C322" i="38"/>
  <c r="J324" i="38"/>
  <c r="H323" i="38"/>
  <c r="K318" i="38"/>
  <c r="D317" i="38"/>
  <c r="F318" i="38"/>
  <c r="J318" i="38"/>
  <c r="H319" i="38"/>
  <c r="B317" i="38"/>
  <c r="F320" i="38"/>
  <c r="E317" i="38"/>
  <c r="E323" i="38"/>
  <c r="E324" i="38"/>
  <c r="K323" i="38"/>
  <c r="K322" i="38"/>
  <c r="E319" i="38"/>
  <c r="G324" i="38"/>
  <c r="B321" i="38"/>
  <c r="C323" i="38"/>
  <c r="K324" i="38"/>
  <c r="I320" i="38"/>
  <c r="B320" i="38"/>
  <c r="C324" i="38"/>
  <c r="I318" i="38"/>
  <c r="G322" i="38"/>
  <c r="B319" i="38"/>
  <c r="C321" i="38"/>
  <c r="F323" i="38"/>
  <c r="J321" i="38"/>
  <c r="I317" i="38"/>
  <c r="J323" i="38"/>
  <c r="I322" i="38"/>
  <c r="H322" i="38"/>
  <c r="E321" i="38"/>
  <c r="I323" i="38"/>
  <c r="H320" i="38"/>
  <c r="G319" i="38"/>
  <c r="C320" i="38"/>
  <c r="D322" i="38"/>
  <c r="F317" i="38"/>
  <c r="D319" i="38"/>
  <c r="K319" i="38"/>
  <c r="D321" i="38"/>
  <c r="D323" i="38"/>
  <c r="G318" i="38"/>
  <c r="K321" i="38"/>
  <c r="C317" i="38"/>
  <c r="F324" i="38"/>
  <c r="D318" i="38"/>
  <c r="I319" i="38"/>
  <c r="I324" i="38"/>
  <c r="C318" i="38"/>
  <c r="J317" i="38"/>
  <c r="D320" i="38"/>
  <c r="G321" i="38"/>
  <c r="D324" i="38"/>
  <c r="H324" i="38"/>
  <c r="E318" i="38"/>
  <c r="J319" i="38"/>
  <c r="F321" i="38"/>
  <c r="H317" i="38"/>
  <c r="J322" i="38"/>
  <c r="H318" i="38"/>
  <c r="H321" i="38"/>
  <c r="B324" i="38"/>
  <c r="G317" i="38"/>
  <c r="E320" i="38"/>
  <c r="J320" i="38"/>
  <c r="F62" i="58"/>
  <c r="D338" i="38"/>
  <c r="B341" i="38"/>
  <c r="D336" i="38"/>
  <c r="G339" i="38"/>
  <c r="K338" i="38"/>
  <c r="K342" i="38"/>
  <c r="C339" i="38"/>
  <c r="K335" i="38"/>
  <c r="D339" i="38"/>
  <c r="C340" i="38"/>
  <c r="I340" i="38"/>
  <c r="C342" i="38"/>
  <c r="K340" i="38"/>
  <c r="F340" i="38"/>
  <c r="H336" i="38"/>
  <c r="E337" i="38"/>
  <c r="C335" i="38"/>
  <c r="G337" i="38"/>
  <c r="I336" i="38"/>
  <c r="G336" i="38"/>
  <c r="D335" i="38"/>
  <c r="B342" i="38"/>
  <c r="E341" i="38"/>
  <c r="F337" i="38"/>
  <c r="G342" i="38"/>
  <c r="K339" i="38"/>
  <c r="E339" i="38"/>
  <c r="D337" i="38"/>
  <c r="E342" i="38"/>
  <c r="J339" i="38"/>
  <c r="I338" i="38"/>
  <c r="B339" i="38"/>
  <c r="I342" i="38"/>
  <c r="B335" i="38"/>
  <c r="B340" i="38"/>
  <c r="I335" i="38"/>
  <c r="H341" i="38"/>
  <c r="B337" i="38"/>
  <c r="H340" i="38"/>
  <c r="E338" i="38"/>
  <c r="D342" i="38"/>
  <c r="F342" i="38"/>
  <c r="C341" i="38"/>
  <c r="C336" i="38"/>
  <c r="J337" i="38"/>
  <c r="H338" i="38"/>
  <c r="E336" i="38"/>
  <c r="B336" i="38"/>
  <c r="K341" i="38"/>
  <c r="K337" i="38"/>
  <c r="H342" i="38"/>
  <c r="F335" i="38"/>
  <c r="E340" i="38"/>
  <c r="F336" i="38"/>
  <c r="C338" i="38"/>
  <c r="E335" i="38"/>
  <c r="F339" i="38"/>
  <c r="C337" i="38"/>
  <c r="G341" i="38"/>
  <c r="H337" i="38"/>
  <c r="F341" i="38"/>
  <c r="G338" i="38"/>
  <c r="B338" i="38"/>
  <c r="D340" i="38"/>
  <c r="I341" i="38"/>
  <c r="I339" i="38"/>
  <c r="J338" i="38"/>
  <c r="K336" i="38"/>
  <c r="G340" i="38"/>
  <c r="G335" i="38"/>
  <c r="I337" i="38"/>
  <c r="J340" i="38"/>
  <c r="J341" i="38"/>
  <c r="J342" i="38"/>
  <c r="J335" i="38"/>
  <c r="H339" i="38"/>
  <c r="F338" i="38"/>
  <c r="H335" i="38"/>
  <c r="D341" i="38"/>
  <c r="J336" i="38"/>
  <c r="E112" i="35"/>
  <c r="E50" i="35"/>
  <c r="F112" i="35"/>
  <c r="F50" i="35"/>
  <c r="H130" i="8"/>
  <c r="H130" i="39" s="1"/>
  <c r="K134" i="8"/>
  <c r="K134" i="39" s="1"/>
  <c r="C135" i="8"/>
  <c r="C135" i="39" s="1"/>
  <c r="B130" i="8"/>
  <c r="I130" i="8"/>
  <c r="I130" i="39" s="1"/>
  <c r="K136" i="8"/>
  <c r="K136" i="39" s="1"/>
  <c r="G132" i="8"/>
  <c r="G132" i="39" s="1"/>
  <c r="C136" i="8"/>
  <c r="C136" i="39" s="1"/>
  <c r="K135" i="8"/>
  <c r="K135" i="39" s="1"/>
  <c r="F137" i="8"/>
  <c r="F137" i="39" s="1"/>
  <c r="D136" i="8"/>
  <c r="D136" i="39" s="1"/>
  <c r="C133" i="8"/>
  <c r="C133" i="39" s="1"/>
  <c r="C134" i="8"/>
  <c r="C134" i="39" s="1"/>
  <c r="D135" i="8"/>
  <c r="D135" i="39" s="1"/>
  <c r="J137" i="8"/>
  <c r="J137" i="39" s="1"/>
  <c r="I131" i="8"/>
  <c r="I131" i="39" s="1"/>
  <c r="B133" i="8"/>
  <c r="E133" i="8"/>
  <c r="E133" i="39" s="1"/>
  <c r="B131" i="8"/>
  <c r="H133" i="8"/>
  <c r="H133" i="39" s="1"/>
  <c r="C130" i="8"/>
  <c r="C130" i="39" s="1"/>
  <c r="D133" i="8"/>
  <c r="D133" i="39" s="1"/>
  <c r="K131" i="8"/>
  <c r="K131" i="39" s="1"/>
  <c r="F135" i="8"/>
  <c r="F135" i="39" s="1"/>
  <c r="I136" i="8"/>
  <c r="I136" i="39" s="1"/>
  <c r="K132" i="8"/>
  <c r="K132" i="39" s="1"/>
  <c r="F136" i="8"/>
  <c r="F136" i="39" s="1"/>
  <c r="I137" i="8"/>
  <c r="I137" i="39" s="1"/>
  <c r="I132" i="8"/>
  <c r="I132" i="39" s="1"/>
  <c r="E130" i="8"/>
  <c r="E130" i="39" s="1"/>
  <c r="H135" i="8"/>
  <c r="H135" i="39" s="1"/>
  <c r="H134" i="8"/>
  <c r="H134" i="39" s="1"/>
  <c r="E135" i="8"/>
  <c r="E135" i="39" s="1"/>
  <c r="B132" i="8"/>
  <c r="F134" i="8"/>
  <c r="F134" i="39" s="1"/>
  <c r="G136" i="8"/>
  <c r="G136" i="39" s="1"/>
  <c r="J131" i="8"/>
  <c r="J131" i="39" s="1"/>
  <c r="G134" i="8"/>
  <c r="G134" i="39" s="1"/>
  <c r="K137" i="8"/>
  <c r="K137" i="39" s="1"/>
  <c r="B136" i="8"/>
  <c r="J136" i="8"/>
  <c r="J136" i="39" s="1"/>
  <c r="B137" i="8"/>
  <c r="E134" i="8"/>
  <c r="E134" i="39" s="1"/>
  <c r="C131" i="8"/>
  <c r="C131" i="39" s="1"/>
  <c r="B135" i="8"/>
  <c r="G133" i="8"/>
  <c r="G133" i="39" s="1"/>
  <c r="D132" i="8"/>
  <c r="D132" i="39" s="1"/>
  <c r="D130" i="8"/>
  <c r="D130" i="39" s="1"/>
  <c r="J135" i="8"/>
  <c r="J135" i="39" s="1"/>
  <c r="E131" i="8"/>
  <c r="E131" i="39" s="1"/>
  <c r="F131" i="8"/>
  <c r="F131" i="39" s="1"/>
  <c r="E136" i="8"/>
  <c r="E136" i="39" s="1"/>
  <c r="J134" i="8"/>
  <c r="J134" i="39" s="1"/>
  <c r="C132" i="8"/>
  <c r="C132" i="39" s="1"/>
  <c r="H137" i="8"/>
  <c r="H137" i="39" s="1"/>
  <c r="K130" i="8"/>
  <c r="K130" i="39" s="1"/>
  <c r="J132" i="8"/>
  <c r="J132" i="39" s="1"/>
  <c r="H136" i="8"/>
  <c r="H136" i="39" s="1"/>
  <c r="F130" i="8"/>
  <c r="F130" i="39" s="1"/>
  <c r="G131" i="8"/>
  <c r="G131" i="39" s="1"/>
  <c r="G130" i="8"/>
  <c r="G130" i="39" s="1"/>
  <c r="D131" i="8"/>
  <c r="D131" i="39" s="1"/>
  <c r="I135" i="8"/>
  <c r="I135" i="39" s="1"/>
  <c r="F132" i="8"/>
  <c r="F132" i="39" s="1"/>
  <c r="G137" i="8"/>
  <c r="G137" i="39" s="1"/>
  <c r="I134" i="8"/>
  <c r="I134" i="39" s="1"/>
  <c r="I133" i="8"/>
  <c r="I133" i="39" s="1"/>
  <c r="E137" i="8"/>
  <c r="E137" i="39" s="1"/>
  <c r="F133" i="8"/>
  <c r="F133" i="39" s="1"/>
  <c r="D137" i="8"/>
  <c r="D137" i="39" s="1"/>
  <c r="J130" i="8"/>
  <c r="J130" i="39" s="1"/>
  <c r="C137" i="8"/>
  <c r="C137" i="39" s="1"/>
  <c r="G135" i="8"/>
  <c r="G135" i="39" s="1"/>
  <c r="H132" i="8"/>
  <c r="H132" i="39" s="1"/>
  <c r="B134" i="8"/>
  <c r="J133" i="8"/>
  <c r="J133" i="39" s="1"/>
  <c r="E132" i="8"/>
  <c r="E132" i="39" s="1"/>
  <c r="H131" i="8"/>
  <c r="H131" i="39" s="1"/>
  <c r="D134" i="8"/>
  <c r="D134" i="39" s="1"/>
  <c r="K133" i="8"/>
  <c r="K133" i="39" s="1"/>
  <c r="J60" i="57"/>
  <c r="E399" i="38" l="1"/>
  <c r="J398" i="38"/>
  <c r="H398" i="38"/>
  <c r="C400" i="38"/>
  <c r="C405" i="38"/>
  <c r="C405" i="39" s="1"/>
  <c r="F401" i="38"/>
  <c r="C399" i="38"/>
  <c r="D398" i="38"/>
  <c r="E402" i="38"/>
  <c r="C404" i="38"/>
  <c r="F400" i="38"/>
  <c r="K402" i="38"/>
  <c r="K402" i="39" s="1"/>
  <c r="J403" i="38"/>
  <c r="J403" i="39" s="1"/>
  <c r="H402" i="38"/>
  <c r="J404" i="38"/>
  <c r="I405" i="38"/>
  <c r="H399" i="38"/>
  <c r="G404" i="38"/>
  <c r="H405" i="38"/>
  <c r="H405" i="39" s="1"/>
  <c r="D399" i="38"/>
  <c r="G398" i="38"/>
  <c r="K401" i="38"/>
  <c r="K401" i="39" s="1"/>
  <c r="J405" i="38"/>
  <c r="J401" i="38"/>
  <c r="K404" i="38"/>
  <c r="G399" i="38"/>
  <c r="G399" i="39" s="1"/>
  <c r="K398" i="38"/>
  <c r="K398" i="39" s="1"/>
  <c r="F404" i="38"/>
  <c r="K405" i="38"/>
  <c r="K405" i="39" s="1"/>
  <c r="C402" i="38"/>
  <c r="I400" i="38"/>
  <c r="I400" i="39" s="1"/>
  <c r="J400" i="38"/>
  <c r="I402" i="38"/>
  <c r="K399" i="38"/>
  <c r="I399" i="38"/>
  <c r="B401" i="38"/>
  <c r="K400" i="38"/>
  <c r="C398" i="38"/>
  <c r="B402" i="38"/>
  <c r="B400" i="38"/>
  <c r="D399" i="39"/>
  <c r="G403" i="39"/>
  <c r="G403" i="38"/>
  <c r="G402" i="38"/>
  <c r="D404" i="38"/>
  <c r="G405" i="38"/>
  <c r="H403" i="38"/>
  <c r="D401" i="38"/>
  <c r="C401" i="38"/>
  <c r="F405" i="38"/>
  <c r="G401" i="38"/>
  <c r="E400" i="38"/>
  <c r="E400" i="39" s="1"/>
  <c r="F402" i="38"/>
  <c r="I404" i="38"/>
  <c r="J402" i="38"/>
  <c r="I403" i="38"/>
  <c r="D403" i="38"/>
  <c r="E398" i="38"/>
  <c r="E398" i="39" s="1"/>
  <c r="B405" i="38"/>
  <c r="B398" i="38"/>
  <c r="H400" i="38"/>
  <c r="K328" i="39"/>
  <c r="C327" i="39"/>
  <c r="H326" i="39"/>
  <c r="D330" i="39"/>
  <c r="K50" i="37"/>
  <c r="H403" i="39"/>
  <c r="G50" i="37"/>
  <c r="J398" i="39"/>
  <c r="H50" i="37"/>
  <c r="J331" i="39"/>
  <c r="D170" i="40"/>
  <c r="C326" i="39"/>
  <c r="D326" i="39"/>
  <c r="D398" i="8"/>
  <c r="C403" i="8"/>
  <c r="C403" i="39" s="1"/>
  <c r="B404" i="8"/>
  <c r="B404" i="39" s="1"/>
  <c r="K400" i="8"/>
  <c r="H404" i="8"/>
  <c r="H404" i="39" s="1"/>
  <c r="H333" i="39"/>
  <c r="G333" i="39"/>
  <c r="G332" i="39"/>
  <c r="K327" i="39"/>
  <c r="F327" i="39"/>
  <c r="D328" i="39"/>
  <c r="K333" i="39"/>
  <c r="D405" i="39"/>
  <c r="I330" i="39"/>
  <c r="E327" i="39"/>
  <c r="G328" i="39"/>
  <c r="K326" i="39"/>
  <c r="E401" i="8"/>
  <c r="E401" i="39" s="1"/>
  <c r="C399" i="8"/>
  <c r="C399" i="39" s="1"/>
  <c r="I404" i="8"/>
  <c r="I404" i="39" s="1"/>
  <c r="C404" i="8"/>
  <c r="C404" i="39" s="1"/>
  <c r="F401" i="8"/>
  <c r="F401" i="39" s="1"/>
  <c r="G402" i="8"/>
  <c r="G402" i="39" s="1"/>
  <c r="H399" i="8"/>
  <c r="J402" i="8"/>
  <c r="J402" i="39" s="1"/>
  <c r="J405" i="8"/>
  <c r="J405" i="39" s="1"/>
  <c r="G400" i="8"/>
  <c r="G400" i="39" s="1"/>
  <c r="C400" i="8"/>
  <c r="J404" i="8"/>
  <c r="J404" i="39" s="1"/>
  <c r="C402" i="8"/>
  <c r="G398" i="8"/>
  <c r="G398" i="39" s="1"/>
  <c r="F398" i="8"/>
  <c r="F398" i="39" s="1"/>
  <c r="J400" i="8"/>
  <c r="F399" i="8"/>
  <c r="F399" i="39" s="1"/>
  <c r="H400" i="8"/>
  <c r="H400" i="39" s="1"/>
  <c r="J401" i="8"/>
  <c r="J401" i="39" s="1"/>
  <c r="B402" i="8"/>
  <c r="B402" i="39" s="1"/>
  <c r="E403" i="8"/>
  <c r="E403" i="39" s="1"/>
  <c r="D402" i="8"/>
  <c r="D402" i="39" s="1"/>
  <c r="F405" i="8"/>
  <c r="F405" i="39" s="1"/>
  <c r="I405" i="8"/>
  <c r="E399" i="8"/>
  <c r="F403" i="8"/>
  <c r="F403" i="39" s="1"/>
  <c r="D404" i="8"/>
  <c r="K399" i="8"/>
  <c r="G405" i="8"/>
  <c r="G405" i="39" s="1"/>
  <c r="E405" i="8"/>
  <c r="E405" i="39" s="1"/>
  <c r="D50" i="37"/>
  <c r="G329" i="39"/>
  <c r="D332" i="39"/>
  <c r="E329" i="39"/>
  <c r="E326" i="39"/>
  <c r="B329" i="39"/>
  <c r="J328" i="39"/>
  <c r="F333" i="39"/>
  <c r="K404" i="8"/>
  <c r="B399" i="8"/>
  <c r="B399" i="39" s="1"/>
  <c r="H402" i="8"/>
  <c r="H402" i="39" s="1"/>
  <c r="H398" i="8"/>
  <c r="H398" i="39" s="1"/>
  <c r="D400" i="8"/>
  <c r="D400" i="39" s="1"/>
  <c r="I403" i="8"/>
  <c r="I403" i="39" s="1"/>
  <c r="H401" i="8"/>
  <c r="H401" i="39" s="1"/>
  <c r="K403" i="8"/>
  <c r="K403" i="39" s="1"/>
  <c r="D403" i="8"/>
  <c r="I401" i="8"/>
  <c r="I401" i="39" s="1"/>
  <c r="E404" i="8"/>
  <c r="E404" i="39" s="1"/>
  <c r="I402" i="8"/>
  <c r="I402" i="39" s="1"/>
  <c r="F400" i="8"/>
  <c r="F400" i="39" s="1"/>
  <c r="F404" i="8"/>
  <c r="F404" i="39" s="1"/>
  <c r="B400" i="8"/>
  <c r="B400" i="39" s="1"/>
  <c r="I399" i="8"/>
  <c r="I399" i="39" s="1"/>
  <c r="I398" i="8"/>
  <c r="I398" i="39" s="1"/>
  <c r="F402" i="8"/>
  <c r="E402" i="8"/>
  <c r="B405" i="8"/>
  <c r="B405" i="39" s="1"/>
  <c r="B401" i="8"/>
  <c r="B401" i="39" s="1"/>
  <c r="G404" i="8"/>
  <c r="G404" i="39" s="1"/>
  <c r="B403" i="8"/>
  <c r="B403" i="39" s="1"/>
  <c r="J399" i="8"/>
  <c r="J399" i="39" s="1"/>
  <c r="G401" i="8"/>
  <c r="G401" i="39" s="1"/>
  <c r="C401" i="8"/>
  <c r="D401" i="8"/>
  <c r="D401" i="39" s="1"/>
  <c r="B398" i="8"/>
  <c r="B398" i="39" s="1"/>
  <c r="C398" i="8"/>
  <c r="G331" i="39"/>
  <c r="F326" i="39"/>
  <c r="C332" i="39"/>
  <c r="J400" i="39"/>
  <c r="E333" i="39"/>
  <c r="I328" i="39"/>
  <c r="D327" i="39"/>
  <c r="E330" i="39"/>
  <c r="G326" i="39"/>
  <c r="J329" i="39"/>
  <c r="J330" i="39"/>
  <c r="G327" i="39"/>
  <c r="E331" i="39"/>
  <c r="B330" i="39"/>
  <c r="K331" i="39"/>
  <c r="B328" i="39"/>
  <c r="H331" i="39"/>
  <c r="B331" i="39"/>
  <c r="C333" i="39"/>
  <c r="H327" i="39"/>
  <c r="D329" i="39"/>
  <c r="F329" i="39"/>
  <c r="F328" i="39"/>
  <c r="B327" i="39"/>
  <c r="F332" i="39"/>
  <c r="K329" i="39"/>
  <c r="C330" i="39"/>
  <c r="C328" i="39"/>
  <c r="J326" i="39"/>
  <c r="G342" i="39"/>
  <c r="K335" i="39"/>
  <c r="K338" i="39"/>
  <c r="D338" i="39"/>
  <c r="E337" i="39"/>
  <c r="H349" i="38"/>
  <c r="D350" i="38"/>
  <c r="J346" i="38"/>
  <c r="J351" i="38"/>
  <c r="J349" i="38"/>
  <c r="B350" i="38"/>
  <c r="J348" i="38"/>
  <c r="I346" i="38"/>
  <c r="J344" i="38"/>
  <c r="I345" i="38"/>
  <c r="G344" i="38"/>
  <c r="J345" i="38"/>
  <c r="K350" i="38"/>
  <c r="G348" i="38"/>
  <c r="I347" i="38"/>
  <c r="I349" i="38"/>
  <c r="B344" i="38"/>
  <c r="C350" i="38"/>
  <c r="I350" i="38"/>
  <c r="J350" i="38"/>
  <c r="E348" i="38"/>
  <c r="C345" i="38"/>
  <c r="F348" i="38"/>
  <c r="F344" i="38"/>
  <c r="K346" i="38"/>
  <c r="C348" i="38"/>
  <c r="G350" i="38"/>
  <c r="B347" i="38"/>
  <c r="D349" i="38"/>
  <c r="E345" i="38"/>
  <c r="K345" i="38"/>
  <c r="B349" i="38"/>
  <c r="E350" i="38"/>
  <c r="G351" i="38"/>
  <c r="K348" i="38"/>
  <c r="B351" i="38"/>
  <c r="F349" i="38"/>
  <c r="F345" i="38"/>
  <c r="F347" i="38"/>
  <c r="I344" i="38"/>
  <c r="H348" i="38"/>
  <c r="F346" i="38"/>
  <c r="B348" i="38"/>
  <c r="H345" i="38"/>
  <c r="D344" i="38"/>
  <c r="C346" i="38"/>
  <c r="E344" i="38"/>
  <c r="D351" i="38"/>
  <c r="K344" i="38"/>
  <c r="D347" i="38"/>
  <c r="K351" i="38"/>
  <c r="I351" i="38"/>
  <c r="H347" i="38"/>
  <c r="D348" i="38"/>
  <c r="K349" i="38"/>
  <c r="I348" i="38"/>
  <c r="H346" i="38"/>
  <c r="G345" i="38"/>
  <c r="B346" i="38"/>
  <c r="C347" i="38"/>
  <c r="D345" i="38"/>
  <c r="J347" i="38"/>
  <c r="C351" i="38"/>
  <c r="E347" i="38"/>
  <c r="G349" i="38"/>
  <c r="H351" i="38"/>
  <c r="C344" i="38"/>
  <c r="F351" i="38"/>
  <c r="E346" i="38"/>
  <c r="E351" i="38"/>
  <c r="E349" i="38"/>
  <c r="G346" i="38"/>
  <c r="D346" i="38"/>
  <c r="F350" i="38"/>
  <c r="G347" i="38"/>
  <c r="H344" i="38"/>
  <c r="C349" i="38"/>
  <c r="H350" i="38"/>
  <c r="K347" i="38"/>
  <c r="B345" i="38"/>
  <c r="J421" i="38"/>
  <c r="G416" i="38"/>
  <c r="I416" i="38"/>
  <c r="K418" i="38"/>
  <c r="I421" i="38"/>
  <c r="H416" i="38"/>
  <c r="D417" i="38"/>
  <c r="H420" i="38"/>
  <c r="B416" i="38"/>
  <c r="I418" i="38"/>
  <c r="B421" i="38"/>
  <c r="C419" i="38"/>
  <c r="C423" i="38"/>
  <c r="J418" i="38"/>
  <c r="H418" i="38"/>
  <c r="B418" i="38"/>
  <c r="I419" i="38"/>
  <c r="D423" i="38"/>
  <c r="F417" i="38"/>
  <c r="K420" i="38"/>
  <c r="E416" i="38"/>
  <c r="H419" i="38"/>
  <c r="K422" i="38"/>
  <c r="K416" i="38"/>
  <c r="E417" i="38"/>
  <c r="C416" i="38"/>
  <c r="C420" i="38"/>
  <c r="D419" i="38"/>
  <c r="I420" i="38"/>
  <c r="C417" i="38"/>
  <c r="F423" i="38"/>
  <c r="K417" i="38"/>
  <c r="F421" i="38"/>
  <c r="H423" i="38"/>
  <c r="B417" i="38"/>
  <c r="E423" i="38"/>
  <c r="G421" i="38"/>
  <c r="B420" i="38"/>
  <c r="G418" i="38"/>
  <c r="C418" i="38"/>
  <c r="C421" i="38"/>
  <c r="K419" i="38"/>
  <c r="B419" i="38"/>
  <c r="D420" i="38"/>
  <c r="J416" i="38"/>
  <c r="G419" i="38"/>
  <c r="J419" i="38"/>
  <c r="G422" i="38"/>
  <c r="E420" i="38"/>
  <c r="F422" i="38"/>
  <c r="J417" i="38"/>
  <c r="F416" i="38"/>
  <c r="D421" i="38"/>
  <c r="E419" i="38"/>
  <c r="B423" i="38"/>
  <c r="K423" i="38"/>
  <c r="F418" i="38"/>
  <c r="D422" i="38"/>
  <c r="B422" i="38"/>
  <c r="H417" i="38"/>
  <c r="C422" i="38"/>
  <c r="F420" i="38"/>
  <c r="G417" i="38"/>
  <c r="E422" i="38"/>
  <c r="I417" i="38"/>
  <c r="J420" i="38"/>
  <c r="K421" i="38"/>
  <c r="H422" i="38"/>
  <c r="G420" i="38"/>
  <c r="I423" i="38"/>
  <c r="E421" i="38"/>
  <c r="J422" i="38"/>
  <c r="J423" i="38"/>
  <c r="H421" i="38"/>
  <c r="D418" i="38"/>
  <c r="I422" i="38"/>
  <c r="E418" i="38"/>
  <c r="F419" i="38"/>
  <c r="D416" i="38"/>
  <c r="G423" i="38"/>
  <c r="H419" i="8"/>
  <c r="H416" i="8"/>
  <c r="H416" i="39" s="1"/>
  <c r="G417" i="8"/>
  <c r="G417" i="39" s="1"/>
  <c r="J423" i="8"/>
  <c r="E419" i="8"/>
  <c r="H420" i="8"/>
  <c r="K421" i="8"/>
  <c r="K421" i="39" s="1"/>
  <c r="C417" i="8"/>
  <c r="H421" i="8"/>
  <c r="I422" i="8"/>
  <c r="C416" i="8"/>
  <c r="G419" i="8"/>
  <c r="G418" i="8"/>
  <c r="B423" i="8"/>
  <c r="G423" i="8"/>
  <c r="B422" i="8"/>
  <c r="E421" i="8"/>
  <c r="G421" i="8"/>
  <c r="D420" i="8"/>
  <c r="K423" i="8"/>
  <c r="K423" i="39" s="1"/>
  <c r="J420" i="8"/>
  <c r="K420" i="8"/>
  <c r="J421" i="8"/>
  <c r="J417" i="8"/>
  <c r="H417" i="8"/>
  <c r="C419" i="8"/>
  <c r="D416" i="8"/>
  <c r="D416" i="39" s="1"/>
  <c r="F419" i="8"/>
  <c r="J419" i="8"/>
  <c r="B421" i="8"/>
  <c r="H422" i="8"/>
  <c r="E417" i="8"/>
  <c r="B417" i="8"/>
  <c r="D422" i="8"/>
  <c r="D422" i="39" s="1"/>
  <c r="C420" i="8"/>
  <c r="C420" i="39" s="1"/>
  <c r="D418" i="8"/>
  <c r="F417" i="8"/>
  <c r="F421" i="8"/>
  <c r="E420" i="8"/>
  <c r="I417" i="8"/>
  <c r="J422" i="8"/>
  <c r="K422" i="8"/>
  <c r="I416" i="8"/>
  <c r="I416" i="39" s="1"/>
  <c r="C418" i="8"/>
  <c r="C418" i="39" s="1"/>
  <c r="B419" i="8"/>
  <c r="B418" i="8"/>
  <c r="K419" i="8"/>
  <c r="F420" i="8"/>
  <c r="B416" i="8"/>
  <c r="D419" i="8"/>
  <c r="B420" i="8"/>
  <c r="J418" i="8"/>
  <c r="C421" i="8"/>
  <c r="C421" i="39" s="1"/>
  <c r="F423" i="8"/>
  <c r="C423" i="8"/>
  <c r="H418" i="8"/>
  <c r="I418" i="8"/>
  <c r="E416" i="8"/>
  <c r="I423" i="8"/>
  <c r="E418" i="8"/>
  <c r="G422" i="8"/>
  <c r="E422" i="8"/>
  <c r="K416" i="8"/>
  <c r="I421" i="8"/>
  <c r="I419" i="8"/>
  <c r="I419" i="39" s="1"/>
  <c r="D417" i="8"/>
  <c r="G420" i="8"/>
  <c r="F418" i="8"/>
  <c r="J416" i="8"/>
  <c r="J416" i="39" s="1"/>
  <c r="F416" i="8"/>
  <c r="H423" i="8"/>
  <c r="C422" i="8"/>
  <c r="I420" i="8"/>
  <c r="I420" i="39" s="1"/>
  <c r="K417" i="8"/>
  <c r="D423" i="8"/>
  <c r="K418" i="8"/>
  <c r="K418" i="39" s="1"/>
  <c r="E423" i="8"/>
  <c r="G416" i="8"/>
  <c r="G416" i="39" s="1"/>
  <c r="F422" i="8"/>
  <c r="D421" i="8"/>
  <c r="E152" i="8"/>
  <c r="D149" i="8"/>
  <c r="E149" i="8"/>
  <c r="G151" i="8"/>
  <c r="H153" i="8"/>
  <c r="K153" i="8"/>
  <c r="I155" i="8"/>
  <c r="B155" i="8"/>
  <c r="I148" i="8"/>
  <c r="I149" i="8"/>
  <c r="J151" i="8"/>
  <c r="D155" i="8"/>
  <c r="C151" i="8"/>
  <c r="D151" i="8"/>
  <c r="F148" i="8"/>
  <c r="B151" i="8"/>
  <c r="G150" i="8"/>
  <c r="H154" i="8"/>
  <c r="C155" i="8"/>
  <c r="B148" i="8"/>
  <c r="H152" i="8"/>
  <c r="B153" i="8"/>
  <c r="G155" i="8"/>
  <c r="K148" i="8"/>
  <c r="H150" i="8"/>
  <c r="F155" i="8"/>
  <c r="K151" i="8"/>
  <c r="D152" i="8"/>
  <c r="J153" i="8"/>
  <c r="D150" i="8"/>
  <c r="C148" i="8"/>
  <c r="E155" i="8"/>
  <c r="E148" i="8"/>
  <c r="H148" i="8"/>
  <c r="K155" i="8"/>
  <c r="E154" i="8"/>
  <c r="C154" i="8"/>
  <c r="H151" i="8"/>
  <c r="E151" i="8"/>
  <c r="I150" i="8"/>
  <c r="C149" i="8"/>
  <c r="K150" i="8"/>
  <c r="K152" i="8"/>
  <c r="J150" i="8"/>
  <c r="B149" i="8"/>
  <c r="B154" i="8"/>
  <c r="G152" i="8"/>
  <c r="G149" i="8"/>
  <c r="D153" i="8"/>
  <c r="G148" i="8"/>
  <c r="B152" i="8"/>
  <c r="F154" i="8"/>
  <c r="J148" i="8"/>
  <c r="C150" i="8"/>
  <c r="I151" i="8"/>
  <c r="K154" i="8"/>
  <c r="C152" i="8"/>
  <c r="B150" i="8"/>
  <c r="F153" i="8"/>
  <c r="G153" i="8"/>
  <c r="J155" i="8"/>
  <c r="K149" i="8"/>
  <c r="G154" i="8"/>
  <c r="J154" i="8"/>
  <c r="D148" i="8"/>
  <c r="J152" i="8"/>
  <c r="F151" i="8"/>
  <c r="E153" i="8"/>
  <c r="I152" i="8"/>
  <c r="I153" i="8"/>
  <c r="F150" i="8"/>
  <c r="F149" i="8"/>
  <c r="C153" i="8"/>
  <c r="J149" i="8"/>
  <c r="H149" i="8"/>
  <c r="D154" i="8"/>
  <c r="E150" i="8"/>
  <c r="F152" i="8"/>
  <c r="H155" i="8"/>
  <c r="I154" i="8"/>
  <c r="F330" i="39"/>
  <c r="E154" i="38"/>
  <c r="D148" i="38"/>
  <c r="I153" i="38"/>
  <c r="E152" i="38"/>
  <c r="H149" i="38"/>
  <c r="C149" i="38"/>
  <c r="J151" i="38"/>
  <c r="E148" i="38"/>
  <c r="G152" i="38"/>
  <c r="K149" i="38"/>
  <c r="D152" i="38"/>
  <c r="J153" i="38"/>
  <c r="C153" i="38"/>
  <c r="C152" i="38"/>
  <c r="H153" i="38"/>
  <c r="I152" i="38"/>
  <c r="C150" i="38"/>
  <c r="I149" i="38"/>
  <c r="J150" i="38"/>
  <c r="H150" i="38"/>
  <c r="D151" i="38"/>
  <c r="E150" i="38"/>
  <c r="B154" i="38"/>
  <c r="C193" i="38" s="1"/>
  <c r="G151" i="38"/>
  <c r="F148" i="38"/>
  <c r="H148" i="38"/>
  <c r="H155" i="38"/>
  <c r="B151" i="38"/>
  <c r="C190" i="38" s="1"/>
  <c r="K151" i="38"/>
  <c r="J149" i="38"/>
  <c r="E149" i="38"/>
  <c r="B152" i="38"/>
  <c r="C191" i="38" s="1"/>
  <c r="D149" i="38"/>
  <c r="G149" i="38"/>
  <c r="F155" i="38"/>
  <c r="B149" i="38"/>
  <c r="C188" i="38" s="1"/>
  <c r="B155" i="38"/>
  <c r="C194" i="38" s="1"/>
  <c r="F153" i="38"/>
  <c r="K154" i="38"/>
  <c r="K150" i="38"/>
  <c r="F151" i="38"/>
  <c r="H154" i="38"/>
  <c r="G148" i="38"/>
  <c r="E151" i="38"/>
  <c r="K152" i="38"/>
  <c r="E153" i="38"/>
  <c r="B148" i="38"/>
  <c r="C187" i="38" s="1"/>
  <c r="G150" i="38"/>
  <c r="J148" i="38"/>
  <c r="J155" i="38"/>
  <c r="C148" i="38"/>
  <c r="I151" i="38"/>
  <c r="D154" i="38"/>
  <c r="F150" i="38"/>
  <c r="K153" i="38"/>
  <c r="K155" i="38"/>
  <c r="C154" i="38"/>
  <c r="H152" i="38"/>
  <c r="D150" i="38"/>
  <c r="J154" i="38"/>
  <c r="H151" i="38"/>
  <c r="G154" i="38"/>
  <c r="F154" i="38"/>
  <c r="E155" i="38"/>
  <c r="B150" i="38"/>
  <c r="C189" i="38" s="1"/>
  <c r="D189" i="38" s="1"/>
  <c r="G153" i="38"/>
  <c r="I150" i="38"/>
  <c r="I148" i="38"/>
  <c r="F152" i="38"/>
  <c r="I154" i="38"/>
  <c r="B153" i="38"/>
  <c r="C192" i="38" s="1"/>
  <c r="I155" i="38"/>
  <c r="D153" i="38"/>
  <c r="K148" i="38"/>
  <c r="J152" i="38"/>
  <c r="D155" i="38"/>
  <c r="F149" i="38"/>
  <c r="C155" i="38"/>
  <c r="G155" i="38"/>
  <c r="C151" i="38"/>
  <c r="E351" i="8"/>
  <c r="E351" i="39" s="1"/>
  <c r="H351" i="8"/>
  <c r="B346" i="8"/>
  <c r="B348" i="8"/>
  <c r="F347" i="8"/>
  <c r="C345" i="8"/>
  <c r="H346" i="8"/>
  <c r="G346" i="8"/>
  <c r="J350" i="8"/>
  <c r="C350" i="8"/>
  <c r="J349" i="8"/>
  <c r="D347" i="8"/>
  <c r="E350" i="8"/>
  <c r="D344" i="8"/>
  <c r="E349" i="8"/>
  <c r="C351" i="8"/>
  <c r="D345" i="8"/>
  <c r="J344" i="8"/>
  <c r="J348" i="8"/>
  <c r="K346" i="8"/>
  <c r="K346" i="39" s="1"/>
  <c r="K344" i="8"/>
  <c r="E346" i="8"/>
  <c r="C346" i="8"/>
  <c r="B345" i="8"/>
  <c r="F350" i="8"/>
  <c r="F350" i="39" s="1"/>
  <c r="C344" i="8"/>
  <c r="C344" i="39" s="1"/>
  <c r="C347" i="8"/>
  <c r="C347" i="39" s="1"/>
  <c r="H347" i="8"/>
  <c r="H347" i="39" s="1"/>
  <c r="F345" i="8"/>
  <c r="F345" i="39" s="1"/>
  <c r="B350" i="8"/>
  <c r="D348" i="8"/>
  <c r="F348" i="8"/>
  <c r="I348" i="8"/>
  <c r="H350" i="8"/>
  <c r="I351" i="8"/>
  <c r="I351" i="39" s="1"/>
  <c r="C348" i="8"/>
  <c r="K350" i="8"/>
  <c r="E347" i="8"/>
  <c r="H349" i="8"/>
  <c r="G350" i="8"/>
  <c r="K345" i="8"/>
  <c r="H348" i="8"/>
  <c r="K348" i="8"/>
  <c r="D351" i="8"/>
  <c r="K347" i="8"/>
  <c r="F349" i="8"/>
  <c r="G345" i="8"/>
  <c r="F351" i="8"/>
  <c r="B349" i="8"/>
  <c r="K351" i="8"/>
  <c r="K351" i="39" s="1"/>
  <c r="D350" i="8"/>
  <c r="J346" i="8"/>
  <c r="C349" i="8"/>
  <c r="F344" i="8"/>
  <c r="K349" i="8"/>
  <c r="B344" i="8"/>
  <c r="J345" i="8"/>
  <c r="G349" i="8"/>
  <c r="G344" i="8"/>
  <c r="G348" i="8"/>
  <c r="I349" i="8"/>
  <c r="I344" i="8"/>
  <c r="B347" i="8"/>
  <c r="B347" i="39" s="1"/>
  <c r="E344" i="8"/>
  <c r="I346" i="8"/>
  <c r="D349" i="8"/>
  <c r="I347" i="8"/>
  <c r="F346" i="8"/>
  <c r="I350" i="8"/>
  <c r="G347" i="8"/>
  <c r="G347" i="39" s="1"/>
  <c r="I345" i="8"/>
  <c r="J347" i="8"/>
  <c r="D346" i="8"/>
  <c r="H345" i="8"/>
  <c r="J351" i="8"/>
  <c r="J351" i="39" s="1"/>
  <c r="E345" i="8"/>
  <c r="G351" i="8"/>
  <c r="G351" i="39" s="1"/>
  <c r="H344" i="8"/>
  <c r="E348" i="8"/>
  <c r="B351" i="8"/>
  <c r="C174" i="8"/>
  <c r="B137" i="39"/>
  <c r="B132" i="39"/>
  <c r="C169" i="8"/>
  <c r="F123" i="7"/>
  <c r="F113" i="37"/>
  <c r="G115" i="37"/>
  <c r="G125" i="7"/>
  <c r="E50" i="37"/>
  <c r="G118" i="37"/>
  <c r="G128" i="7"/>
  <c r="E129" i="7"/>
  <c r="E119" i="37"/>
  <c r="E125" i="7"/>
  <c r="E115" i="37"/>
  <c r="C113" i="37"/>
  <c r="C123" i="7"/>
  <c r="G58" i="58"/>
  <c r="H122" i="35"/>
  <c r="H120" i="35"/>
  <c r="H337" i="39"/>
  <c r="B341" i="39"/>
  <c r="F339" i="39"/>
  <c r="J335" i="39"/>
  <c r="F335" i="39"/>
  <c r="D340" i="39"/>
  <c r="G336" i="39"/>
  <c r="D339" i="39"/>
  <c r="H339" i="39"/>
  <c r="G335" i="39"/>
  <c r="K342" i="39"/>
  <c r="I341" i="39"/>
  <c r="G338" i="39"/>
  <c r="K341" i="39"/>
  <c r="F341" i="39"/>
  <c r="B337" i="39"/>
  <c r="E336" i="39"/>
  <c r="B338" i="39"/>
  <c r="C335" i="39"/>
  <c r="G341" i="39"/>
  <c r="E65" i="59"/>
  <c r="D65" i="60"/>
  <c r="B125" i="7"/>
  <c r="B115" i="37"/>
  <c r="J113" i="37"/>
  <c r="J123" i="7"/>
  <c r="D116" i="37"/>
  <c r="D126" i="7"/>
  <c r="G124" i="7"/>
  <c r="G114" i="37"/>
  <c r="K122" i="7"/>
  <c r="K112" i="37"/>
  <c r="K120" i="7"/>
  <c r="J116" i="37"/>
  <c r="J126" i="7"/>
  <c r="C157" i="8"/>
  <c r="B121" i="39"/>
  <c r="B123" i="39"/>
  <c r="C159" i="8"/>
  <c r="G65" i="58"/>
  <c r="G122" i="35"/>
  <c r="G120" i="35"/>
  <c r="E167" i="38"/>
  <c r="D175" i="38"/>
  <c r="B395" i="39"/>
  <c r="F389" i="39"/>
  <c r="G391" i="39"/>
  <c r="C396" i="39"/>
  <c r="G393" i="39"/>
  <c r="F396" i="39"/>
  <c r="B396" i="39"/>
  <c r="K391" i="39"/>
  <c r="H391" i="39"/>
  <c r="J392" i="39"/>
  <c r="C392" i="39"/>
  <c r="D394" i="39"/>
  <c r="H392" i="39"/>
  <c r="E391" i="39"/>
  <c r="G394" i="39"/>
  <c r="K389" i="39"/>
  <c r="E395" i="39"/>
  <c r="D396" i="39"/>
  <c r="K392" i="39"/>
  <c r="G396" i="39"/>
  <c r="G117" i="37"/>
  <c r="G127" i="7"/>
  <c r="F114" i="37"/>
  <c r="F124" i="7"/>
  <c r="C126" i="7"/>
  <c r="C116" i="37"/>
  <c r="K117" i="37"/>
  <c r="K127" i="7"/>
  <c r="C112" i="37"/>
  <c r="C122" i="7"/>
  <c r="C120" i="7"/>
  <c r="B50" i="37"/>
  <c r="G60" i="58"/>
  <c r="I414" i="39"/>
  <c r="G414" i="39"/>
  <c r="B410" i="39"/>
  <c r="E411" i="39"/>
  <c r="J412" i="39"/>
  <c r="D412" i="39"/>
  <c r="B411" i="39"/>
  <c r="G413" i="39"/>
  <c r="F411" i="39"/>
  <c r="K411" i="39"/>
  <c r="D411" i="39"/>
  <c r="H409" i="39"/>
  <c r="C413" i="39"/>
  <c r="J410" i="39"/>
  <c r="B412" i="39"/>
  <c r="G410" i="39"/>
  <c r="D413" i="39"/>
  <c r="G412" i="39"/>
  <c r="J414" i="39"/>
  <c r="J413" i="39"/>
  <c r="F318" i="39"/>
  <c r="B320" i="39"/>
  <c r="E317" i="39"/>
  <c r="D317" i="39"/>
  <c r="E321" i="39"/>
  <c r="I324" i="39"/>
  <c r="C318" i="39"/>
  <c r="C324" i="39"/>
  <c r="K317" i="39"/>
  <c r="G323" i="39"/>
  <c r="H321" i="39"/>
  <c r="B461" i="38" a="1"/>
  <c r="B317" i="39"/>
  <c r="B461" i="8" a="1"/>
  <c r="E324" i="39"/>
  <c r="B324" i="39"/>
  <c r="C317" i="39"/>
  <c r="D321" i="39"/>
  <c r="H322" i="39"/>
  <c r="F320" i="39"/>
  <c r="G321" i="39"/>
  <c r="D323" i="39"/>
  <c r="C204" i="38"/>
  <c r="C360" i="38" s="1"/>
  <c r="C202" i="38"/>
  <c r="C358" i="38" s="1"/>
  <c r="C199" i="38"/>
  <c r="C355" i="38" s="1"/>
  <c r="C198" i="38"/>
  <c r="C354" i="38" s="1"/>
  <c r="C203" i="38"/>
  <c r="C359" i="38" s="1"/>
  <c r="C197" i="38"/>
  <c r="C353" i="38" s="1"/>
  <c r="C200" i="38"/>
  <c r="C356" i="38" s="1"/>
  <c r="C201" i="38"/>
  <c r="C357" i="38" s="1"/>
  <c r="E61" i="59"/>
  <c r="D61" i="60"/>
  <c r="J125" i="7"/>
  <c r="J115" i="37"/>
  <c r="B123" i="7"/>
  <c r="B113" i="37"/>
  <c r="J114" i="37"/>
  <c r="J124" i="7"/>
  <c r="D115" i="37"/>
  <c r="D125" i="7"/>
  <c r="H127" i="7"/>
  <c r="H117" i="37"/>
  <c r="F115" i="37"/>
  <c r="F125" i="7"/>
  <c r="C115" i="37"/>
  <c r="C125" i="7"/>
  <c r="G61" i="58"/>
  <c r="B135" i="39"/>
  <c r="C172" i="8"/>
  <c r="C170" i="8"/>
  <c r="B133" i="39"/>
  <c r="F122" i="35"/>
  <c r="F120" i="35"/>
  <c r="G62" i="58"/>
  <c r="E64" i="59"/>
  <c r="D64" i="60"/>
  <c r="H129" i="7"/>
  <c r="H119" i="37"/>
  <c r="J127" i="7"/>
  <c r="J117" i="37"/>
  <c r="G112" i="37"/>
  <c r="G122" i="7"/>
  <c r="G120" i="7"/>
  <c r="I116" i="37"/>
  <c r="I126" i="7"/>
  <c r="F112" i="37"/>
  <c r="F120" i="7"/>
  <c r="F122" i="7"/>
  <c r="C122" i="35"/>
  <c r="C120" i="35"/>
  <c r="I340" i="39"/>
  <c r="B335" i="39"/>
  <c r="B479" i="8" a="1"/>
  <c r="B479" i="38" a="1"/>
  <c r="C336" i="39"/>
  <c r="H341" i="39"/>
  <c r="C338" i="39"/>
  <c r="K339" i="39"/>
  <c r="E339" i="39"/>
  <c r="J342" i="39"/>
  <c r="H335" i="39"/>
  <c r="C341" i="39"/>
  <c r="B342" i="39"/>
  <c r="J337" i="39"/>
  <c r="D341" i="39"/>
  <c r="F342" i="39"/>
  <c r="I336" i="39"/>
  <c r="H342" i="39"/>
  <c r="E341" i="39"/>
  <c r="C337" i="39"/>
  <c r="B339" i="39"/>
  <c r="F338" i="39"/>
  <c r="I113" i="37"/>
  <c r="I123" i="7"/>
  <c r="J129" i="7"/>
  <c r="J119" i="37"/>
  <c r="F118" i="37"/>
  <c r="F128" i="7"/>
  <c r="I115" i="37"/>
  <c r="I125" i="7"/>
  <c r="C118" i="37"/>
  <c r="C128" i="7"/>
  <c r="B125" i="39"/>
  <c r="C161" i="8"/>
  <c r="B126" i="39"/>
  <c r="C162" i="8"/>
  <c r="D120" i="35"/>
  <c r="D122" i="35"/>
  <c r="I122" i="35"/>
  <c r="I120" i="35"/>
  <c r="D390" i="39"/>
  <c r="J393" i="39"/>
  <c r="F395" i="39"/>
  <c r="E389" i="39"/>
  <c r="C390" i="39"/>
  <c r="H395" i="39"/>
  <c r="K396" i="39"/>
  <c r="E392" i="39"/>
  <c r="D395" i="39"/>
  <c r="I392" i="39"/>
  <c r="C389" i="39"/>
  <c r="I389" i="39"/>
  <c r="E394" i="39"/>
  <c r="C394" i="39"/>
  <c r="I393" i="39"/>
  <c r="J389" i="39"/>
  <c r="K394" i="39"/>
  <c r="B389" i="39"/>
  <c r="B425" i="38" a="1"/>
  <c r="B425" i="8" a="1"/>
  <c r="J396" i="39"/>
  <c r="F391" i="39"/>
  <c r="C181" i="8"/>
  <c r="B143" i="39"/>
  <c r="C182" i="8"/>
  <c r="B144" i="39"/>
  <c r="E59" i="59"/>
  <c r="D59" i="60"/>
  <c r="E117" i="37"/>
  <c r="E127" i="7"/>
  <c r="H125" i="7"/>
  <c r="H115" i="37"/>
  <c r="I50" i="37"/>
  <c r="J128" i="7"/>
  <c r="J118" i="37"/>
  <c r="K129" i="7"/>
  <c r="K119" i="37"/>
  <c r="H412" i="39"/>
  <c r="B408" i="39"/>
  <c r="E410" i="39"/>
  <c r="B414" i="39"/>
  <c r="E409" i="39"/>
  <c r="J407" i="39"/>
  <c r="K408" i="39"/>
  <c r="G409" i="39"/>
  <c r="I407" i="39"/>
  <c r="D409" i="39"/>
  <c r="F413" i="39"/>
  <c r="I410" i="39"/>
  <c r="K412" i="39"/>
  <c r="D414" i="39"/>
  <c r="C408" i="39"/>
  <c r="H414" i="39"/>
  <c r="F412" i="39"/>
  <c r="K414" i="39"/>
  <c r="K407" i="39"/>
  <c r="G407" i="39"/>
  <c r="F317" i="39"/>
  <c r="B321" i="39"/>
  <c r="E322" i="39"/>
  <c r="C321" i="39"/>
  <c r="J320" i="39"/>
  <c r="I319" i="39"/>
  <c r="G319" i="39"/>
  <c r="C322" i="39"/>
  <c r="K318" i="39"/>
  <c r="J321" i="39"/>
  <c r="F323" i="39"/>
  <c r="H324" i="39"/>
  <c r="E320" i="39"/>
  <c r="E318" i="39"/>
  <c r="D318" i="39"/>
  <c r="D319" i="39"/>
  <c r="G322" i="39"/>
  <c r="K324" i="39"/>
  <c r="K321" i="39"/>
  <c r="E323" i="39"/>
  <c r="D118" i="37"/>
  <c r="D128" i="7"/>
  <c r="B124" i="7"/>
  <c r="B114" i="37"/>
  <c r="G113" i="37"/>
  <c r="G123" i="7"/>
  <c r="I128" i="7"/>
  <c r="I118" i="37"/>
  <c r="I117" i="37"/>
  <c r="I127" i="7"/>
  <c r="E114" i="37"/>
  <c r="E124" i="7"/>
  <c r="C129" i="7"/>
  <c r="C119" i="37"/>
  <c r="E118" i="37"/>
  <c r="E128" i="7"/>
  <c r="C173" i="8"/>
  <c r="B136" i="39"/>
  <c r="B130" i="39"/>
  <c r="C167" i="8"/>
  <c r="I119" i="37"/>
  <c r="I129" i="7"/>
  <c r="F129" i="7"/>
  <c r="F119" i="37"/>
  <c r="H112" i="37"/>
  <c r="H120" i="7"/>
  <c r="H122" i="7"/>
  <c r="E342" i="39"/>
  <c r="I342" i="39"/>
  <c r="C340" i="39"/>
  <c r="I335" i="39"/>
  <c r="G337" i="39"/>
  <c r="F337" i="39"/>
  <c r="H338" i="39"/>
  <c r="K336" i="39"/>
  <c r="I337" i="39"/>
  <c r="F340" i="39"/>
  <c r="H336" i="39"/>
  <c r="I339" i="39"/>
  <c r="E338" i="39"/>
  <c r="H340" i="39"/>
  <c r="K340" i="39"/>
  <c r="E58" i="59"/>
  <c r="D58" i="60"/>
  <c r="D129" i="7"/>
  <c r="D119" i="37"/>
  <c r="K114" i="37"/>
  <c r="K124" i="7"/>
  <c r="K115" i="37"/>
  <c r="K125" i="7"/>
  <c r="D122" i="7"/>
  <c r="D112" i="37"/>
  <c r="D120" i="7"/>
  <c r="D50" i="29"/>
  <c r="D51" i="29" s="1"/>
  <c r="D52" i="29" s="1"/>
  <c r="L73" i="4"/>
  <c r="K73" i="40"/>
  <c r="C163" i="8"/>
  <c r="B127" i="39"/>
  <c r="G63" i="58"/>
  <c r="D169" i="40"/>
  <c r="D202" i="4"/>
  <c r="D172" i="4"/>
  <c r="J390" i="39"/>
  <c r="I391" i="39"/>
  <c r="B391" i="39"/>
  <c r="E393" i="39"/>
  <c r="B390" i="39"/>
  <c r="I390" i="39"/>
  <c r="D392" i="39"/>
  <c r="E390" i="39"/>
  <c r="J395" i="39"/>
  <c r="J394" i="39"/>
  <c r="D393" i="39"/>
  <c r="K393" i="39"/>
  <c r="B392" i="39"/>
  <c r="C393" i="39"/>
  <c r="F394" i="39"/>
  <c r="G395" i="39"/>
  <c r="I395" i="39"/>
  <c r="J391" i="39"/>
  <c r="G389" i="39"/>
  <c r="F390" i="39"/>
  <c r="C178" i="8"/>
  <c r="B140" i="39"/>
  <c r="B139" i="39"/>
  <c r="C177" i="8"/>
  <c r="C180" i="8"/>
  <c r="B142" i="39"/>
  <c r="C127" i="7"/>
  <c r="C117" i="37"/>
  <c r="J120" i="7"/>
  <c r="J112" i="37"/>
  <c r="J122" i="7"/>
  <c r="I122" i="7"/>
  <c r="I120" i="7"/>
  <c r="I112" i="37"/>
  <c r="B118" i="37"/>
  <c r="B128" i="7"/>
  <c r="B129" i="7"/>
  <c r="B119" i="37"/>
  <c r="D59" i="29"/>
  <c r="D60" i="29" s="1"/>
  <c r="K122" i="35"/>
  <c r="K120" i="35"/>
  <c r="C414" i="39"/>
  <c r="H413" i="39"/>
  <c r="C410" i="39"/>
  <c r="D410" i="39"/>
  <c r="B409" i="39"/>
  <c r="H408" i="39"/>
  <c r="C412" i="39"/>
  <c r="E407" i="39"/>
  <c r="J408" i="39"/>
  <c r="K409" i="39"/>
  <c r="F409" i="39"/>
  <c r="E414" i="39"/>
  <c r="H407" i="39"/>
  <c r="I413" i="39"/>
  <c r="D408" i="39"/>
  <c r="I411" i="39"/>
  <c r="I412" i="39"/>
  <c r="F407" i="39"/>
  <c r="I409" i="39"/>
  <c r="C411" i="39"/>
  <c r="K323" i="39"/>
  <c r="K320" i="39"/>
  <c r="G320" i="39"/>
  <c r="B322" i="39"/>
  <c r="I322" i="39"/>
  <c r="I317" i="39"/>
  <c r="J319" i="39"/>
  <c r="D324" i="39"/>
  <c r="B323" i="39"/>
  <c r="J322" i="39"/>
  <c r="J323" i="39"/>
  <c r="H318" i="39"/>
  <c r="G324" i="39"/>
  <c r="I320" i="39"/>
  <c r="G318" i="39"/>
  <c r="K319" i="39"/>
  <c r="I318" i="39"/>
  <c r="J318" i="39"/>
  <c r="K322" i="39"/>
  <c r="F319" i="39"/>
  <c r="G64" i="58"/>
  <c r="E62" i="59"/>
  <c r="D62" i="60"/>
  <c r="E116" i="37"/>
  <c r="E126" i="7"/>
  <c r="H114" i="37"/>
  <c r="H124" i="7"/>
  <c r="D114" i="29"/>
  <c r="E111" i="29"/>
  <c r="E177" i="38"/>
  <c r="D185" i="38"/>
  <c r="E120" i="7"/>
  <c r="E122" i="7"/>
  <c r="E112" i="37"/>
  <c r="B117" i="37"/>
  <c r="B127" i="7"/>
  <c r="E123" i="7"/>
  <c r="E113" i="37"/>
  <c r="C171" i="8"/>
  <c r="B134" i="39"/>
  <c r="B131" i="39"/>
  <c r="C168" i="8"/>
  <c r="E120" i="35"/>
  <c r="E122" i="35"/>
  <c r="E60" i="59"/>
  <c r="D60" i="60"/>
  <c r="B126" i="7"/>
  <c r="B116" i="37"/>
  <c r="F126" i="7"/>
  <c r="F116" i="37"/>
  <c r="C114" i="37"/>
  <c r="C124" i="7"/>
  <c r="F50" i="37"/>
  <c r="D128" i="29"/>
  <c r="D129" i="29" s="1"/>
  <c r="E125" i="29"/>
  <c r="G59" i="58"/>
  <c r="B122" i="35"/>
  <c r="B120" i="35"/>
  <c r="D337" i="39"/>
  <c r="J341" i="39"/>
  <c r="D335" i="39"/>
  <c r="B336" i="39"/>
  <c r="J340" i="39"/>
  <c r="J336" i="39"/>
  <c r="F336" i="39"/>
  <c r="G339" i="39"/>
  <c r="B340" i="39"/>
  <c r="C339" i="39"/>
  <c r="D342" i="39"/>
  <c r="J338" i="39"/>
  <c r="D336" i="39"/>
  <c r="J339" i="39"/>
  <c r="C342" i="39"/>
  <c r="K337" i="39"/>
  <c r="E340" i="39"/>
  <c r="E335" i="39"/>
  <c r="G340" i="39"/>
  <c r="I338" i="39"/>
  <c r="I114" i="37"/>
  <c r="I124" i="7"/>
  <c r="D114" i="37"/>
  <c r="D124" i="7"/>
  <c r="H118" i="37"/>
  <c r="H128" i="7"/>
  <c r="K113" i="37"/>
  <c r="K123" i="7"/>
  <c r="K128" i="7"/>
  <c r="K118" i="37"/>
  <c r="D42" i="29"/>
  <c r="D43" i="29" s="1"/>
  <c r="D44" i="29" s="1"/>
  <c r="B470" i="38" a="1"/>
  <c r="B326" i="39"/>
  <c r="B470" i="8" a="1"/>
  <c r="B124" i="39"/>
  <c r="C160" i="8"/>
  <c r="B122" i="39"/>
  <c r="C158" i="8"/>
  <c r="B128" i="39"/>
  <c r="C164" i="8"/>
  <c r="C207" i="38"/>
  <c r="C363" i="38" s="1"/>
  <c r="C209" i="38"/>
  <c r="C365" i="38" s="1"/>
  <c r="C208" i="38"/>
  <c r="C364" i="38" s="1"/>
  <c r="C211" i="38"/>
  <c r="C367" i="38" s="1"/>
  <c r="C206" i="38"/>
  <c r="C362" i="38" s="1"/>
  <c r="C210" i="38"/>
  <c r="C366" i="38" s="1"/>
  <c r="C212" i="38"/>
  <c r="C368" i="38" s="1"/>
  <c r="C213" i="38"/>
  <c r="C369" i="38" s="1"/>
  <c r="H396" i="39"/>
  <c r="G390" i="39"/>
  <c r="K390" i="39"/>
  <c r="K395" i="39"/>
  <c r="D389" i="39"/>
  <c r="E396" i="39"/>
  <c r="I396" i="39"/>
  <c r="H394" i="39"/>
  <c r="F392" i="39"/>
  <c r="H393" i="39"/>
  <c r="B393" i="39"/>
  <c r="D391" i="39"/>
  <c r="F393" i="39"/>
  <c r="B394" i="39"/>
  <c r="C391" i="39"/>
  <c r="H389" i="39"/>
  <c r="C395" i="39"/>
  <c r="I394" i="39"/>
  <c r="H390" i="39"/>
  <c r="G392" i="39"/>
  <c r="B145" i="39"/>
  <c r="C183" i="8"/>
  <c r="C184" i="8"/>
  <c r="B146" i="39"/>
  <c r="C179" i="8"/>
  <c r="B141" i="39"/>
  <c r="E63" i="59"/>
  <c r="D63" i="60"/>
  <c r="G119" i="37"/>
  <c r="G129" i="7"/>
  <c r="H116" i="37"/>
  <c r="H126" i="7"/>
  <c r="K126" i="7"/>
  <c r="K116" i="37"/>
  <c r="C50" i="37"/>
  <c r="B122" i="7"/>
  <c r="B112" i="37"/>
  <c r="B120" i="7"/>
  <c r="D127" i="7"/>
  <c r="D117" i="37"/>
  <c r="F127" i="7"/>
  <c r="F117" i="37"/>
  <c r="J122" i="35"/>
  <c r="J120" i="35"/>
  <c r="B413" i="39"/>
  <c r="I408" i="39"/>
  <c r="E413" i="39"/>
  <c r="E408" i="39"/>
  <c r="F410" i="39"/>
  <c r="F414" i="39"/>
  <c r="K410" i="39"/>
  <c r="K413" i="39"/>
  <c r="J411" i="39"/>
  <c r="C409" i="39"/>
  <c r="F408" i="39"/>
  <c r="E412" i="39"/>
  <c r="J409" i="39"/>
  <c r="B407" i="39"/>
  <c r="B443" i="38" a="1"/>
  <c r="B443" i="8" a="1"/>
  <c r="C407" i="39"/>
  <c r="D407" i="39"/>
  <c r="G411" i="39"/>
  <c r="G408" i="39"/>
  <c r="H411" i="39"/>
  <c r="H410" i="39"/>
  <c r="D320" i="39"/>
  <c r="F321" i="39"/>
  <c r="F322" i="39"/>
  <c r="I321" i="39"/>
  <c r="H320" i="39"/>
  <c r="E319" i="39"/>
  <c r="J317" i="39"/>
  <c r="J324" i="39"/>
  <c r="I323" i="39"/>
  <c r="B318" i="39"/>
  <c r="H323" i="39"/>
  <c r="B319" i="39"/>
  <c r="H317" i="39"/>
  <c r="D322" i="39"/>
  <c r="H319" i="39"/>
  <c r="C323" i="39"/>
  <c r="C319" i="39"/>
  <c r="G317" i="39"/>
  <c r="C320" i="39"/>
  <c r="F324" i="39"/>
  <c r="D165" i="38"/>
  <c r="E157" i="38"/>
  <c r="H113" i="37"/>
  <c r="H123" i="7"/>
  <c r="D113" i="37"/>
  <c r="D123" i="7"/>
  <c r="G126" i="7"/>
  <c r="G116" i="37"/>
  <c r="C217" i="38"/>
  <c r="C373" i="38" s="1"/>
  <c r="C221" i="38"/>
  <c r="C377" i="38" s="1"/>
  <c r="C216" i="38"/>
  <c r="C372" i="38" s="1"/>
  <c r="C218" i="38"/>
  <c r="C374" i="38" s="1"/>
  <c r="C219" i="38"/>
  <c r="C375" i="38" s="1"/>
  <c r="C222" i="38"/>
  <c r="C378" i="38" s="1"/>
  <c r="C220" i="38"/>
  <c r="C376" i="38" s="1"/>
  <c r="C215" i="38"/>
  <c r="C371" i="38" s="1"/>
  <c r="K60" i="57"/>
  <c r="C83" i="57"/>
  <c r="C98" i="57"/>
  <c r="C100" i="57"/>
  <c r="C70" i="57"/>
  <c r="C102" i="57"/>
  <c r="C71" i="57"/>
  <c r="C96" i="57"/>
  <c r="C99" i="57"/>
  <c r="C97" i="57"/>
  <c r="C103" i="57"/>
  <c r="E402" i="39" l="1"/>
  <c r="E399" i="39"/>
  <c r="K404" i="39"/>
  <c r="H399" i="39"/>
  <c r="K400" i="39"/>
  <c r="C402" i="39"/>
  <c r="C401" i="39"/>
  <c r="F402" i="39"/>
  <c r="K399" i="39"/>
  <c r="I405" i="39"/>
  <c r="D398" i="39"/>
  <c r="D403" i="39"/>
  <c r="D404" i="39"/>
  <c r="C400" i="39"/>
  <c r="B434" i="8" a="1"/>
  <c r="B351" i="39"/>
  <c r="F351" i="39"/>
  <c r="D351" i="39"/>
  <c r="B345" i="39"/>
  <c r="G346" i="39"/>
  <c r="E423" i="39"/>
  <c r="G422" i="39"/>
  <c r="E345" i="39"/>
  <c r="J347" i="39"/>
  <c r="F346" i="39"/>
  <c r="G348" i="39"/>
  <c r="C348" i="39"/>
  <c r="D347" i="39"/>
  <c r="I418" i="39"/>
  <c r="I345" i="39"/>
  <c r="D350" i="39"/>
  <c r="G345" i="39"/>
  <c r="D348" i="39"/>
  <c r="C346" i="39"/>
  <c r="D192" i="38"/>
  <c r="J418" i="39"/>
  <c r="F420" i="39"/>
  <c r="F419" i="39"/>
  <c r="G419" i="39"/>
  <c r="C417" i="39"/>
  <c r="H350" i="39"/>
  <c r="B350" i="39"/>
  <c r="C350" i="39"/>
  <c r="C345" i="39"/>
  <c r="H351" i="39"/>
  <c r="F422" i="39"/>
  <c r="D423" i="39"/>
  <c r="H423" i="39"/>
  <c r="I423" i="39"/>
  <c r="B420" i="39"/>
  <c r="K419" i="39"/>
  <c r="E348" i="39"/>
  <c r="H349" i="39"/>
  <c r="J349" i="39"/>
  <c r="H346" i="39"/>
  <c r="I421" i="39"/>
  <c r="B434" i="38" a="1"/>
  <c r="C437" i="38" s="1"/>
  <c r="H344" i="39"/>
  <c r="H345" i="39"/>
  <c r="D349" i="39"/>
  <c r="I344" i="39"/>
  <c r="G349" i="39"/>
  <c r="F344" i="39"/>
  <c r="F349" i="39"/>
  <c r="H348" i="39"/>
  <c r="E347" i="39"/>
  <c r="E346" i="39"/>
  <c r="J344" i="39"/>
  <c r="D344" i="39"/>
  <c r="C398" i="39"/>
  <c r="D421" i="39"/>
  <c r="C422" i="39"/>
  <c r="F418" i="39"/>
  <c r="E418" i="39"/>
  <c r="I417" i="39"/>
  <c r="E417" i="39"/>
  <c r="J423" i="39"/>
  <c r="D346" i="39"/>
  <c r="I346" i="39"/>
  <c r="I349" i="39"/>
  <c r="J345" i="39"/>
  <c r="C349" i="39"/>
  <c r="B349" i="39"/>
  <c r="K350" i="39"/>
  <c r="I348" i="39"/>
  <c r="K344" i="39"/>
  <c r="D345" i="39"/>
  <c r="E350" i="39"/>
  <c r="J350" i="39"/>
  <c r="G420" i="39"/>
  <c r="K416" i="39"/>
  <c r="C423" i="39"/>
  <c r="E420" i="39"/>
  <c r="J421" i="39"/>
  <c r="K417" i="39"/>
  <c r="F416" i="39"/>
  <c r="E422" i="39"/>
  <c r="E416" i="39"/>
  <c r="D419" i="39"/>
  <c r="B418" i="39"/>
  <c r="F421" i="39"/>
  <c r="C419" i="39"/>
  <c r="K420" i="39"/>
  <c r="G421" i="39"/>
  <c r="I422" i="39"/>
  <c r="H420" i="39"/>
  <c r="I350" i="39"/>
  <c r="K347" i="39"/>
  <c r="K345" i="39"/>
  <c r="F347" i="39"/>
  <c r="E189" i="38"/>
  <c r="F189" i="38" s="1"/>
  <c r="G189" i="38" s="1"/>
  <c r="H189" i="38" s="1"/>
  <c r="I189" i="38" s="1"/>
  <c r="J189" i="38" s="1"/>
  <c r="K189" i="38" s="1"/>
  <c r="D194" i="38"/>
  <c r="E194" i="38" s="1"/>
  <c r="F194" i="38" s="1"/>
  <c r="G194" i="38" s="1"/>
  <c r="H194" i="38" s="1"/>
  <c r="I194" i="38" s="1"/>
  <c r="J194" i="38" s="1"/>
  <c r="K194" i="38" s="1"/>
  <c r="J149" i="39"/>
  <c r="K149" i="39"/>
  <c r="H148" i="39"/>
  <c r="D417" i="39"/>
  <c r="F423" i="39"/>
  <c r="K422" i="39"/>
  <c r="B421" i="39"/>
  <c r="B423" i="39"/>
  <c r="E344" i="39"/>
  <c r="J346" i="39"/>
  <c r="G350" i="39"/>
  <c r="F348" i="39"/>
  <c r="C351" i="39"/>
  <c r="B348" i="39"/>
  <c r="D188" i="38"/>
  <c r="E188" i="38" s="1"/>
  <c r="F188" i="38" s="1"/>
  <c r="G188" i="38" s="1"/>
  <c r="H188" i="38" s="1"/>
  <c r="I188" i="38" s="1"/>
  <c r="J188" i="38" s="1"/>
  <c r="K188" i="38" s="1"/>
  <c r="D191" i="38"/>
  <c r="E191" i="38" s="1"/>
  <c r="F191" i="38" s="1"/>
  <c r="G191" i="38" s="1"/>
  <c r="H191" i="38" s="1"/>
  <c r="I191" i="38" s="1"/>
  <c r="J191" i="38" s="1"/>
  <c r="K191" i="38" s="1"/>
  <c r="B419" i="39"/>
  <c r="F417" i="39"/>
  <c r="B417" i="39"/>
  <c r="J419" i="39"/>
  <c r="E421" i="39"/>
  <c r="G418" i="39"/>
  <c r="I347" i="39"/>
  <c r="G344" i="39"/>
  <c r="K349" i="39"/>
  <c r="K348" i="39"/>
  <c r="J348" i="39"/>
  <c r="E349" i="39"/>
  <c r="B346" i="39"/>
  <c r="I154" i="39"/>
  <c r="E153" i="39"/>
  <c r="G153" i="39"/>
  <c r="G149" i="39"/>
  <c r="H418" i="39"/>
  <c r="D418" i="39"/>
  <c r="J417" i="39"/>
  <c r="B422" i="39"/>
  <c r="H155" i="39"/>
  <c r="H149" i="39"/>
  <c r="F150" i="39"/>
  <c r="F151" i="39"/>
  <c r="G154" i="39"/>
  <c r="F153" i="39"/>
  <c r="I151" i="39"/>
  <c r="C191" i="8"/>
  <c r="B152" i="39"/>
  <c r="G152" i="39"/>
  <c r="K152" i="39"/>
  <c r="E151" i="39"/>
  <c r="K155" i="39"/>
  <c r="C148" i="39"/>
  <c r="K151" i="39"/>
  <c r="G155" i="39"/>
  <c r="C155" i="39"/>
  <c r="F148" i="39"/>
  <c r="J151" i="39"/>
  <c r="I155" i="39"/>
  <c r="E149" i="39"/>
  <c r="H422" i="39"/>
  <c r="D420" i="39"/>
  <c r="G423" i="39"/>
  <c r="C416" i="39"/>
  <c r="F152" i="39"/>
  <c r="I153" i="39"/>
  <c r="J152" i="39"/>
  <c r="C189" i="8"/>
  <c r="B150" i="39"/>
  <c r="C150" i="39"/>
  <c r="G148" i="39"/>
  <c r="C193" i="8"/>
  <c r="B154" i="39"/>
  <c r="K150" i="39"/>
  <c r="H151" i="39"/>
  <c r="D150" i="39"/>
  <c r="F155" i="39"/>
  <c r="C192" i="8"/>
  <c r="B153" i="39"/>
  <c r="H154" i="39"/>
  <c r="D151" i="39"/>
  <c r="I149" i="39"/>
  <c r="K153" i="39"/>
  <c r="D149" i="39"/>
  <c r="B344" i="39"/>
  <c r="B488" i="38" a="1"/>
  <c r="B488" i="8" a="1"/>
  <c r="D190" i="38"/>
  <c r="E190" i="38" s="1"/>
  <c r="F190" i="38" s="1"/>
  <c r="G190" i="38" s="1"/>
  <c r="H190" i="38" s="1"/>
  <c r="I190" i="38" s="1"/>
  <c r="J190" i="38" s="1"/>
  <c r="K190" i="38" s="1"/>
  <c r="E150" i="39"/>
  <c r="C153" i="39"/>
  <c r="I152" i="39"/>
  <c r="D148" i="39"/>
  <c r="J155" i="39"/>
  <c r="C152" i="39"/>
  <c r="J148" i="39"/>
  <c r="D153" i="39"/>
  <c r="C188" i="8"/>
  <c r="B149" i="39"/>
  <c r="C149" i="39"/>
  <c r="C154" i="39"/>
  <c r="E148" i="39"/>
  <c r="J153" i="39"/>
  <c r="H150" i="39"/>
  <c r="H152" i="39"/>
  <c r="G150" i="39"/>
  <c r="C151" i="39"/>
  <c r="I148" i="39"/>
  <c r="H153" i="39"/>
  <c r="E152" i="39"/>
  <c r="B416" i="39"/>
  <c r="B452" i="8" a="1"/>
  <c r="B452" i="38" a="1"/>
  <c r="J422" i="39"/>
  <c r="H417" i="39"/>
  <c r="J420" i="39"/>
  <c r="H421" i="39"/>
  <c r="E419" i="39"/>
  <c r="H419" i="39"/>
  <c r="E192" i="38"/>
  <c r="F192" i="38" s="1"/>
  <c r="G192" i="38" s="1"/>
  <c r="H192" i="38" s="1"/>
  <c r="I192" i="38" s="1"/>
  <c r="J192" i="38" s="1"/>
  <c r="K192" i="38" s="1"/>
  <c r="C195" i="38"/>
  <c r="D187" i="38"/>
  <c r="D193" i="38"/>
  <c r="E193" i="38" s="1"/>
  <c r="F193" i="38" s="1"/>
  <c r="G193" i="38" s="1"/>
  <c r="H193" i="38" s="1"/>
  <c r="I193" i="38" s="1"/>
  <c r="J193" i="38" s="1"/>
  <c r="K193" i="38" s="1"/>
  <c r="D154" i="39"/>
  <c r="F149" i="39"/>
  <c r="J154" i="39"/>
  <c r="K154" i="39"/>
  <c r="F154" i="39"/>
  <c r="J150" i="39"/>
  <c r="I150" i="39"/>
  <c r="E154" i="39"/>
  <c r="E155" i="39"/>
  <c r="D152" i="39"/>
  <c r="K148" i="39"/>
  <c r="B148" i="39"/>
  <c r="C187" i="8"/>
  <c r="C190" i="8"/>
  <c r="B151" i="39"/>
  <c r="D155" i="39"/>
  <c r="B155" i="39"/>
  <c r="C194" i="8"/>
  <c r="G151" i="39"/>
  <c r="C78" i="57"/>
  <c r="H123" i="37"/>
  <c r="H133" i="7"/>
  <c r="B122" i="37"/>
  <c r="B132" i="7"/>
  <c r="C158" i="39"/>
  <c r="D158" i="8"/>
  <c r="G126" i="37"/>
  <c r="G136" i="7"/>
  <c r="D127" i="37"/>
  <c r="D137" i="7"/>
  <c r="D146" i="7" s="1"/>
  <c r="F63" i="59"/>
  <c r="E63" i="60"/>
  <c r="C184" i="39"/>
  <c r="D184" i="8"/>
  <c r="H128" i="37"/>
  <c r="H138" i="7"/>
  <c r="I124" i="37"/>
  <c r="I134" i="7"/>
  <c r="F126" i="37"/>
  <c r="F136" i="7"/>
  <c r="F60" i="59"/>
  <c r="E60" i="60"/>
  <c r="D171" i="8"/>
  <c r="C171" i="39"/>
  <c r="D222" i="38"/>
  <c r="D378" i="38" s="1"/>
  <c r="D218" i="38"/>
  <c r="D374" i="38" s="1"/>
  <c r="D221" i="38"/>
  <c r="D377" i="38" s="1"/>
  <c r="D220" i="38"/>
  <c r="D376" i="38" s="1"/>
  <c r="D217" i="38"/>
  <c r="D373" i="38" s="1"/>
  <c r="D215" i="38"/>
  <c r="D371" i="38" s="1"/>
  <c r="D219" i="38"/>
  <c r="D375" i="38" s="1"/>
  <c r="D216" i="38"/>
  <c r="D372" i="38" s="1"/>
  <c r="F62" i="59"/>
  <c r="E62" i="60"/>
  <c r="C163" i="39"/>
  <c r="D163" i="8"/>
  <c r="D122" i="37"/>
  <c r="D132" i="7"/>
  <c r="F58" i="59"/>
  <c r="E58" i="60"/>
  <c r="C167" i="39"/>
  <c r="D167" i="8"/>
  <c r="C175" i="8"/>
  <c r="C129" i="37"/>
  <c r="C139" i="7"/>
  <c r="C148" i="7" s="1"/>
  <c r="C182" i="39"/>
  <c r="D182" i="8"/>
  <c r="E427" i="38"/>
  <c r="G431" i="38"/>
  <c r="D432" i="38"/>
  <c r="K432" i="38"/>
  <c r="K430" i="38"/>
  <c r="J429" i="38"/>
  <c r="F427" i="38"/>
  <c r="D427" i="38"/>
  <c r="J430" i="38"/>
  <c r="B429" i="38"/>
  <c r="C425" i="38"/>
  <c r="D425" i="38"/>
  <c r="I425" i="38"/>
  <c r="K427" i="38"/>
  <c r="J431" i="38"/>
  <c r="E428" i="38"/>
  <c r="E431" i="38"/>
  <c r="F430" i="38"/>
  <c r="K426" i="38"/>
  <c r="H426" i="38"/>
  <c r="D431" i="38"/>
  <c r="I431" i="38"/>
  <c r="G425" i="38"/>
  <c r="K425" i="38"/>
  <c r="C431" i="38"/>
  <c r="J426" i="38"/>
  <c r="F428" i="38"/>
  <c r="J432" i="38"/>
  <c r="F432" i="38"/>
  <c r="G426" i="38"/>
  <c r="I426" i="38"/>
  <c r="J427" i="38"/>
  <c r="F426" i="38"/>
  <c r="F425" i="38"/>
  <c r="G429" i="38"/>
  <c r="B426" i="38"/>
  <c r="D429" i="38"/>
  <c r="I430" i="38"/>
  <c r="E432" i="38"/>
  <c r="H428" i="38"/>
  <c r="D428" i="38"/>
  <c r="E425" i="38"/>
  <c r="B432" i="38"/>
  <c r="I432" i="38"/>
  <c r="H431" i="38"/>
  <c r="J425" i="38"/>
  <c r="I429" i="38"/>
  <c r="C430" i="38"/>
  <c r="C428" i="38"/>
  <c r="E426" i="38"/>
  <c r="H427" i="38"/>
  <c r="H432" i="38"/>
  <c r="B431" i="38"/>
  <c r="E429" i="38"/>
  <c r="G430" i="38"/>
  <c r="F431" i="38"/>
  <c r="K428" i="38"/>
  <c r="F429" i="38"/>
  <c r="C426" i="38"/>
  <c r="H430" i="38"/>
  <c r="G428" i="38"/>
  <c r="E430" i="38"/>
  <c r="H425" i="38"/>
  <c r="B428" i="38"/>
  <c r="C427" i="38"/>
  <c r="C429" i="38"/>
  <c r="G427" i="38"/>
  <c r="J428" i="38"/>
  <c r="K429" i="38"/>
  <c r="G432" i="38"/>
  <c r="B430" i="38"/>
  <c r="H429" i="38"/>
  <c r="I427" i="38"/>
  <c r="D430" i="38"/>
  <c r="B427" i="38"/>
  <c r="I428" i="38"/>
  <c r="D426" i="38"/>
  <c r="K431" i="38"/>
  <c r="B425" i="38"/>
  <c r="C432" i="38"/>
  <c r="G486" i="8"/>
  <c r="E484" i="8"/>
  <c r="I483" i="8"/>
  <c r="D486" i="8"/>
  <c r="F481" i="8"/>
  <c r="F484" i="8"/>
  <c r="K479" i="8"/>
  <c r="B482" i="8"/>
  <c r="I479" i="8"/>
  <c r="H479" i="8"/>
  <c r="C486" i="8"/>
  <c r="J479" i="8"/>
  <c r="G485" i="8"/>
  <c r="E481" i="8"/>
  <c r="B479" i="8"/>
  <c r="K481" i="8"/>
  <c r="D479" i="8"/>
  <c r="C485" i="8"/>
  <c r="C480" i="8"/>
  <c r="F485" i="8"/>
  <c r="B480" i="8"/>
  <c r="I486" i="8"/>
  <c r="B483" i="8"/>
  <c r="J484" i="8"/>
  <c r="H484" i="8"/>
  <c r="H482" i="8"/>
  <c r="I480" i="8"/>
  <c r="D482" i="8"/>
  <c r="K480" i="8"/>
  <c r="E482" i="8"/>
  <c r="E483" i="8"/>
  <c r="K483" i="8"/>
  <c r="B485" i="8"/>
  <c r="I485" i="8"/>
  <c r="H480" i="8"/>
  <c r="F480" i="8"/>
  <c r="G484" i="8"/>
  <c r="J486" i="8"/>
  <c r="F479" i="8"/>
  <c r="J481" i="8"/>
  <c r="K485" i="8"/>
  <c r="H485" i="8"/>
  <c r="D483" i="8"/>
  <c r="G483" i="8"/>
  <c r="B481" i="8"/>
  <c r="H483" i="8"/>
  <c r="K486" i="8"/>
  <c r="I482" i="8"/>
  <c r="J480" i="8"/>
  <c r="B484" i="8"/>
  <c r="E486" i="8"/>
  <c r="I481" i="8"/>
  <c r="C482" i="8"/>
  <c r="G482" i="8"/>
  <c r="C483" i="8"/>
  <c r="C481" i="8"/>
  <c r="F486" i="8"/>
  <c r="D480" i="8"/>
  <c r="H481" i="8"/>
  <c r="D485" i="8"/>
  <c r="F482" i="8"/>
  <c r="E480" i="8"/>
  <c r="E479" i="8"/>
  <c r="D481" i="8"/>
  <c r="D484" i="8"/>
  <c r="G480" i="8"/>
  <c r="H486" i="8"/>
  <c r="I484" i="8"/>
  <c r="K482" i="8"/>
  <c r="G481" i="8"/>
  <c r="C479" i="8"/>
  <c r="G479" i="8"/>
  <c r="F483" i="8"/>
  <c r="J483" i="8"/>
  <c r="K484" i="8"/>
  <c r="J485" i="8"/>
  <c r="B486" i="8"/>
  <c r="J482" i="8"/>
  <c r="E485" i="8"/>
  <c r="C484" i="8"/>
  <c r="I126" i="37"/>
  <c r="I136" i="7"/>
  <c r="H139" i="7"/>
  <c r="H148" i="7" s="1"/>
  <c r="H129" i="37"/>
  <c r="F125" i="37"/>
  <c r="F135" i="7"/>
  <c r="D125" i="37"/>
  <c r="D135" i="7"/>
  <c r="D144" i="7" s="1"/>
  <c r="F462" i="8"/>
  <c r="F468" i="8"/>
  <c r="G467" i="8"/>
  <c r="G462" i="8"/>
  <c r="F461" i="8"/>
  <c r="B466" i="8"/>
  <c r="B462" i="8"/>
  <c r="I461" i="8"/>
  <c r="B465" i="8"/>
  <c r="I468" i="8"/>
  <c r="H466" i="8"/>
  <c r="I465" i="8"/>
  <c r="B467" i="8"/>
  <c r="I462" i="8"/>
  <c r="E464" i="8"/>
  <c r="K462" i="8"/>
  <c r="H467" i="8"/>
  <c r="E465" i="8"/>
  <c r="I467" i="8"/>
  <c r="K464" i="8"/>
  <c r="G461" i="8"/>
  <c r="F466" i="8"/>
  <c r="H463" i="8"/>
  <c r="J461" i="8"/>
  <c r="J466" i="8"/>
  <c r="D465" i="8"/>
  <c r="K466" i="8"/>
  <c r="K465" i="8"/>
  <c r="D463" i="8"/>
  <c r="C461" i="8"/>
  <c r="C466" i="8"/>
  <c r="B461" i="8"/>
  <c r="H468" i="8"/>
  <c r="I464" i="8"/>
  <c r="E463" i="8"/>
  <c r="C462" i="8"/>
  <c r="J463" i="8"/>
  <c r="B463" i="8"/>
  <c r="H465" i="8"/>
  <c r="K468" i="8"/>
  <c r="G466" i="8"/>
  <c r="G465" i="8"/>
  <c r="D467" i="8"/>
  <c r="J464" i="8"/>
  <c r="E467" i="8"/>
  <c r="E468" i="8"/>
  <c r="C465" i="8"/>
  <c r="K463" i="8"/>
  <c r="C467" i="8"/>
  <c r="B468" i="8"/>
  <c r="J462" i="8"/>
  <c r="G468" i="8"/>
  <c r="C463" i="8"/>
  <c r="F463" i="8"/>
  <c r="H462" i="8"/>
  <c r="J467" i="8"/>
  <c r="J468" i="8"/>
  <c r="J465" i="8"/>
  <c r="D466" i="8"/>
  <c r="G464" i="8"/>
  <c r="F465" i="8"/>
  <c r="C464" i="8"/>
  <c r="I466" i="8"/>
  <c r="I463" i="8"/>
  <c r="E461" i="8"/>
  <c r="F464" i="8"/>
  <c r="F467" i="8"/>
  <c r="H464" i="8"/>
  <c r="B464" i="8"/>
  <c r="K461" i="8"/>
  <c r="D461" i="8"/>
  <c r="E466" i="8"/>
  <c r="G463" i="8"/>
  <c r="C468" i="8"/>
  <c r="E462" i="8"/>
  <c r="D464" i="8"/>
  <c r="D468" i="8"/>
  <c r="D462" i="8"/>
  <c r="H461" i="8"/>
  <c r="K467" i="8"/>
  <c r="C122" i="37"/>
  <c r="C132" i="7"/>
  <c r="G127" i="37"/>
  <c r="G137" i="7"/>
  <c r="G146" i="7" s="1"/>
  <c r="D159" i="8"/>
  <c r="C159" i="39"/>
  <c r="C165" i="8"/>
  <c r="D157" i="8"/>
  <c r="C157" i="39"/>
  <c r="K120" i="37"/>
  <c r="K130" i="7"/>
  <c r="G124" i="37"/>
  <c r="G134" i="7"/>
  <c r="G143" i="7" s="1"/>
  <c r="F65" i="59"/>
  <c r="E65" i="60"/>
  <c r="C123" i="37"/>
  <c r="C133" i="7"/>
  <c r="F123" i="37"/>
  <c r="F133" i="7"/>
  <c r="F142" i="7" s="1"/>
  <c r="D174" i="8"/>
  <c r="C174" i="39"/>
  <c r="H126" i="37"/>
  <c r="H136" i="7"/>
  <c r="H145" i="7" s="1"/>
  <c r="D123" i="37"/>
  <c r="D133" i="7"/>
  <c r="E165" i="38"/>
  <c r="F157" i="38"/>
  <c r="K449" i="8"/>
  <c r="C448" i="8"/>
  <c r="D446" i="8"/>
  <c r="B450" i="8"/>
  <c r="B447" i="8"/>
  <c r="B444" i="8"/>
  <c r="H449" i="8"/>
  <c r="G450" i="8"/>
  <c r="E445" i="8"/>
  <c r="C447" i="8"/>
  <c r="F445" i="8"/>
  <c r="E446" i="8"/>
  <c r="G443" i="8"/>
  <c r="F449" i="8"/>
  <c r="H445" i="8"/>
  <c r="G444" i="8"/>
  <c r="B446" i="8"/>
  <c r="F446" i="8"/>
  <c r="H447" i="8"/>
  <c r="E444" i="8"/>
  <c r="B448" i="8"/>
  <c r="J449" i="8"/>
  <c r="F450" i="8"/>
  <c r="E447" i="8"/>
  <c r="J444" i="8"/>
  <c r="F447" i="8"/>
  <c r="K446" i="8"/>
  <c r="I446" i="8"/>
  <c r="C449" i="8"/>
  <c r="B443" i="8"/>
  <c r="E448" i="8"/>
  <c r="D445" i="8"/>
  <c r="J446" i="8"/>
  <c r="I449" i="8"/>
  <c r="F448" i="8"/>
  <c r="I443" i="8"/>
  <c r="B449" i="8"/>
  <c r="H450" i="8"/>
  <c r="J448" i="8"/>
  <c r="J450" i="8"/>
  <c r="D450" i="8"/>
  <c r="I444" i="8"/>
  <c r="C446" i="8"/>
  <c r="I450" i="8"/>
  <c r="C443" i="8"/>
  <c r="K444" i="8"/>
  <c r="E443" i="8"/>
  <c r="G446" i="8"/>
  <c r="F444" i="8"/>
  <c r="I447" i="8"/>
  <c r="J447" i="8"/>
  <c r="K445" i="8"/>
  <c r="I445" i="8"/>
  <c r="H448" i="8"/>
  <c r="G449" i="8"/>
  <c r="G448" i="8"/>
  <c r="D444" i="8"/>
  <c r="D449" i="8"/>
  <c r="E449" i="8"/>
  <c r="K443" i="8"/>
  <c r="C444" i="8"/>
  <c r="H443" i="8"/>
  <c r="H446" i="8"/>
  <c r="H444" i="8"/>
  <c r="B445" i="8"/>
  <c r="J443" i="8"/>
  <c r="E450" i="8"/>
  <c r="K450" i="8"/>
  <c r="C445" i="8"/>
  <c r="D447" i="8"/>
  <c r="C450" i="8"/>
  <c r="K448" i="8"/>
  <c r="D443" i="8"/>
  <c r="F443" i="8"/>
  <c r="I448" i="8"/>
  <c r="G445" i="8"/>
  <c r="J445" i="8"/>
  <c r="D448" i="8"/>
  <c r="G447" i="8"/>
  <c r="K447" i="8"/>
  <c r="B130" i="7"/>
  <c r="B120" i="37"/>
  <c r="G129" i="37"/>
  <c r="G139" i="7"/>
  <c r="G148" i="7" s="1"/>
  <c r="D183" i="8"/>
  <c r="C183" i="39"/>
  <c r="C164" i="39"/>
  <c r="D164" i="8"/>
  <c r="C160" i="39"/>
  <c r="D160" i="8"/>
  <c r="K476" i="38"/>
  <c r="F474" i="38"/>
  <c r="K474" i="38"/>
  <c r="K473" i="38"/>
  <c r="E474" i="38"/>
  <c r="E475" i="38"/>
  <c r="I475" i="38"/>
  <c r="F477" i="38"/>
  <c r="K470" i="38"/>
  <c r="C477" i="38"/>
  <c r="E473" i="38"/>
  <c r="H472" i="38"/>
  <c r="B475" i="38"/>
  <c r="I472" i="38"/>
  <c r="C470" i="38"/>
  <c r="H475" i="38"/>
  <c r="J470" i="38"/>
  <c r="B471" i="38"/>
  <c r="J472" i="38"/>
  <c r="J473" i="38"/>
  <c r="K475" i="38"/>
  <c r="D476" i="38"/>
  <c r="B476" i="38"/>
  <c r="K471" i="38"/>
  <c r="K472" i="38"/>
  <c r="B477" i="38"/>
  <c r="G471" i="38"/>
  <c r="G475" i="38"/>
  <c r="D472" i="38"/>
  <c r="E472" i="38"/>
  <c r="G473" i="38"/>
  <c r="J475" i="38"/>
  <c r="I470" i="38"/>
  <c r="K477" i="38"/>
  <c r="D473" i="38"/>
  <c r="G476" i="38"/>
  <c r="C473" i="38"/>
  <c r="E470" i="38"/>
  <c r="F473" i="38"/>
  <c r="I474" i="38"/>
  <c r="J474" i="38"/>
  <c r="D474" i="38"/>
  <c r="G477" i="38"/>
  <c r="I476" i="38"/>
  <c r="B472" i="38"/>
  <c r="J477" i="38"/>
  <c r="F471" i="38"/>
  <c r="C476" i="38"/>
  <c r="D471" i="38"/>
  <c r="H473" i="38"/>
  <c r="F470" i="38"/>
  <c r="H476" i="38"/>
  <c r="E471" i="38"/>
  <c r="B473" i="38"/>
  <c r="F476" i="38"/>
  <c r="J476" i="38"/>
  <c r="D477" i="38"/>
  <c r="G474" i="38"/>
  <c r="H477" i="38"/>
  <c r="H470" i="38"/>
  <c r="G470" i="38"/>
  <c r="C472" i="38"/>
  <c r="C475" i="38"/>
  <c r="H474" i="38"/>
  <c r="H471" i="38"/>
  <c r="C471" i="38"/>
  <c r="E477" i="38"/>
  <c r="C474" i="38"/>
  <c r="B474" i="38"/>
  <c r="E476" i="38"/>
  <c r="F472" i="38"/>
  <c r="B470" i="38"/>
  <c r="F475" i="38"/>
  <c r="D475" i="38"/>
  <c r="I473" i="38"/>
  <c r="I471" i="38"/>
  <c r="G472" i="38"/>
  <c r="I477" i="38"/>
  <c r="J471" i="38"/>
  <c r="D470" i="38"/>
  <c r="K128" i="37"/>
  <c r="K138" i="7"/>
  <c r="H59" i="58"/>
  <c r="C134" i="7"/>
  <c r="C124" i="37"/>
  <c r="D168" i="8"/>
  <c r="C168" i="39"/>
  <c r="F177" i="38"/>
  <c r="E185" i="38"/>
  <c r="E126" i="37"/>
  <c r="E136" i="7"/>
  <c r="B129" i="37"/>
  <c r="B139" i="7"/>
  <c r="I130" i="7"/>
  <c r="I120" i="37"/>
  <c r="J130" i="7"/>
  <c r="J120" i="37"/>
  <c r="D180" i="8"/>
  <c r="C180" i="39"/>
  <c r="C178" i="39"/>
  <c r="D178" i="8"/>
  <c r="K125" i="37"/>
  <c r="K135" i="7"/>
  <c r="H122" i="37"/>
  <c r="H132" i="7"/>
  <c r="F139" i="7"/>
  <c r="F148" i="7" s="1"/>
  <c r="F129" i="37"/>
  <c r="E128" i="37"/>
  <c r="E138" i="7"/>
  <c r="E147" i="7" s="1"/>
  <c r="E124" i="37"/>
  <c r="E134" i="7"/>
  <c r="K129" i="37"/>
  <c r="K139" i="7"/>
  <c r="K148" i="7" s="1"/>
  <c r="C161" i="39"/>
  <c r="D161" i="8"/>
  <c r="I125" i="37"/>
  <c r="I135" i="7"/>
  <c r="I144" i="7" s="1"/>
  <c r="F122" i="37"/>
  <c r="F132" i="7"/>
  <c r="F141" i="7" s="1"/>
  <c r="B123" i="37"/>
  <c r="B133" i="7"/>
  <c r="F61" i="59"/>
  <c r="E61" i="60"/>
  <c r="C126" i="37"/>
  <c r="C136" i="7"/>
  <c r="D45" i="29"/>
  <c r="D126" i="37"/>
  <c r="D136" i="7"/>
  <c r="E129" i="37"/>
  <c r="E139" i="7"/>
  <c r="G125" i="37"/>
  <c r="G135" i="7"/>
  <c r="D169" i="8"/>
  <c r="C169" i="39"/>
  <c r="B447" i="38"/>
  <c r="F444" i="38"/>
  <c r="I448" i="38"/>
  <c r="H450" i="38"/>
  <c r="G444" i="38"/>
  <c r="H448" i="38"/>
  <c r="K448" i="38"/>
  <c r="H445" i="38"/>
  <c r="C448" i="38"/>
  <c r="G446" i="38"/>
  <c r="D450" i="38"/>
  <c r="D447" i="38"/>
  <c r="C449" i="38"/>
  <c r="C447" i="38"/>
  <c r="C444" i="38"/>
  <c r="I449" i="38"/>
  <c r="D444" i="38"/>
  <c r="K450" i="38"/>
  <c r="H444" i="38"/>
  <c r="F446" i="38"/>
  <c r="I447" i="38"/>
  <c r="I444" i="38"/>
  <c r="K446" i="38"/>
  <c r="G448" i="38"/>
  <c r="B448" i="38"/>
  <c r="E443" i="38"/>
  <c r="K443" i="38"/>
  <c r="G445" i="38"/>
  <c r="E450" i="38"/>
  <c r="G449" i="38"/>
  <c r="H443" i="38"/>
  <c r="C450" i="38"/>
  <c r="J445" i="38"/>
  <c r="G450" i="38"/>
  <c r="I445" i="38"/>
  <c r="F447" i="38"/>
  <c r="B450" i="38"/>
  <c r="E446" i="38"/>
  <c r="J443" i="38"/>
  <c r="C443" i="38"/>
  <c r="G447" i="38"/>
  <c r="F448" i="38"/>
  <c r="E444" i="38"/>
  <c r="F450" i="38"/>
  <c r="B449" i="38"/>
  <c r="J449" i="38"/>
  <c r="J444" i="38"/>
  <c r="B444" i="38"/>
  <c r="D443" i="38"/>
  <c r="K449" i="38"/>
  <c r="D448" i="38"/>
  <c r="H447" i="38"/>
  <c r="C445" i="38"/>
  <c r="C446" i="38"/>
  <c r="B446" i="38"/>
  <c r="D445" i="38"/>
  <c r="J450" i="38"/>
  <c r="E449" i="38"/>
  <c r="K444" i="38"/>
  <c r="F443" i="38"/>
  <c r="K447" i="38"/>
  <c r="I446" i="38"/>
  <c r="B445" i="38"/>
  <c r="I443" i="38"/>
  <c r="F449" i="38"/>
  <c r="E445" i="38"/>
  <c r="D449" i="38"/>
  <c r="J447" i="38"/>
  <c r="H446" i="38"/>
  <c r="J446" i="38"/>
  <c r="K445" i="38"/>
  <c r="E447" i="38"/>
  <c r="F445" i="38"/>
  <c r="B443" i="38"/>
  <c r="I450" i="38"/>
  <c r="E448" i="38"/>
  <c r="D446" i="38"/>
  <c r="H449" i="38"/>
  <c r="J448" i="38"/>
  <c r="G443" i="38"/>
  <c r="F127" i="37"/>
  <c r="F137" i="7"/>
  <c r="F146" i="7" s="1"/>
  <c r="K126" i="37"/>
  <c r="K136" i="7"/>
  <c r="D179" i="8"/>
  <c r="C179" i="39"/>
  <c r="K123" i="37"/>
  <c r="K133" i="7"/>
  <c r="D124" i="37"/>
  <c r="D134" i="7"/>
  <c r="B130" i="35" a="1"/>
  <c r="B126" i="37"/>
  <c r="B136" i="7"/>
  <c r="B145" i="7" s="1"/>
  <c r="E133" i="7"/>
  <c r="E123" i="37"/>
  <c r="E122" i="37"/>
  <c r="E132" i="7"/>
  <c r="E141" i="7" s="1"/>
  <c r="D117" i="29"/>
  <c r="D115" i="29"/>
  <c r="H64" i="58"/>
  <c r="B128" i="37"/>
  <c r="B138" i="7"/>
  <c r="I122" i="37"/>
  <c r="I132" i="7"/>
  <c r="I141" i="7" s="1"/>
  <c r="C185" i="8"/>
  <c r="C177" i="39"/>
  <c r="D177" i="8"/>
  <c r="O172" i="4"/>
  <c r="D174" i="4"/>
  <c r="D94" i="4"/>
  <c r="D89" i="4"/>
  <c r="D89" i="40" s="1"/>
  <c r="D172" i="40"/>
  <c r="D181" i="4"/>
  <c r="D201" i="4"/>
  <c r="D189" i="4"/>
  <c r="D178" i="4"/>
  <c r="D183" i="4"/>
  <c r="D107" i="4"/>
  <c r="C124" i="6"/>
  <c r="D38" i="4"/>
  <c r="D180" i="4"/>
  <c r="D175" i="4"/>
  <c r="D175" i="40" s="1"/>
  <c r="D179" i="4"/>
  <c r="D199" i="4"/>
  <c r="D177" i="4"/>
  <c r="D55" i="4"/>
  <c r="D184" i="4"/>
  <c r="D182" i="4"/>
  <c r="D121" i="4"/>
  <c r="H63" i="58"/>
  <c r="D130" i="7"/>
  <c r="D120" i="37"/>
  <c r="D139" i="7"/>
  <c r="D129" i="37"/>
  <c r="H439" i="38"/>
  <c r="I440" i="38"/>
  <c r="D435" i="38"/>
  <c r="I439" i="38"/>
  <c r="D439" i="38"/>
  <c r="C434" i="38"/>
  <c r="K438" i="38"/>
  <c r="J437" i="38"/>
  <c r="J435" i="38"/>
  <c r="K440" i="38"/>
  <c r="C438" i="38"/>
  <c r="J438" i="38"/>
  <c r="F440" i="38"/>
  <c r="H434" i="38"/>
  <c r="F436" i="38"/>
  <c r="I436" i="38"/>
  <c r="J441" i="38"/>
  <c r="I441" i="38"/>
  <c r="E440" i="38"/>
  <c r="H441" i="38"/>
  <c r="E439" i="38"/>
  <c r="E436" i="38"/>
  <c r="K439" i="38"/>
  <c r="H440" i="38"/>
  <c r="F441" i="38"/>
  <c r="E441" i="38"/>
  <c r="I437" i="38"/>
  <c r="C436" i="38"/>
  <c r="K434" i="38"/>
  <c r="J436" i="38"/>
  <c r="K435" i="38"/>
  <c r="C441" i="38"/>
  <c r="D437" i="38"/>
  <c r="G438" i="38"/>
  <c r="B437" i="38"/>
  <c r="H437" i="38"/>
  <c r="E437" i="38"/>
  <c r="F438" i="38"/>
  <c r="C435" i="38"/>
  <c r="G436" i="38"/>
  <c r="D441" i="38"/>
  <c r="E438" i="38"/>
  <c r="G435" i="38"/>
  <c r="B440" i="38"/>
  <c r="G440" i="38"/>
  <c r="J440" i="38"/>
  <c r="B441" i="38"/>
  <c r="I435" i="38"/>
  <c r="D436" i="38"/>
  <c r="G434" i="38"/>
  <c r="B436" i="38"/>
  <c r="G439" i="38"/>
  <c r="E435" i="38"/>
  <c r="D440" i="38"/>
  <c r="F437" i="38"/>
  <c r="B438" i="38"/>
  <c r="F439" i="38"/>
  <c r="F435" i="38"/>
  <c r="E434" i="38"/>
  <c r="H438" i="38"/>
  <c r="H120" i="37"/>
  <c r="H130" i="7"/>
  <c r="I129" i="37"/>
  <c r="I139" i="7"/>
  <c r="I128" i="37"/>
  <c r="I138" i="7"/>
  <c r="B124" i="37"/>
  <c r="B134" i="7"/>
  <c r="H125" i="37"/>
  <c r="H135" i="7"/>
  <c r="F59" i="59"/>
  <c r="E59" i="60"/>
  <c r="D181" i="8"/>
  <c r="C181" i="39"/>
  <c r="J139" i="7"/>
  <c r="J148" i="7" s="1"/>
  <c r="J129" i="37"/>
  <c r="F130" i="7"/>
  <c r="F120" i="37"/>
  <c r="G130" i="7"/>
  <c r="G120" i="37"/>
  <c r="J127" i="37"/>
  <c r="J137" i="7"/>
  <c r="F64" i="59"/>
  <c r="E64" i="60"/>
  <c r="H62" i="58"/>
  <c r="D170" i="8"/>
  <c r="C170" i="39"/>
  <c r="H61" i="58"/>
  <c r="C125" i="37"/>
  <c r="C135" i="7"/>
  <c r="C144" i="7" s="1"/>
  <c r="J124" i="37"/>
  <c r="J134" i="7"/>
  <c r="B462" i="38"/>
  <c r="I463" i="38"/>
  <c r="K464" i="38"/>
  <c r="I465" i="38"/>
  <c r="H462" i="38"/>
  <c r="K462" i="38"/>
  <c r="D461" i="38"/>
  <c r="E467" i="38"/>
  <c r="I462" i="38"/>
  <c r="F464" i="38"/>
  <c r="G466" i="38"/>
  <c r="B461" i="38"/>
  <c r="I468" i="38"/>
  <c r="J466" i="38"/>
  <c r="I461" i="38"/>
  <c r="D462" i="38"/>
  <c r="K461" i="38"/>
  <c r="H468" i="38"/>
  <c r="E466" i="38"/>
  <c r="F462" i="38"/>
  <c r="F465" i="38"/>
  <c r="G465" i="38"/>
  <c r="B466" i="38"/>
  <c r="B463" i="38"/>
  <c r="G461" i="38"/>
  <c r="E462" i="38"/>
  <c r="I467" i="38"/>
  <c r="G464" i="38"/>
  <c r="B468" i="38"/>
  <c r="B467" i="38"/>
  <c r="D463" i="38"/>
  <c r="K467" i="38"/>
  <c r="B464" i="38"/>
  <c r="E465" i="38"/>
  <c r="F466" i="38"/>
  <c r="G463" i="38"/>
  <c r="G462" i="38"/>
  <c r="D467" i="38"/>
  <c r="J462" i="38"/>
  <c r="J468" i="38"/>
  <c r="K465" i="38"/>
  <c r="K468" i="38"/>
  <c r="E461" i="38"/>
  <c r="D468" i="38"/>
  <c r="E463" i="38"/>
  <c r="B465" i="38"/>
  <c r="J465" i="38"/>
  <c r="E468" i="38"/>
  <c r="J467" i="38"/>
  <c r="K466" i="38"/>
  <c r="I464" i="38"/>
  <c r="H464" i="38"/>
  <c r="H465" i="38"/>
  <c r="I466" i="38"/>
  <c r="J464" i="38"/>
  <c r="D465" i="38"/>
  <c r="C464" i="38"/>
  <c r="G468" i="38"/>
  <c r="J463" i="38"/>
  <c r="E464" i="38"/>
  <c r="H463" i="38"/>
  <c r="H461" i="38"/>
  <c r="C463" i="38"/>
  <c r="C468" i="38"/>
  <c r="C462" i="38"/>
  <c r="F467" i="38"/>
  <c r="H467" i="38"/>
  <c r="H466" i="38"/>
  <c r="D464" i="38"/>
  <c r="C461" i="38"/>
  <c r="K463" i="38"/>
  <c r="F461" i="38"/>
  <c r="C465" i="38"/>
  <c r="G467" i="38"/>
  <c r="C466" i="38"/>
  <c r="F468" i="38"/>
  <c r="F463" i="38"/>
  <c r="D466" i="38"/>
  <c r="J461" i="38"/>
  <c r="C467" i="38"/>
  <c r="K137" i="7"/>
  <c r="K146" i="7" s="1"/>
  <c r="K127" i="37"/>
  <c r="F124" i="37"/>
  <c r="F134" i="7"/>
  <c r="D213" i="38"/>
  <c r="D369" i="38" s="1"/>
  <c r="D210" i="38"/>
  <c r="D366" i="38" s="1"/>
  <c r="D211" i="38"/>
  <c r="D367" i="38" s="1"/>
  <c r="D209" i="38"/>
  <c r="D365" i="38" s="1"/>
  <c r="D208" i="38"/>
  <c r="D364" i="38" s="1"/>
  <c r="D212" i="38"/>
  <c r="D368" i="38" s="1"/>
  <c r="D207" i="38"/>
  <c r="D363" i="38" s="1"/>
  <c r="D206" i="38"/>
  <c r="D362" i="38" s="1"/>
  <c r="J136" i="7"/>
  <c r="J145" i="7" s="1"/>
  <c r="J126" i="37"/>
  <c r="K122" i="37"/>
  <c r="K132" i="7"/>
  <c r="B135" i="7"/>
  <c r="B144" i="7" s="1"/>
  <c r="B125" i="37"/>
  <c r="H58" i="58"/>
  <c r="G128" i="37"/>
  <c r="G138" i="7"/>
  <c r="G147" i="7" s="1"/>
  <c r="D204" i="38"/>
  <c r="D360" i="38" s="1"/>
  <c r="D198" i="38"/>
  <c r="D354" i="38" s="1"/>
  <c r="D203" i="38"/>
  <c r="D359" i="38" s="1"/>
  <c r="D197" i="38"/>
  <c r="D353" i="38" s="1"/>
  <c r="D199" i="38"/>
  <c r="D355" i="38" s="1"/>
  <c r="D200" i="38"/>
  <c r="D356" i="38" s="1"/>
  <c r="D201" i="38"/>
  <c r="D357" i="38" s="1"/>
  <c r="D202" i="38"/>
  <c r="D358" i="38" s="1"/>
  <c r="E474" i="8"/>
  <c r="B470" i="8"/>
  <c r="G474" i="8"/>
  <c r="C471" i="8"/>
  <c r="G472" i="8"/>
  <c r="B473" i="8"/>
  <c r="I474" i="8"/>
  <c r="F471" i="8"/>
  <c r="B474" i="8"/>
  <c r="K477" i="8"/>
  <c r="D472" i="8"/>
  <c r="K472" i="8"/>
  <c r="K472" i="39" s="1"/>
  <c r="J470" i="8"/>
  <c r="I476" i="8"/>
  <c r="E473" i="8"/>
  <c r="E473" i="39" s="1"/>
  <c r="G470" i="8"/>
  <c r="G470" i="39" s="1"/>
  <c r="F475" i="8"/>
  <c r="D473" i="8"/>
  <c r="D473" i="39" s="1"/>
  <c r="F477" i="8"/>
  <c r="H472" i="8"/>
  <c r="H472" i="39" s="1"/>
  <c r="C474" i="8"/>
  <c r="D474" i="8"/>
  <c r="I477" i="8"/>
  <c r="F474" i="8"/>
  <c r="B475" i="8"/>
  <c r="H476" i="8"/>
  <c r="K476" i="8"/>
  <c r="F472" i="8"/>
  <c r="G476" i="8"/>
  <c r="J474" i="8"/>
  <c r="K470" i="8"/>
  <c r="H474" i="8"/>
  <c r="H474" i="39" s="1"/>
  <c r="F470" i="8"/>
  <c r="B476" i="8"/>
  <c r="G471" i="8"/>
  <c r="G471" i="39" s="1"/>
  <c r="H477" i="8"/>
  <c r="J475" i="8"/>
  <c r="G473" i="8"/>
  <c r="G473" i="39" s="1"/>
  <c r="J471" i="8"/>
  <c r="J471" i="39" s="1"/>
  <c r="J477" i="8"/>
  <c r="C475" i="8"/>
  <c r="E472" i="8"/>
  <c r="K474" i="8"/>
  <c r="K474" i="39" s="1"/>
  <c r="C476" i="8"/>
  <c r="C476" i="39" s="1"/>
  <c r="C472" i="8"/>
  <c r="C472" i="39" s="1"/>
  <c r="E476" i="8"/>
  <c r="H471" i="8"/>
  <c r="B472" i="8"/>
  <c r="F473" i="8"/>
  <c r="D475" i="8"/>
  <c r="J476" i="8"/>
  <c r="E471" i="8"/>
  <c r="E471" i="39" s="1"/>
  <c r="G475" i="8"/>
  <c r="F476" i="8"/>
  <c r="F476" i="39" s="1"/>
  <c r="D471" i="8"/>
  <c r="B471" i="8"/>
  <c r="K473" i="8"/>
  <c r="J473" i="8"/>
  <c r="D476" i="8"/>
  <c r="H470" i="8"/>
  <c r="H470" i="39" s="1"/>
  <c r="G477" i="8"/>
  <c r="K471" i="8"/>
  <c r="J472" i="8"/>
  <c r="J472" i="39" s="1"/>
  <c r="I475" i="8"/>
  <c r="I471" i="8"/>
  <c r="D470" i="8"/>
  <c r="D477" i="8"/>
  <c r="C470" i="8"/>
  <c r="E470" i="8"/>
  <c r="E470" i="39" s="1"/>
  <c r="C477" i="8"/>
  <c r="C473" i="8"/>
  <c r="B477" i="8"/>
  <c r="I470" i="8"/>
  <c r="H473" i="8"/>
  <c r="E475" i="8"/>
  <c r="I473" i="8"/>
  <c r="E477" i="8"/>
  <c r="K475" i="8"/>
  <c r="I472" i="8"/>
  <c r="H475" i="8"/>
  <c r="H475" i="39" s="1"/>
  <c r="B132" i="35" a="1"/>
  <c r="B127" i="37"/>
  <c r="B137" i="7"/>
  <c r="E120" i="37"/>
  <c r="E130" i="7"/>
  <c r="H124" i="37"/>
  <c r="H134" i="7"/>
  <c r="D61" i="29"/>
  <c r="D67" i="29" s="1"/>
  <c r="D75" i="29" s="1"/>
  <c r="D210" i="29" s="1"/>
  <c r="D211" i="29" s="1"/>
  <c r="D64" i="29"/>
  <c r="D70" i="29" s="1"/>
  <c r="D98" i="29" s="1"/>
  <c r="D99" i="29" s="1"/>
  <c r="D102" i="29" s="1"/>
  <c r="D103" i="29" s="1"/>
  <c r="J132" i="7"/>
  <c r="J141" i="7" s="1"/>
  <c r="J122" i="37"/>
  <c r="C127" i="37"/>
  <c r="C137" i="7"/>
  <c r="C146" i="7" s="1"/>
  <c r="M73" i="4"/>
  <c r="L73" i="40"/>
  <c r="K124" i="37"/>
  <c r="K134" i="7"/>
  <c r="F439" i="8"/>
  <c r="E438" i="8"/>
  <c r="F435" i="8"/>
  <c r="D438" i="8"/>
  <c r="H437" i="8"/>
  <c r="E437" i="8"/>
  <c r="F440" i="8"/>
  <c r="F440" i="39" s="1"/>
  <c r="F437" i="8"/>
  <c r="I436" i="8"/>
  <c r="K440" i="8"/>
  <c r="E440" i="8"/>
  <c r="D440" i="8"/>
  <c r="D440" i="39" s="1"/>
  <c r="B440" i="8"/>
  <c r="D439" i="8"/>
  <c r="C438" i="8"/>
  <c r="B435" i="8"/>
  <c r="K434" i="8"/>
  <c r="B441" i="8"/>
  <c r="F436" i="8"/>
  <c r="I437" i="8"/>
  <c r="E441" i="8"/>
  <c r="G436" i="8"/>
  <c r="J437" i="8"/>
  <c r="C439" i="8"/>
  <c r="E436" i="8"/>
  <c r="H434" i="8"/>
  <c r="J440" i="8"/>
  <c r="D435" i="8"/>
  <c r="D436" i="8"/>
  <c r="I439" i="8"/>
  <c r="G437" i="8"/>
  <c r="F441" i="8"/>
  <c r="J441" i="8"/>
  <c r="G440" i="8"/>
  <c r="I434" i="8"/>
  <c r="J439" i="8"/>
  <c r="B438" i="8"/>
  <c r="K439" i="8"/>
  <c r="G439" i="8"/>
  <c r="K436" i="8"/>
  <c r="H441" i="8"/>
  <c r="C440" i="8"/>
  <c r="D441" i="8"/>
  <c r="H438" i="8"/>
  <c r="H440" i="8"/>
  <c r="C436" i="8"/>
  <c r="J436" i="8"/>
  <c r="B434" i="8"/>
  <c r="B436" i="8"/>
  <c r="D434" i="8"/>
  <c r="I438" i="8"/>
  <c r="H435" i="8"/>
  <c r="E439" i="8"/>
  <c r="E435" i="8"/>
  <c r="C441" i="8"/>
  <c r="H439" i="8"/>
  <c r="K437" i="8"/>
  <c r="F434" i="8"/>
  <c r="G438" i="8"/>
  <c r="J438" i="8"/>
  <c r="E434" i="8"/>
  <c r="G441" i="8"/>
  <c r="C434" i="8"/>
  <c r="F438" i="8"/>
  <c r="F438" i="39" s="1"/>
  <c r="B439" i="8"/>
  <c r="J435" i="8"/>
  <c r="C437" i="8"/>
  <c r="K438" i="8"/>
  <c r="C435" i="8"/>
  <c r="H436" i="8"/>
  <c r="I441" i="8"/>
  <c r="J434" i="8"/>
  <c r="G435" i="8"/>
  <c r="K435" i="8"/>
  <c r="K441" i="8"/>
  <c r="I440" i="8"/>
  <c r="I440" i="39" s="1"/>
  <c r="B437" i="8"/>
  <c r="D437" i="8"/>
  <c r="I435" i="8"/>
  <c r="G434" i="8"/>
  <c r="G434" i="39" s="1"/>
  <c r="C173" i="39"/>
  <c r="D173" i="8"/>
  <c r="I127" i="37"/>
  <c r="I137" i="7"/>
  <c r="G133" i="7"/>
  <c r="G123" i="37"/>
  <c r="D128" i="37"/>
  <c r="D138" i="7"/>
  <c r="D147" i="7" s="1"/>
  <c r="D62" i="29"/>
  <c r="J128" i="37"/>
  <c r="J138" i="7"/>
  <c r="E127" i="37"/>
  <c r="E137" i="7"/>
  <c r="J427" i="8"/>
  <c r="J427" i="39" s="1"/>
  <c r="K429" i="8"/>
  <c r="H431" i="8"/>
  <c r="H431" i="39" s="1"/>
  <c r="B427" i="8"/>
  <c r="B427" i="39" s="1"/>
  <c r="C430" i="8"/>
  <c r="C430" i="39" s="1"/>
  <c r="E431" i="8"/>
  <c r="I425" i="8"/>
  <c r="I425" i="39" s="1"/>
  <c r="F425" i="8"/>
  <c r="J432" i="8"/>
  <c r="J432" i="39" s="1"/>
  <c r="B425" i="8"/>
  <c r="D425" i="8"/>
  <c r="D431" i="8"/>
  <c r="H425" i="8"/>
  <c r="H425" i="39" s="1"/>
  <c r="C432" i="8"/>
  <c r="D428" i="8"/>
  <c r="D428" i="39" s="1"/>
  <c r="E425" i="8"/>
  <c r="D427" i="8"/>
  <c r="D427" i="39" s="1"/>
  <c r="E429" i="8"/>
  <c r="E429" i="39" s="1"/>
  <c r="F426" i="8"/>
  <c r="F426" i="39" s="1"/>
  <c r="C431" i="8"/>
  <c r="J430" i="8"/>
  <c r="E426" i="8"/>
  <c r="E426" i="39" s="1"/>
  <c r="J431" i="8"/>
  <c r="J431" i="39" s="1"/>
  <c r="F431" i="8"/>
  <c r="F431" i="39" s="1"/>
  <c r="F432" i="8"/>
  <c r="I429" i="8"/>
  <c r="C429" i="8"/>
  <c r="I427" i="8"/>
  <c r="K427" i="8"/>
  <c r="E427" i="8"/>
  <c r="B428" i="8"/>
  <c r="H427" i="8"/>
  <c r="H427" i="39" s="1"/>
  <c r="K428" i="8"/>
  <c r="K432" i="8"/>
  <c r="G429" i="8"/>
  <c r="G429" i="39" s="1"/>
  <c r="F430" i="8"/>
  <c r="G425" i="8"/>
  <c r="G425" i="39" s="1"/>
  <c r="H426" i="8"/>
  <c r="D430" i="8"/>
  <c r="H430" i="8"/>
  <c r="H430" i="39" s="1"/>
  <c r="B429" i="8"/>
  <c r="C425" i="8"/>
  <c r="G432" i="8"/>
  <c r="C427" i="8"/>
  <c r="B431" i="8"/>
  <c r="G431" i="8"/>
  <c r="G431" i="39" s="1"/>
  <c r="I432" i="8"/>
  <c r="E428" i="8"/>
  <c r="E428" i="39" s="1"/>
  <c r="G427" i="8"/>
  <c r="G427" i="39" s="1"/>
  <c r="H429" i="8"/>
  <c r="F428" i="8"/>
  <c r="F428" i="39" s="1"/>
  <c r="I431" i="8"/>
  <c r="K430" i="8"/>
  <c r="C428" i="8"/>
  <c r="E432" i="8"/>
  <c r="E432" i="39" s="1"/>
  <c r="D432" i="8"/>
  <c r="D432" i="39" s="1"/>
  <c r="I426" i="8"/>
  <c r="I426" i="39" s="1"/>
  <c r="K426" i="8"/>
  <c r="I430" i="8"/>
  <c r="H428" i="8"/>
  <c r="H428" i="39" s="1"/>
  <c r="F429" i="8"/>
  <c r="G428" i="8"/>
  <c r="B430" i="8"/>
  <c r="B430" i="39" s="1"/>
  <c r="K425" i="8"/>
  <c r="K425" i="39" s="1"/>
  <c r="G430" i="8"/>
  <c r="G430" i="39" s="1"/>
  <c r="B432" i="8"/>
  <c r="J429" i="8"/>
  <c r="B426" i="8"/>
  <c r="B426" i="39" s="1"/>
  <c r="I428" i="8"/>
  <c r="I428" i="39" s="1"/>
  <c r="K431" i="8"/>
  <c r="K431" i="39" s="1"/>
  <c r="J425" i="8"/>
  <c r="J426" i="8"/>
  <c r="H432" i="8"/>
  <c r="H432" i="39" s="1"/>
  <c r="F427" i="8"/>
  <c r="E430" i="8"/>
  <c r="J428" i="8"/>
  <c r="J428" i="39" s="1"/>
  <c r="G426" i="8"/>
  <c r="D429" i="8"/>
  <c r="C426" i="8"/>
  <c r="C426" i="39" s="1"/>
  <c r="D426" i="8"/>
  <c r="C162" i="39"/>
  <c r="D162" i="8"/>
  <c r="C128" i="37"/>
  <c r="C138" i="7"/>
  <c r="F138" i="7"/>
  <c r="F128" i="37"/>
  <c r="I123" i="37"/>
  <c r="I133" i="7"/>
  <c r="E485" i="38"/>
  <c r="C479" i="38"/>
  <c r="B486" i="38"/>
  <c r="E484" i="38"/>
  <c r="C486" i="38"/>
  <c r="J480" i="38"/>
  <c r="K484" i="38"/>
  <c r="D483" i="38"/>
  <c r="K483" i="38"/>
  <c r="G486" i="38"/>
  <c r="I479" i="38"/>
  <c r="C480" i="38"/>
  <c r="F482" i="38"/>
  <c r="D484" i="38"/>
  <c r="C481" i="38"/>
  <c r="D479" i="38"/>
  <c r="F486" i="38"/>
  <c r="K481" i="38"/>
  <c r="I482" i="38"/>
  <c r="E486" i="38"/>
  <c r="J486" i="38"/>
  <c r="F480" i="38"/>
  <c r="G484" i="38"/>
  <c r="G479" i="38"/>
  <c r="K486" i="38"/>
  <c r="I483" i="38"/>
  <c r="I480" i="38"/>
  <c r="G485" i="38"/>
  <c r="G481" i="38"/>
  <c r="G482" i="38"/>
  <c r="H485" i="38"/>
  <c r="H480" i="38"/>
  <c r="E481" i="38"/>
  <c r="H486" i="38"/>
  <c r="C482" i="38"/>
  <c r="J479" i="38"/>
  <c r="J482" i="38"/>
  <c r="E479" i="38"/>
  <c r="K479" i="38"/>
  <c r="B483" i="38"/>
  <c r="H482" i="38"/>
  <c r="E483" i="38"/>
  <c r="D481" i="38"/>
  <c r="J483" i="38"/>
  <c r="C485" i="38"/>
  <c r="B485" i="38"/>
  <c r="K480" i="38"/>
  <c r="B479" i="38"/>
  <c r="I481" i="38"/>
  <c r="I485" i="38"/>
  <c r="K482" i="38"/>
  <c r="E482" i="38"/>
  <c r="C483" i="38"/>
  <c r="B484" i="38"/>
  <c r="H484" i="38"/>
  <c r="D485" i="38"/>
  <c r="I484" i="38"/>
  <c r="H481" i="38"/>
  <c r="J485" i="38"/>
  <c r="F481" i="38"/>
  <c r="B481" i="38"/>
  <c r="E480" i="38"/>
  <c r="F484" i="38"/>
  <c r="D480" i="38"/>
  <c r="J481" i="38"/>
  <c r="D482" i="38"/>
  <c r="F483" i="38"/>
  <c r="J484" i="38"/>
  <c r="K485" i="38"/>
  <c r="B482" i="38"/>
  <c r="G480" i="38"/>
  <c r="H479" i="38"/>
  <c r="G483" i="38"/>
  <c r="I486" i="38"/>
  <c r="H483" i="38"/>
  <c r="F485" i="38"/>
  <c r="C484" i="38"/>
  <c r="F479" i="38"/>
  <c r="D486" i="38"/>
  <c r="B480" i="38"/>
  <c r="G132" i="7"/>
  <c r="G122" i="37"/>
  <c r="C172" i="39"/>
  <c r="D172" i="8"/>
  <c r="H127" i="37"/>
  <c r="H137" i="7"/>
  <c r="J135" i="7"/>
  <c r="J144" i="7" s="1"/>
  <c r="J125" i="37"/>
  <c r="H60" i="58"/>
  <c r="C130" i="7"/>
  <c r="C120" i="37"/>
  <c r="F167" i="38"/>
  <c r="E175" i="38"/>
  <c r="H65" i="58"/>
  <c r="J133" i="7"/>
  <c r="J123" i="37"/>
  <c r="E125" i="37"/>
  <c r="E135" i="7"/>
  <c r="C182" i="57"/>
  <c r="C176" i="57"/>
  <c r="C178" i="57"/>
  <c r="C179" i="57"/>
  <c r="C177" i="57"/>
  <c r="C175" i="57"/>
  <c r="C181" i="57"/>
  <c r="C109" i="57"/>
  <c r="C110" i="57"/>
  <c r="C108" i="57"/>
  <c r="C106" i="57"/>
  <c r="C107" i="57"/>
  <c r="C80" i="57"/>
  <c r="C134" i="57"/>
  <c r="C82" i="57"/>
  <c r="C136" i="57"/>
  <c r="C137" i="57"/>
  <c r="C135" i="57"/>
  <c r="C133" i="57"/>
  <c r="C79" i="57"/>
  <c r="L60" i="57"/>
  <c r="K438" i="39" l="1"/>
  <c r="J438" i="39"/>
  <c r="H438" i="39"/>
  <c r="D435" i="39"/>
  <c r="I437" i="39"/>
  <c r="F437" i="39"/>
  <c r="E477" i="39"/>
  <c r="G477" i="39"/>
  <c r="F473" i="39"/>
  <c r="C475" i="39"/>
  <c r="F470" i="39"/>
  <c r="I432" i="39"/>
  <c r="B428" i="39"/>
  <c r="D425" i="39"/>
  <c r="H429" i="39"/>
  <c r="H426" i="39"/>
  <c r="K432" i="39"/>
  <c r="C432" i="39"/>
  <c r="G439" i="39"/>
  <c r="E440" i="39"/>
  <c r="I473" i="39"/>
  <c r="C470" i="39"/>
  <c r="I475" i="39"/>
  <c r="E430" i="39"/>
  <c r="J425" i="39"/>
  <c r="J429" i="39"/>
  <c r="I430" i="39"/>
  <c r="G432" i="39"/>
  <c r="D430" i="39"/>
  <c r="C429" i="39"/>
  <c r="H439" i="39"/>
  <c r="F441" i="39"/>
  <c r="G438" i="39"/>
  <c r="J440" i="39"/>
  <c r="F435" i="39"/>
  <c r="C440" i="38"/>
  <c r="I438" i="38"/>
  <c r="J439" i="38"/>
  <c r="J439" i="39" s="1"/>
  <c r="D438" i="38"/>
  <c r="D438" i="39" s="1"/>
  <c r="K436" i="38"/>
  <c r="G437" i="38"/>
  <c r="B434" i="38"/>
  <c r="F434" i="38"/>
  <c r="F434" i="39" s="1"/>
  <c r="J434" i="38"/>
  <c r="J434" i="39" s="1"/>
  <c r="K441" i="38"/>
  <c r="B439" i="38"/>
  <c r="B439" i="39" s="1"/>
  <c r="D434" i="38"/>
  <c r="D434" i="39" s="1"/>
  <c r="C439" i="38"/>
  <c r="C439" i="39" s="1"/>
  <c r="K437" i="38"/>
  <c r="H435" i="38"/>
  <c r="H435" i="39" s="1"/>
  <c r="H436" i="38"/>
  <c r="H436" i="39" s="1"/>
  <c r="B435" i="38"/>
  <c r="B435" i="39" s="1"/>
  <c r="I434" i="38"/>
  <c r="G441" i="38"/>
  <c r="K436" i="39"/>
  <c r="I470" i="39"/>
  <c r="F475" i="39"/>
  <c r="J470" i="39"/>
  <c r="G472" i="39"/>
  <c r="E474" i="39"/>
  <c r="H142" i="7"/>
  <c r="G426" i="39"/>
  <c r="F429" i="39"/>
  <c r="B429" i="39"/>
  <c r="K427" i="39"/>
  <c r="K435" i="39"/>
  <c r="C436" i="39"/>
  <c r="I439" i="39"/>
  <c r="G436" i="39"/>
  <c r="K440" i="39"/>
  <c r="E437" i="39"/>
  <c r="C473" i="39"/>
  <c r="D477" i="39"/>
  <c r="D471" i="39"/>
  <c r="H471" i="39"/>
  <c r="K470" i="39"/>
  <c r="K476" i="39"/>
  <c r="D472" i="39"/>
  <c r="D426" i="39"/>
  <c r="J426" i="39"/>
  <c r="I431" i="39"/>
  <c r="C427" i="39"/>
  <c r="F430" i="39"/>
  <c r="I427" i="39"/>
  <c r="C431" i="39"/>
  <c r="E425" i="39"/>
  <c r="D431" i="39"/>
  <c r="F425" i="39"/>
  <c r="G435" i="39"/>
  <c r="C435" i="39"/>
  <c r="E439" i="39"/>
  <c r="B436" i="39"/>
  <c r="H440" i="39"/>
  <c r="D436" i="39"/>
  <c r="E436" i="39"/>
  <c r="I436" i="39"/>
  <c r="H437" i="39"/>
  <c r="F439" i="39"/>
  <c r="K475" i="39"/>
  <c r="J474" i="39"/>
  <c r="F427" i="39"/>
  <c r="B432" i="39"/>
  <c r="K426" i="39"/>
  <c r="C425" i="39"/>
  <c r="I429" i="39"/>
  <c r="C441" i="39"/>
  <c r="D441" i="39"/>
  <c r="J437" i="39"/>
  <c r="C438" i="39"/>
  <c r="J477" i="39"/>
  <c r="H477" i="39"/>
  <c r="F472" i="39"/>
  <c r="F474" i="39"/>
  <c r="F471" i="39"/>
  <c r="C471" i="39"/>
  <c r="E435" i="39"/>
  <c r="K439" i="39"/>
  <c r="H434" i="39"/>
  <c r="B441" i="39"/>
  <c r="D439" i="39"/>
  <c r="I472" i="39"/>
  <c r="E475" i="39"/>
  <c r="D476" i="39"/>
  <c r="I477" i="39"/>
  <c r="G474" i="39"/>
  <c r="B437" i="39"/>
  <c r="E434" i="39"/>
  <c r="H441" i="39"/>
  <c r="B438" i="39"/>
  <c r="J441" i="39"/>
  <c r="E441" i="39"/>
  <c r="K434" i="39"/>
  <c r="B440" i="39"/>
  <c r="H473" i="39"/>
  <c r="C477" i="39"/>
  <c r="D475" i="39"/>
  <c r="E476" i="39"/>
  <c r="E472" i="39"/>
  <c r="D474" i="39"/>
  <c r="K477" i="39"/>
  <c r="G447" i="39"/>
  <c r="E450" i="39"/>
  <c r="H446" i="39"/>
  <c r="F445" i="39"/>
  <c r="D446" i="39"/>
  <c r="C194" i="39"/>
  <c r="D194" i="8"/>
  <c r="D190" i="8"/>
  <c r="C190" i="39"/>
  <c r="C231" i="38"/>
  <c r="C387" i="38" s="1"/>
  <c r="C230" i="38"/>
  <c r="C386" i="38" s="1"/>
  <c r="C225" i="38"/>
  <c r="C381" i="38" s="1"/>
  <c r="C229" i="38"/>
  <c r="C385" i="38" s="1"/>
  <c r="C224" i="38"/>
  <c r="C380" i="38" s="1"/>
  <c r="C228" i="38"/>
  <c r="C384" i="38" s="1"/>
  <c r="C226" i="38"/>
  <c r="C382" i="38" s="1"/>
  <c r="C227" i="38"/>
  <c r="C383" i="38" s="1"/>
  <c r="E458" i="38"/>
  <c r="K459" i="38"/>
  <c r="G454" i="38"/>
  <c r="E452" i="38"/>
  <c r="H454" i="38"/>
  <c r="I456" i="38"/>
  <c r="D457" i="38"/>
  <c r="J455" i="38"/>
  <c r="I454" i="38"/>
  <c r="H458" i="38"/>
  <c r="I458" i="38"/>
  <c r="B452" i="38"/>
  <c r="K454" i="38"/>
  <c r="H459" i="38"/>
  <c r="B455" i="38"/>
  <c r="F456" i="38"/>
  <c r="D456" i="38"/>
  <c r="G456" i="38"/>
  <c r="G455" i="38"/>
  <c r="K458" i="38"/>
  <c r="E454" i="38"/>
  <c r="D454" i="38"/>
  <c r="D458" i="38"/>
  <c r="B459" i="38"/>
  <c r="B454" i="38"/>
  <c r="C455" i="38"/>
  <c r="D453" i="38"/>
  <c r="J459" i="38"/>
  <c r="G453" i="38"/>
  <c r="J452" i="38"/>
  <c r="F457" i="38"/>
  <c r="C453" i="38"/>
  <c r="D459" i="38"/>
  <c r="H455" i="38"/>
  <c r="E459" i="38"/>
  <c r="D455" i="38"/>
  <c r="F455" i="38"/>
  <c r="B456" i="38"/>
  <c r="E457" i="38"/>
  <c r="J454" i="38"/>
  <c r="H456" i="38"/>
  <c r="E453" i="38"/>
  <c r="E455" i="38"/>
  <c r="I452" i="38"/>
  <c r="F459" i="38"/>
  <c r="G452" i="38"/>
  <c r="K456" i="38"/>
  <c r="F452" i="38"/>
  <c r="C457" i="38"/>
  <c r="B458" i="38"/>
  <c r="J458" i="38"/>
  <c r="K452" i="38"/>
  <c r="F458" i="38"/>
  <c r="J453" i="38"/>
  <c r="J457" i="38"/>
  <c r="C456" i="38"/>
  <c r="D452" i="38"/>
  <c r="H452" i="38"/>
  <c r="F453" i="38"/>
  <c r="C454" i="38"/>
  <c r="G458" i="38"/>
  <c r="I453" i="38"/>
  <c r="I459" i="38"/>
  <c r="G457" i="38"/>
  <c r="K455" i="38"/>
  <c r="I457" i="38"/>
  <c r="C458" i="38"/>
  <c r="F454" i="38"/>
  <c r="K453" i="38"/>
  <c r="C459" i="38"/>
  <c r="C452" i="38"/>
  <c r="G459" i="38"/>
  <c r="J456" i="38"/>
  <c r="B453" i="38"/>
  <c r="E456" i="38"/>
  <c r="H457" i="38"/>
  <c r="K457" i="38"/>
  <c r="B457" i="38"/>
  <c r="I455" i="38"/>
  <c r="H453" i="38"/>
  <c r="E493" i="38"/>
  <c r="E491" i="38"/>
  <c r="C489" i="38"/>
  <c r="F488" i="38"/>
  <c r="D488" i="38"/>
  <c r="G495" i="38"/>
  <c r="J492" i="38"/>
  <c r="B493" i="38"/>
  <c r="H489" i="38"/>
  <c r="E490" i="38"/>
  <c r="I495" i="38"/>
  <c r="H490" i="38"/>
  <c r="C492" i="38"/>
  <c r="F492" i="38"/>
  <c r="B492" i="38"/>
  <c r="C490" i="38"/>
  <c r="J488" i="38"/>
  <c r="J489" i="38"/>
  <c r="C493" i="38"/>
  <c r="H492" i="38"/>
  <c r="J495" i="38"/>
  <c r="I490" i="38"/>
  <c r="B490" i="38"/>
  <c r="E488" i="38"/>
  <c r="K489" i="38"/>
  <c r="I493" i="38"/>
  <c r="B491" i="38"/>
  <c r="K490" i="38"/>
  <c r="D493" i="38"/>
  <c r="G488" i="38"/>
  <c r="D492" i="38"/>
  <c r="I491" i="38"/>
  <c r="I489" i="38"/>
  <c r="G490" i="38"/>
  <c r="D494" i="38"/>
  <c r="K492" i="38"/>
  <c r="I492" i="38"/>
  <c r="E494" i="38"/>
  <c r="F495" i="38"/>
  <c r="J490" i="38"/>
  <c r="F490" i="38"/>
  <c r="C491" i="38"/>
  <c r="C488" i="38"/>
  <c r="I488" i="38"/>
  <c r="F493" i="38"/>
  <c r="F489" i="38"/>
  <c r="E492" i="38"/>
  <c r="B494" i="38"/>
  <c r="G489" i="38"/>
  <c r="D491" i="38"/>
  <c r="K488" i="38"/>
  <c r="H491" i="38"/>
  <c r="J491" i="38"/>
  <c r="C494" i="38"/>
  <c r="K495" i="38"/>
  <c r="B489" i="38"/>
  <c r="G493" i="38"/>
  <c r="F491" i="38"/>
  <c r="B488" i="38"/>
  <c r="D489" i="38"/>
  <c r="G492" i="38"/>
  <c r="H488" i="38"/>
  <c r="F494" i="38"/>
  <c r="B495" i="38"/>
  <c r="K493" i="38"/>
  <c r="E495" i="38"/>
  <c r="K494" i="38"/>
  <c r="G494" i="38"/>
  <c r="J493" i="38"/>
  <c r="E489" i="38"/>
  <c r="H494" i="38"/>
  <c r="K491" i="38"/>
  <c r="D495" i="38"/>
  <c r="J494" i="38"/>
  <c r="D490" i="38"/>
  <c r="H495" i="38"/>
  <c r="G491" i="38"/>
  <c r="H493" i="38"/>
  <c r="C495" i="38"/>
  <c r="I494" i="38"/>
  <c r="D192" i="8"/>
  <c r="C192" i="39"/>
  <c r="C191" i="39"/>
  <c r="D191" i="8"/>
  <c r="F443" i="39"/>
  <c r="D447" i="39"/>
  <c r="H448" i="39"/>
  <c r="I447" i="39"/>
  <c r="I444" i="39"/>
  <c r="H450" i="39"/>
  <c r="I449" i="39"/>
  <c r="F447" i="39"/>
  <c r="J449" i="39"/>
  <c r="F446" i="39"/>
  <c r="F449" i="39"/>
  <c r="C447" i="39"/>
  <c r="B444" i="39"/>
  <c r="C448" i="39"/>
  <c r="D468" i="39"/>
  <c r="G463" i="39"/>
  <c r="F465" i="39"/>
  <c r="J468" i="39"/>
  <c r="C467" i="39"/>
  <c r="E467" i="39"/>
  <c r="H468" i="39"/>
  <c r="J466" i="39"/>
  <c r="G461" i="39"/>
  <c r="F461" i="39"/>
  <c r="F462" i="39"/>
  <c r="D484" i="39"/>
  <c r="F482" i="39"/>
  <c r="F486" i="39"/>
  <c r="J480" i="39"/>
  <c r="K485" i="39"/>
  <c r="G486" i="39"/>
  <c r="C195" i="8"/>
  <c r="C187" i="39"/>
  <c r="D187" i="8"/>
  <c r="D455" i="8"/>
  <c r="J455" i="8"/>
  <c r="J455" i="39" s="1"/>
  <c r="C453" i="8"/>
  <c r="D452" i="8"/>
  <c r="E453" i="8"/>
  <c r="E453" i="39" s="1"/>
  <c r="J458" i="8"/>
  <c r="F459" i="8"/>
  <c r="F459" i="39" s="1"/>
  <c r="G454" i="8"/>
  <c r="D457" i="8"/>
  <c r="D457" i="39" s="1"/>
  <c r="C454" i="8"/>
  <c r="C454" i="39" s="1"/>
  <c r="J454" i="8"/>
  <c r="H458" i="8"/>
  <c r="H458" i="39" s="1"/>
  <c r="D456" i="8"/>
  <c r="D456" i="39" s="1"/>
  <c r="E454" i="8"/>
  <c r="F454" i="8"/>
  <c r="C452" i="8"/>
  <c r="I454" i="8"/>
  <c r="I454" i="39" s="1"/>
  <c r="H453" i="8"/>
  <c r="H453" i="39" s="1"/>
  <c r="G452" i="8"/>
  <c r="G452" i="39" s="1"/>
  <c r="D453" i="8"/>
  <c r="H457" i="8"/>
  <c r="F456" i="8"/>
  <c r="F456" i="39" s="1"/>
  <c r="B459" i="8"/>
  <c r="B458" i="8"/>
  <c r="B458" i="39" s="1"/>
  <c r="F457" i="8"/>
  <c r="F457" i="39" s="1"/>
  <c r="E455" i="8"/>
  <c r="H452" i="8"/>
  <c r="H452" i="39" s="1"/>
  <c r="E452" i="8"/>
  <c r="D458" i="8"/>
  <c r="D458" i="39" s="1"/>
  <c r="D454" i="8"/>
  <c r="D454" i="39" s="1"/>
  <c r="B452" i="8"/>
  <c r="K457" i="8"/>
  <c r="J453" i="8"/>
  <c r="J453" i="39" s="1"/>
  <c r="B454" i="8"/>
  <c r="J459" i="8"/>
  <c r="K454" i="8"/>
  <c r="D459" i="8"/>
  <c r="D459" i="39" s="1"/>
  <c r="J456" i="8"/>
  <c r="I459" i="8"/>
  <c r="H454" i="8"/>
  <c r="E456" i="8"/>
  <c r="E456" i="39" s="1"/>
  <c r="C459" i="8"/>
  <c r="C459" i="39" s="1"/>
  <c r="G458" i="8"/>
  <c r="G458" i="39" s="1"/>
  <c r="J457" i="8"/>
  <c r="I456" i="8"/>
  <c r="I456" i="39" s="1"/>
  <c r="H456" i="8"/>
  <c r="C456" i="8"/>
  <c r="J452" i="8"/>
  <c r="J452" i="39" s="1"/>
  <c r="C455" i="8"/>
  <c r="C455" i="39" s="1"/>
  <c r="F453" i="8"/>
  <c r="G453" i="8"/>
  <c r="G453" i="39" s="1"/>
  <c r="K455" i="8"/>
  <c r="G456" i="8"/>
  <c r="G456" i="39" s="1"/>
  <c r="I455" i="8"/>
  <c r="I452" i="8"/>
  <c r="H459" i="8"/>
  <c r="H459" i="39" s="1"/>
  <c r="F455" i="8"/>
  <c r="F455" i="39" s="1"/>
  <c r="K452" i="8"/>
  <c r="K452" i="39" s="1"/>
  <c r="B456" i="8"/>
  <c r="B456" i="39" s="1"/>
  <c r="B453" i="8"/>
  <c r="B453" i="39" s="1"/>
  <c r="I453" i="8"/>
  <c r="I453" i="39" s="1"/>
  <c r="I457" i="8"/>
  <c r="I457" i="39" s="1"/>
  <c r="G455" i="8"/>
  <c r="G457" i="8"/>
  <c r="K453" i="8"/>
  <c r="K453" i="39" s="1"/>
  <c r="B455" i="8"/>
  <c r="C457" i="8"/>
  <c r="C457" i="39" s="1"/>
  <c r="E458" i="8"/>
  <c r="K456" i="8"/>
  <c r="K456" i="39" s="1"/>
  <c r="K459" i="8"/>
  <c r="K459" i="39" s="1"/>
  <c r="E457" i="8"/>
  <c r="F458" i="8"/>
  <c r="E459" i="8"/>
  <c r="E459" i="39" s="1"/>
  <c r="I458" i="8"/>
  <c r="G459" i="8"/>
  <c r="H455" i="8"/>
  <c r="H455" i="39" s="1"/>
  <c r="F452" i="8"/>
  <c r="B457" i="8"/>
  <c r="B457" i="39" s="1"/>
  <c r="C458" i="8"/>
  <c r="K458" i="8"/>
  <c r="J445" i="39"/>
  <c r="D443" i="39"/>
  <c r="C445" i="39"/>
  <c r="D444" i="39"/>
  <c r="B449" i="39"/>
  <c r="C449" i="39"/>
  <c r="B448" i="39"/>
  <c r="B447" i="39"/>
  <c r="D193" i="8"/>
  <c r="C193" i="39"/>
  <c r="D189" i="8"/>
  <c r="C189" i="39"/>
  <c r="D141" i="7"/>
  <c r="D150" i="7" s="1"/>
  <c r="E187" i="38"/>
  <c r="D195" i="38"/>
  <c r="C188" i="39"/>
  <c r="D188" i="8"/>
  <c r="H488" i="8"/>
  <c r="H488" i="39" s="1"/>
  <c r="J494" i="8"/>
  <c r="J494" i="39" s="1"/>
  <c r="E489" i="8"/>
  <c r="E489" i="39" s="1"/>
  <c r="H495" i="8"/>
  <c r="C492" i="8"/>
  <c r="C492" i="39" s="1"/>
  <c r="G495" i="8"/>
  <c r="G495" i="39" s="1"/>
  <c r="I492" i="8"/>
  <c r="I492" i="39" s="1"/>
  <c r="D489" i="8"/>
  <c r="F488" i="8"/>
  <c r="F488" i="39" s="1"/>
  <c r="H492" i="8"/>
  <c r="H489" i="8"/>
  <c r="H489" i="39" s="1"/>
  <c r="B494" i="8"/>
  <c r="J493" i="8"/>
  <c r="J493" i="39" s="1"/>
  <c r="E493" i="8"/>
  <c r="E493" i="39" s="1"/>
  <c r="K490" i="8"/>
  <c r="E490" i="8"/>
  <c r="E490" i="39" s="1"/>
  <c r="E494" i="8"/>
  <c r="E494" i="39" s="1"/>
  <c r="E495" i="8"/>
  <c r="E495" i="39" s="1"/>
  <c r="K491" i="8"/>
  <c r="D492" i="8"/>
  <c r="D492" i="39" s="1"/>
  <c r="B488" i="8"/>
  <c r="C494" i="8"/>
  <c r="C494" i="39" s="1"/>
  <c r="K489" i="8"/>
  <c r="K489" i="39" s="1"/>
  <c r="G490" i="8"/>
  <c r="G490" i="39" s="1"/>
  <c r="J490" i="8"/>
  <c r="J490" i="39" s="1"/>
  <c r="I488" i="8"/>
  <c r="H493" i="8"/>
  <c r="H493" i="39" s="1"/>
  <c r="H490" i="8"/>
  <c r="E492" i="8"/>
  <c r="B493" i="8"/>
  <c r="I494" i="8"/>
  <c r="I493" i="8"/>
  <c r="I493" i="39" s="1"/>
  <c r="E488" i="8"/>
  <c r="E488" i="39" s="1"/>
  <c r="G491" i="8"/>
  <c r="G491" i="39" s="1"/>
  <c r="D495" i="8"/>
  <c r="D495" i="39" s="1"/>
  <c r="G488" i="8"/>
  <c r="G488" i="39" s="1"/>
  <c r="B495" i="8"/>
  <c r="I489" i="8"/>
  <c r="I489" i="39" s="1"/>
  <c r="C493" i="8"/>
  <c r="J492" i="8"/>
  <c r="J492" i="39" s="1"/>
  <c r="J489" i="8"/>
  <c r="J489" i="39" s="1"/>
  <c r="G492" i="8"/>
  <c r="F491" i="8"/>
  <c r="F491" i="39" s="1"/>
  <c r="D488" i="8"/>
  <c r="D488" i="39" s="1"/>
  <c r="K495" i="8"/>
  <c r="K494" i="8"/>
  <c r="B490" i="8"/>
  <c r="I495" i="8"/>
  <c r="I495" i="39" s="1"/>
  <c r="F490" i="8"/>
  <c r="F490" i="39" s="1"/>
  <c r="J488" i="8"/>
  <c r="J488" i="39" s="1"/>
  <c r="K492" i="8"/>
  <c r="I490" i="8"/>
  <c r="I490" i="39" s="1"/>
  <c r="G489" i="8"/>
  <c r="G489" i="39" s="1"/>
  <c r="F492" i="8"/>
  <c r="F492" i="39" s="1"/>
  <c r="H494" i="8"/>
  <c r="I491" i="8"/>
  <c r="D491" i="8"/>
  <c r="D491" i="39" s="1"/>
  <c r="D494" i="8"/>
  <c r="J495" i="8"/>
  <c r="J495" i="39" s="1"/>
  <c r="B489" i="8"/>
  <c r="F495" i="8"/>
  <c r="F494" i="8"/>
  <c r="C488" i="8"/>
  <c r="F493" i="8"/>
  <c r="F493" i="39" s="1"/>
  <c r="C495" i="8"/>
  <c r="B492" i="8"/>
  <c r="C489" i="8"/>
  <c r="F489" i="8"/>
  <c r="F489" i="39" s="1"/>
  <c r="B491" i="8"/>
  <c r="K493" i="8"/>
  <c r="K493" i="39" s="1"/>
  <c r="G493" i="8"/>
  <c r="J491" i="8"/>
  <c r="J491" i="39" s="1"/>
  <c r="H491" i="8"/>
  <c r="H491" i="39" s="1"/>
  <c r="C491" i="8"/>
  <c r="C491" i="39" s="1"/>
  <c r="D493" i="8"/>
  <c r="D493" i="39" s="1"/>
  <c r="D490" i="8"/>
  <c r="D490" i="39" s="1"/>
  <c r="K488" i="8"/>
  <c r="C490" i="8"/>
  <c r="G494" i="8"/>
  <c r="E491" i="8"/>
  <c r="E491" i="39" s="1"/>
  <c r="J157" i="7"/>
  <c r="G157" i="7"/>
  <c r="H154" i="7"/>
  <c r="F151" i="7"/>
  <c r="H157" i="7"/>
  <c r="D155" i="7"/>
  <c r="J153" i="7"/>
  <c r="C153" i="7"/>
  <c r="F150" i="7"/>
  <c r="I150" i="7"/>
  <c r="J150" i="7"/>
  <c r="G156" i="7"/>
  <c r="B153" i="7"/>
  <c r="J154" i="7"/>
  <c r="K155" i="7"/>
  <c r="F155" i="7"/>
  <c r="F157" i="7"/>
  <c r="G152" i="7"/>
  <c r="C157" i="7"/>
  <c r="D156" i="7"/>
  <c r="C155" i="7"/>
  <c r="D104" i="29"/>
  <c r="E101" i="29"/>
  <c r="E150" i="7"/>
  <c r="B154" i="7"/>
  <c r="I153" i="7"/>
  <c r="K157" i="7"/>
  <c r="E156" i="7"/>
  <c r="G155" i="7"/>
  <c r="D153" i="7"/>
  <c r="M73" i="40"/>
  <c r="B477" i="39"/>
  <c r="B513" i="8"/>
  <c r="B585" i="8" s="1"/>
  <c r="B471" i="39"/>
  <c r="B507" i="8"/>
  <c r="B472" i="39"/>
  <c r="B508" i="8"/>
  <c r="B580" i="8" s="1"/>
  <c r="I58" i="58"/>
  <c r="I62" i="58"/>
  <c r="E181" i="8"/>
  <c r="D181" i="39"/>
  <c r="D174" i="40"/>
  <c r="D200" i="4"/>
  <c r="G167" i="38"/>
  <c r="F175" i="38"/>
  <c r="I60" i="58"/>
  <c r="D172" i="39"/>
  <c r="E172" i="8"/>
  <c r="K437" i="39"/>
  <c r="I471" i="39"/>
  <c r="K473" i="39"/>
  <c r="G475" i="39"/>
  <c r="J475" i="39"/>
  <c r="G476" i="39"/>
  <c r="B475" i="39"/>
  <c r="B511" i="8"/>
  <c r="B583" i="8" s="1"/>
  <c r="C474" i="39"/>
  <c r="B474" i="39"/>
  <c r="B510" i="8"/>
  <c r="B582" i="8" s="1"/>
  <c r="D57" i="4"/>
  <c r="D56" i="4"/>
  <c r="D58" i="4"/>
  <c r="D58" i="40" s="1"/>
  <c r="D55" i="40"/>
  <c r="D107" i="40"/>
  <c r="D108" i="4"/>
  <c r="D96" i="4"/>
  <c r="D94" i="40"/>
  <c r="D119" i="29"/>
  <c r="D68" i="29"/>
  <c r="D76" i="29" s="1"/>
  <c r="G61" i="59"/>
  <c r="F61" i="60"/>
  <c r="D178" i="39"/>
  <c r="E178" i="8"/>
  <c r="F185" i="38"/>
  <c r="G177" i="38"/>
  <c r="I448" i="39"/>
  <c r="C450" i="39"/>
  <c r="E449" i="39"/>
  <c r="G449" i="39"/>
  <c r="J447" i="39"/>
  <c r="E443" i="39"/>
  <c r="C446" i="39"/>
  <c r="J448" i="39"/>
  <c r="F448" i="39"/>
  <c r="E448" i="39"/>
  <c r="K446" i="39"/>
  <c r="F450" i="39"/>
  <c r="H447" i="39"/>
  <c r="H445" i="39"/>
  <c r="H449" i="39"/>
  <c r="E197" i="38"/>
  <c r="E353" i="38" s="1"/>
  <c r="E203" i="38"/>
  <c r="E359" i="38" s="1"/>
  <c r="E201" i="38"/>
  <c r="E357" i="38" s="1"/>
  <c r="E198" i="38"/>
  <c r="E354" i="38" s="1"/>
  <c r="E204" i="38"/>
  <c r="E360" i="38" s="1"/>
  <c r="E202" i="38"/>
  <c r="E358" i="38" s="1"/>
  <c r="E200" i="38"/>
  <c r="E356" i="38" s="1"/>
  <c r="E199" i="38"/>
  <c r="E355" i="38" s="1"/>
  <c r="G65" i="59"/>
  <c r="F65" i="60"/>
  <c r="D462" i="39"/>
  <c r="C468" i="39"/>
  <c r="K461" i="39"/>
  <c r="F464" i="39"/>
  <c r="C464" i="39"/>
  <c r="J465" i="39"/>
  <c r="F463" i="39"/>
  <c r="B468" i="39"/>
  <c r="B504" i="8"/>
  <c r="E468" i="39"/>
  <c r="G465" i="39"/>
  <c r="B463" i="39"/>
  <c r="B499" i="8"/>
  <c r="I464" i="39"/>
  <c r="C461" i="39"/>
  <c r="D465" i="39"/>
  <c r="F466" i="39"/>
  <c r="E465" i="39"/>
  <c r="I462" i="39"/>
  <c r="I468" i="39"/>
  <c r="B466" i="39"/>
  <c r="B502" i="8"/>
  <c r="F468" i="39"/>
  <c r="J482" i="39"/>
  <c r="J483" i="39"/>
  <c r="G481" i="39"/>
  <c r="G480" i="39"/>
  <c r="E480" i="39"/>
  <c r="D480" i="39"/>
  <c r="G482" i="39"/>
  <c r="B484" i="39"/>
  <c r="B520" i="8"/>
  <c r="H483" i="39"/>
  <c r="H485" i="39"/>
  <c r="J486" i="39"/>
  <c r="I485" i="39"/>
  <c r="E482" i="39"/>
  <c r="H482" i="39"/>
  <c r="I486" i="39"/>
  <c r="C485" i="39"/>
  <c r="E481" i="39"/>
  <c r="H479" i="39"/>
  <c r="F484" i="39"/>
  <c r="E484" i="39"/>
  <c r="D163" i="39"/>
  <c r="E163" i="8"/>
  <c r="G60" i="59"/>
  <c r="F60" i="60"/>
  <c r="E148" i="7"/>
  <c r="I142" i="7"/>
  <c r="B147" i="7"/>
  <c r="C143" i="7"/>
  <c r="H144" i="7"/>
  <c r="F144" i="7"/>
  <c r="H143" i="7"/>
  <c r="F143" i="7"/>
  <c r="G142" i="7"/>
  <c r="I145" i="7"/>
  <c r="D158" i="39"/>
  <c r="E158" i="8"/>
  <c r="J142" i="7"/>
  <c r="H147" i="7"/>
  <c r="E146" i="7"/>
  <c r="I147" i="7"/>
  <c r="E144" i="7"/>
  <c r="F145" i="7"/>
  <c r="K141" i="7"/>
  <c r="I146" i="7"/>
  <c r="B146" i="7"/>
  <c r="G145" i="7"/>
  <c r="I61" i="58"/>
  <c r="D121" i="40"/>
  <c r="D122" i="4"/>
  <c r="D177" i="40"/>
  <c r="C119" i="6"/>
  <c r="C113" i="6"/>
  <c r="C113" i="34" s="1"/>
  <c r="C111" i="6"/>
  <c r="C111" i="34" s="1"/>
  <c r="C106" i="6"/>
  <c r="C106" i="34" s="1"/>
  <c r="C112" i="6"/>
  <c r="C112" i="34" s="1"/>
  <c r="C122" i="6"/>
  <c r="C121" i="6"/>
  <c r="D185" i="4" a="1"/>
  <c r="D185" i="4" s="1"/>
  <c r="C107" i="6"/>
  <c r="C107" i="34" s="1"/>
  <c r="C120" i="6"/>
  <c r="C117" i="6"/>
  <c r="C110" i="6"/>
  <c r="C110" i="34" s="1"/>
  <c r="C118" i="6"/>
  <c r="C108" i="6"/>
  <c r="C108" i="34" s="1"/>
  <c r="C97" i="6"/>
  <c r="C115" i="6"/>
  <c r="C116" i="6"/>
  <c r="C109" i="6"/>
  <c r="C109" i="34" s="1"/>
  <c r="D180" i="40"/>
  <c r="C100" i="6"/>
  <c r="C103" i="6"/>
  <c r="D183" i="40"/>
  <c r="C101" i="6"/>
  <c r="D181" i="40"/>
  <c r="C216" i="8"/>
  <c r="C219" i="8"/>
  <c r="C215" i="8"/>
  <c r="C218" i="8"/>
  <c r="C221" i="8"/>
  <c r="C185" i="39"/>
  <c r="C222" i="8"/>
  <c r="C220" i="8"/>
  <c r="C217" i="8"/>
  <c r="I64" i="58"/>
  <c r="C130" i="35"/>
  <c r="J130" i="35"/>
  <c r="G130" i="35"/>
  <c r="G130" i="37" s="1"/>
  <c r="E130" i="35"/>
  <c r="E130" i="37" s="1"/>
  <c r="H130" i="35"/>
  <c r="I130" i="35"/>
  <c r="D130" i="35"/>
  <c r="D130" i="37" s="1"/>
  <c r="K130" i="35"/>
  <c r="K130" i="37" s="1"/>
  <c r="F130" i="35"/>
  <c r="F130" i="37" s="1"/>
  <c r="B130" i="35"/>
  <c r="E169" i="8"/>
  <c r="D169" i="39"/>
  <c r="D161" i="39"/>
  <c r="E161" i="8"/>
  <c r="J130" i="37"/>
  <c r="D160" i="39"/>
  <c r="E160" i="8"/>
  <c r="D448" i="39"/>
  <c r="J443" i="39"/>
  <c r="H443" i="39"/>
  <c r="D449" i="39"/>
  <c r="K444" i="39"/>
  <c r="B443" i="39"/>
  <c r="B551" i="38" a="1"/>
  <c r="B551" i="8" a="1"/>
  <c r="E159" i="8"/>
  <c r="D159" i="39"/>
  <c r="B464" i="39"/>
  <c r="B500" i="8"/>
  <c r="E461" i="39"/>
  <c r="C463" i="39"/>
  <c r="G466" i="39"/>
  <c r="J463" i="39"/>
  <c r="D463" i="39"/>
  <c r="H467" i="39"/>
  <c r="B503" i="8"/>
  <c r="B467" i="39"/>
  <c r="B465" i="39"/>
  <c r="B501" i="8"/>
  <c r="B486" i="39"/>
  <c r="B522" i="8"/>
  <c r="F483" i="39"/>
  <c r="K482" i="39"/>
  <c r="C482" i="39"/>
  <c r="B481" i="39"/>
  <c r="B517" i="8"/>
  <c r="B589" i="8" s="1"/>
  <c r="G484" i="39"/>
  <c r="B485" i="39"/>
  <c r="B521" i="8"/>
  <c r="K480" i="39"/>
  <c r="H484" i="39"/>
  <c r="B516" i="8"/>
  <c r="B480" i="39"/>
  <c r="D479" i="39"/>
  <c r="G485" i="39"/>
  <c r="I479" i="39"/>
  <c r="F481" i="39"/>
  <c r="C206" i="8"/>
  <c r="C210" i="8"/>
  <c r="C207" i="8"/>
  <c r="C212" i="8"/>
  <c r="C175" i="39"/>
  <c r="C209" i="8"/>
  <c r="C213" i="8"/>
  <c r="C208" i="8"/>
  <c r="C211" i="8"/>
  <c r="G58" i="59"/>
  <c r="F58" i="60"/>
  <c r="D429" i="39"/>
  <c r="G428" i="39"/>
  <c r="C428" i="39"/>
  <c r="I441" i="39"/>
  <c r="C434" i="39"/>
  <c r="J436" i="39"/>
  <c r="I434" i="39"/>
  <c r="F436" i="39"/>
  <c r="J476" i="39"/>
  <c r="F477" i="39"/>
  <c r="I474" i="39"/>
  <c r="H130" i="37"/>
  <c r="I63" i="58"/>
  <c r="C102" i="6"/>
  <c r="D182" i="40"/>
  <c r="D48" i="4"/>
  <c r="D48" i="40" s="1"/>
  <c r="D39" i="4"/>
  <c r="D47" i="4"/>
  <c r="D41" i="4"/>
  <c r="D41" i="40" s="1"/>
  <c r="D49" i="4"/>
  <c r="D49" i="40" s="1"/>
  <c r="D38" i="40"/>
  <c r="D40" i="4"/>
  <c r="D178" i="40"/>
  <c r="C98" i="6"/>
  <c r="D195" i="40"/>
  <c r="D168" i="39"/>
  <c r="E168" i="8"/>
  <c r="I59" i="58"/>
  <c r="D183" i="39"/>
  <c r="E183" i="8"/>
  <c r="B130" i="37"/>
  <c r="B445" i="39"/>
  <c r="C444" i="39"/>
  <c r="I445" i="39"/>
  <c r="F444" i="39"/>
  <c r="C443" i="39"/>
  <c r="D450" i="39"/>
  <c r="J446" i="39"/>
  <c r="J444" i="39"/>
  <c r="B446" i="39"/>
  <c r="G443" i="39"/>
  <c r="E445" i="39"/>
  <c r="K449" i="39"/>
  <c r="D174" i="39"/>
  <c r="E174" i="8"/>
  <c r="D157" i="39"/>
  <c r="E157" i="8"/>
  <c r="D165" i="8"/>
  <c r="K467" i="39"/>
  <c r="D464" i="39"/>
  <c r="E466" i="39"/>
  <c r="H464" i="39"/>
  <c r="I463" i="39"/>
  <c r="G464" i="39"/>
  <c r="J467" i="39"/>
  <c r="G468" i="39"/>
  <c r="K463" i="39"/>
  <c r="J464" i="39"/>
  <c r="K468" i="39"/>
  <c r="C462" i="39"/>
  <c r="B461" i="39"/>
  <c r="B497" i="8"/>
  <c r="K465" i="39"/>
  <c r="J461" i="39"/>
  <c r="K464" i="39"/>
  <c r="K462" i="39"/>
  <c r="I465" i="39"/>
  <c r="I461" i="39"/>
  <c r="G462" i="39"/>
  <c r="C484" i="39"/>
  <c r="J485" i="39"/>
  <c r="G479" i="39"/>
  <c r="I484" i="39"/>
  <c r="D481" i="39"/>
  <c r="D485" i="39"/>
  <c r="C481" i="39"/>
  <c r="I481" i="39"/>
  <c r="I482" i="39"/>
  <c r="G483" i="39"/>
  <c r="J481" i="39"/>
  <c r="F480" i="39"/>
  <c r="K483" i="39"/>
  <c r="D482" i="39"/>
  <c r="J484" i="39"/>
  <c r="F485" i="39"/>
  <c r="K481" i="39"/>
  <c r="J479" i="39"/>
  <c r="B518" i="8"/>
  <c r="B482" i="39"/>
  <c r="D486" i="39"/>
  <c r="D175" i="8"/>
  <c r="E167" i="8"/>
  <c r="D167" i="39"/>
  <c r="G62" i="59"/>
  <c r="F62" i="60"/>
  <c r="D171" i="39"/>
  <c r="E171" i="8"/>
  <c r="G63" i="59"/>
  <c r="F63" i="60"/>
  <c r="B141" i="7"/>
  <c r="D148" i="7"/>
  <c r="D145" i="7"/>
  <c r="K145" i="7"/>
  <c r="H151" i="7"/>
  <c r="J146" i="7"/>
  <c r="D143" i="7"/>
  <c r="E145" i="7"/>
  <c r="K142" i="7"/>
  <c r="E143" i="7"/>
  <c r="B143" i="7"/>
  <c r="B434" i="39"/>
  <c r="B542" i="8" a="1"/>
  <c r="B542" i="38" a="1"/>
  <c r="B579" i="8"/>
  <c r="I65" i="58"/>
  <c r="C130" i="37"/>
  <c r="D162" i="39"/>
  <c r="E162" i="8"/>
  <c r="E427" i="39"/>
  <c r="B425" i="39"/>
  <c r="B533" i="38" a="1"/>
  <c r="B533" i="8" a="1"/>
  <c r="E431" i="39"/>
  <c r="K429" i="39"/>
  <c r="I435" i="39"/>
  <c r="K441" i="39"/>
  <c r="C437" i="39"/>
  <c r="I438" i="39"/>
  <c r="G437" i="39"/>
  <c r="E208" i="38"/>
  <c r="E364" i="38" s="1"/>
  <c r="E209" i="38"/>
  <c r="E365" i="38" s="1"/>
  <c r="E210" i="38"/>
  <c r="E366" i="38" s="1"/>
  <c r="E211" i="38"/>
  <c r="E367" i="38" s="1"/>
  <c r="E206" i="38"/>
  <c r="E362" i="38" s="1"/>
  <c r="E213" i="38"/>
  <c r="E369" i="38" s="1"/>
  <c r="E207" i="38"/>
  <c r="E363" i="38" s="1"/>
  <c r="E212" i="38"/>
  <c r="E368" i="38" s="1"/>
  <c r="K430" i="39"/>
  <c r="B431" i="39"/>
  <c r="K428" i="39"/>
  <c r="F432" i="39"/>
  <c r="J430" i="39"/>
  <c r="D173" i="39"/>
  <c r="E173" i="8"/>
  <c r="D437" i="39"/>
  <c r="J435" i="39"/>
  <c r="G441" i="39"/>
  <c r="C440" i="39"/>
  <c r="G440" i="39"/>
  <c r="E438" i="39"/>
  <c r="K139" i="35"/>
  <c r="K139" i="37" s="1"/>
  <c r="G137" i="35"/>
  <c r="G137" i="37" s="1"/>
  <c r="K134" i="35"/>
  <c r="K134" i="37" s="1"/>
  <c r="B134" i="35"/>
  <c r="B134" i="37" s="1"/>
  <c r="H134" i="35"/>
  <c r="H134" i="37" s="1"/>
  <c r="H133" i="35"/>
  <c r="H133" i="37" s="1"/>
  <c r="G133" i="35"/>
  <c r="G133" i="37" s="1"/>
  <c r="I136" i="35"/>
  <c r="I136" i="37" s="1"/>
  <c r="F137" i="35"/>
  <c r="F137" i="37" s="1"/>
  <c r="G139" i="35"/>
  <c r="G139" i="37" s="1"/>
  <c r="D135" i="35"/>
  <c r="D135" i="37" s="1"/>
  <c r="F139" i="35"/>
  <c r="F139" i="37" s="1"/>
  <c r="J137" i="35"/>
  <c r="J137" i="37" s="1"/>
  <c r="C136" i="35"/>
  <c r="C136" i="37" s="1"/>
  <c r="E138" i="35"/>
  <c r="E138" i="37" s="1"/>
  <c r="H139" i="35"/>
  <c r="H139" i="37" s="1"/>
  <c r="D137" i="35"/>
  <c r="D137" i="37" s="1"/>
  <c r="I132" i="35"/>
  <c r="I132" i="37" s="1"/>
  <c r="I138" i="35"/>
  <c r="I138" i="37" s="1"/>
  <c r="K138" i="35"/>
  <c r="K138" i="37" s="1"/>
  <c r="G136" i="35"/>
  <c r="G136" i="37" s="1"/>
  <c r="B132" i="35"/>
  <c r="B132" i="37" s="1"/>
  <c r="F132" i="35"/>
  <c r="F132" i="37" s="1"/>
  <c r="J134" i="35"/>
  <c r="J134" i="37" s="1"/>
  <c r="C139" i="35"/>
  <c r="C139" i="37" s="1"/>
  <c r="D138" i="35"/>
  <c r="D138" i="37" s="1"/>
  <c r="B133" i="35"/>
  <c r="B133" i="37" s="1"/>
  <c r="F138" i="35"/>
  <c r="F138" i="37" s="1"/>
  <c r="C132" i="35"/>
  <c r="C132" i="37" s="1"/>
  <c r="B137" i="35"/>
  <c r="B137" i="37" s="1"/>
  <c r="G132" i="35"/>
  <c r="G132" i="37" s="1"/>
  <c r="B139" i="35"/>
  <c r="B139" i="37" s="1"/>
  <c r="D139" i="35"/>
  <c r="D139" i="37" s="1"/>
  <c r="F135" i="35"/>
  <c r="F135" i="37" s="1"/>
  <c r="G135" i="35"/>
  <c r="G135" i="37" s="1"/>
  <c r="H132" i="35"/>
  <c r="H132" i="37" s="1"/>
  <c r="D134" i="35"/>
  <c r="D134" i="37" s="1"/>
  <c r="C134" i="35"/>
  <c r="C134" i="37" s="1"/>
  <c r="H138" i="35"/>
  <c r="H138" i="37" s="1"/>
  <c r="J136" i="35"/>
  <c r="J136" i="37" s="1"/>
  <c r="H135" i="35"/>
  <c r="H135" i="37" s="1"/>
  <c r="J135" i="35"/>
  <c r="J135" i="37" s="1"/>
  <c r="H136" i="35"/>
  <c r="H136" i="37" s="1"/>
  <c r="J133" i="35"/>
  <c r="J133" i="37" s="1"/>
  <c r="I135" i="35"/>
  <c r="I135" i="37" s="1"/>
  <c r="B138" i="35"/>
  <c r="B138" i="37" s="1"/>
  <c r="E137" i="35"/>
  <c r="E137" i="37" s="1"/>
  <c r="K136" i="35"/>
  <c r="K136" i="37" s="1"/>
  <c r="K135" i="35"/>
  <c r="K135" i="37" s="1"/>
  <c r="K132" i="35"/>
  <c r="K132" i="37" s="1"/>
  <c r="F136" i="35"/>
  <c r="F136" i="37" s="1"/>
  <c r="C138" i="35"/>
  <c r="C138" i="37" s="1"/>
  <c r="E133" i="35"/>
  <c r="E133" i="37" s="1"/>
  <c r="F134" i="35"/>
  <c r="F134" i="37" s="1"/>
  <c r="J132" i="35"/>
  <c r="J132" i="37" s="1"/>
  <c r="B135" i="35"/>
  <c r="E132" i="35"/>
  <c r="E132" i="37" s="1"/>
  <c r="K137" i="35"/>
  <c r="K137" i="37" s="1"/>
  <c r="H137" i="35"/>
  <c r="H137" i="37" s="1"/>
  <c r="E134" i="35"/>
  <c r="E134" i="37" s="1"/>
  <c r="E136" i="35"/>
  <c r="E136" i="37" s="1"/>
  <c r="C137" i="35"/>
  <c r="C137" i="37" s="1"/>
  <c r="I139" i="35"/>
  <c r="I139" i="37" s="1"/>
  <c r="F133" i="35"/>
  <c r="B136" i="35"/>
  <c r="B136" i="37" s="1"/>
  <c r="I133" i="35"/>
  <c r="I133" i="37" s="1"/>
  <c r="G134" i="35"/>
  <c r="G134" i="37" s="1"/>
  <c r="I137" i="35"/>
  <c r="I137" i="37" s="1"/>
  <c r="D132" i="35"/>
  <c r="D132" i="37" s="1"/>
  <c r="E139" i="35"/>
  <c r="E139" i="37" s="1"/>
  <c r="G138" i="35"/>
  <c r="G138" i="37" s="1"/>
  <c r="J138" i="35"/>
  <c r="J138" i="37" s="1"/>
  <c r="D136" i="35"/>
  <c r="D136" i="37" s="1"/>
  <c r="I134" i="35"/>
  <c r="I134" i="37" s="1"/>
  <c r="J139" i="35"/>
  <c r="J139" i="37" s="1"/>
  <c r="K133" i="35"/>
  <c r="K133" i="37" s="1"/>
  <c r="E135" i="35"/>
  <c r="E135" i="37" s="1"/>
  <c r="C135" i="35"/>
  <c r="C135" i="37" s="1"/>
  <c r="D133" i="35"/>
  <c r="D133" i="37" s="1"/>
  <c r="C133" i="35"/>
  <c r="C133" i="37" s="1"/>
  <c r="D470" i="39"/>
  <c r="K471" i="39"/>
  <c r="J473" i="39"/>
  <c r="B476" i="39"/>
  <c r="B512" i="8"/>
  <c r="H476" i="39"/>
  <c r="I476" i="39"/>
  <c r="B473" i="39"/>
  <c r="B509" i="8"/>
  <c r="B581" i="8" s="1"/>
  <c r="B470" i="39"/>
  <c r="B506" i="8"/>
  <c r="B135" i="37"/>
  <c r="D170" i="39"/>
  <c r="E170" i="8"/>
  <c r="G64" i="59"/>
  <c r="F64" i="60"/>
  <c r="G59" i="59"/>
  <c r="F59" i="60"/>
  <c r="C104" i="6"/>
  <c r="D184" i="40"/>
  <c r="D179" i="40"/>
  <c r="C99" i="6"/>
  <c r="C124" i="34"/>
  <c r="C125" i="6"/>
  <c r="D191" i="4"/>
  <c r="D189" i="40"/>
  <c r="D185" i="8"/>
  <c r="E177" i="8"/>
  <c r="D177" i="39"/>
  <c r="D179" i="39"/>
  <c r="E179" i="8"/>
  <c r="E180" i="8"/>
  <c r="D180" i="39"/>
  <c r="I130" i="37"/>
  <c r="E215" i="38"/>
  <c r="E371" i="38" s="1"/>
  <c r="E220" i="38"/>
  <c r="E376" i="38" s="1"/>
  <c r="E217" i="38"/>
  <c r="E373" i="38" s="1"/>
  <c r="E216" i="38"/>
  <c r="E372" i="38" s="1"/>
  <c r="E218" i="38"/>
  <c r="E374" i="38" s="1"/>
  <c r="E222" i="38"/>
  <c r="E378" i="38" s="1"/>
  <c r="E221" i="38"/>
  <c r="E377" i="38" s="1"/>
  <c r="E219" i="38"/>
  <c r="E375" i="38" s="1"/>
  <c r="E164" i="8"/>
  <c r="D164" i="39"/>
  <c r="K447" i="39"/>
  <c r="G445" i="39"/>
  <c r="K448" i="39"/>
  <c r="K450" i="39"/>
  <c r="H444" i="39"/>
  <c r="K443" i="39"/>
  <c r="G448" i="39"/>
  <c r="K445" i="39"/>
  <c r="G446" i="39"/>
  <c r="I450" i="39"/>
  <c r="J450" i="39"/>
  <c r="I443" i="39"/>
  <c r="D445" i="39"/>
  <c r="I446" i="39"/>
  <c r="E447" i="39"/>
  <c r="E444" i="39"/>
  <c r="G444" i="39"/>
  <c r="E446" i="39"/>
  <c r="G450" i="39"/>
  <c r="B450" i="39"/>
  <c r="G157" i="38"/>
  <c r="F165" i="38"/>
  <c r="F133" i="37"/>
  <c r="C165" i="39"/>
  <c r="C204" i="8"/>
  <c r="C201" i="8"/>
  <c r="C202" i="8"/>
  <c r="C199" i="8"/>
  <c r="C203" i="8"/>
  <c r="C197" i="8"/>
  <c r="C198" i="8"/>
  <c r="C200" i="8"/>
  <c r="H461" i="39"/>
  <c r="E462" i="39"/>
  <c r="D461" i="39"/>
  <c r="F467" i="39"/>
  <c r="I466" i="39"/>
  <c r="D466" i="39"/>
  <c r="H462" i="39"/>
  <c r="J462" i="39"/>
  <c r="C465" i="39"/>
  <c r="D467" i="39"/>
  <c r="H465" i="39"/>
  <c r="E463" i="39"/>
  <c r="C466" i="39"/>
  <c r="K466" i="39"/>
  <c r="H463" i="39"/>
  <c r="I467" i="39"/>
  <c r="E464" i="39"/>
  <c r="H466" i="39"/>
  <c r="B462" i="39"/>
  <c r="B498" i="8"/>
  <c r="G467" i="39"/>
  <c r="E485" i="39"/>
  <c r="K484" i="39"/>
  <c r="C479" i="39"/>
  <c r="H486" i="39"/>
  <c r="E479" i="39"/>
  <c r="H481" i="39"/>
  <c r="C483" i="39"/>
  <c r="E486" i="39"/>
  <c r="K486" i="39"/>
  <c r="D483" i="39"/>
  <c r="F479" i="39"/>
  <c r="H480" i="39"/>
  <c r="E483" i="39"/>
  <c r="I480" i="39"/>
  <c r="B483" i="39"/>
  <c r="B519" i="8"/>
  <c r="C480" i="39"/>
  <c r="B515" i="8"/>
  <c r="C590" i="8" s="1"/>
  <c r="B479" i="39"/>
  <c r="C486" i="39"/>
  <c r="K479" i="39"/>
  <c r="I483" i="39"/>
  <c r="D182" i="39"/>
  <c r="E182" i="8"/>
  <c r="E184" i="8"/>
  <c r="D184" i="39"/>
  <c r="K143" i="7"/>
  <c r="C142" i="7"/>
  <c r="D142" i="7"/>
  <c r="J147" i="7"/>
  <c r="K147" i="7"/>
  <c r="C145" i="7"/>
  <c r="C147" i="7"/>
  <c r="F147" i="7"/>
  <c r="H146" i="7"/>
  <c r="G144" i="7"/>
  <c r="B148" i="7"/>
  <c r="G141" i="7"/>
  <c r="H141" i="7"/>
  <c r="K144" i="7"/>
  <c r="E142" i="7"/>
  <c r="I148" i="7"/>
  <c r="J143" i="7"/>
  <c r="B142" i="7"/>
  <c r="I143" i="7"/>
  <c r="C141" i="7"/>
  <c r="C189" i="57"/>
  <c r="C185" i="57"/>
  <c r="C191" i="57"/>
  <c r="C187" i="57"/>
  <c r="C188" i="57"/>
  <c r="C186" i="57"/>
  <c r="C192" i="57"/>
  <c r="C73" i="57"/>
  <c r="C142" i="57"/>
  <c r="C146" i="57"/>
  <c r="C144" i="57"/>
  <c r="C140" i="57"/>
  <c r="C143" i="57"/>
  <c r="C141" i="57"/>
  <c r="C147" i="57"/>
  <c r="H456" i="39" l="1"/>
  <c r="J456" i="39"/>
  <c r="B454" i="39"/>
  <c r="E454" i="39"/>
  <c r="F458" i="39"/>
  <c r="E458" i="39"/>
  <c r="K455" i="39"/>
  <c r="H454" i="39"/>
  <c r="K454" i="39"/>
  <c r="K457" i="39"/>
  <c r="D452" i="39"/>
  <c r="C591" i="8"/>
  <c r="B592" i="8"/>
  <c r="C592" i="8"/>
  <c r="I491" i="39"/>
  <c r="H490" i="39"/>
  <c r="D489" i="39"/>
  <c r="H495" i="39"/>
  <c r="F452" i="39"/>
  <c r="H457" i="39"/>
  <c r="B590" i="8"/>
  <c r="B591" i="8"/>
  <c r="G494" i="39"/>
  <c r="K492" i="39"/>
  <c r="I494" i="39"/>
  <c r="K491" i="39"/>
  <c r="K490" i="39"/>
  <c r="K458" i="39"/>
  <c r="G457" i="39"/>
  <c r="E452" i="39"/>
  <c r="D455" i="39"/>
  <c r="C490" i="39"/>
  <c r="I488" i="39"/>
  <c r="H492" i="39"/>
  <c r="G459" i="39"/>
  <c r="I452" i="39"/>
  <c r="C456" i="39"/>
  <c r="J459" i="39"/>
  <c r="B459" i="39"/>
  <c r="F454" i="39"/>
  <c r="J454" i="39"/>
  <c r="C453" i="39"/>
  <c r="C489" i="39"/>
  <c r="C488" i="39"/>
  <c r="H494" i="39"/>
  <c r="C493" i="39"/>
  <c r="J457" i="39"/>
  <c r="D453" i="39"/>
  <c r="C452" i="39"/>
  <c r="G454" i="39"/>
  <c r="F494" i="39"/>
  <c r="D494" i="39"/>
  <c r="K494" i="39"/>
  <c r="C458" i="39"/>
  <c r="E457" i="39"/>
  <c r="G455" i="39"/>
  <c r="I459" i="39"/>
  <c r="K488" i="39"/>
  <c r="C495" i="39"/>
  <c r="F495" i="39"/>
  <c r="K495" i="39"/>
  <c r="E492" i="39"/>
  <c r="I458" i="39"/>
  <c r="B455" i="39"/>
  <c r="I455" i="39"/>
  <c r="F453" i="39"/>
  <c r="E455" i="39"/>
  <c r="J458" i="39"/>
  <c r="B489" i="39"/>
  <c r="B525" i="8"/>
  <c r="B525" i="38"/>
  <c r="B597" i="38" s="1"/>
  <c r="B530" i="8"/>
  <c r="B530" i="38"/>
  <c r="B602" i="38" s="1"/>
  <c r="B494" i="39"/>
  <c r="E188" i="8"/>
  <c r="D188" i="39"/>
  <c r="D193" i="39"/>
  <c r="E193" i="8"/>
  <c r="C526" i="38"/>
  <c r="C598" i="38" s="1"/>
  <c r="C525" i="38"/>
  <c r="C597" i="38" s="1"/>
  <c r="E190" i="8"/>
  <c r="D190" i="39"/>
  <c r="G493" i="39"/>
  <c r="B490" i="39"/>
  <c r="B526" i="8"/>
  <c r="B526" i="38"/>
  <c r="B598" i="38" s="1"/>
  <c r="D195" i="8"/>
  <c r="E187" i="8"/>
  <c r="D187" i="39"/>
  <c r="C528" i="38"/>
  <c r="C600" i="38" s="1"/>
  <c r="C530" i="38"/>
  <c r="C602" i="38" s="1"/>
  <c r="E194" i="8"/>
  <c r="D194" i="39"/>
  <c r="B492" i="39"/>
  <c r="B528" i="38"/>
  <c r="B600" i="38" s="1"/>
  <c r="B528" i="8"/>
  <c r="G492" i="39"/>
  <c r="B493" i="39"/>
  <c r="B529" i="38"/>
  <c r="B601" i="38" s="1"/>
  <c r="B529" i="8"/>
  <c r="D227" i="38"/>
  <c r="D383" i="38" s="1"/>
  <c r="D527" i="38" s="1"/>
  <c r="D599" i="38" s="1"/>
  <c r="D231" i="38"/>
  <c r="D387" i="38" s="1"/>
  <c r="D531" i="38" s="1"/>
  <c r="D603" i="38" s="1"/>
  <c r="D225" i="38"/>
  <c r="D381" i="38" s="1"/>
  <c r="D525" i="38" s="1"/>
  <c r="D597" i="38" s="1"/>
  <c r="D226" i="38"/>
  <c r="D382" i="38" s="1"/>
  <c r="D526" i="38" s="1"/>
  <c r="D598" i="38" s="1"/>
  <c r="D224" i="38"/>
  <c r="D380" i="38" s="1"/>
  <c r="D524" i="38" s="1"/>
  <c r="D596" i="38" s="1"/>
  <c r="D228" i="38"/>
  <c r="D384" i="38" s="1"/>
  <c r="D528" i="38" s="1"/>
  <c r="D600" i="38" s="1"/>
  <c r="D230" i="38"/>
  <c r="D386" i="38" s="1"/>
  <c r="D530" i="38" s="1"/>
  <c r="D602" i="38" s="1"/>
  <c r="D229" i="38"/>
  <c r="D385" i="38" s="1"/>
  <c r="D529" i="38" s="1"/>
  <c r="D601" i="38" s="1"/>
  <c r="D189" i="39"/>
  <c r="E189" i="8"/>
  <c r="B560" i="8" a="1"/>
  <c r="B560" i="38" a="1"/>
  <c r="B452" i="39"/>
  <c r="E192" i="8"/>
  <c r="D192" i="39"/>
  <c r="C524" i="38"/>
  <c r="C596" i="38" s="1"/>
  <c r="C531" i="38"/>
  <c r="C603" i="38" s="1"/>
  <c r="B491" i="39"/>
  <c r="B527" i="8"/>
  <c r="B527" i="38"/>
  <c r="B599" i="38" s="1"/>
  <c r="B495" i="39"/>
  <c r="B531" i="38"/>
  <c r="B603" i="38" s="1"/>
  <c r="B531" i="8"/>
  <c r="B524" i="8"/>
  <c r="B524" i="38"/>
  <c r="B596" i="38" s="1"/>
  <c r="B488" i="39"/>
  <c r="F187" i="38"/>
  <c r="E195" i="38"/>
  <c r="C230" i="8"/>
  <c r="C229" i="8"/>
  <c r="C226" i="8"/>
  <c r="C227" i="8"/>
  <c r="C225" i="8"/>
  <c r="C228" i="8"/>
  <c r="C231" i="8"/>
  <c r="C224" i="8"/>
  <c r="C195" i="39"/>
  <c r="E191" i="8"/>
  <c r="D191" i="39"/>
  <c r="C527" i="38"/>
  <c r="C599" i="38" s="1"/>
  <c r="C529" i="38"/>
  <c r="C601" i="38" s="1"/>
  <c r="E154" i="7"/>
  <c r="B150" i="7"/>
  <c r="D203" i="8"/>
  <c r="D198" i="8"/>
  <c r="D199" i="8"/>
  <c r="D201" i="8"/>
  <c r="D197" i="8"/>
  <c r="D200" i="8"/>
  <c r="D204" i="8"/>
  <c r="D202" i="8"/>
  <c r="D165" i="39"/>
  <c r="E183" i="39"/>
  <c r="F183" i="8"/>
  <c r="F168" i="8"/>
  <c r="E168" i="39"/>
  <c r="C203" i="6"/>
  <c r="C98" i="34"/>
  <c r="J63" i="58"/>
  <c r="C213" i="39"/>
  <c r="C369" i="8"/>
  <c r="C207" i="39"/>
  <c r="C363" i="8"/>
  <c r="E551" i="8"/>
  <c r="G551" i="8"/>
  <c r="D551" i="8"/>
  <c r="B554" i="8"/>
  <c r="F553" i="8"/>
  <c r="J551" i="8"/>
  <c r="E552" i="8"/>
  <c r="C552" i="8"/>
  <c r="K556" i="8"/>
  <c r="I554" i="8"/>
  <c r="K557" i="8"/>
  <c r="G554" i="8"/>
  <c r="F557" i="8"/>
  <c r="I558" i="8"/>
  <c r="B551" i="8"/>
  <c r="C557" i="8"/>
  <c r="K553" i="8"/>
  <c r="H556" i="8"/>
  <c r="H554" i="8"/>
  <c r="F554" i="8"/>
  <c r="E554" i="8"/>
  <c r="G558" i="8"/>
  <c r="J554" i="8"/>
  <c r="I555" i="8"/>
  <c r="H551" i="8"/>
  <c r="E553" i="8"/>
  <c r="D556" i="8"/>
  <c r="D553" i="8"/>
  <c r="E555" i="8"/>
  <c r="C554" i="8"/>
  <c r="I551" i="8"/>
  <c r="B558" i="8"/>
  <c r="J558" i="8"/>
  <c r="G552" i="8"/>
  <c r="K558" i="8"/>
  <c r="E558" i="8"/>
  <c r="I553" i="8"/>
  <c r="H553" i="8"/>
  <c r="B552" i="8"/>
  <c r="H552" i="8"/>
  <c r="E556" i="8"/>
  <c r="D555" i="8"/>
  <c r="F552" i="8"/>
  <c r="H558" i="8"/>
  <c r="J552" i="8"/>
  <c r="E557" i="8"/>
  <c r="G557" i="8"/>
  <c r="D557" i="8"/>
  <c r="C551" i="8"/>
  <c r="F555" i="8"/>
  <c r="K552" i="8"/>
  <c r="B556" i="8"/>
  <c r="D552" i="8"/>
  <c r="C558" i="8"/>
  <c r="J555" i="8"/>
  <c r="F551" i="8"/>
  <c r="D558" i="8"/>
  <c r="J557" i="8"/>
  <c r="I552" i="8"/>
  <c r="C556" i="8"/>
  <c r="I556" i="8"/>
  <c r="J556" i="8"/>
  <c r="B555" i="8"/>
  <c r="B557" i="8"/>
  <c r="G553" i="8"/>
  <c r="H555" i="8"/>
  <c r="K555" i="8"/>
  <c r="D554" i="8"/>
  <c r="H557" i="8"/>
  <c r="C553" i="8"/>
  <c r="K554" i="8"/>
  <c r="G555" i="8"/>
  <c r="K551" i="8"/>
  <c r="C555" i="8"/>
  <c r="F558" i="8"/>
  <c r="G556" i="8"/>
  <c r="J553" i="8"/>
  <c r="B553" i="8"/>
  <c r="F556" i="8"/>
  <c r="I557" i="8"/>
  <c r="F161" i="8"/>
  <c r="E161" i="39"/>
  <c r="C375" i="8"/>
  <c r="C219" i="39"/>
  <c r="C120" i="34"/>
  <c r="C297" i="6"/>
  <c r="C122" i="34"/>
  <c r="C299" i="6"/>
  <c r="K150" i="7"/>
  <c r="E155" i="7"/>
  <c r="I154" i="7"/>
  <c r="F153" i="7"/>
  <c r="I151" i="7"/>
  <c r="H61" i="59"/>
  <c r="G61" i="60"/>
  <c r="D59" i="4"/>
  <c r="D56" i="40"/>
  <c r="F206" i="38"/>
  <c r="F362" i="38" s="1"/>
  <c r="F207" i="38"/>
  <c r="F363" i="38" s="1"/>
  <c r="F208" i="38"/>
  <c r="F364" i="38" s="1"/>
  <c r="F210" i="38"/>
  <c r="F366" i="38" s="1"/>
  <c r="F211" i="38"/>
  <c r="F367" i="38" s="1"/>
  <c r="F212" i="38"/>
  <c r="F368" i="38" s="1"/>
  <c r="F213" i="38"/>
  <c r="F369" i="38" s="1"/>
  <c r="F209" i="38"/>
  <c r="F365" i="38" s="1"/>
  <c r="D151" i="7"/>
  <c r="C356" i="8"/>
  <c r="C200" i="39"/>
  <c r="C199" i="39"/>
  <c r="C355" i="8"/>
  <c r="F199" i="38"/>
  <c r="F355" i="38" s="1"/>
  <c r="F198" i="38"/>
  <c r="F354" i="38" s="1"/>
  <c r="F203" i="38"/>
  <c r="F359" i="38" s="1"/>
  <c r="F201" i="38"/>
  <c r="F357" i="38" s="1"/>
  <c r="F204" i="38"/>
  <c r="F360" i="38" s="1"/>
  <c r="F200" i="38"/>
  <c r="F356" i="38" s="1"/>
  <c r="F197" i="38"/>
  <c r="F353" i="38" s="1"/>
  <c r="F202" i="38"/>
  <c r="F358" i="38" s="1"/>
  <c r="E164" i="39"/>
  <c r="F164" i="8"/>
  <c r="E179" i="39"/>
  <c r="F179" i="8"/>
  <c r="E185" i="8"/>
  <c r="F177" i="8"/>
  <c r="E177" i="39"/>
  <c r="C125" i="34"/>
  <c r="C127" i="6"/>
  <c r="F170" i="8"/>
  <c r="E170" i="39"/>
  <c r="B151" i="7"/>
  <c r="G153" i="7"/>
  <c r="E182" i="39"/>
  <c r="F182" i="8"/>
  <c r="C354" i="8"/>
  <c r="C198" i="39"/>
  <c r="C202" i="39"/>
  <c r="C358" i="8"/>
  <c r="G165" i="38"/>
  <c r="H157" i="38"/>
  <c r="F180" i="8"/>
  <c r="E180" i="39"/>
  <c r="D217" i="8"/>
  <c r="D185" i="39"/>
  <c r="D219" i="8"/>
  <c r="D216" i="8"/>
  <c r="D218" i="8"/>
  <c r="D220" i="8"/>
  <c r="D222" i="8"/>
  <c r="D221" i="8"/>
  <c r="D215" i="8"/>
  <c r="C104" i="34"/>
  <c r="C209" i="6"/>
  <c r="B141" i="35" a="1"/>
  <c r="D539" i="8"/>
  <c r="G533" i="8"/>
  <c r="K539" i="8"/>
  <c r="D537" i="8"/>
  <c r="B536" i="8"/>
  <c r="C537" i="8"/>
  <c r="J539" i="8"/>
  <c r="F534" i="8"/>
  <c r="G534" i="8"/>
  <c r="D540" i="8"/>
  <c r="H536" i="8"/>
  <c r="J537" i="8"/>
  <c r="J533" i="8"/>
  <c r="J540" i="8"/>
  <c r="K535" i="8"/>
  <c r="E534" i="8"/>
  <c r="H537" i="8"/>
  <c r="I535" i="8"/>
  <c r="H540" i="8"/>
  <c r="H534" i="8"/>
  <c r="B537" i="8"/>
  <c r="B533" i="8"/>
  <c r="J538" i="8"/>
  <c r="E539" i="8"/>
  <c r="F537" i="8"/>
  <c r="I533" i="8"/>
  <c r="F538" i="8"/>
  <c r="C533" i="8"/>
  <c r="G536" i="8"/>
  <c r="G538" i="8"/>
  <c r="B535" i="8"/>
  <c r="I538" i="8"/>
  <c r="D535" i="8"/>
  <c r="C538" i="8"/>
  <c r="C536" i="8"/>
  <c r="C539" i="8"/>
  <c r="I534" i="8"/>
  <c r="E533" i="8"/>
  <c r="G535" i="8"/>
  <c r="I537" i="8"/>
  <c r="G539" i="8"/>
  <c r="H538" i="8"/>
  <c r="F536" i="8"/>
  <c r="D538" i="8"/>
  <c r="I536" i="8"/>
  <c r="H539" i="8"/>
  <c r="C535" i="8"/>
  <c r="K536" i="8"/>
  <c r="G537" i="8"/>
  <c r="B540" i="8"/>
  <c r="B538" i="8"/>
  <c r="E535" i="8"/>
  <c r="K540" i="8"/>
  <c r="K534" i="8"/>
  <c r="E536" i="8"/>
  <c r="B539" i="8"/>
  <c r="J534" i="8"/>
  <c r="E540" i="8"/>
  <c r="F533" i="8"/>
  <c r="J536" i="8"/>
  <c r="H535" i="8"/>
  <c r="D533" i="8"/>
  <c r="G540" i="8"/>
  <c r="D534" i="8"/>
  <c r="K533" i="8"/>
  <c r="C534" i="8"/>
  <c r="F539" i="8"/>
  <c r="B534" i="8"/>
  <c r="I539" i="8"/>
  <c r="K537" i="8"/>
  <c r="F535" i="8"/>
  <c r="K538" i="8"/>
  <c r="C540" i="8"/>
  <c r="E537" i="8"/>
  <c r="I540" i="8"/>
  <c r="F540" i="8"/>
  <c r="E538" i="8"/>
  <c r="D536" i="8"/>
  <c r="H533" i="8"/>
  <c r="J535" i="8"/>
  <c r="B578" i="8"/>
  <c r="E545" i="8"/>
  <c r="K542" i="8"/>
  <c r="K548" i="8"/>
  <c r="I544" i="8"/>
  <c r="D549" i="8"/>
  <c r="D543" i="8"/>
  <c r="J544" i="8"/>
  <c r="C547" i="8"/>
  <c r="D546" i="8"/>
  <c r="D547" i="8"/>
  <c r="B548" i="8"/>
  <c r="D548" i="8"/>
  <c r="G548" i="8"/>
  <c r="J545" i="8"/>
  <c r="I548" i="8"/>
  <c r="J547" i="8"/>
  <c r="F549" i="8"/>
  <c r="F544" i="8"/>
  <c r="J542" i="8"/>
  <c r="J549" i="8"/>
  <c r="G543" i="8"/>
  <c r="G546" i="8"/>
  <c r="F547" i="8"/>
  <c r="K544" i="8"/>
  <c r="G549" i="8"/>
  <c r="H542" i="8"/>
  <c r="C546" i="8"/>
  <c r="I546" i="8"/>
  <c r="C544" i="8"/>
  <c r="E543" i="8"/>
  <c r="B546" i="8"/>
  <c r="H548" i="8"/>
  <c r="I547" i="8"/>
  <c r="J548" i="8"/>
  <c r="H544" i="8"/>
  <c r="E549" i="8"/>
  <c r="D544" i="8"/>
  <c r="H543" i="8"/>
  <c r="B547" i="8"/>
  <c r="C545" i="8"/>
  <c r="F548" i="8"/>
  <c r="J543" i="8"/>
  <c r="F546" i="8"/>
  <c r="D542" i="8"/>
  <c r="F542" i="8"/>
  <c r="G545" i="8"/>
  <c r="C543" i="8"/>
  <c r="K545" i="8"/>
  <c r="B544" i="8"/>
  <c r="K547" i="8"/>
  <c r="B545" i="8"/>
  <c r="K549" i="8"/>
  <c r="K546" i="8"/>
  <c r="G547" i="8"/>
  <c r="K543" i="8"/>
  <c r="E547" i="8"/>
  <c r="F543" i="8"/>
  <c r="I549" i="8"/>
  <c r="I545" i="8"/>
  <c r="J546" i="8"/>
  <c r="I543" i="8"/>
  <c r="H545" i="8"/>
  <c r="C549" i="8"/>
  <c r="G544" i="8"/>
  <c r="E544" i="8"/>
  <c r="C542" i="8"/>
  <c r="E548" i="8"/>
  <c r="E546" i="8"/>
  <c r="F545" i="8"/>
  <c r="B543" i="8"/>
  <c r="E542" i="8"/>
  <c r="H547" i="8"/>
  <c r="H546" i="8"/>
  <c r="D545" i="8"/>
  <c r="G542" i="8"/>
  <c r="C548" i="8"/>
  <c r="I542" i="8"/>
  <c r="B542" i="8"/>
  <c r="H549" i="8"/>
  <c r="B549" i="8"/>
  <c r="B152" i="7"/>
  <c r="D152" i="7"/>
  <c r="K154" i="7"/>
  <c r="E175" i="8"/>
  <c r="F167" i="8"/>
  <c r="E167" i="39"/>
  <c r="F157" i="8"/>
  <c r="E165" i="8"/>
  <c r="E157" i="39"/>
  <c r="E174" i="39"/>
  <c r="F174" i="8"/>
  <c r="H58" i="59"/>
  <c r="G58" i="60"/>
  <c r="C209" i="39"/>
  <c r="C365" i="8"/>
  <c r="C210" i="39"/>
  <c r="C366" i="8"/>
  <c r="C373" i="8"/>
  <c r="C217" i="39"/>
  <c r="C221" i="39"/>
  <c r="C377" i="8"/>
  <c r="C372" i="8"/>
  <c r="C216" i="39"/>
  <c r="C103" i="34"/>
  <c r="C208" i="6"/>
  <c r="C293" i="6"/>
  <c r="C116" i="34"/>
  <c r="C118" i="34"/>
  <c r="C295" i="6"/>
  <c r="C296" i="6"/>
  <c r="C119" i="34"/>
  <c r="G154" i="7"/>
  <c r="F154" i="7"/>
  <c r="H156" i="7"/>
  <c r="G151" i="7"/>
  <c r="H153" i="7"/>
  <c r="E157" i="7"/>
  <c r="E163" i="39"/>
  <c r="F163" i="8"/>
  <c r="F178" i="8"/>
  <c r="E178" i="39"/>
  <c r="D84" i="29"/>
  <c r="D85" i="29"/>
  <c r="D82" i="29"/>
  <c r="D83" i="29"/>
  <c r="D57" i="40"/>
  <c r="H167" i="38"/>
  <c r="G175" i="38"/>
  <c r="J62" i="58"/>
  <c r="I152" i="7"/>
  <c r="C156" i="7"/>
  <c r="K153" i="7"/>
  <c r="C154" i="7"/>
  <c r="C151" i="7"/>
  <c r="C197" i="39"/>
  <c r="C353" i="8"/>
  <c r="C201" i="39"/>
  <c r="C357" i="8"/>
  <c r="C99" i="34"/>
  <c r="C204" i="6"/>
  <c r="K538" i="38"/>
  <c r="I540" i="38"/>
  <c r="E534" i="38"/>
  <c r="B539" i="38"/>
  <c r="D535" i="38"/>
  <c r="J538" i="38"/>
  <c r="I535" i="38"/>
  <c r="G536" i="38"/>
  <c r="K534" i="38"/>
  <c r="C533" i="38"/>
  <c r="F536" i="38"/>
  <c r="J536" i="38"/>
  <c r="E538" i="38"/>
  <c r="H533" i="38"/>
  <c r="G534" i="38"/>
  <c r="E539" i="38"/>
  <c r="B535" i="38"/>
  <c r="K537" i="38"/>
  <c r="E533" i="38"/>
  <c r="H537" i="38"/>
  <c r="H536" i="38"/>
  <c r="C537" i="38"/>
  <c r="E536" i="38"/>
  <c r="C534" i="38"/>
  <c r="I539" i="38"/>
  <c r="D534" i="38"/>
  <c r="G539" i="38"/>
  <c r="J535" i="38"/>
  <c r="I536" i="38"/>
  <c r="E540" i="38"/>
  <c r="D539" i="38"/>
  <c r="J533" i="38"/>
  <c r="G540" i="38"/>
  <c r="H538" i="38"/>
  <c r="G535" i="38"/>
  <c r="I533" i="38"/>
  <c r="J539" i="38"/>
  <c r="K535" i="38"/>
  <c r="C535" i="38"/>
  <c r="H534" i="38"/>
  <c r="F539" i="38"/>
  <c r="G533" i="38"/>
  <c r="H535" i="38"/>
  <c r="F540" i="38"/>
  <c r="B536" i="38"/>
  <c r="I538" i="38"/>
  <c r="B534" i="38"/>
  <c r="B540" i="38"/>
  <c r="D536" i="38"/>
  <c r="F535" i="38"/>
  <c r="I537" i="38"/>
  <c r="B538" i="38"/>
  <c r="J540" i="38"/>
  <c r="D537" i="38"/>
  <c r="K533" i="38"/>
  <c r="B533" i="38"/>
  <c r="D538" i="38"/>
  <c r="E535" i="38"/>
  <c r="H540" i="38"/>
  <c r="G537" i="38"/>
  <c r="H539" i="38"/>
  <c r="D533" i="38"/>
  <c r="K540" i="38"/>
  <c r="E537" i="38"/>
  <c r="J534" i="38"/>
  <c r="F534" i="38"/>
  <c r="G538" i="38"/>
  <c r="C538" i="38"/>
  <c r="C540" i="38"/>
  <c r="F538" i="38"/>
  <c r="I534" i="38"/>
  <c r="C536" i="38"/>
  <c r="K536" i="38"/>
  <c r="K539" i="38"/>
  <c r="B537" i="38"/>
  <c r="C539" i="38"/>
  <c r="D540" i="38"/>
  <c r="F537" i="38"/>
  <c r="F533" i="38"/>
  <c r="J537" i="38"/>
  <c r="E162" i="39"/>
  <c r="F162" i="8"/>
  <c r="J65" i="58"/>
  <c r="B584" i="8"/>
  <c r="E152" i="7"/>
  <c r="J155" i="7"/>
  <c r="D154" i="7"/>
  <c r="H63" i="59"/>
  <c r="G63" i="60"/>
  <c r="H62" i="59"/>
  <c r="G62" i="60"/>
  <c r="D207" i="8"/>
  <c r="D213" i="8"/>
  <c r="D209" i="8"/>
  <c r="D210" i="8"/>
  <c r="D206" i="8"/>
  <c r="D175" i="39"/>
  <c r="D211" i="8"/>
  <c r="D208" i="8"/>
  <c r="D212" i="8"/>
  <c r="D40" i="40"/>
  <c r="D50" i="4"/>
  <c r="D47" i="40"/>
  <c r="C102" i="34"/>
  <c r="C207" i="6"/>
  <c r="C211" i="39"/>
  <c r="C367" i="8"/>
  <c r="C362" i="8"/>
  <c r="C206" i="39"/>
  <c r="B587" i="8"/>
  <c r="B594" i="8"/>
  <c r="B593" i="8"/>
  <c r="B588" i="8"/>
  <c r="I554" i="38"/>
  <c r="J553" i="38"/>
  <c r="G558" i="38"/>
  <c r="F556" i="38"/>
  <c r="D555" i="38"/>
  <c r="I553" i="38"/>
  <c r="E557" i="38"/>
  <c r="G552" i="38"/>
  <c r="J551" i="38"/>
  <c r="H551" i="38"/>
  <c r="J554" i="38"/>
  <c r="K557" i="38"/>
  <c r="J552" i="38"/>
  <c r="E556" i="38"/>
  <c r="D552" i="38"/>
  <c r="K555" i="38"/>
  <c r="E553" i="38"/>
  <c r="F557" i="38"/>
  <c r="B552" i="38"/>
  <c r="D553" i="38"/>
  <c r="J555" i="38"/>
  <c r="B554" i="38"/>
  <c r="G553" i="38"/>
  <c r="C554" i="38"/>
  <c r="B553" i="38"/>
  <c r="C551" i="38"/>
  <c r="C558" i="38"/>
  <c r="H558" i="38"/>
  <c r="F554" i="38"/>
  <c r="H557" i="38"/>
  <c r="C556" i="38"/>
  <c r="K554" i="38"/>
  <c r="F555" i="38"/>
  <c r="G556" i="38"/>
  <c r="K553" i="38"/>
  <c r="H554" i="38"/>
  <c r="B557" i="38"/>
  <c r="D554" i="38"/>
  <c r="J558" i="38"/>
  <c r="E552" i="38"/>
  <c r="I552" i="38"/>
  <c r="I555" i="38"/>
  <c r="E555" i="38"/>
  <c r="G557" i="38"/>
  <c r="D558" i="38"/>
  <c r="D551" i="38"/>
  <c r="G551" i="38"/>
  <c r="D556" i="38"/>
  <c r="G555" i="38"/>
  <c r="F558" i="38"/>
  <c r="I557" i="38"/>
  <c r="C552" i="38"/>
  <c r="I551" i="38"/>
  <c r="J556" i="38"/>
  <c r="H556" i="38"/>
  <c r="H553" i="38"/>
  <c r="F553" i="38"/>
  <c r="C555" i="38"/>
  <c r="G554" i="38"/>
  <c r="E554" i="38"/>
  <c r="J557" i="38"/>
  <c r="K552" i="38"/>
  <c r="C553" i="38"/>
  <c r="I558" i="38"/>
  <c r="E551" i="38"/>
  <c r="K558" i="38"/>
  <c r="B555" i="38"/>
  <c r="I556" i="38"/>
  <c r="K556" i="38"/>
  <c r="B551" i="38"/>
  <c r="B558" i="38"/>
  <c r="D557" i="38"/>
  <c r="C557" i="38"/>
  <c r="F551" i="38"/>
  <c r="K551" i="38"/>
  <c r="B556" i="38"/>
  <c r="H555" i="38"/>
  <c r="H552" i="38"/>
  <c r="E558" i="38"/>
  <c r="F552" i="38"/>
  <c r="C220" i="39"/>
  <c r="C376" i="8"/>
  <c r="C218" i="39"/>
  <c r="C374" i="8"/>
  <c r="C100" i="34"/>
  <c r="C205" i="6"/>
  <c r="C115" i="34"/>
  <c r="C292" i="6"/>
  <c r="D185" i="40"/>
  <c r="D187" i="4"/>
  <c r="D187" i="40" s="1"/>
  <c r="B155" i="7"/>
  <c r="E153" i="7"/>
  <c r="J151" i="7"/>
  <c r="F152" i="7"/>
  <c r="C152" i="7"/>
  <c r="H177" i="38"/>
  <c r="G185" i="38"/>
  <c r="D96" i="40"/>
  <c r="D105" i="29"/>
  <c r="D116" i="29"/>
  <c r="E151" i="7"/>
  <c r="B157" i="7"/>
  <c r="J152" i="7"/>
  <c r="H150" i="7"/>
  <c r="H155" i="7"/>
  <c r="K156" i="7"/>
  <c r="K152" i="7"/>
  <c r="F184" i="8"/>
  <c r="E184" i="39"/>
  <c r="C150" i="7"/>
  <c r="I157" i="7"/>
  <c r="G150" i="7"/>
  <c r="F156" i="7"/>
  <c r="J156" i="7"/>
  <c r="C203" i="39"/>
  <c r="C359" i="8"/>
  <c r="C204" i="39"/>
  <c r="C360" i="8"/>
  <c r="O191" i="4"/>
  <c r="C90" i="6"/>
  <c r="C92" i="6"/>
  <c r="C95" i="6"/>
  <c r="C93" i="6"/>
  <c r="D191" i="40"/>
  <c r="C88" i="6"/>
  <c r="C94" i="6"/>
  <c r="C91" i="6"/>
  <c r="C89" i="6"/>
  <c r="H59" i="59"/>
  <c r="G59" i="60"/>
  <c r="H64" i="59"/>
  <c r="G64" i="60"/>
  <c r="F173" i="8"/>
  <c r="E173" i="39"/>
  <c r="B542" i="38"/>
  <c r="I549" i="38"/>
  <c r="J547" i="38"/>
  <c r="H543" i="38"/>
  <c r="H546" i="38"/>
  <c r="J542" i="38"/>
  <c r="K546" i="38"/>
  <c r="I548" i="38"/>
  <c r="H545" i="38"/>
  <c r="K543" i="38"/>
  <c r="C544" i="38"/>
  <c r="D548" i="38"/>
  <c r="D546" i="38"/>
  <c r="J549" i="38"/>
  <c r="K542" i="38"/>
  <c r="E548" i="38"/>
  <c r="D545" i="38"/>
  <c r="C542" i="38"/>
  <c r="F548" i="38"/>
  <c r="G544" i="38"/>
  <c r="J548" i="38"/>
  <c r="B547" i="38"/>
  <c r="F549" i="38"/>
  <c r="I546" i="38"/>
  <c r="F546" i="38"/>
  <c r="D547" i="38"/>
  <c r="H548" i="38"/>
  <c r="G546" i="38"/>
  <c r="G542" i="38"/>
  <c r="H549" i="38"/>
  <c r="C549" i="38"/>
  <c r="K545" i="38"/>
  <c r="C547" i="38"/>
  <c r="D544" i="38"/>
  <c r="B548" i="38"/>
  <c r="J543" i="38"/>
  <c r="F543" i="38"/>
  <c r="C543" i="38"/>
  <c r="I543" i="38"/>
  <c r="K547" i="38"/>
  <c r="E545" i="38"/>
  <c r="I545" i="38"/>
  <c r="I547" i="38"/>
  <c r="E544" i="38"/>
  <c r="F544" i="38"/>
  <c r="E543" i="38"/>
  <c r="G543" i="38"/>
  <c r="D543" i="38"/>
  <c r="B545" i="38"/>
  <c r="E542" i="38"/>
  <c r="K544" i="38"/>
  <c r="K549" i="38"/>
  <c r="G548" i="38"/>
  <c r="F542" i="38"/>
  <c r="C545" i="38"/>
  <c r="F547" i="38"/>
  <c r="D542" i="38"/>
  <c r="B544" i="38"/>
  <c r="H547" i="38"/>
  <c r="H542" i="38"/>
  <c r="G545" i="38"/>
  <c r="F545" i="38"/>
  <c r="K548" i="38"/>
  <c r="B549" i="38"/>
  <c r="C548" i="38"/>
  <c r="I544" i="38"/>
  <c r="G547" i="38"/>
  <c r="D549" i="38"/>
  <c r="E547" i="38"/>
  <c r="I542" i="38"/>
  <c r="H544" i="38"/>
  <c r="B546" i="38"/>
  <c r="J546" i="38"/>
  <c r="E546" i="38"/>
  <c r="B543" i="38"/>
  <c r="C546" i="38"/>
  <c r="J544" i="38"/>
  <c r="J545" i="38"/>
  <c r="G549" i="38"/>
  <c r="E549" i="38"/>
  <c r="K151" i="7"/>
  <c r="D157" i="7"/>
  <c r="F171" i="8"/>
  <c r="E171" i="39"/>
  <c r="J59" i="58"/>
  <c r="D39" i="40"/>
  <c r="D42" i="4"/>
  <c r="C208" i="39"/>
  <c r="C364" i="8"/>
  <c r="C212" i="39"/>
  <c r="C368" i="8"/>
  <c r="F159" i="8"/>
  <c r="E159" i="39"/>
  <c r="E160" i="39"/>
  <c r="F160" i="8"/>
  <c r="E169" i="39"/>
  <c r="F169" i="8"/>
  <c r="J64" i="58"/>
  <c r="C222" i="39"/>
  <c r="C378" i="8"/>
  <c r="C215" i="39"/>
  <c r="C371" i="8"/>
  <c r="C101" i="34"/>
  <c r="C206" i="6"/>
  <c r="C202" i="6"/>
  <c r="C97" i="34"/>
  <c r="C294" i="6"/>
  <c r="C117" i="34"/>
  <c r="C121" i="34"/>
  <c r="C298" i="6"/>
  <c r="D122" i="40"/>
  <c r="D123" i="4"/>
  <c r="J61" i="58"/>
  <c r="I155" i="7"/>
  <c r="I156" i="7"/>
  <c r="E158" i="39"/>
  <c r="F158" i="8"/>
  <c r="H152" i="7"/>
  <c r="B156" i="7"/>
  <c r="H60" i="59"/>
  <c r="G60" i="60"/>
  <c r="H65" i="59"/>
  <c r="G65" i="60"/>
  <c r="F222" i="38"/>
  <c r="F378" i="38" s="1"/>
  <c r="F220" i="38"/>
  <c r="F376" i="38" s="1"/>
  <c r="F219" i="38"/>
  <c r="F375" i="38" s="1"/>
  <c r="F218" i="38"/>
  <c r="F374" i="38" s="1"/>
  <c r="F216" i="38"/>
  <c r="F372" i="38" s="1"/>
  <c r="F215" i="38"/>
  <c r="F371" i="38" s="1"/>
  <c r="F217" i="38"/>
  <c r="F373" i="38" s="1"/>
  <c r="F221" i="38"/>
  <c r="F377" i="38" s="1"/>
  <c r="D109" i="4"/>
  <c r="D108" i="40"/>
  <c r="E172" i="39"/>
  <c r="F172" i="8"/>
  <c r="J60" i="58"/>
  <c r="F181" i="8"/>
  <c r="E181" i="39"/>
  <c r="J58" i="58"/>
  <c r="B527" i="39" l="1"/>
  <c r="E158" i="7"/>
  <c r="B531" i="39"/>
  <c r="D158" i="7"/>
  <c r="K538" i="39"/>
  <c r="B534" i="39"/>
  <c r="K536" i="39"/>
  <c r="D538" i="39"/>
  <c r="I537" i="39"/>
  <c r="E534" i="39"/>
  <c r="E191" i="39"/>
  <c r="F191" i="8"/>
  <c r="C384" i="8"/>
  <c r="C228" i="39"/>
  <c r="C385" i="8"/>
  <c r="C229" i="39"/>
  <c r="E192" i="39"/>
  <c r="F192" i="8"/>
  <c r="F189" i="8"/>
  <c r="E189" i="39"/>
  <c r="D226" i="8"/>
  <c r="D231" i="8"/>
  <c r="D230" i="8"/>
  <c r="D229" i="8"/>
  <c r="D224" i="8"/>
  <c r="D225" i="8"/>
  <c r="D227" i="8"/>
  <c r="D228" i="8"/>
  <c r="D195" i="39"/>
  <c r="B530" i="39"/>
  <c r="I158" i="7"/>
  <c r="C381" i="8"/>
  <c r="C225" i="39"/>
  <c r="C386" i="8"/>
  <c r="C230" i="39"/>
  <c r="E188" i="39"/>
  <c r="F188" i="8"/>
  <c r="I543" i="39"/>
  <c r="K546" i="39"/>
  <c r="F548" i="39"/>
  <c r="I547" i="39"/>
  <c r="C544" i="39"/>
  <c r="G549" i="39"/>
  <c r="G543" i="39"/>
  <c r="F549" i="39"/>
  <c r="C380" i="8"/>
  <c r="C224" i="39"/>
  <c r="C383" i="8"/>
  <c r="C227" i="39"/>
  <c r="E226" i="38"/>
  <c r="E382" i="38" s="1"/>
  <c r="E526" i="38" s="1"/>
  <c r="E598" i="38" s="1"/>
  <c r="E227" i="38"/>
  <c r="E383" i="38" s="1"/>
  <c r="E527" i="38" s="1"/>
  <c r="E599" i="38" s="1"/>
  <c r="E230" i="38"/>
  <c r="E386" i="38" s="1"/>
  <c r="E530" i="38" s="1"/>
  <c r="E602" i="38" s="1"/>
  <c r="E231" i="38"/>
  <c r="E387" i="38" s="1"/>
  <c r="E531" i="38" s="1"/>
  <c r="E603" i="38" s="1"/>
  <c r="E224" i="38"/>
  <c r="E380" i="38" s="1"/>
  <c r="E524" i="38" s="1"/>
  <c r="E596" i="38" s="1"/>
  <c r="E229" i="38"/>
  <c r="E385" i="38" s="1"/>
  <c r="E529" i="38" s="1"/>
  <c r="E601" i="38" s="1"/>
  <c r="E228" i="38"/>
  <c r="E384" i="38" s="1"/>
  <c r="E528" i="38" s="1"/>
  <c r="E600" i="38" s="1"/>
  <c r="E225" i="38"/>
  <c r="E381" i="38" s="1"/>
  <c r="E525" i="38" s="1"/>
  <c r="E597" i="38" s="1"/>
  <c r="B603" i="8"/>
  <c r="B603" i="39" s="1"/>
  <c r="B600" i="8"/>
  <c r="B600" i="39" s="1"/>
  <c r="B599" i="8"/>
  <c r="B599" i="39" s="1"/>
  <c r="B598" i="8"/>
  <c r="B598" i="39" s="1"/>
  <c r="B602" i="8"/>
  <c r="B602" i="39" s="1"/>
  <c r="B601" i="8"/>
  <c r="B601" i="39" s="1"/>
  <c r="B524" i="39"/>
  <c r="B596" i="8"/>
  <c r="B596" i="39" s="1"/>
  <c r="B597" i="8"/>
  <c r="B597" i="39" s="1"/>
  <c r="K567" i="38"/>
  <c r="D560" i="38"/>
  <c r="C562" i="38"/>
  <c r="F565" i="38"/>
  <c r="H566" i="38"/>
  <c r="C566" i="38"/>
  <c r="C560" i="38"/>
  <c r="D564" i="38"/>
  <c r="J567" i="38"/>
  <c r="K560" i="38"/>
  <c r="J565" i="38"/>
  <c r="B563" i="38"/>
  <c r="C567" i="38"/>
  <c r="H560" i="38"/>
  <c r="D565" i="38"/>
  <c r="D567" i="38"/>
  <c r="H563" i="38"/>
  <c r="G562" i="38"/>
  <c r="J564" i="38"/>
  <c r="H567" i="38"/>
  <c r="E564" i="38"/>
  <c r="E560" i="38"/>
  <c r="G561" i="38"/>
  <c r="D562" i="38"/>
  <c r="D561" i="38"/>
  <c r="E565" i="38"/>
  <c r="B560" i="38"/>
  <c r="I566" i="38"/>
  <c r="G563" i="38"/>
  <c r="J562" i="38"/>
  <c r="B566" i="38"/>
  <c r="J561" i="38"/>
  <c r="B564" i="38"/>
  <c r="E567" i="38"/>
  <c r="I565" i="38"/>
  <c r="I562" i="38"/>
  <c r="E566" i="38"/>
  <c r="C563" i="38"/>
  <c r="G560" i="38"/>
  <c r="I563" i="38"/>
  <c r="F562" i="38"/>
  <c r="I561" i="38"/>
  <c r="K565" i="38"/>
  <c r="E561" i="38"/>
  <c r="F563" i="38"/>
  <c r="J566" i="38"/>
  <c r="G566" i="38"/>
  <c r="J560" i="38"/>
  <c r="K563" i="38"/>
  <c r="C564" i="38"/>
  <c r="K561" i="38"/>
  <c r="I560" i="38"/>
  <c r="I567" i="38"/>
  <c r="E563" i="38"/>
  <c r="F566" i="38"/>
  <c r="F561" i="38"/>
  <c r="G564" i="38"/>
  <c r="B567" i="38"/>
  <c r="K562" i="38"/>
  <c r="D563" i="38"/>
  <c r="H562" i="38"/>
  <c r="K564" i="38"/>
  <c r="H565" i="38"/>
  <c r="E562" i="38"/>
  <c r="J563" i="38"/>
  <c r="F567" i="38"/>
  <c r="G567" i="38"/>
  <c r="I564" i="38"/>
  <c r="H561" i="38"/>
  <c r="H564" i="38"/>
  <c r="B561" i="38"/>
  <c r="D566" i="38"/>
  <c r="F560" i="38"/>
  <c r="F564" i="38"/>
  <c r="C565" i="38"/>
  <c r="B562" i="38"/>
  <c r="C561" i="38"/>
  <c r="B565" i="38"/>
  <c r="K566" i="38"/>
  <c r="G565" i="38"/>
  <c r="B529" i="39"/>
  <c r="B526" i="39"/>
  <c r="E193" i="39"/>
  <c r="F193" i="8"/>
  <c r="B525" i="39"/>
  <c r="F158" i="7"/>
  <c r="C231" i="39"/>
  <c r="C387" i="8"/>
  <c r="C382" i="8"/>
  <c r="C226" i="39"/>
  <c r="G187" i="38"/>
  <c r="F195" i="38"/>
  <c r="J560" i="8"/>
  <c r="D561" i="8"/>
  <c r="B562" i="8"/>
  <c r="I562" i="8"/>
  <c r="I562" i="39" s="1"/>
  <c r="H560" i="8"/>
  <c r="E567" i="8"/>
  <c r="E567" i="39" s="1"/>
  <c r="B564" i="8"/>
  <c r="K563" i="8"/>
  <c r="J563" i="8"/>
  <c r="J563" i="39" s="1"/>
  <c r="F563" i="8"/>
  <c r="F567" i="8"/>
  <c r="G564" i="8"/>
  <c r="H566" i="8"/>
  <c r="H566" i="39" s="1"/>
  <c r="C567" i="8"/>
  <c r="K564" i="8"/>
  <c r="F561" i="8"/>
  <c r="F561" i="39" s="1"/>
  <c r="E563" i="8"/>
  <c r="I566" i="8"/>
  <c r="B566" i="8"/>
  <c r="B566" i="39" s="1"/>
  <c r="J565" i="8"/>
  <c r="I560" i="8"/>
  <c r="G563" i="8"/>
  <c r="D560" i="8"/>
  <c r="H565" i="8"/>
  <c r="D563" i="8"/>
  <c r="H564" i="8"/>
  <c r="H564" i="39" s="1"/>
  <c r="F560" i="8"/>
  <c r="K561" i="8"/>
  <c r="J567" i="8"/>
  <c r="J567" i="39" s="1"/>
  <c r="J561" i="8"/>
  <c r="J566" i="8"/>
  <c r="G562" i="8"/>
  <c r="D564" i="8"/>
  <c r="E560" i="8"/>
  <c r="E560" i="39" s="1"/>
  <c r="G561" i="8"/>
  <c r="G561" i="39" s="1"/>
  <c r="H562" i="8"/>
  <c r="J562" i="8"/>
  <c r="B565" i="8"/>
  <c r="B565" i="39" s="1"/>
  <c r="G566" i="8"/>
  <c r="G566" i="39" s="1"/>
  <c r="K560" i="8"/>
  <c r="F565" i="8"/>
  <c r="E566" i="8"/>
  <c r="C562" i="8"/>
  <c r="C562" i="39" s="1"/>
  <c r="B563" i="8"/>
  <c r="B563" i="39" s="1"/>
  <c r="E562" i="8"/>
  <c r="B560" i="8"/>
  <c r="I561" i="8"/>
  <c r="C566" i="8"/>
  <c r="C564" i="8"/>
  <c r="I564" i="8"/>
  <c r="H561" i="8"/>
  <c r="F566" i="8"/>
  <c r="H563" i="8"/>
  <c r="H563" i="39" s="1"/>
  <c r="G565" i="8"/>
  <c r="J564" i="8"/>
  <c r="J564" i="39" s="1"/>
  <c r="D565" i="8"/>
  <c r="F564" i="8"/>
  <c r="D566" i="8"/>
  <c r="D562" i="8"/>
  <c r="G567" i="8"/>
  <c r="I563" i="8"/>
  <c r="I565" i="8"/>
  <c r="K562" i="8"/>
  <c r="K562" i="39" s="1"/>
  <c r="B561" i="8"/>
  <c r="E564" i="8"/>
  <c r="E564" i="39" s="1"/>
  <c r="C563" i="8"/>
  <c r="C563" i="39" s="1"/>
  <c r="E565" i="8"/>
  <c r="D567" i="8"/>
  <c r="D567" i="39" s="1"/>
  <c r="I567" i="8"/>
  <c r="I567" i="39" s="1"/>
  <c r="H567" i="8"/>
  <c r="C560" i="8"/>
  <c r="C560" i="39" s="1"/>
  <c r="F562" i="8"/>
  <c r="G560" i="8"/>
  <c r="C565" i="8"/>
  <c r="K565" i="8"/>
  <c r="K565" i="39" s="1"/>
  <c r="B567" i="8"/>
  <c r="C561" i="8"/>
  <c r="C561" i="39" s="1"/>
  <c r="K566" i="8"/>
  <c r="E561" i="8"/>
  <c r="K567" i="8"/>
  <c r="B528" i="39"/>
  <c r="F194" i="8"/>
  <c r="E194" i="39"/>
  <c r="F187" i="8"/>
  <c r="E195" i="8"/>
  <c r="E187" i="39"/>
  <c r="E190" i="39"/>
  <c r="F190" i="8"/>
  <c r="D109" i="40"/>
  <c r="D112" i="4"/>
  <c r="K61" i="58"/>
  <c r="C371" i="39"/>
  <c r="C515" i="8"/>
  <c r="F171" i="39"/>
  <c r="G171" i="8"/>
  <c r="C152" i="6"/>
  <c r="C92" i="34"/>
  <c r="D212" i="39"/>
  <c r="D368" i="8"/>
  <c r="D362" i="8"/>
  <c r="D206" i="39"/>
  <c r="D207" i="39"/>
  <c r="D363" i="8"/>
  <c r="K58" i="58"/>
  <c r="K60" i="58"/>
  <c r="G158" i="8"/>
  <c r="F158" i="39"/>
  <c r="C202" i="34"/>
  <c r="C211" i="6"/>
  <c r="K64" i="58"/>
  <c r="G159" i="8"/>
  <c r="F159" i="39"/>
  <c r="C364" i="39"/>
  <c r="C508" i="8"/>
  <c r="K59" i="58"/>
  <c r="I64" i="59"/>
  <c r="H64" i="60"/>
  <c r="C89" i="34"/>
  <c r="C149" i="6"/>
  <c r="C90" i="34"/>
  <c r="C150" i="6"/>
  <c r="C503" i="8"/>
  <c r="C359" i="39"/>
  <c r="G172" i="8"/>
  <c r="F172" i="39"/>
  <c r="I65" i="59"/>
  <c r="H65" i="60"/>
  <c r="I60" i="59"/>
  <c r="H60" i="60"/>
  <c r="D123" i="40"/>
  <c r="D126" i="4"/>
  <c r="C215" i="6"/>
  <c r="C206" i="34"/>
  <c r="C378" i="39"/>
  <c r="C522" i="8"/>
  <c r="G169" i="8"/>
  <c r="F169" i="39"/>
  <c r="D43" i="4"/>
  <c r="D45" i="4" s="1"/>
  <c r="D42" i="40"/>
  <c r="C91" i="34"/>
  <c r="C151" i="6"/>
  <c r="C93" i="34"/>
  <c r="C153" i="6"/>
  <c r="F184" i="39"/>
  <c r="G184" i="8"/>
  <c r="H158" i="7"/>
  <c r="D118" i="29"/>
  <c r="I177" i="38"/>
  <c r="H185" i="38"/>
  <c r="C362" i="39"/>
  <c r="C506" i="8"/>
  <c r="C614" i="8" s="1"/>
  <c r="D211" i="39"/>
  <c r="D367" i="8"/>
  <c r="D209" i="39"/>
  <c r="D365" i="8"/>
  <c r="G162" i="8"/>
  <c r="F162" i="39"/>
  <c r="C501" i="8"/>
  <c r="C609" i="8" s="1"/>
  <c r="C357" i="39"/>
  <c r="I58" i="59"/>
  <c r="H58" i="60"/>
  <c r="E207" i="8"/>
  <c r="E213" i="8"/>
  <c r="E206" i="8"/>
  <c r="E212" i="8"/>
  <c r="E211" i="8"/>
  <c r="E175" i="39"/>
  <c r="E209" i="8"/>
  <c r="E210" i="8"/>
  <c r="E208" i="8"/>
  <c r="I542" i="39"/>
  <c r="H546" i="39"/>
  <c r="F545" i="39"/>
  <c r="E544" i="39"/>
  <c r="F543" i="39"/>
  <c r="B544" i="39"/>
  <c r="F542" i="39"/>
  <c r="D544" i="39"/>
  <c r="G548" i="39"/>
  <c r="D546" i="39"/>
  <c r="D549" i="39"/>
  <c r="E545" i="39"/>
  <c r="J535" i="39"/>
  <c r="F540" i="39"/>
  <c r="D534" i="39"/>
  <c r="J536" i="39"/>
  <c r="B539" i="39"/>
  <c r="E535" i="39"/>
  <c r="C539" i="39"/>
  <c r="I538" i="39"/>
  <c r="C533" i="39"/>
  <c r="E539" i="39"/>
  <c r="H534" i="39"/>
  <c r="J537" i="39"/>
  <c r="F534" i="39"/>
  <c r="D537" i="39"/>
  <c r="D144" i="35"/>
  <c r="D144" i="37" s="1"/>
  <c r="E147" i="35"/>
  <c r="E147" i="37" s="1"/>
  <c r="G142" i="35"/>
  <c r="G142" i="37" s="1"/>
  <c r="G148" i="35"/>
  <c r="G148" i="37" s="1"/>
  <c r="C144" i="35"/>
  <c r="C144" i="37" s="1"/>
  <c r="B146" i="35"/>
  <c r="B146" i="37" s="1"/>
  <c r="C141" i="35"/>
  <c r="C141" i="37" s="1"/>
  <c r="H146" i="35"/>
  <c r="H146" i="37" s="1"/>
  <c r="J142" i="35"/>
  <c r="J142" i="37" s="1"/>
  <c r="J141" i="35"/>
  <c r="J141" i="37" s="1"/>
  <c r="G144" i="35"/>
  <c r="G144" i="37" s="1"/>
  <c r="H148" i="35"/>
  <c r="H148" i="37" s="1"/>
  <c r="H143" i="35"/>
  <c r="H143" i="37" s="1"/>
  <c r="K145" i="35"/>
  <c r="K145" i="37" s="1"/>
  <c r="H141" i="35"/>
  <c r="H141" i="37" s="1"/>
  <c r="D148" i="35"/>
  <c r="D148" i="37" s="1"/>
  <c r="J145" i="35"/>
  <c r="J145" i="37" s="1"/>
  <c r="F147" i="35"/>
  <c r="F147" i="37" s="1"/>
  <c r="K148" i="35"/>
  <c r="K148" i="37" s="1"/>
  <c r="E143" i="35"/>
  <c r="E143" i="37" s="1"/>
  <c r="C147" i="35"/>
  <c r="C147" i="37" s="1"/>
  <c r="K142" i="35"/>
  <c r="K142" i="37" s="1"/>
  <c r="B142" i="35"/>
  <c r="B142" i="37" s="1"/>
  <c r="D147" i="35"/>
  <c r="D147" i="37" s="1"/>
  <c r="K143" i="35"/>
  <c r="K143" i="37" s="1"/>
  <c r="D145" i="35"/>
  <c r="D145" i="37" s="1"/>
  <c r="F146" i="35"/>
  <c r="F146" i="37" s="1"/>
  <c r="I147" i="35"/>
  <c r="I147" i="37" s="1"/>
  <c r="C148" i="35"/>
  <c r="C148" i="37" s="1"/>
  <c r="G141" i="35"/>
  <c r="G141" i="37" s="1"/>
  <c r="B143" i="35"/>
  <c r="B143" i="37" s="1"/>
  <c r="E146" i="35"/>
  <c r="E146" i="37" s="1"/>
  <c r="F144" i="35"/>
  <c r="F144" i="37" s="1"/>
  <c r="C146" i="35"/>
  <c r="C146" i="37" s="1"/>
  <c r="D143" i="35"/>
  <c r="D143" i="37" s="1"/>
  <c r="H147" i="35"/>
  <c r="H147" i="37" s="1"/>
  <c r="I146" i="35"/>
  <c r="I146" i="37" s="1"/>
  <c r="E148" i="35"/>
  <c r="E148" i="37" s="1"/>
  <c r="K147" i="35"/>
  <c r="K147" i="37" s="1"/>
  <c r="B141" i="35"/>
  <c r="G143" i="35"/>
  <c r="G143" i="37" s="1"/>
  <c r="K141" i="35"/>
  <c r="K141" i="37" s="1"/>
  <c r="J146" i="35"/>
  <c r="J146" i="37" s="1"/>
  <c r="E145" i="35"/>
  <c r="E145" i="37" s="1"/>
  <c r="K144" i="35"/>
  <c r="K144" i="37" s="1"/>
  <c r="H144" i="35"/>
  <c r="H144" i="37" s="1"/>
  <c r="D142" i="35"/>
  <c r="D142" i="37" s="1"/>
  <c r="G145" i="35"/>
  <c r="G145" i="37" s="1"/>
  <c r="D146" i="35"/>
  <c r="D146" i="37" s="1"/>
  <c r="B144" i="35"/>
  <c r="B144" i="37" s="1"/>
  <c r="G146" i="35"/>
  <c r="G146" i="37" s="1"/>
  <c r="J144" i="35"/>
  <c r="J144" i="37" s="1"/>
  <c r="C143" i="35"/>
  <c r="C143" i="37" s="1"/>
  <c r="J143" i="35"/>
  <c r="J143" i="37" s="1"/>
  <c r="E144" i="35"/>
  <c r="E144" i="37" s="1"/>
  <c r="I144" i="35"/>
  <c r="I144" i="37" s="1"/>
  <c r="C142" i="35"/>
  <c r="C142" i="37" s="1"/>
  <c r="E141" i="35"/>
  <c r="E141" i="37" s="1"/>
  <c r="C145" i="35"/>
  <c r="C145" i="37" s="1"/>
  <c r="J147" i="35"/>
  <c r="J147" i="37" s="1"/>
  <c r="F142" i="35"/>
  <c r="F142" i="37" s="1"/>
  <c r="I145" i="35"/>
  <c r="I145" i="37" s="1"/>
  <c r="F148" i="35"/>
  <c r="F148" i="37" s="1"/>
  <c r="H145" i="35"/>
  <c r="H145" i="37" s="1"/>
  <c r="I141" i="35"/>
  <c r="I141" i="37" s="1"/>
  <c r="B145" i="35"/>
  <c r="B145" i="37" s="1"/>
  <c r="F143" i="35"/>
  <c r="F143" i="37" s="1"/>
  <c r="B147" i="35"/>
  <c r="B147" i="37" s="1"/>
  <c r="E142" i="35"/>
  <c r="E142" i="37" s="1"/>
  <c r="B148" i="35"/>
  <c r="B148" i="37" s="1"/>
  <c r="I148" i="35"/>
  <c r="I148" i="37" s="1"/>
  <c r="D141" i="35"/>
  <c r="D141" i="37" s="1"/>
  <c r="I143" i="35"/>
  <c r="I143" i="37" s="1"/>
  <c r="H142" i="35"/>
  <c r="H142" i="37" s="1"/>
  <c r="G147" i="35"/>
  <c r="G147" i="37" s="1"/>
  <c r="K146" i="35"/>
  <c r="K146" i="37" s="1"/>
  <c r="J148" i="35"/>
  <c r="J148" i="37" s="1"/>
  <c r="I142" i="35"/>
  <c r="I142" i="37" s="1"/>
  <c r="F141" i="35"/>
  <c r="F141" i="37" s="1"/>
  <c r="F145" i="35"/>
  <c r="F145" i="37" s="1"/>
  <c r="D221" i="39"/>
  <c r="D377" i="8"/>
  <c r="D216" i="39"/>
  <c r="D372" i="8"/>
  <c r="C502" i="8"/>
  <c r="C358" i="39"/>
  <c r="G182" i="8"/>
  <c r="F182" i="39"/>
  <c r="F181" i="39"/>
  <c r="G181" i="8"/>
  <c r="C294" i="34"/>
  <c r="C512" i="8"/>
  <c r="C368" i="39"/>
  <c r="G173" i="8"/>
  <c r="F173" i="39"/>
  <c r="I59" i="59"/>
  <c r="H59" i="60"/>
  <c r="C94" i="34"/>
  <c r="C154" i="6"/>
  <c r="C95" i="34"/>
  <c r="C155" i="6"/>
  <c r="C360" i="39"/>
  <c r="C504" i="8"/>
  <c r="C612" i="8" s="1"/>
  <c r="G158" i="7"/>
  <c r="C158" i="7"/>
  <c r="C292" i="34"/>
  <c r="C518" i="8"/>
  <c r="C374" i="39"/>
  <c r="C367" i="39"/>
  <c r="C511" i="8"/>
  <c r="C619" i="8" s="1"/>
  <c r="D213" i="39"/>
  <c r="D369" i="8"/>
  <c r="I62" i="59"/>
  <c r="H62" i="60"/>
  <c r="H175" i="38"/>
  <c r="I167" i="38"/>
  <c r="G163" i="8"/>
  <c r="F163" i="39"/>
  <c r="C365" i="39"/>
  <c r="C509" i="8"/>
  <c r="B549" i="39"/>
  <c r="C548" i="39"/>
  <c r="H547" i="39"/>
  <c r="E546" i="39"/>
  <c r="G544" i="39"/>
  <c r="J546" i="39"/>
  <c r="E547" i="39"/>
  <c r="K549" i="39"/>
  <c r="K545" i="39"/>
  <c r="D542" i="39"/>
  <c r="C545" i="39"/>
  <c r="E549" i="39"/>
  <c r="H548" i="39"/>
  <c r="I546" i="39"/>
  <c r="K544" i="39"/>
  <c r="J549" i="39"/>
  <c r="J547" i="39"/>
  <c r="D548" i="39"/>
  <c r="C547" i="39"/>
  <c r="I544" i="39"/>
  <c r="H533" i="39"/>
  <c r="I540" i="39"/>
  <c r="F535" i="39"/>
  <c r="F539" i="39"/>
  <c r="G540" i="39"/>
  <c r="F533" i="39"/>
  <c r="E536" i="39"/>
  <c r="B538" i="39"/>
  <c r="C535" i="39"/>
  <c r="F536" i="39"/>
  <c r="G535" i="39"/>
  <c r="C536" i="39"/>
  <c r="B535" i="39"/>
  <c r="F538" i="39"/>
  <c r="J538" i="39"/>
  <c r="H540" i="39"/>
  <c r="K535" i="39"/>
  <c r="H536" i="39"/>
  <c r="J539" i="39"/>
  <c r="K539" i="39"/>
  <c r="C209" i="34"/>
  <c r="C218" i="6"/>
  <c r="D222" i="39"/>
  <c r="D378" i="8"/>
  <c r="D219" i="39"/>
  <c r="D375" i="8"/>
  <c r="G180" i="8"/>
  <c r="F180" i="39"/>
  <c r="J158" i="7"/>
  <c r="I61" i="59"/>
  <c r="H61" i="60"/>
  <c r="C519" i="8"/>
  <c r="C375" i="39"/>
  <c r="F556" i="39"/>
  <c r="F558" i="39"/>
  <c r="K554" i="39"/>
  <c r="K555" i="39"/>
  <c r="B555" i="39"/>
  <c r="I552" i="39"/>
  <c r="J555" i="39"/>
  <c r="K552" i="39"/>
  <c r="G557" i="39"/>
  <c r="F552" i="39"/>
  <c r="B552" i="39"/>
  <c r="K558" i="39"/>
  <c r="I551" i="39"/>
  <c r="D556" i="39"/>
  <c r="J554" i="39"/>
  <c r="H554" i="39"/>
  <c r="B551" i="39"/>
  <c r="B626" i="8"/>
  <c r="C628" i="8"/>
  <c r="B624" i="8"/>
  <c r="B629" i="8"/>
  <c r="C627" i="8"/>
  <c r="B627" i="8"/>
  <c r="B625" i="8"/>
  <c r="C626" i="8"/>
  <c r="B628" i="8"/>
  <c r="C623" i="8"/>
  <c r="B623" i="8"/>
  <c r="B630" i="8"/>
  <c r="K557" i="39"/>
  <c r="E552" i="39"/>
  <c r="D551" i="39"/>
  <c r="K63" i="58"/>
  <c r="F168" i="39"/>
  <c r="G168" i="8"/>
  <c r="D202" i="39"/>
  <c r="D358" i="8"/>
  <c r="D357" i="8"/>
  <c r="D201" i="39"/>
  <c r="C204" i="34"/>
  <c r="C213" i="6"/>
  <c r="C353" i="39"/>
  <c r="C497" i="8"/>
  <c r="C296" i="34"/>
  <c r="C293" i="34"/>
  <c r="C372" i="39"/>
  <c r="C516" i="8"/>
  <c r="C624" i="8" s="1"/>
  <c r="C373" i="39"/>
  <c r="C517" i="8"/>
  <c r="E198" i="8"/>
  <c r="E197" i="8"/>
  <c r="E201" i="8"/>
  <c r="E199" i="8"/>
  <c r="E165" i="39"/>
  <c r="E202" i="8"/>
  <c r="E200" i="8"/>
  <c r="E204" i="8"/>
  <c r="E203" i="8"/>
  <c r="H549" i="39"/>
  <c r="G542" i="39"/>
  <c r="E542" i="39"/>
  <c r="E548" i="39"/>
  <c r="C549" i="39"/>
  <c r="I545" i="39"/>
  <c r="K543" i="39"/>
  <c r="B545" i="39"/>
  <c r="C543" i="39"/>
  <c r="F546" i="39"/>
  <c r="B547" i="39"/>
  <c r="H544" i="39"/>
  <c r="B546" i="39"/>
  <c r="C546" i="39"/>
  <c r="F547" i="39"/>
  <c r="J542" i="39"/>
  <c r="I548" i="39"/>
  <c r="B548" i="39"/>
  <c r="J544" i="39"/>
  <c r="K548" i="39"/>
  <c r="D536" i="39"/>
  <c r="E537" i="39"/>
  <c r="K537" i="39"/>
  <c r="C534" i="39"/>
  <c r="D533" i="39"/>
  <c r="E540" i="39"/>
  <c r="K534" i="39"/>
  <c r="B540" i="39"/>
  <c r="H539" i="39"/>
  <c r="H538" i="39"/>
  <c r="E533" i="39"/>
  <c r="C538" i="39"/>
  <c r="G538" i="39"/>
  <c r="I533" i="39"/>
  <c r="B533" i="39"/>
  <c r="B607" i="8"/>
  <c r="B611" i="8"/>
  <c r="C610" i="8"/>
  <c r="C611" i="8"/>
  <c r="C605" i="8"/>
  <c r="B612" i="8"/>
  <c r="B609" i="8"/>
  <c r="B610" i="8"/>
  <c r="B608" i="8"/>
  <c r="B605" i="8"/>
  <c r="B606" i="8"/>
  <c r="I535" i="39"/>
  <c r="J540" i="39"/>
  <c r="D540" i="39"/>
  <c r="C537" i="39"/>
  <c r="G533" i="39"/>
  <c r="D220" i="39"/>
  <c r="D376" i="8"/>
  <c r="H165" i="38"/>
  <c r="I157" i="38"/>
  <c r="G170" i="8"/>
  <c r="F170" i="39"/>
  <c r="G177" i="8"/>
  <c r="F185" i="8"/>
  <c r="F177" i="39"/>
  <c r="F164" i="39"/>
  <c r="G164" i="8"/>
  <c r="C297" i="34"/>
  <c r="B553" i="39"/>
  <c r="C555" i="39"/>
  <c r="C553" i="39"/>
  <c r="H555" i="39"/>
  <c r="J556" i="39"/>
  <c r="J557" i="39"/>
  <c r="C558" i="39"/>
  <c r="F555" i="39"/>
  <c r="E557" i="39"/>
  <c r="D555" i="39"/>
  <c r="H553" i="39"/>
  <c r="G552" i="39"/>
  <c r="C554" i="39"/>
  <c r="E553" i="39"/>
  <c r="G558" i="39"/>
  <c r="H556" i="39"/>
  <c r="I558" i="39"/>
  <c r="I554" i="39"/>
  <c r="J551" i="39"/>
  <c r="G551" i="39"/>
  <c r="C369" i="39"/>
  <c r="C513" i="8"/>
  <c r="F183" i="39"/>
  <c r="G183" i="8"/>
  <c r="D204" i="39"/>
  <c r="D360" i="8"/>
  <c r="D199" i="39"/>
  <c r="D355" i="8"/>
  <c r="C205" i="34"/>
  <c r="C214" i="6"/>
  <c r="C376" i="39"/>
  <c r="C520" i="8"/>
  <c r="C207" i="34"/>
  <c r="C216" i="6"/>
  <c r="D50" i="40"/>
  <c r="D51" i="4"/>
  <c r="D208" i="39"/>
  <c r="D364" i="8"/>
  <c r="D210" i="39"/>
  <c r="D366" i="8"/>
  <c r="I63" i="59"/>
  <c r="H63" i="60"/>
  <c r="K65" i="58"/>
  <c r="K62" i="58"/>
  <c r="C295" i="34"/>
  <c r="C217" i="6"/>
  <c r="C208" i="34"/>
  <c r="C377" i="39"/>
  <c r="C521" i="8"/>
  <c r="C510" i="8"/>
  <c r="C366" i="39"/>
  <c r="G174" i="8"/>
  <c r="F174" i="39"/>
  <c r="F157" i="39"/>
  <c r="G157" i="8"/>
  <c r="F165" i="8"/>
  <c r="F175" i="8"/>
  <c r="G167" i="8"/>
  <c r="F167" i="39"/>
  <c r="B542" i="39"/>
  <c r="C616" i="8"/>
  <c r="B614" i="8"/>
  <c r="B616" i="8"/>
  <c r="B618" i="8"/>
  <c r="B615" i="8"/>
  <c r="C618" i="8"/>
  <c r="B621" i="8"/>
  <c r="B620" i="8"/>
  <c r="B617" i="8"/>
  <c r="B619" i="8"/>
  <c r="C620" i="8"/>
  <c r="C617" i="8"/>
  <c r="D545" i="39"/>
  <c r="B543" i="39"/>
  <c r="C542" i="39"/>
  <c r="H545" i="39"/>
  <c r="I549" i="39"/>
  <c r="G547" i="39"/>
  <c r="K547" i="39"/>
  <c r="G545" i="39"/>
  <c r="J543" i="39"/>
  <c r="H543" i="39"/>
  <c r="J548" i="39"/>
  <c r="E543" i="39"/>
  <c r="H542" i="39"/>
  <c r="G546" i="39"/>
  <c r="F544" i="39"/>
  <c r="J545" i="39"/>
  <c r="D547" i="39"/>
  <c r="D543" i="39"/>
  <c r="K542" i="39"/>
  <c r="E538" i="39"/>
  <c r="C540" i="39"/>
  <c r="I539" i="39"/>
  <c r="K533" i="39"/>
  <c r="H535" i="39"/>
  <c r="J534" i="39"/>
  <c r="K540" i="39"/>
  <c r="G537" i="39"/>
  <c r="I536" i="39"/>
  <c r="G539" i="39"/>
  <c r="I534" i="39"/>
  <c r="D535" i="39"/>
  <c r="G536" i="39"/>
  <c r="F537" i="39"/>
  <c r="B537" i="39"/>
  <c r="H537" i="39"/>
  <c r="J533" i="39"/>
  <c r="G534" i="39"/>
  <c r="B536" i="39"/>
  <c r="D539" i="39"/>
  <c r="D371" i="8"/>
  <c r="D215" i="39"/>
  <c r="D218" i="39"/>
  <c r="D374" i="8"/>
  <c r="D373" i="8"/>
  <c r="D217" i="39"/>
  <c r="G203" i="38"/>
  <c r="G359" i="38" s="1"/>
  <c r="G204" i="38"/>
  <c r="G360" i="38" s="1"/>
  <c r="G200" i="38"/>
  <c r="G356" i="38" s="1"/>
  <c r="G197" i="38"/>
  <c r="G353" i="38" s="1"/>
  <c r="G202" i="38"/>
  <c r="G358" i="38" s="1"/>
  <c r="G198" i="38"/>
  <c r="G354" i="38" s="1"/>
  <c r="G199" i="38"/>
  <c r="G355" i="38" s="1"/>
  <c r="G201" i="38"/>
  <c r="G357" i="38" s="1"/>
  <c r="C498" i="8"/>
  <c r="C606" i="8" s="1"/>
  <c r="C354" i="39"/>
  <c r="C127" i="34"/>
  <c r="E221" i="8"/>
  <c r="E218" i="8"/>
  <c r="E217" i="8"/>
  <c r="E185" i="39"/>
  <c r="E220" i="8"/>
  <c r="E219" i="8"/>
  <c r="E222" i="8"/>
  <c r="E215" i="8"/>
  <c r="E216" i="8"/>
  <c r="C356" i="39"/>
  <c r="C500" i="8"/>
  <c r="D60" i="4"/>
  <c r="D59" i="40"/>
  <c r="K158" i="7"/>
  <c r="G161" i="8"/>
  <c r="F161" i="39"/>
  <c r="J553" i="39"/>
  <c r="K551" i="39"/>
  <c r="H557" i="39"/>
  <c r="G553" i="39"/>
  <c r="I556" i="39"/>
  <c r="D558" i="39"/>
  <c r="D552" i="39"/>
  <c r="C551" i="39"/>
  <c r="J552" i="39"/>
  <c r="E556" i="39"/>
  <c r="I553" i="39"/>
  <c r="J558" i="39"/>
  <c r="E555" i="39"/>
  <c r="H551" i="39"/>
  <c r="E554" i="39"/>
  <c r="K553" i="39"/>
  <c r="F557" i="39"/>
  <c r="K556" i="39"/>
  <c r="F553" i="39"/>
  <c r="E551" i="39"/>
  <c r="C203" i="34"/>
  <c r="C212" i="6"/>
  <c r="D200" i="39"/>
  <c r="D356" i="8"/>
  <c r="D354" i="8"/>
  <c r="D198" i="39"/>
  <c r="J162" i="7"/>
  <c r="E163" i="7"/>
  <c r="H163" i="7"/>
  <c r="B161" i="7"/>
  <c r="K167" i="7"/>
  <c r="G162" i="7"/>
  <c r="F164" i="7"/>
  <c r="B164" i="7"/>
  <c r="F160" i="7"/>
  <c r="H161" i="7"/>
  <c r="J163" i="7"/>
  <c r="B160" i="7"/>
  <c r="I166" i="7"/>
  <c r="E167" i="7"/>
  <c r="E162" i="7"/>
  <c r="I164" i="7"/>
  <c r="C163" i="7"/>
  <c r="K164" i="7"/>
  <c r="J164" i="7"/>
  <c r="I161" i="7"/>
  <c r="I167" i="7"/>
  <c r="G160" i="7"/>
  <c r="E164" i="7"/>
  <c r="G167" i="7"/>
  <c r="K163" i="7"/>
  <c r="D160" i="7"/>
  <c r="G165" i="7"/>
  <c r="K161" i="7"/>
  <c r="I163" i="7"/>
  <c r="B158" i="7"/>
  <c r="E166" i="7"/>
  <c r="J165" i="7"/>
  <c r="C166" i="7"/>
  <c r="K166" i="7"/>
  <c r="E161" i="7"/>
  <c r="H160" i="7"/>
  <c r="D167" i="7"/>
  <c r="C164" i="7"/>
  <c r="G163" i="7"/>
  <c r="B162" i="7"/>
  <c r="H166" i="7"/>
  <c r="B167" i="7"/>
  <c r="F165" i="7"/>
  <c r="E165" i="7"/>
  <c r="F163" i="7"/>
  <c r="I162" i="7"/>
  <c r="G161" i="7"/>
  <c r="H162" i="7"/>
  <c r="F161" i="7"/>
  <c r="K160" i="7"/>
  <c r="C160" i="7"/>
  <c r="F167" i="7"/>
  <c r="J166" i="7"/>
  <c r="D166" i="7"/>
  <c r="B163" i="7"/>
  <c r="J160" i="7"/>
  <c r="G166" i="7"/>
  <c r="H164" i="7"/>
  <c r="K165" i="7"/>
  <c r="I165" i="7"/>
  <c r="H165" i="7"/>
  <c r="D161" i="7"/>
  <c r="C161" i="7"/>
  <c r="G164" i="7"/>
  <c r="B166" i="7"/>
  <c r="D163" i="7"/>
  <c r="D164" i="7"/>
  <c r="I160" i="7"/>
  <c r="D165" i="7"/>
  <c r="E160" i="7"/>
  <c r="C165" i="7"/>
  <c r="B165" i="7"/>
  <c r="J167" i="7"/>
  <c r="F166" i="7"/>
  <c r="D162" i="7"/>
  <c r="C162" i="7"/>
  <c r="C167" i="7"/>
  <c r="H167" i="7"/>
  <c r="F162" i="7"/>
  <c r="J161" i="7"/>
  <c r="K162" i="7"/>
  <c r="C298" i="34"/>
  <c r="F160" i="39"/>
  <c r="G160" i="8"/>
  <c r="C148" i="6"/>
  <c r="C88" i="34"/>
  <c r="G218" i="38"/>
  <c r="G374" i="38" s="1"/>
  <c r="G222" i="38"/>
  <c r="G378" i="38" s="1"/>
  <c r="G220" i="38"/>
  <c r="G376" i="38" s="1"/>
  <c r="G219" i="38"/>
  <c r="G375" i="38" s="1"/>
  <c r="G221" i="38"/>
  <c r="G377" i="38" s="1"/>
  <c r="G216" i="38"/>
  <c r="G372" i="38" s="1"/>
  <c r="G217" i="38"/>
  <c r="G373" i="38" s="1"/>
  <c r="G215" i="38"/>
  <c r="G371" i="38" s="1"/>
  <c r="G207" i="38"/>
  <c r="G363" i="38" s="1"/>
  <c r="G212" i="38"/>
  <c r="G368" i="38" s="1"/>
  <c r="G206" i="38"/>
  <c r="G362" i="38" s="1"/>
  <c r="G210" i="38"/>
  <c r="G366" i="38" s="1"/>
  <c r="G211" i="38"/>
  <c r="G367" i="38" s="1"/>
  <c r="G209" i="38"/>
  <c r="G365" i="38" s="1"/>
  <c r="G213" i="38"/>
  <c r="G369" i="38" s="1"/>
  <c r="G208" i="38"/>
  <c r="G364" i="38" s="1"/>
  <c r="D87" i="29"/>
  <c r="G178" i="8"/>
  <c r="F178" i="39"/>
  <c r="G179" i="8"/>
  <c r="F179" i="39"/>
  <c r="C355" i="39"/>
  <c r="C499" i="8"/>
  <c r="C607" i="8" s="1"/>
  <c r="C299" i="34"/>
  <c r="I557" i="39"/>
  <c r="G556" i="39"/>
  <c r="G555" i="39"/>
  <c r="D554" i="39"/>
  <c r="B557" i="39"/>
  <c r="C556" i="39"/>
  <c r="F551" i="39"/>
  <c r="B556" i="39"/>
  <c r="D557" i="39"/>
  <c r="H558" i="39"/>
  <c r="H552" i="39"/>
  <c r="E558" i="39"/>
  <c r="B558" i="39"/>
  <c r="D553" i="39"/>
  <c r="I555" i="39"/>
  <c r="F554" i="39"/>
  <c r="C557" i="39"/>
  <c r="G554" i="39"/>
  <c r="C552" i="39"/>
  <c r="B554" i="39"/>
  <c r="C507" i="8"/>
  <c r="C615" i="8" s="1"/>
  <c r="C363" i="39"/>
  <c r="D353" i="8"/>
  <c r="D197" i="39"/>
  <c r="D203" i="39"/>
  <c r="D359" i="8"/>
  <c r="F564" i="39" l="1"/>
  <c r="C564" i="39"/>
  <c r="J562" i="39"/>
  <c r="E563" i="39"/>
  <c r="H560" i="39"/>
  <c r="B567" i="39"/>
  <c r="C566" i="39"/>
  <c r="K560" i="39"/>
  <c r="G562" i="39"/>
  <c r="E565" i="39"/>
  <c r="I561" i="39"/>
  <c r="J566" i="39"/>
  <c r="D560" i="39"/>
  <c r="K564" i="39"/>
  <c r="F567" i="39"/>
  <c r="G560" i="39"/>
  <c r="I563" i="39"/>
  <c r="E562" i="39"/>
  <c r="F565" i="39"/>
  <c r="D564" i="39"/>
  <c r="D563" i="39"/>
  <c r="I560" i="39"/>
  <c r="J560" i="39"/>
  <c r="E561" i="39"/>
  <c r="D562" i="39"/>
  <c r="B562" i="39"/>
  <c r="H561" i="39"/>
  <c r="F560" i="39"/>
  <c r="B564" i="39"/>
  <c r="H187" i="38"/>
  <c r="G195" i="38"/>
  <c r="C383" i="39"/>
  <c r="C527" i="8"/>
  <c r="C381" i="39"/>
  <c r="C525" i="8"/>
  <c r="C633" i="8" s="1"/>
  <c r="D384" i="8"/>
  <c r="D228" i="39"/>
  <c r="D385" i="8"/>
  <c r="D229" i="39"/>
  <c r="G191" i="8"/>
  <c r="F191" i="39"/>
  <c r="G194" i="8"/>
  <c r="F194" i="39"/>
  <c r="K566" i="39"/>
  <c r="C565" i="39"/>
  <c r="H567" i="39"/>
  <c r="I565" i="39"/>
  <c r="D566" i="39"/>
  <c r="G565" i="39"/>
  <c r="I564" i="39"/>
  <c r="D634" i="38"/>
  <c r="B632" i="38"/>
  <c r="E633" i="38"/>
  <c r="E635" i="38"/>
  <c r="C638" i="38"/>
  <c r="C637" i="38"/>
  <c r="E636" i="38"/>
  <c r="C639" i="38"/>
  <c r="D635" i="38"/>
  <c r="B639" i="8"/>
  <c r="C635" i="8"/>
  <c r="B560" i="39"/>
  <c r="E632" i="38"/>
  <c r="C633" i="38"/>
  <c r="D639" i="38"/>
  <c r="D632" i="38"/>
  <c r="E639" i="38"/>
  <c r="B637" i="8"/>
  <c r="B633" i="8"/>
  <c r="E634" i="38"/>
  <c r="B639" i="38"/>
  <c r="C635" i="38"/>
  <c r="D636" i="38"/>
  <c r="B636" i="38"/>
  <c r="D637" i="38"/>
  <c r="B633" i="38"/>
  <c r="C632" i="38"/>
  <c r="E638" i="38"/>
  <c r="B635" i="8"/>
  <c r="B634" i="8"/>
  <c r="D638" i="38"/>
  <c r="B635" i="38"/>
  <c r="C634" i="38"/>
  <c r="B634" i="38"/>
  <c r="C636" i="38"/>
  <c r="B637" i="38"/>
  <c r="B638" i="38"/>
  <c r="D633" i="38"/>
  <c r="E637" i="38"/>
  <c r="B632" i="8"/>
  <c r="B632" i="39" s="1"/>
  <c r="B638" i="8"/>
  <c r="B638" i="39" s="1"/>
  <c r="E566" i="39"/>
  <c r="J561" i="39"/>
  <c r="G563" i="39"/>
  <c r="I566" i="39"/>
  <c r="C567" i="39"/>
  <c r="F563" i="39"/>
  <c r="D561" i="39"/>
  <c r="D383" i="8"/>
  <c r="D227" i="39"/>
  <c r="D386" i="8"/>
  <c r="D230" i="39"/>
  <c r="F189" i="39"/>
  <c r="G189" i="8"/>
  <c r="C385" i="39"/>
  <c r="C529" i="8"/>
  <c r="E229" i="8"/>
  <c r="E231" i="8"/>
  <c r="E228" i="8"/>
  <c r="E225" i="8"/>
  <c r="E226" i="8"/>
  <c r="E230" i="8"/>
  <c r="E227" i="8"/>
  <c r="E224" i="8"/>
  <c r="E195" i="39"/>
  <c r="C382" i="39"/>
  <c r="C526" i="8"/>
  <c r="C380" i="39"/>
  <c r="C524" i="8"/>
  <c r="C386" i="39"/>
  <c r="C530" i="8"/>
  <c r="C638" i="8" s="1"/>
  <c r="D381" i="8"/>
  <c r="D225" i="39"/>
  <c r="D387" i="8"/>
  <c r="D231" i="39"/>
  <c r="G192" i="8"/>
  <c r="F192" i="39"/>
  <c r="F190" i="39"/>
  <c r="G190" i="8"/>
  <c r="G187" i="8"/>
  <c r="F195" i="8"/>
  <c r="F187" i="39"/>
  <c r="K567" i="39"/>
  <c r="F562" i="39"/>
  <c r="B561" i="39"/>
  <c r="G567" i="39"/>
  <c r="D565" i="39"/>
  <c r="F566" i="39"/>
  <c r="H562" i="39"/>
  <c r="K561" i="39"/>
  <c r="H565" i="39"/>
  <c r="J565" i="39"/>
  <c r="G564" i="39"/>
  <c r="K563" i="39"/>
  <c r="F226" i="38"/>
  <c r="F382" i="38" s="1"/>
  <c r="F526" i="38" s="1"/>
  <c r="F598" i="38" s="1"/>
  <c r="F230" i="38"/>
  <c r="F386" i="38" s="1"/>
  <c r="F530" i="38" s="1"/>
  <c r="F602" i="38" s="1"/>
  <c r="F228" i="38"/>
  <c r="F384" i="38" s="1"/>
  <c r="F528" i="38" s="1"/>
  <c r="F600" i="38" s="1"/>
  <c r="F225" i="38"/>
  <c r="F381" i="38" s="1"/>
  <c r="F525" i="38" s="1"/>
  <c r="F597" i="38" s="1"/>
  <c r="F224" i="38"/>
  <c r="F380" i="38" s="1"/>
  <c r="F524" i="38" s="1"/>
  <c r="F596" i="38" s="1"/>
  <c r="F231" i="38"/>
  <c r="F387" i="38" s="1"/>
  <c r="F531" i="38" s="1"/>
  <c r="F603" i="38" s="1"/>
  <c r="F229" i="38"/>
  <c r="F385" i="38" s="1"/>
  <c r="F529" i="38" s="1"/>
  <c r="F601" i="38" s="1"/>
  <c r="F227" i="38"/>
  <c r="F383" i="38" s="1"/>
  <c r="F527" i="38" s="1"/>
  <c r="F599" i="38" s="1"/>
  <c r="C387" i="39"/>
  <c r="C531" i="8"/>
  <c r="C639" i="8" s="1"/>
  <c r="C639" i="39" s="1"/>
  <c r="F193" i="39"/>
  <c r="G193" i="8"/>
  <c r="B636" i="8"/>
  <c r="F188" i="39"/>
  <c r="G188" i="8"/>
  <c r="D380" i="8"/>
  <c r="D224" i="39"/>
  <c r="D382" i="8"/>
  <c r="D226" i="39"/>
  <c r="C384" i="39"/>
  <c r="C528" i="8"/>
  <c r="C636" i="8" s="1"/>
  <c r="H177" i="7"/>
  <c r="D173" i="7"/>
  <c r="D176" i="7"/>
  <c r="B177" i="7"/>
  <c r="D170" i="7"/>
  <c r="D168" i="7"/>
  <c r="H171" i="7"/>
  <c r="F175" i="39"/>
  <c r="F213" i="8"/>
  <c r="F210" i="8"/>
  <c r="F208" i="8"/>
  <c r="F209" i="8"/>
  <c r="F206" i="8"/>
  <c r="F207" i="8"/>
  <c r="F212" i="8"/>
  <c r="F211" i="8"/>
  <c r="L62" i="58"/>
  <c r="C585" i="8"/>
  <c r="H177" i="8"/>
  <c r="G185" i="8"/>
  <c r="G177" i="39"/>
  <c r="E170" i="7"/>
  <c r="E168" i="7"/>
  <c r="H174" i="7"/>
  <c r="I172" i="7"/>
  <c r="K176" i="7"/>
  <c r="K174" i="7"/>
  <c r="G172" i="7"/>
  <c r="E173" i="7"/>
  <c r="D500" i="8"/>
  <c r="D356" i="39"/>
  <c r="E216" i="39"/>
  <c r="E372" i="8"/>
  <c r="E221" i="39"/>
  <c r="E377" i="8"/>
  <c r="D371" i="39"/>
  <c r="D515" i="8"/>
  <c r="E202" i="39"/>
  <c r="E358" i="8"/>
  <c r="J62" i="59"/>
  <c r="I62" i="60"/>
  <c r="H173" i="8"/>
  <c r="G173" i="39"/>
  <c r="D521" i="8"/>
  <c r="D377" i="39"/>
  <c r="E213" i="39"/>
  <c r="E369" i="8"/>
  <c r="D365" i="39"/>
  <c r="D509" i="8"/>
  <c r="C594" i="8"/>
  <c r="K172" i="7"/>
  <c r="D175" i="7"/>
  <c r="B176" i="7"/>
  <c r="G176" i="7"/>
  <c r="J176" i="7"/>
  <c r="F173" i="7"/>
  <c r="H176" i="7"/>
  <c r="C176" i="7"/>
  <c r="I173" i="7"/>
  <c r="K173" i="7"/>
  <c r="C173" i="7"/>
  <c r="I176" i="7"/>
  <c r="F168" i="7"/>
  <c r="F170" i="7"/>
  <c r="K177" i="7"/>
  <c r="J172" i="7"/>
  <c r="G161" i="39"/>
  <c r="H161" i="8"/>
  <c r="B644" i="8"/>
  <c r="B646" i="8"/>
  <c r="E203" i="39"/>
  <c r="E359" i="8"/>
  <c r="E198" i="39"/>
  <c r="E354" i="8"/>
  <c r="D358" i="39"/>
  <c r="D502" i="8"/>
  <c r="J61" i="59"/>
  <c r="I61" i="60"/>
  <c r="D378" i="39"/>
  <c r="D522" i="8"/>
  <c r="C581" i="8"/>
  <c r="I175" i="38"/>
  <c r="J167" i="38"/>
  <c r="D513" i="8"/>
  <c r="D369" i="39"/>
  <c r="C155" i="34"/>
  <c r="E208" i="39"/>
  <c r="E364" i="8"/>
  <c r="E211" i="39"/>
  <c r="E367" i="8"/>
  <c r="E207" i="39"/>
  <c r="E363" i="8"/>
  <c r="C578" i="8"/>
  <c r="H218" i="38"/>
  <c r="H374" i="38" s="1"/>
  <c r="H215" i="38"/>
  <c r="H371" i="38" s="1"/>
  <c r="H219" i="38"/>
  <c r="H375" i="38" s="1"/>
  <c r="H216" i="38"/>
  <c r="H372" i="38" s="1"/>
  <c r="H222" i="38"/>
  <c r="H378" i="38" s="1"/>
  <c r="H217" i="38"/>
  <c r="H373" i="38" s="1"/>
  <c r="H221" i="38"/>
  <c r="H377" i="38" s="1"/>
  <c r="H220" i="38"/>
  <c r="H376" i="38" s="1"/>
  <c r="H184" i="8"/>
  <c r="G184" i="39"/>
  <c r="C151" i="34"/>
  <c r="D44" i="4"/>
  <c r="D43" i="40"/>
  <c r="J60" i="59"/>
  <c r="I60" i="60"/>
  <c r="H172" i="8"/>
  <c r="G172" i="39"/>
  <c r="L59" i="58"/>
  <c r="H159" i="8"/>
  <c r="G159" i="39"/>
  <c r="C152" i="34"/>
  <c r="L61" i="58"/>
  <c r="E376" i="8"/>
  <c r="E220" i="39"/>
  <c r="D373" i="39"/>
  <c r="D517" i="8"/>
  <c r="C593" i="8"/>
  <c r="D504" i="8"/>
  <c r="D360" i="39"/>
  <c r="G164" i="39"/>
  <c r="H164" i="8"/>
  <c r="H197" i="38"/>
  <c r="H353" i="38" s="1"/>
  <c r="H200" i="38"/>
  <c r="H356" i="38" s="1"/>
  <c r="H202" i="38"/>
  <c r="H358" i="38" s="1"/>
  <c r="H198" i="38"/>
  <c r="H354" i="38" s="1"/>
  <c r="H203" i="38"/>
  <c r="H359" i="38" s="1"/>
  <c r="H199" i="38"/>
  <c r="H355" i="38" s="1"/>
  <c r="H201" i="38"/>
  <c r="H357" i="38" s="1"/>
  <c r="H204" i="38"/>
  <c r="H360" i="38" s="1"/>
  <c r="E197" i="39"/>
  <c r="E353" i="8"/>
  <c r="C589" i="8"/>
  <c r="C213" i="34"/>
  <c r="C231" i="6"/>
  <c r="D501" i="8"/>
  <c r="D357" i="39"/>
  <c r="C625" i="8"/>
  <c r="G179" i="39"/>
  <c r="H179" i="8"/>
  <c r="C177" i="7"/>
  <c r="E215" i="39"/>
  <c r="E371" i="8"/>
  <c r="D374" i="39"/>
  <c r="D518" i="8"/>
  <c r="F202" i="8"/>
  <c r="F204" i="8"/>
  <c r="F165" i="39"/>
  <c r="F200" i="8"/>
  <c r="F201" i="8"/>
  <c r="F198" i="8"/>
  <c r="F199" i="8"/>
  <c r="F197" i="8"/>
  <c r="F203" i="8"/>
  <c r="H174" i="8"/>
  <c r="G174" i="39"/>
  <c r="D366" i="39"/>
  <c r="D510" i="8"/>
  <c r="D52" i="4"/>
  <c r="D51" i="40"/>
  <c r="D520" i="8"/>
  <c r="D376" i="39"/>
  <c r="D503" i="8"/>
  <c r="D359" i="39"/>
  <c r="G178" i="39"/>
  <c r="H178" i="8"/>
  <c r="C148" i="34"/>
  <c r="J171" i="7"/>
  <c r="C172" i="7"/>
  <c r="B175" i="7"/>
  <c r="I170" i="7"/>
  <c r="I168" i="7"/>
  <c r="G174" i="7"/>
  <c r="I175" i="7"/>
  <c r="J168" i="7"/>
  <c r="J170" i="7"/>
  <c r="F177" i="7"/>
  <c r="H172" i="7"/>
  <c r="E175" i="7"/>
  <c r="B172" i="7"/>
  <c r="H168" i="7"/>
  <c r="H170" i="7"/>
  <c r="J175" i="7"/>
  <c r="K171" i="7"/>
  <c r="G177" i="7"/>
  <c r="I171" i="7"/>
  <c r="I174" i="7"/>
  <c r="B170" i="7"/>
  <c r="B168" i="7"/>
  <c r="B174" i="7"/>
  <c r="B171" i="7"/>
  <c r="C230" i="6"/>
  <c r="C212" i="34"/>
  <c r="E378" i="8"/>
  <c r="E222" i="39"/>
  <c r="E217" i="39"/>
  <c r="E373" i="8"/>
  <c r="G165" i="8"/>
  <c r="G157" i="39"/>
  <c r="H157" i="8"/>
  <c r="D355" i="39"/>
  <c r="D499" i="8"/>
  <c r="H183" i="8"/>
  <c r="G183" i="39"/>
  <c r="H170" i="8"/>
  <c r="G170" i="39"/>
  <c r="B643" i="8"/>
  <c r="E204" i="39"/>
  <c r="E360" i="8"/>
  <c r="E199" i="39"/>
  <c r="E355" i="8"/>
  <c r="C588" i="8"/>
  <c r="L63" i="58"/>
  <c r="C629" i="8"/>
  <c r="G180" i="39"/>
  <c r="H180" i="8"/>
  <c r="H210" i="38"/>
  <c r="H366" i="38" s="1"/>
  <c r="H211" i="38"/>
  <c r="H367" i="38" s="1"/>
  <c r="H209" i="38"/>
  <c r="H365" i="38" s="1"/>
  <c r="H208" i="38"/>
  <c r="H364" i="38" s="1"/>
  <c r="H213" i="38"/>
  <c r="H369" i="38" s="1"/>
  <c r="H212" i="38"/>
  <c r="H368" i="38" s="1"/>
  <c r="H207" i="38"/>
  <c r="H363" i="38" s="1"/>
  <c r="H206" i="38"/>
  <c r="H362" i="38" s="1"/>
  <c r="J59" i="59"/>
  <c r="I59" i="60"/>
  <c r="C584" i="8"/>
  <c r="G181" i="39"/>
  <c r="H181" i="8"/>
  <c r="D372" i="39"/>
  <c r="D516" i="8"/>
  <c r="B150" i="35" a="1"/>
  <c r="B141" i="37"/>
  <c r="E210" i="39"/>
  <c r="E366" i="8"/>
  <c r="E212" i="39"/>
  <c r="E368" i="8"/>
  <c r="D511" i="8"/>
  <c r="D367" i="39"/>
  <c r="J177" i="38"/>
  <c r="I185" i="38"/>
  <c r="C150" i="34"/>
  <c r="C580" i="8"/>
  <c r="G171" i="39"/>
  <c r="H171" i="8"/>
  <c r="C587" i="8"/>
  <c r="F176" i="7"/>
  <c r="D171" i="7"/>
  <c r="K170" i="7"/>
  <c r="K168" i="7"/>
  <c r="C174" i="7"/>
  <c r="G168" i="7"/>
  <c r="G170" i="7"/>
  <c r="E177" i="7"/>
  <c r="B648" i="8"/>
  <c r="D45" i="40"/>
  <c r="D126" i="40"/>
  <c r="D127" i="4"/>
  <c r="C149" i="34"/>
  <c r="C229" i="6"/>
  <c r="C211" i="34"/>
  <c r="D507" i="8"/>
  <c r="D363" i="39"/>
  <c r="D368" i="39"/>
  <c r="D512" i="8"/>
  <c r="D353" i="39"/>
  <c r="D497" i="8"/>
  <c r="J177" i="7"/>
  <c r="H175" i="7"/>
  <c r="F171" i="7"/>
  <c r="D177" i="7"/>
  <c r="I177" i="7"/>
  <c r="C579" i="8"/>
  <c r="D212" i="29"/>
  <c r="D88" i="29"/>
  <c r="G160" i="39"/>
  <c r="H160" i="8"/>
  <c r="F172" i="7"/>
  <c r="D172" i="7"/>
  <c r="C175" i="7"/>
  <c r="D174" i="7"/>
  <c r="C171" i="7"/>
  <c r="K175" i="7"/>
  <c r="B173" i="7"/>
  <c r="C170" i="7"/>
  <c r="C168" i="7"/>
  <c r="G171" i="7"/>
  <c r="F175" i="7"/>
  <c r="G173" i="7"/>
  <c r="E171" i="7"/>
  <c r="E176" i="7"/>
  <c r="G175" i="7"/>
  <c r="E174" i="7"/>
  <c r="J174" i="7"/>
  <c r="E172" i="7"/>
  <c r="J173" i="7"/>
  <c r="F174" i="7"/>
  <c r="H173" i="7"/>
  <c r="D354" i="39"/>
  <c r="D498" i="8"/>
  <c r="D60" i="40"/>
  <c r="D61" i="4"/>
  <c r="D61" i="40" s="1"/>
  <c r="D64" i="4"/>
  <c r="D64" i="40" s="1"/>
  <c r="D62" i="4"/>
  <c r="D62" i="40" s="1"/>
  <c r="E219" i="39"/>
  <c r="E375" i="8"/>
  <c r="E218" i="39"/>
  <c r="E374" i="8"/>
  <c r="C621" i="8"/>
  <c r="H167" i="8"/>
  <c r="G167" i="39"/>
  <c r="G175" i="8"/>
  <c r="C582" i="8"/>
  <c r="C217" i="34"/>
  <c r="C235" i="6"/>
  <c r="L65" i="58"/>
  <c r="J63" i="59"/>
  <c r="I63" i="60"/>
  <c r="D508" i="8"/>
  <c r="D364" i="39"/>
  <c r="C234" i="6"/>
  <c r="C216" i="34"/>
  <c r="C232" i="6"/>
  <c r="C214" i="34"/>
  <c r="F217" i="8"/>
  <c r="F215" i="8"/>
  <c r="F222" i="8"/>
  <c r="F221" i="8"/>
  <c r="F220" i="8"/>
  <c r="F218" i="8"/>
  <c r="F216" i="8"/>
  <c r="F185" i="39"/>
  <c r="F219" i="8"/>
  <c r="J157" i="38"/>
  <c r="I165" i="38"/>
  <c r="C608" i="8"/>
  <c r="B642" i="8"/>
  <c r="E200" i="39"/>
  <c r="E356" i="8"/>
  <c r="E201" i="39"/>
  <c r="E357" i="8"/>
  <c r="H168" i="8"/>
  <c r="G168" i="39"/>
  <c r="C630" i="8"/>
  <c r="D375" i="39"/>
  <c r="D519" i="8"/>
  <c r="C236" i="6"/>
  <c r="C218" i="34"/>
  <c r="G163" i="39"/>
  <c r="H163" i="8"/>
  <c r="C583" i="8"/>
  <c r="C154" i="34"/>
  <c r="G182" i="39"/>
  <c r="H182" i="8"/>
  <c r="E209" i="39"/>
  <c r="E365" i="8"/>
  <c r="E362" i="8"/>
  <c r="E206" i="39"/>
  <c r="J58" i="59"/>
  <c r="I58" i="60"/>
  <c r="G162" i="39"/>
  <c r="H162" i="8"/>
  <c r="C153" i="34"/>
  <c r="G169" i="39"/>
  <c r="H169" i="8"/>
  <c r="C215" i="34"/>
  <c r="C233" i="6"/>
  <c r="J65" i="59"/>
  <c r="I65" i="60"/>
  <c r="J64" i="59"/>
  <c r="I64" i="60"/>
  <c r="L64" i="58"/>
  <c r="G158" i="39"/>
  <c r="H158" i="8"/>
  <c r="L60" i="58"/>
  <c r="L58" i="58"/>
  <c r="D506" i="8"/>
  <c r="D362" i="39"/>
  <c r="D112" i="40"/>
  <c r="D113" i="4"/>
  <c r="B647" i="8" l="1"/>
  <c r="C633" i="39"/>
  <c r="C642" i="8"/>
  <c r="B636" i="39"/>
  <c r="C638" i="39"/>
  <c r="B641" i="8"/>
  <c r="B645" i="8"/>
  <c r="C636" i="39"/>
  <c r="C645" i="8"/>
  <c r="G188" i="39"/>
  <c r="H188" i="8"/>
  <c r="H193" i="8"/>
  <c r="G193" i="39"/>
  <c r="D387" i="39"/>
  <c r="D531" i="8"/>
  <c r="E380" i="8"/>
  <c r="E224" i="39"/>
  <c r="E381" i="8"/>
  <c r="E225" i="39"/>
  <c r="C529" i="39"/>
  <c r="C601" i="8"/>
  <c r="C601" i="39" s="1"/>
  <c r="F636" i="38"/>
  <c r="B633" i="39"/>
  <c r="H191" i="8"/>
  <c r="G191" i="39"/>
  <c r="D384" i="39"/>
  <c r="D528" i="8"/>
  <c r="D382" i="39"/>
  <c r="D526" i="8"/>
  <c r="F229" i="8"/>
  <c r="F227" i="8"/>
  <c r="F224" i="8"/>
  <c r="F225" i="8"/>
  <c r="F226" i="8"/>
  <c r="F228" i="8"/>
  <c r="F231" i="8"/>
  <c r="F230" i="8"/>
  <c r="F195" i="39"/>
  <c r="C524" i="39"/>
  <c r="C596" i="8"/>
  <c r="C596" i="39" s="1"/>
  <c r="C526" i="39"/>
  <c r="C598" i="8"/>
  <c r="C598" i="39" s="1"/>
  <c r="E383" i="8"/>
  <c r="E227" i="39"/>
  <c r="E384" i="8"/>
  <c r="E228" i="39"/>
  <c r="D386" i="39"/>
  <c r="D530" i="8"/>
  <c r="F634" i="38"/>
  <c r="F633" i="38"/>
  <c r="B637" i="39"/>
  <c r="C635" i="39"/>
  <c r="F635" i="38"/>
  <c r="C525" i="39"/>
  <c r="C597" i="8"/>
  <c r="C597" i="39" s="1"/>
  <c r="D68" i="4"/>
  <c r="D68" i="40" s="1"/>
  <c r="C528" i="39"/>
  <c r="C600" i="8"/>
  <c r="C600" i="39" s="1"/>
  <c r="C531" i="39"/>
  <c r="C603" i="8"/>
  <c r="C603" i="39" s="1"/>
  <c r="H187" i="8"/>
  <c r="G195" i="8"/>
  <c r="G187" i="39"/>
  <c r="G192" i="39"/>
  <c r="H192" i="8"/>
  <c r="D381" i="39"/>
  <c r="D525" i="8"/>
  <c r="E386" i="8"/>
  <c r="E230" i="39"/>
  <c r="E387" i="8"/>
  <c r="E231" i="39"/>
  <c r="G189" i="39"/>
  <c r="H189" i="8"/>
  <c r="B635" i="39"/>
  <c r="C632" i="8"/>
  <c r="F637" i="38"/>
  <c r="H194" i="8"/>
  <c r="G194" i="39"/>
  <c r="D385" i="39"/>
  <c r="D529" i="8"/>
  <c r="G228" i="38"/>
  <c r="G384" i="38" s="1"/>
  <c r="G528" i="38" s="1"/>
  <c r="G231" i="38"/>
  <c r="G387" i="38" s="1"/>
  <c r="G531" i="38" s="1"/>
  <c r="G227" i="38"/>
  <c r="G383" i="38" s="1"/>
  <c r="G527" i="38" s="1"/>
  <c r="G230" i="38"/>
  <c r="G386" i="38" s="1"/>
  <c r="G530" i="38" s="1"/>
  <c r="G226" i="38"/>
  <c r="G382" i="38" s="1"/>
  <c r="G526" i="38" s="1"/>
  <c r="G224" i="38"/>
  <c r="G380" i="38" s="1"/>
  <c r="G524" i="38" s="1"/>
  <c r="G225" i="38"/>
  <c r="G381" i="38" s="1"/>
  <c r="G525" i="38" s="1"/>
  <c r="G229" i="38"/>
  <c r="G385" i="38" s="1"/>
  <c r="G529" i="38" s="1"/>
  <c r="C648" i="8"/>
  <c r="D380" i="39"/>
  <c r="D524" i="8"/>
  <c r="H190" i="8"/>
  <c r="G190" i="39"/>
  <c r="C530" i="39"/>
  <c r="C602" i="8"/>
  <c r="C602" i="39" s="1"/>
  <c r="E382" i="8"/>
  <c r="E226" i="39"/>
  <c r="E385" i="8"/>
  <c r="E229" i="39"/>
  <c r="D383" i="39"/>
  <c r="D527" i="8"/>
  <c r="F638" i="38"/>
  <c r="B634" i="39"/>
  <c r="F639" i="38"/>
  <c r="C634" i="8"/>
  <c r="C634" i="39" s="1"/>
  <c r="C637" i="8"/>
  <c r="B639" i="39"/>
  <c r="F632" i="38"/>
  <c r="C527" i="39"/>
  <c r="C599" i="8"/>
  <c r="C599" i="39" s="1"/>
  <c r="I187" i="38"/>
  <c r="H195" i="38"/>
  <c r="H168" i="39"/>
  <c r="I168" i="8"/>
  <c r="I198" i="38"/>
  <c r="I354" i="38" s="1"/>
  <c r="I200" i="38"/>
  <c r="I356" i="38" s="1"/>
  <c r="I201" i="38"/>
  <c r="I357" i="38" s="1"/>
  <c r="I202" i="38"/>
  <c r="I358" i="38" s="1"/>
  <c r="I203" i="38"/>
  <c r="I359" i="38" s="1"/>
  <c r="I199" i="38"/>
  <c r="I355" i="38" s="1"/>
  <c r="I197" i="38"/>
  <c r="I353" i="38" s="1"/>
  <c r="I204" i="38"/>
  <c r="I360" i="38" s="1"/>
  <c r="F372" i="8"/>
  <c r="F216" i="39"/>
  <c r="F222" i="39"/>
  <c r="F378" i="8"/>
  <c r="C232" i="34"/>
  <c r="D580" i="8"/>
  <c r="D616" i="8"/>
  <c r="K64" i="59"/>
  <c r="J64" i="60"/>
  <c r="K58" i="59"/>
  <c r="J58" i="60"/>
  <c r="C236" i="34"/>
  <c r="E357" i="39"/>
  <c r="E501" i="8"/>
  <c r="J165" i="38"/>
  <c r="K157" i="38"/>
  <c r="K165" i="38" s="1"/>
  <c r="F374" i="8"/>
  <c r="F218" i="39"/>
  <c r="F215" i="39"/>
  <c r="F371" i="8"/>
  <c r="C235" i="34"/>
  <c r="G210" i="8"/>
  <c r="G208" i="8"/>
  <c r="G207" i="8"/>
  <c r="G175" i="39"/>
  <c r="G212" i="8"/>
  <c r="G209" i="8"/>
  <c r="G213" i="8"/>
  <c r="G211" i="8"/>
  <c r="G206" i="8"/>
  <c r="L173" i="7"/>
  <c r="D579" i="8"/>
  <c r="D615" i="8"/>
  <c r="D76" i="4"/>
  <c r="K152" i="35"/>
  <c r="K152" i="37" s="1"/>
  <c r="D153" i="35"/>
  <c r="D153" i="37" s="1"/>
  <c r="B154" i="35"/>
  <c r="B154" i="37" s="1"/>
  <c r="I153" i="35"/>
  <c r="I153" i="37" s="1"/>
  <c r="H152" i="35"/>
  <c r="H152" i="37" s="1"/>
  <c r="C157" i="35"/>
  <c r="C157" i="37" s="1"/>
  <c r="E150" i="35"/>
  <c r="K154" i="35"/>
  <c r="K154" i="37" s="1"/>
  <c r="J154" i="35"/>
  <c r="J154" i="37" s="1"/>
  <c r="B156" i="35"/>
  <c r="B156" i="37" s="1"/>
  <c r="J150" i="35"/>
  <c r="G151" i="35"/>
  <c r="G151" i="37" s="1"/>
  <c r="H151" i="35"/>
  <c r="H151" i="37" s="1"/>
  <c r="C155" i="35"/>
  <c r="C155" i="37" s="1"/>
  <c r="E153" i="35"/>
  <c r="E153" i="37" s="1"/>
  <c r="J157" i="35"/>
  <c r="J157" i="37" s="1"/>
  <c r="F156" i="35"/>
  <c r="F156" i="37" s="1"/>
  <c r="K157" i="35"/>
  <c r="K157" i="37" s="1"/>
  <c r="F150" i="35"/>
  <c r="G155" i="35"/>
  <c r="G155" i="37" s="1"/>
  <c r="E151" i="35"/>
  <c r="E151" i="37" s="1"/>
  <c r="E155" i="35"/>
  <c r="E155" i="37" s="1"/>
  <c r="J155" i="35"/>
  <c r="J155" i="37" s="1"/>
  <c r="G152" i="35"/>
  <c r="G152" i="37" s="1"/>
  <c r="E152" i="35"/>
  <c r="E152" i="37" s="1"/>
  <c r="H156" i="35"/>
  <c r="H156" i="37" s="1"/>
  <c r="I152" i="35"/>
  <c r="I152" i="37" s="1"/>
  <c r="I156" i="35"/>
  <c r="I156" i="37" s="1"/>
  <c r="B155" i="35"/>
  <c r="B155" i="37" s="1"/>
  <c r="I151" i="35"/>
  <c r="I151" i="37" s="1"/>
  <c r="J156" i="35"/>
  <c r="J156" i="37" s="1"/>
  <c r="C151" i="35"/>
  <c r="C151" i="37" s="1"/>
  <c r="H154" i="35"/>
  <c r="H154" i="37" s="1"/>
  <c r="D150" i="35"/>
  <c r="J152" i="35"/>
  <c r="J152" i="37" s="1"/>
  <c r="B152" i="35"/>
  <c r="B152" i="37" s="1"/>
  <c r="F154" i="35"/>
  <c r="F154" i="37" s="1"/>
  <c r="F155" i="35"/>
  <c r="F155" i="37" s="1"/>
  <c r="I150" i="35"/>
  <c r="C156" i="35"/>
  <c r="C156" i="37" s="1"/>
  <c r="D151" i="35"/>
  <c r="D151" i="37" s="1"/>
  <c r="B151" i="35"/>
  <c r="B151" i="37" s="1"/>
  <c r="C153" i="35"/>
  <c r="C153" i="37" s="1"/>
  <c r="E157" i="35"/>
  <c r="E157" i="37" s="1"/>
  <c r="K150" i="35"/>
  <c r="I157" i="35"/>
  <c r="I157" i="37" s="1"/>
  <c r="K153" i="35"/>
  <c r="K153" i="37" s="1"/>
  <c r="J153" i="35"/>
  <c r="J153" i="37" s="1"/>
  <c r="C150" i="35"/>
  <c r="D152" i="35"/>
  <c r="D152" i="37" s="1"/>
  <c r="D155" i="35"/>
  <c r="D155" i="37" s="1"/>
  <c r="H150" i="35"/>
  <c r="G156" i="35"/>
  <c r="G156" i="37" s="1"/>
  <c r="G154" i="35"/>
  <c r="G154" i="37" s="1"/>
  <c r="F151" i="35"/>
  <c r="F151" i="37" s="1"/>
  <c r="I155" i="35"/>
  <c r="I155" i="37" s="1"/>
  <c r="B153" i="35"/>
  <c r="B153" i="37" s="1"/>
  <c r="D156" i="35"/>
  <c r="D156" i="37" s="1"/>
  <c r="F157" i="35"/>
  <c r="F157" i="37" s="1"/>
  <c r="C154" i="35"/>
  <c r="C154" i="37" s="1"/>
  <c r="K155" i="35"/>
  <c r="K155" i="37" s="1"/>
  <c r="K151" i="35"/>
  <c r="K151" i="37" s="1"/>
  <c r="K156" i="35"/>
  <c r="K156" i="37" s="1"/>
  <c r="H155" i="35"/>
  <c r="H155" i="37" s="1"/>
  <c r="D154" i="35"/>
  <c r="D154" i="37" s="1"/>
  <c r="B150" i="35"/>
  <c r="C152" i="35"/>
  <c r="C152" i="37" s="1"/>
  <c r="E156" i="35"/>
  <c r="E156" i="37" s="1"/>
  <c r="J151" i="35"/>
  <c r="J151" i="37" s="1"/>
  <c r="H153" i="35"/>
  <c r="H153" i="37" s="1"/>
  <c r="H157" i="35"/>
  <c r="H157" i="37" s="1"/>
  <c r="B157" i="35"/>
  <c r="B157" i="37" s="1"/>
  <c r="G150" i="35"/>
  <c r="I154" i="35"/>
  <c r="I154" i="37" s="1"/>
  <c r="G157" i="35"/>
  <c r="G157" i="37" s="1"/>
  <c r="F153" i="35"/>
  <c r="F153" i="37" s="1"/>
  <c r="D157" i="35"/>
  <c r="D157" i="37" s="1"/>
  <c r="E154" i="35"/>
  <c r="E154" i="37" s="1"/>
  <c r="G153" i="35"/>
  <c r="G153" i="37" s="1"/>
  <c r="F152" i="35"/>
  <c r="F152" i="37" s="1"/>
  <c r="K59" i="59"/>
  <c r="J59" i="60"/>
  <c r="F197" i="39"/>
  <c r="F353" i="8"/>
  <c r="F356" i="8"/>
  <c r="F200" i="39"/>
  <c r="D590" i="8"/>
  <c r="D626" i="8"/>
  <c r="C231" i="34"/>
  <c r="E353" i="39"/>
  <c r="E497" i="8"/>
  <c r="I164" i="8"/>
  <c r="H164" i="39"/>
  <c r="I173" i="8"/>
  <c r="H173" i="39"/>
  <c r="E358" i="39"/>
  <c r="E502" i="8"/>
  <c r="D587" i="8"/>
  <c r="D623" i="8"/>
  <c r="E516" i="8"/>
  <c r="E372" i="39"/>
  <c r="B710" i="8"/>
  <c r="F211" i="39"/>
  <c r="F367" i="8"/>
  <c r="F209" i="39"/>
  <c r="F365" i="8"/>
  <c r="C644" i="8"/>
  <c r="F221" i="39"/>
  <c r="F377" i="8"/>
  <c r="D113" i="40"/>
  <c r="D114" i="4"/>
  <c r="E111" i="4"/>
  <c r="H158" i="39"/>
  <c r="I158" i="8"/>
  <c r="C233" i="34"/>
  <c r="E365" i="39"/>
  <c r="E509" i="8"/>
  <c r="J185" i="38"/>
  <c r="K177" i="38"/>
  <c r="K185" i="38" s="1"/>
  <c r="E360" i="39"/>
  <c r="E504" i="8"/>
  <c r="D607" i="8"/>
  <c r="E378" i="39"/>
  <c r="E522" i="8"/>
  <c r="I169" i="8"/>
  <c r="H169" i="39"/>
  <c r="H162" i="39"/>
  <c r="I162" i="8"/>
  <c r="I182" i="8"/>
  <c r="H182" i="39"/>
  <c r="I163" i="8"/>
  <c r="H163" i="39"/>
  <c r="D591" i="8"/>
  <c r="D627" i="8"/>
  <c r="F375" i="8"/>
  <c r="F219" i="39"/>
  <c r="F220" i="39"/>
  <c r="F376" i="8"/>
  <c r="F373" i="8"/>
  <c r="F217" i="39"/>
  <c r="C234" i="34"/>
  <c r="K63" i="59"/>
  <c r="J63" i="60"/>
  <c r="E374" i="39"/>
  <c r="E518" i="8"/>
  <c r="I160" i="8"/>
  <c r="H160" i="39"/>
  <c r="D584" i="8"/>
  <c r="D620" i="8"/>
  <c r="D128" i="4"/>
  <c r="E125" i="4"/>
  <c r="D127" i="40"/>
  <c r="G178" i="7"/>
  <c r="I171" i="8"/>
  <c r="H171" i="39"/>
  <c r="E510" i="8"/>
  <c r="E366" i="39"/>
  <c r="D588" i="8"/>
  <c r="D624" i="8"/>
  <c r="I180" i="8"/>
  <c r="H180" i="39"/>
  <c r="H170" i="39"/>
  <c r="I170" i="8"/>
  <c r="H165" i="8"/>
  <c r="H157" i="39"/>
  <c r="I157" i="8"/>
  <c r="E373" i="39"/>
  <c r="E517" i="8"/>
  <c r="L171" i="7"/>
  <c r="L172" i="7"/>
  <c r="J178" i="7"/>
  <c r="I178" i="7"/>
  <c r="D611" i="8"/>
  <c r="F199" i="39"/>
  <c r="F355" i="8"/>
  <c r="E376" i="39"/>
  <c r="E520" i="8"/>
  <c r="K60" i="59"/>
  <c r="J60" i="60"/>
  <c r="E367" i="39"/>
  <c r="E511" i="8"/>
  <c r="D585" i="8"/>
  <c r="D621" i="8"/>
  <c r="K61" i="59"/>
  <c r="J61" i="60"/>
  <c r="E498" i="8"/>
  <c r="E354" i="39"/>
  <c r="F178" i="7"/>
  <c r="D581" i="8"/>
  <c r="D617" i="8"/>
  <c r="F212" i="39"/>
  <c r="F368" i="8"/>
  <c r="F208" i="39"/>
  <c r="F364" i="8"/>
  <c r="L177" i="7"/>
  <c r="H167" i="39"/>
  <c r="H175" i="8"/>
  <c r="I167" i="8"/>
  <c r="D606" i="8"/>
  <c r="C178" i="7"/>
  <c r="C229" i="34"/>
  <c r="D583" i="8"/>
  <c r="D619" i="8"/>
  <c r="E499" i="8"/>
  <c r="E355" i="39"/>
  <c r="B178" i="7"/>
  <c r="L170" i="7"/>
  <c r="H178" i="7"/>
  <c r="I178" i="8"/>
  <c r="H178" i="39"/>
  <c r="D70" i="4"/>
  <c r="D52" i="40"/>
  <c r="H174" i="39"/>
  <c r="I174" i="8"/>
  <c r="F354" i="8"/>
  <c r="F198" i="39"/>
  <c r="F360" i="8"/>
  <c r="F204" i="39"/>
  <c r="E371" i="39"/>
  <c r="E515" i="8"/>
  <c r="H179" i="39"/>
  <c r="I179" i="8"/>
  <c r="D612" i="8"/>
  <c r="D589" i="8"/>
  <c r="D625" i="8"/>
  <c r="I159" i="8"/>
  <c r="H159" i="39"/>
  <c r="K167" i="38"/>
  <c r="K175" i="38" s="1"/>
  <c r="J175" i="38"/>
  <c r="D594" i="8"/>
  <c r="D630" i="8"/>
  <c r="H161" i="39"/>
  <c r="I161" i="8"/>
  <c r="L176" i="7"/>
  <c r="D593" i="8"/>
  <c r="D629" i="8"/>
  <c r="K62" i="59"/>
  <c r="J62" i="60"/>
  <c r="E521" i="8"/>
  <c r="E377" i="39"/>
  <c r="G216" i="8"/>
  <c r="G215" i="8"/>
  <c r="G217" i="8"/>
  <c r="G222" i="8"/>
  <c r="G220" i="8"/>
  <c r="G219" i="8"/>
  <c r="G221" i="8"/>
  <c r="G218" i="8"/>
  <c r="G185" i="39"/>
  <c r="F207" i="39"/>
  <c r="F363" i="8"/>
  <c r="F210" i="39"/>
  <c r="F366" i="8"/>
  <c r="D578" i="8"/>
  <c r="D614" i="8"/>
  <c r="K65" i="59"/>
  <c r="J65" i="60"/>
  <c r="E362" i="39"/>
  <c r="E506" i="8"/>
  <c r="E500" i="8"/>
  <c r="E356" i="39"/>
  <c r="E375" i="39"/>
  <c r="E519" i="8"/>
  <c r="D90" i="29"/>
  <c r="D91" i="29" s="1"/>
  <c r="D92" i="29" s="1"/>
  <c r="D131" i="29" s="1"/>
  <c r="D161" i="29" s="1"/>
  <c r="D605" i="8"/>
  <c r="K178" i="7"/>
  <c r="I216" i="38"/>
  <c r="I372" i="38" s="1"/>
  <c r="I215" i="38"/>
  <c r="I371" i="38" s="1"/>
  <c r="I219" i="38"/>
  <c r="I375" i="38" s="1"/>
  <c r="I221" i="38"/>
  <c r="I377" i="38" s="1"/>
  <c r="I218" i="38"/>
  <c r="I374" i="38" s="1"/>
  <c r="I217" i="38"/>
  <c r="I373" i="38" s="1"/>
  <c r="I222" i="38"/>
  <c r="I378" i="38" s="1"/>
  <c r="I220" i="38"/>
  <c r="I376" i="38" s="1"/>
  <c r="E512" i="8"/>
  <c r="E368" i="39"/>
  <c r="H181" i="39"/>
  <c r="I181" i="8"/>
  <c r="I183" i="8"/>
  <c r="H183" i="39"/>
  <c r="G201" i="8"/>
  <c r="G203" i="8"/>
  <c r="G199" i="8"/>
  <c r="G204" i="8"/>
  <c r="G202" i="8"/>
  <c r="G165" i="39"/>
  <c r="G200" i="8"/>
  <c r="G197" i="8"/>
  <c r="G198" i="8"/>
  <c r="C230" i="34"/>
  <c r="L174" i="7"/>
  <c r="L175" i="7"/>
  <c r="D592" i="8"/>
  <c r="D628" i="8"/>
  <c r="D582" i="8"/>
  <c r="D618" i="8"/>
  <c r="F203" i="39"/>
  <c r="F359" i="8"/>
  <c r="F357" i="8"/>
  <c r="F201" i="39"/>
  <c r="F358" i="8"/>
  <c r="F202" i="39"/>
  <c r="D609" i="8"/>
  <c r="I172" i="8"/>
  <c r="H172" i="39"/>
  <c r="D44" i="40"/>
  <c r="D67" i="4"/>
  <c r="H184" i="39"/>
  <c r="I184" i="8"/>
  <c r="E363" i="39"/>
  <c r="E507" i="8"/>
  <c r="E364" i="39"/>
  <c r="E508" i="8"/>
  <c r="I212" i="38"/>
  <c r="I368" i="38" s="1"/>
  <c r="I207" i="38"/>
  <c r="I363" i="38" s="1"/>
  <c r="I210" i="38"/>
  <c r="I366" i="38" s="1"/>
  <c r="I208" i="38"/>
  <c r="I364" i="38" s="1"/>
  <c r="I213" i="38"/>
  <c r="I369" i="38" s="1"/>
  <c r="I206" i="38"/>
  <c r="I362" i="38" s="1"/>
  <c r="I211" i="38"/>
  <c r="I367" i="38" s="1"/>
  <c r="I209" i="38"/>
  <c r="I365" i="38" s="1"/>
  <c r="D610" i="8"/>
  <c r="E359" i="39"/>
  <c r="E503" i="8"/>
  <c r="E369" i="39"/>
  <c r="E513" i="8"/>
  <c r="C647" i="8"/>
  <c r="D608" i="8"/>
  <c r="E178" i="7"/>
  <c r="I177" i="8"/>
  <c r="H185" i="8"/>
  <c r="H177" i="39"/>
  <c r="F206" i="39"/>
  <c r="F362" i="8"/>
  <c r="F213" i="39"/>
  <c r="F369" i="8"/>
  <c r="D178" i="7"/>
  <c r="C200" i="57"/>
  <c r="C116" i="57"/>
  <c r="C120" i="57"/>
  <c r="C114" i="57"/>
  <c r="C117" i="57"/>
  <c r="C115" i="57"/>
  <c r="C113" i="57"/>
  <c r="C119" i="57"/>
  <c r="C125" i="57"/>
  <c r="C123" i="57"/>
  <c r="C129" i="57"/>
  <c r="C127" i="57"/>
  <c r="C126" i="57"/>
  <c r="C124" i="57"/>
  <c r="C130" i="57"/>
  <c r="C643" i="8" l="1"/>
  <c r="J187" i="38"/>
  <c r="I195" i="38"/>
  <c r="D524" i="39"/>
  <c r="D596" i="8"/>
  <c r="D596" i="39" s="1"/>
  <c r="D632" i="8"/>
  <c r="D632" i="39" s="1"/>
  <c r="G597" i="38"/>
  <c r="G633" i="38"/>
  <c r="G599" i="38"/>
  <c r="G635" i="38"/>
  <c r="C632" i="39"/>
  <c r="C641" i="8"/>
  <c r="D525" i="39"/>
  <c r="D597" i="8"/>
  <c r="D597" i="39" s="1"/>
  <c r="D633" i="8"/>
  <c r="D633" i="39" s="1"/>
  <c r="E383" i="39"/>
  <c r="E527" i="8"/>
  <c r="F384" i="8"/>
  <c r="F228" i="39"/>
  <c r="F383" i="8"/>
  <c r="F227" i="39"/>
  <c r="D528" i="39"/>
  <c r="D600" i="8"/>
  <c r="D600" i="39" s="1"/>
  <c r="D636" i="8"/>
  <c r="D636" i="39" s="1"/>
  <c r="D531" i="39"/>
  <c r="D603" i="8"/>
  <c r="D603" i="39" s="1"/>
  <c r="D639" i="8"/>
  <c r="D639" i="39" s="1"/>
  <c r="I188" i="8"/>
  <c r="H188" i="39"/>
  <c r="C637" i="39"/>
  <c r="C646" i="8"/>
  <c r="E385" i="39"/>
  <c r="E529" i="8"/>
  <c r="G596" i="38"/>
  <c r="G632" i="38"/>
  <c r="G603" i="38"/>
  <c r="G639" i="38"/>
  <c r="E387" i="39"/>
  <c r="E531" i="8"/>
  <c r="G228" i="8"/>
  <c r="G231" i="8"/>
  <c r="G227" i="8"/>
  <c r="G226" i="8"/>
  <c r="G229" i="8"/>
  <c r="G230" i="8"/>
  <c r="G224" i="8"/>
  <c r="G225" i="8"/>
  <c r="G195" i="39"/>
  <c r="F382" i="8"/>
  <c r="F226" i="39"/>
  <c r="F385" i="8"/>
  <c r="F229" i="39"/>
  <c r="E381" i="39"/>
  <c r="E525" i="8"/>
  <c r="D527" i="39"/>
  <c r="D599" i="8"/>
  <c r="D599" i="39" s="1"/>
  <c r="D635" i="8"/>
  <c r="D635" i="39" s="1"/>
  <c r="G598" i="38"/>
  <c r="G634" i="38"/>
  <c r="G600" i="38"/>
  <c r="G636" i="38"/>
  <c r="H194" i="39"/>
  <c r="I194" i="8"/>
  <c r="H189" i="39"/>
  <c r="I189" i="8"/>
  <c r="H192" i="39"/>
  <c r="I192" i="8"/>
  <c r="H195" i="8"/>
  <c r="I187" i="8"/>
  <c r="H187" i="39"/>
  <c r="E384" i="39"/>
  <c r="E528" i="8"/>
  <c r="F386" i="8"/>
  <c r="F230" i="39"/>
  <c r="F381" i="8"/>
  <c r="F225" i="39"/>
  <c r="D526" i="39"/>
  <c r="D598" i="8"/>
  <c r="D598" i="39" s="1"/>
  <c r="D634" i="8"/>
  <c r="D634" i="39" s="1"/>
  <c r="H229" i="38"/>
  <c r="H385" i="38" s="1"/>
  <c r="H529" i="38" s="1"/>
  <c r="H227" i="38"/>
  <c r="H383" i="38" s="1"/>
  <c r="H527" i="38" s="1"/>
  <c r="H230" i="38"/>
  <c r="H386" i="38" s="1"/>
  <c r="H530" i="38" s="1"/>
  <c r="H225" i="38"/>
  <c r="H381" i="38" s="1"/>
  <c r="H525" i="38" s="1"/>
  <c r="H231" i="38"/>
  <c r="H387" i="38" s="1"/>
  <c r="H531" i="38" s="1"/>
  <c r="H226" i="38"/>
  <c r="H382" i="38" s="1"/>
  <c r="H526" i="38" s="1"/>
  <c r="H224" i="38"/>
  <c r="H380" i="38" s="1"/>
  <c r="H524" i="38" s="1"/>
  <c r="H228" i="38"/>
  <c r="H384" i="38" s="1"/>
  <c r="H528" i="38" s="1"/>
  <c r="E382" i="39"/>
  <c r="E526" i="8"/>
  <c r="H190" i="39"/>
  <c r="I190" i="8"/>
  <c r="G601" i="38"/>
  <c r="G637" i="38"/>
  <c r="G602" i="38"/>
  <c r="G638" i="38"/>
  <c r="D529" i="39"/>
  <c r="D601" i="8"/>
  <c r="D601" i="39" s="1"/>
  <c r="D637" i="8"/>
  <c r="D637" i="39" s="1"/>
  <c r="E386" i="39"/>
  <c r="E530" i="8"/>
  <c r="D530" i="39"/>
  <c r="D602" i="8"/>
  <c r="D602" i="39" s="1"/>
  <c r="D638" i="8"/>
  <c r="D638" i="39" s="1"/>
  <c r="F387" i="8"/>
  <c r="F231" i="39"/>
  <c r="F380" i="8"/>
  <c r="F224" i="39"/>
  <c r="I191" i="8"/>
  <c r="H191" i="39"/>
  <c r="E380" i="39"/>
  <c r="E524" i="8"/>
  <c r="I193" i="8"/>
  <c r="H193" i="39"/>
  <c r="D162" i="29"/>
  <c r="E164" i="29" s="1"/>
  <c r="D221" i="29"/>
  <c r="F362" i="39"/>
  <c r="F506" i="8"/>
  <c r="H220" i="8"/>
  <c r="H221" i="8"/>
  <c r="H216" i="8"/>
  <c r="H215" i="8"/>
  <c r="H218" i="8"/>
  <c r="H185" i="39"/>
  <c r="H222" i="8"/>
  <c r="H217" i="8"/>
  <c r="H219" i="8"/>
  <c r="E585" i="8"/>
  <c r="E621" i="8"/>
  <c r="E611" i="8"/>
  <c r="E580" i="8"/>
  <c r="E616" i="8"/>
  <c r="J184" i="8"/>
  <c r="I184" i="39"/>
  <c r="F358" i="39"/>
  <c r="F502" i="8"/>
  <c r="I177" i="39"/>
  <c r="J177" i="8"/>
  <c r="I185" i="8"/>
  <c r="G354" i="8"/>
  <c r="G198" i="39"/>
  <c r="G202" i="39"/>
  <c r="G358" i="8"/>
  <c r="G357" i="8"/>
  <c r="G201" i="39"/>
  <c r="E584" i="8"/>
  <c r="E620" i="8"/>
  <c r="D641" i="8"/>
  <c r="E578" i="8"/>
  <c r="E614" i="8"/>
  <c r="F363" i="39"/>
  <c r="F507" i="8"/>
  <c r="G221" i="39"/>
  <c r="G377" i="8"/>
  <c r="G217" i="39"/>
  <c r="G373" i="8"/>
  <c r="L62" i="59"/>
  <c r="L62" i="60" s="1"/>
  <c r="K62" i="60"/>
  <c r="I161" i="39"/>
  <c r="J161" i="8"/>
  <c r="K207" i="38"/>
  <c r="K363" i="38" s="1"/>
  <c r="K208" i="38"/>
  <c r="K364" i="38" s="1"/>
  <c r="K209" i="38"/>
  <c r="K365" i="38" s="1"/>
  <c r="K206" i="38"/>
  <c r="K362" i="38" s="1"/>
  <c r="K213" i="38"/>
  <c r="K369" i="38" s="1"/>
  <c r="K212" i="38"/>
  <c r="K368" i="38" s="1"/>
  <c r="K210" i="38"/>
  <c r="K366" i="38" s="1"/>
  <c r="K211" i="38"/>
  <c r="K367" i="38" s="1"/>
  <c r="F498" i="8"/>
  <c r="F354" i="39"/>
  <c r="D70" i="40"/>
  <c r="D98" i="4"/>
  <c r="H175" i="39"/>
  <c r="H212" i="8"/>
  <c r="H208" i="8"/>
  <c r="H210" i="8"/>
  <c r="H206" i="8"/>
  <c r="H209" i="8"/>
  <c r="H207" i="8"/>
  <c r="H213" i="8"/>
  <c r="H211" i="8"/>
  <c r="F368" i="39"/>
  <c r="F512" i="8"/>
  <c r="L60" i="59"/>
  <c r="L60" i="60" s="1"/>
  <c r="K60" i="60"/>
  <c r="E589" i="8"/>
  <c r="E625" i="8"/>
  <c r="H198" i="8"/>
  <c r="H203" i="8"/>
  <c r="H201" i="8"/>
  <c r="H204" i="8"/>
  <c r="H199" i="8"/>
  <c r="H202" i="8"/>
  <c r="H165" i="39"/>
  <c r="H200" i="8"/>
  <c r="H197" i="8"/>
  <c r="D128" i="40"/>
  <c r="D129" i="4"/>
  <c r="D129" i="40" s="1"/>
  <c r="J162" i="8"/>
  <c r="I162" i="39"/>
  <c r="E581" i="8"/>
  <c r="E617" i="8"/>
  <c r="J158" i="8"/>
  <c r="I158" i="39"/>
  <c r="F511" i="8"/>
  <c r="F367" i="39"/>
  <c r="F353" i="39"/>
  <c r="F497" i="8"/>
  <c r="B160" i="35" a="1"/>
  <c r="B158" i="35"/>
  <c r="B158" i="37" s="1"/>
  <c r="B150" i="37"/>
  <c r="D158" i="35"/>
  <c r="D158" i="37" s="1"/>
  <c r="D150" i="37"/>
  <c r="D76" i="40"/>
  <c r="D82" i="4"/>
  <c r="D83" i="4"/>
  <c r="D85" i="4"/>
  <c r="D84" i="4"/>
  <c r="G211" i="39"/>
  <c r="G367" i="8"/>
  <c r="E609" i="8"/>
  <c r="I168" i="39"/>
  <c r="J168" i="8"/>
  <c r="D644" i="8"/>
  <c r="I172" i="39"/>
  <c r="J172" i="8"/>
  <c r="F513" i="8"/>
  <c r="F369" i="39"/>
  <c r="G353" i="8"/>
  <c r="G197" i="39"/>
  <c r="G204" i="39"/>
  <c r="G360" i="8"/>
  <c r="I181" i="39"/>
  <c r="J181" i="8"/>
  <c r="G219" i="39"/>
  <c r="G375" i="8"/>
  <c r="G215" i="39"/>
  <c r="G371" i="8"/>
  <c r="J179" i="8"/>
  <c r="I179" i="39"/>
  <c r="I174" i="39"/>
  <c r="J174" i="8"/>
  <c r="E607" i="8"/>
  <c r="D642" i="8"/>
  <c r="L61" i="59"/>
  <c r="L61" i="60" s="1"/>
  <c r="K61" i="60"/>
  <c r="E583" i="8"/>
  <c r="E619" i="8"/>
  <c r="E592" i="8"/>
  <c r="E628" i="8"/>
  <c r="F499" i="8"/>
  <c r="F355" i="39"/>
  <c r="I170" i="39"/>
  <c r="J170" i="8"/>
  <c r="I180" i="39"/>
  <c r="J180" i="8"/>
  <c r="I171" i="39"/>
  <c r="J171" i="8"/>
  <c r="L63" i="59"/>
  <c r="L63" i="60" s="1"/>
  <c r="K63" i="60"/>
  <c r="F517" i="8"/>
  <c r="F373" i="39"/>
  <c r="F519" i="8"/>
  <c r="F375" i="39"/>
  <c r="I163" i="39"/>
  <c r="J163" i="8"/>
  <c r="F377" i="39"/>
  <c r="F521" i="8"/>
  <c r="J173" i="8"/>
  <c r="I173" i="39"/>
  <c r="L59" i="59"/>
  <c r="L59" i="60" s="1"/>
  <c r="K59" i="60"/>
  <c r="G158" i="35"/>
  <c r="G158" i="37" s="1"/>
  <c r="G150" i="37"/>
  <c r="C158" i="35"/>
  <c r="C158" i="37" s="1"/>
  <c r="C150" i="37"/>
  <c r="K158" i="35"/>
  <c r="K158" i="37" s="1"/>
  <c r="K150" i="37"/>
  <c r="G213" i="39"/>
  <c r="G369" i="8"/>
  <c r="G207" i="39"/>
  <c r="G363" i="8"/>
  <c r="F518" i="8"/>
  <c r="F374" i="39"/>
  <c r="L58" i="59"/>
  <c r="L58" i="60" s="1"/>
  <c r="K58" i="60"/>
  <c r="D646" i="8"/>
  <c r="E579" i="8"/>
  <c r="E615" i="8"/>
  <c r="E206" i="4"/>
  <c r="D75" i="4"/>
  <c r="D67" i="40"/>
  <c r="F357" i="39"/>
  <c r="F501" i="8"/>
  <c r="F359" i="39"/>
  <c r="F503" i="8"/>
  <c r="G356" i="8"/>
  <c r="G200" i="39"/>
  <c r="G355" i="8"/>
  <c r="G199" i="39"/>
  <c r="J183" i="8"/>
  <c r="I183" i="39"/>
  <c r="E591" i="8"/>
  <c r="E627" i="8"/>
  <c r="F366" i="39"/>
  <c r="F510" i="8"/>
  <c r="G220" i="39"/>
  <c r="G376" i="8"/>
  <c r="G372" i="8"/>
  <c r="G216" i="39"/>
  <c r="E593" i="8"/>
  <c r="E629" i="8"/>
  <c r="J159" i="8"/>
  <c r="I159" i="39"/>
  <c r="F504" i="8"/>
  <c r="F360" i="39"/>
  <c r="J178" i="8"/>
  <c r="I178" i="39"/>
  <c r="L179" i="7"/>
  <c r="F508" i="8"/>
  <c r="F364" i="39"/>
  <c r="J157" i="8"/>
  <c r="I165" i="8"/>
  <c r="I157" i="39"/>
  <c r="I160" i="39"/>
  <c r="J160" i="8"/>
  <c r="E590" i="8"/>
  <c r="E626" i="8"/>
  <c r="F376" i="39"/>
  <c r="F520" i="8"/>
  <c r="K219" i="38"/>
  <c r="K375" i="38" s="1"/>
  <c r="K216" i="38"/>
  <c r="K372" i="38" s="1"/>
  <c r="K222" i="38"/>
  <c r="K378" i="38" s="1"/>
  <c r="K215" i="38"/>
  <c r="K371" i="38" s="1"/>
  <c r="K220" i="38"/>
  <c r="K376" i="38" s="1"/>
  <c r="K221" i="38"/>
  <c r="K377" i="38" s="1"/>
  <c r="K217" i="38"/>
  <c r="K373" i="38" s="1"/>
  <c r="K218" i="38"/>
  <c r="K374" i="38" s="1"/>
  <c r="E111" i="40"/>
  <c r="F509" i="8"/>
  <c r="F365" i="39"/>
  <c r="E588" i="8"/>
  <c r="E624" i="8"/>
  <c r="E610" i="8"/>
  <c r="J164" i="8"/>
  <c r="I164" i="39"/>
  <c r="H158" i="35"/>
  <c r="H158" i="37" s="1"/>
  <c r="H150" i="37"/>
  <c r="G209" i="39"/>
  <c r="G365" i="8"/>
  <c r="G208" i="39"/>
  <c r="G364" i="8"/>
  <c r="F515" i="8"/>
  <c r="F371" i="39"/>
  <c r="K199" i="38"/>
  <c r="K355" i="38" s="1"/>
  <c r="K197" i="38"/>
  <c r="K353" i="38" s="1"/>
  <c r="K203" i="38"/>
  <c r="K359" i="38" s="1"/>
  <c r="K200" i="38"/>
  <c r="K356" i="38" s="1"/>
  <c r="K202" i="38"/>
  <c r="K358" i="38" s="1"/>
  <c r="K198" i="38"/>
  <c r="K354" i="38" s="1"/>
  <c r="K204" i="38"/>
  <c r="K360" i="38" s="1"/>
  <c r="K201" i="38"/>
  <c r="K357" i="38" s="1"/>
  <c r="F516" i="8"/>
  <c r="F372" i="39"/>
  <c r="G359" i="8"/>
  <c r="G203" i="39"/>
  <c r="E608" i="8"/>
  <c r="L65" i="59"/>
  <c r="L65" i="60" s="1"/>
  <c r="K65" i="60"/>
  <c r="G218" i="39"/>
  <c r="G374" i="8"/>
  <c r="G378" i="8"/>
  <c r="G222" i="39"/>
  <c r="J208" i="38"/>
  <c r="J364" i="38" s="1"/>
  <c r="J207" i="38"/>
  <c r="J363" i="38" s="1"/>
  <c r="J210" i="38"/>
  <c r="J366" i="38" s="1"/>
  <c r="J212" i="38"/>
  <c r="J368" i="38" s="1"/>
  <c r="J209" i="38"/>
  <c r="J365" i="38" s="1"/>
  <c r="J211" i="38"/>
  <c r="J367" i="38" s="1"/>
  <c r="J213" i="38"/>
  <c r="J369" i="38" s="1"/>
  <c r="J206" i="38"/>
  <c r="J362" i="38" s="1"/>
  <c r="E587" i="8"/>
  <c r="E623" i="8"/>
  <c r="L178" i="7"/>
  <c r="J167" i="8"/>
  <c r="I175" i="8"/>
  <c r="I167" i="39"/>
  <c r="E606" i="8"/>
  <c r="E582" i="8"/>
  <c r="E618" i="8"/>
  <c r="E125" i="40"/>
  <c r="J182" i="8"/>
  <c r="I182" i="39"/>
  <c r="J169" i="8"/>
  <c r="I169" i="39"/>
  <c r="E594" i="8"/>
  <c r="E630" i="8"/>
  <c r="E612" i="8"/>
  <c r="J218" i="38"/>
  <c r="J374" i="38" s="1"/>
  <c r="J215" i="38"/>
  <c r="J371" i="38" s="1"/>
  <c r="J221" i="38"/>
  <c r="J377" i="38" s="1"/>
  <c r="J219" i="38"/>
  <c r="J375" i="38" s="1"/>
  <c r="J222" i="38"/>
  <c r="J378" i="38" s="1"/>
  <c r="J216" i="38"/>
  <c r="J372" i="38" s="1"/>
  <c r="J220" i="38"/>
  <c r="J376" i="38" s="1"/>
  <c r="J217" i="38"/>
  <c r="J373" i="38" s="1"/>
  <c r="D117" i="4"/>
  <c r="D117" i="40" s="1"/>
  <c r="D114" i="40"/>
  <c r="D115" i="4"/>
  <c r="E605" i="8"/>
  <c r="F356" i="39"/>
  <c r="F500" i="8"/>
  <c r="I158" i="35"/>
  <c r="I158" i="37" s="1"/>
  <c r="I150" i="37"/>
  <c r="F158" i="35"/>
  <c r="F158" i="37" s="1"/>
  <c r="F150" i="37"/>
  <c r="J158" i="35"/>
  <c r="J158" i="37" s="1"/>
  <c r="J150" i="37"/>
  <c r="E158" i="35"/>
  <c r="E158" i="37" s="1"/>
  <c r="E150" i="37"/>
  <c r="G206" i="39"/>
  <c r="G362" i="8"/>
  <c r="G212" i="39"/>
  <c r="G368" i="8"/>
  <c r="G210" i="39"/>
  <c r="G366" i="8"/>
  <c r="J204" i="38"/>
  <c r="J360" i="38" s="1"/>
  <c r="J198" i="38"/>
  <c r="J354" i="38" s="1"/>
  <c r="J197" i="38"/>
  <c r="J353" i="38" s="1"/>
  <c r="J200" i="38"/>
  <c r="J356" i="38" s="1"/>
  <c r="J199" i="38"/>
  <c r="J355" i="38" s="1"/>
  <c r="J203" i="38"/>
  <c r="J359" i="38" s="1"/>
  <c r="J202" i="38"/>
  <c r="J358" i="38" s="1"/>
  <c r="J201" i="38"/>
  <c r="J357" i="38" s="1"/>
  <c r="L64" i="59"/>
  <c r="L64" i="60" s="1"/>
  <c r="K64" i="60"/>
  <c r="F522" i="8"/>
  <c r="F378" i="39"/>
  <c r="D75" i="57"/>
  <c r="D648" i="8" l="1"/>
  <c r="D643" i="8"/>
  <c r="C710" i="8"/>
  <c r="D645" i="8"/>
  <c r="D647" i="8"/>
  <c r="E526" i="39"/>
  <c r="E598" i="8"/>
  <c r="E598" i="39" s="1"/>
  <c r="E634" i="8"/>
  <c r="E634" i="39" s="1"/>
  <c r="H598" i="38"/>
  <c r="H634" i="38"/>
  <c r="H599" i="38"/>
  <c r="H635" i="38"/>
  <c r="F386" i="39"/>
  <c r="F530" i="8"/>
  <c r="J187" i="8"/>
  <c r="I195" i="8"/>
  <c r="I187" i="39"/>
  <c r="I189" i="39"/>
  <c r="J189" i="8"/>
  <c r="F382" i="39"/>
  <c r="F526" i="8"/>
  <c r="G386" i="8"/>
  <c r="G230" i="39"/>
  <c r="G387" i="8"/>
  <c r="G231" i="39"/>
  <c r="E529" i="39"/>
  <c r="E601" i="8"/>
  <c r="E601" i="39" s="1"/>
  <c r="E637" i="8"/>
  <c r="E637" i="39" s="1"/>
  <c r="E527" i="39"/>
  <c r="E599" i="8"/>
  <c r="E599" i="39" s="1"/>
  <c r="E635" i="8"/>
  <c r="E635" i="39" s="1"/>
  <c r="J193" i="8"/>
  <c r="I193" i="39"/>
  <c r="I191" i="39"/>
  <c r="J191" i="8"/>
  <c r="F387" i="39"/>
  <c r="F531" i="8"/>
  <c r="E530" i="39"/>
  <c r="E602" i="8"/>
  <c r="E602" i="39" s="1"/>
  <c r="E638" i="8"/>
  <c r="E638" i="39" s="1"/>
  <c r="H603" i="38"/>
  <c r="H639" i="38"/>
  <c r="H601" i="38"/>
  <c r="H637" i="38"/>
  <c r="E528" i="39"/>
  <c r="E600" i="8"/>
  <c r="E600" i="39" s="1"/>
  <c r="E636" i="8"/>
  <c r="E636" i="39" s="1"/>
  <c r="H225" i="8"/>
  <c r="H224" i="8"/>
  <c r="H226" i="8"/>
  <c r="H230" i="8"/>
  <c r="H228" i="8"/>
  <c r="H227" i="8"/>
  <c r="H229" i="8"/>
  <c r="H231" i="8"/>
  <c r="H195" i="39"/>
  <c r="G385" i="8"/>
  <c r="G229" i="39"/>
  <c r="G384" i="8"/>
  <c r="G228" i="39"/>
  <c r="I188" i="39"/>
  <c r="J188" i="8"/>
  <c r="F383" i="39"/>
  <c r="F527" i="8"/>
  <c r="E524" i="39"/>
  <c r="E596" i="8"/>
  <c r="E596" i="39" s="1"/>
  <c r="E632" i="8"/>
  <c r="E632" i="39" s="1"/>
  <c r="I190" i="39"/>
  <c r="J190" i="8"/>
  <c r="H600" i="38"/>
  <c r="H636" i="38"/>
  <c r="H597" i="38"/>
  <c r="H633" i="38"/>
  <c r="F381" i="39"/>
  <c r="F525" i="8"/>
  <c r="J192" i="8"/>
  <c r="I192" i="39"/>
  <c r="I194" i="39"/>
  <c r="J194" i="8"/>
  <c r="F385" i="39"/>
  <c r="F529" i="8"/>
  <c r="G381" i="8"/>
  <c r="G225" i="39"/>
  <c r="G382" i="8"/>
  <c r="G226" i="39"/>
  <c r="E531" i="39"/>
  <c r="E603" i="8"/>
  <c r="E603" i="39" s="1"/>
  <c r="E639" i="8"/>
  <c r="E639" i="39" s="1"/>
  <c r="I231" i="38"/>
  <c r="I387" i="38" s="1"/>
  <c r="I531" i="38" s="1"/>
  <c r="I228" i="38"/>
  <c r="I384" i="38" s="1"/>
  <c r="I528" i="38" s="1"/>
  <c r="I227" i="38"/>
  <c r="I383" i="38" s="1"/>
  <c r="I527" i="38" s="1"/>
  <c r="I225" i="38"/>
  <c r="I381" i="38" s="1"/>
  <c r="I525" i="38" s="1"/>
  <c r="I224" i="38"/>
  <c r="I380" i="38" s="1"/>
  <c r="I524" i="38" s="1"/>
  <c r="I229" i="38"/>
  <c r="I385" i="38" s="1"/>
  <c r="I529" i="38" s="1"/>
  <c r="I230" i="38"/>
  <c r="I386" i="38" s="1"/>
  <c r="I530" i="38" s="1"/>
  <c r="I226" i="38"/>
  <c r="I382" i="38" s="1"/>
  <c r="I526" i="38" s="1"/>
  <c r="F380" i="39"/>
  <c r="F524" i="8"/>
  <c r="H596" i="38"/>
  <c r="H632" i="38"/>
  <c r="H602" i="38"/>
  <c r="H638" i="38"/>
  <c r="E525" i="39"/>
  <c r="E597" i="8"/>
  <c r="E597" i="39" s="1"/>
  <c r="E633" i="8"/>
  <c r="E633" i="39" s="1"/>
  <c r="G380" i="8"/>
  <c r="G224" i="39"/>
  <c r="G383" i="8"/>
  <c r="G227" i="39"/>
  <c r="F384" i="39"/>
  <c r="F528" i="8"/>
  <c r="K187" i="38"/>
  <c r="K195" i="38" s="1"/>
  <c r="J195" i="38"/>
  <c r="J169" i="39"/>
  <c r="K169" i="8"/>
  <c r="K169" i="39" s="1"/>
  <c r="I208" i="8"/>
  <c r="I209" i="8"/>
  <c r="I207" i="8"/>
  <c r="I213" i="8"/>
  <c r="I206" i="8"/>
  <c r="I175" i="39"/>
  <c r="I210" i="8"/>
  <c r="I211" i="8"/>
  <c r="I212" i="8"/>
  <c r="G365" i="39"/>
  <c r="G509" i="8"/>
  <c r="K178" i="8"/>
  <c r="K178" i="39" s="1"/>
  <c r="J178" i="39"/>
  <c r="G372" i="39"/>
  <c r="G516" i="8"/>
  <c r="G355" i="39"/>
  <c r="G499" i="8"/>
  <c r="F590" i="8"/>
  <c r="F626" i="8"/>
  <c r="J173" i="39"/>
  <c r="K173" i="8"/>
  <c r="K173" i="39" s="1"/>
  <c r="F589" i="8"/>
  <c r="F625" i="8"/>
  <c r="K171" i="8"/>
  <c r="K171" i="39" s="1"/>
  <c r="J171" i="39"/>
  <c r="K170" i="8"/>
  <c r="K170" i="39" s="1"/>
  <c r="J170" i="39"/>
  <c r="F607" i="8"/>
  <c r="J174" i="39"/>
  <c r="K174" i="8"/>
  <c r="K174" i="39" s="1"/>
  <c r="J181" i="39"/>
  <c r="K181" i="8"/>
  <c r="K181" i="39" s="1"/>
  <c r="D84" i="40"/>
  <c r="H202" i="39"/>
  <c r="H358" i="8"/>
  <c r="H203" i="39"/>
  <c r="H359" i="8"/>
  <c r="H211" i="39"/>
  <c r="H367" i="8"/>
  <c r="H362" i="8"/>
  <c r="H206" i="39"/>
  <c r="K161" i="8"/>
  <c r="K161" i="39" s="1"/>
  <c r="J161" i="39"/>
  <c r="G373" i="39"/>
  <c r="G517" i="8"/>
  <c r="F579" i="8"/>
  <c r="F615" i="8"/>
  <c r="G358" i="39"/>
  <c r="G502" i="8"/>
  <c r="H222" i="39"/>
  <c r="H378" i="8"/>
  <c r="H372" i="8"/>
  <c r="H216" i="39"/>
  <c r="F608" i="8"/>
  <c r="F594" i="8"/>
  <c r="F630" i="8"/>
  <c r="G510" i="8"/>
  <c r="G366" i="39"/>
  <c r="G506" i="8"/>
  <c r="G362" i="39"/>
  <c r="J175" i="8"/>
  <c r="K167" i="8"/>
  <c r="J167" i="39"/>
  <c r="B497" i="38" a="1"/>
  <c r="F587" i="8"/>
  <c r="F623" i="8"/>
  <c r="F581" i="8"/>
  <c r="F617" i="8"/>
  <c r="B515" i="38" a="1"/>
  <c r="F592" i="8"/>
  <c r="F628" i="8"/>
  <c r="G376" i="39"/>
  <c r="G520" i="8"/>
  <c r="G507" i="8"/>
  <c r="G363" i="39"/>
  <c r="E643" i="8"/>
  <c r="G519" i="8"/>
  <c r="G375" i="39"/>
  <c r="G353" i="39"/>
  <c r="G497" i="8"/>
  <c r="F585" i="8"/>
  <c r="F621" i="8"/>
  <c r="D85" i="40"/>
  <c r="D163" i="35"/>
  <c r="D163" i="37" s="1"/>
  <c r="D164" i="35"/>
  <c r="D164" i="37" s="1"/>
  <c r="H162" i="35"/>
  <c r="H162" i="37" s="1"/>
  <c r="E165" i="35"/>
  <c r="E165" i="37" s="1"/>
  <c r="G165" i="35"/>
  <c r="G165" i="37" s="1"/>
  <c r="F162" i="35"/>
  <c r="F162" i="37" s="1"/>
  <c r="K162" i="35"/>
  <c r="K162" i="37" s="1"/>
  <c r="F163" i="35"/>
  <c r="F163" i="37" s="1"/>
  <c r="K161" i="35"/>
  <c r="K161" i="37" s="1"/>
  <c r="C162" i="35"/>
  <c r="C162" i="37" s="1"/>
  <c r="H161" i="35"/>
  <c r="H161" i="37" s="1"/>
  <c r="J162" i="35"/>
  <c r="J162" i="37" s="1"/>
  <c r="H166" i="35"/>
  <c r="H166" i="37" s="1"/>
  <c r="B166" i="35"/>
  <c r="B166" i="37" s="1"/>
  <c r="E162" i="35"/>
  <c r="E162" i="37" s="1"/>
  <c r="G166" i="35"/>
  <c r="G166" i="37" s="1"/>
  <c r="B167" i="35"/>
  <c r="B167" i="37" s="1"/>
  <c r="C166" i="35"/>
  <c r="C166" i="37" s="1"/>
  <c r="I161" i="35"/>
  <c r="I161" i="37" s="1"/>
  <c r="J167" i="35"/>
  <c r="J167" i="37" s="1"/>
  <c r="K167" i="35"/>
  <c r="K167" i="37" s="1"/>
  <c r="E163" i="35"/>
  <c r="E163" i="37" s="1"/>
  <c r="F164" i="35"/>
  <c r="F164" i="37" s="1"/>
  <c r="D160" i="35"/>
  <c r="E166" i="35"/>
  <c r="E166" i="37" s="1"/>
  <c r="F160" i="35"/>
  <c r="C160" i="35"/>
  <c r="D162" i="35"/>
  <c r="D162" i="37" s="1"/>
  <c r="K165" i="35"/>
  <c r="K165" i="37" s="1"/>
  <c r="B162" i="35"/>
  <c r="B162" i="37" s="1"/>
  <c r="K164" i="35"/>
  <c r="K164" i="37" s="1"/>
  <c r="J160" i="35"/>
  <c r="J161" i="35"/>
  <c r="J161" i="37" s="1"/>
  <c r="J166" i="35"/>
  <c r="J166" i="37" s="1"/>
  <c r="K166" i="35"/>
  <c r="K166" i="37" s="1"/>
  <c r="E160" i="35"/>
  <c r="C165" i="35"/>
  <c r="C165" i="37" s="1"/>
  <c r="F166" i="35"/>
  <c r="F166" i="37" s="1"/>
  <c r="I162" i="35"/>
  <c r="I162" i="37" s="1"/>
  <c r="I165" i="35"/>
  <c r="I165" i="37" s="1"/>
  <c r="I166" i="35"/>
  <c r="I166" i="37" s="1"/>
  <c r="C161" i="35"/>
  <c r="C161" i="37" s="1"/>
  <c r="D161" i="35"/>
  <c r="D161" i="37" s="1"/>
  <c r="I163" i="35"/>
  <c r="I163" i="37" s="1"/>
  <c r="C163" i="35"/>
  <c r="C163" i="37" s="1"/>
  <c r="J163" i="35"/>
  <c r="J163" i="37" s="1"/>
  <c r="C167" i="35"/>
  <c r="C167" i="37" s="1"/>
  <c r="H165" i="35"/>
  <c r="H165" i="37" s="1"/>
  <c r="G164" i="35"/>
  <c r="G164" i="37" s="1"/>
  <c r="C164" i="35"/>
  <c r="C164" i="37" s="1"/>
  <c r="J164" i="35"/>
  <c r="J164" i="37" s="1"/>
  <c r="G162" i="35"/>
  <c r="G162" i="37" s="1"/>
  <c r="B164" i="35"/>
  <c r="B164" i="37" s="1"/>
  <c r="H160" i="35"/>
  <c r="B165" i="35"/>
  <c r="B165" i="37" s="1"/>
  <c r="G163" i="35"/>
  <c r="G163" i="37" s="1"/>
  <c r="G167" i="35"/>
  <c r="G167" i="37" s="1"/>
  <c r="E164" i="35"/>
  <c r="E164" i="37" s="1"/>
  <c r="E167" i="35"/>
  <c r="E167" i="37" s="1"/>
  <c r="J165" i="35"/>
  <c r="J165" i="37" s="1"/>
  <c r="B160" i="35"/>
  <c r="F161" i="35"/>
  <c r="F161" i="37" s="1"/>
  <c r="K160" i="35"/>
  <c r="I164" i="35"/>
  <c r="I164" i="37" s="1"/>
  <c r="B163" i="35"/>
  <c r="B163" i="37" s="1"/>
  <c r="F165" i="35"/>
  <c r="F165" i="37" s="1"/>
  <c r="D165" i="35"/>
  <c r="D165" i="37" s="1"/>
  <c r="H167" i="35"/>
  <c r="H167" i="37" s="1"/>
  <c r="G160" i="35"/>
  <c r="D166" i="35"/>
  <c r="D166" i="37" s="1"/>
  <c r="E161" i="35"/>
  <c r="E161" i="37" s="1"/>
  <c r="D167" i="35"/>
  <c r="D167" i="37" s="1"/>
  <c r="K163" i="35"/>
  <c r="K163" i="37" s="1"/>
  <c r="G161" i="35"/>
  <c r="G161" i="37" s="1"/>
  <c r="F167" i="35"/>
  <c r="F167" i="37" s="1"/>
  <c r="I167" i="35"/>
  <c r="I167" i="37" s="1"/>
  <c r="H163" i="35"/>
  <c r="H163" i="37" s="1"/>
  <c r="B161" i="35"/>
  <c r="B161" i="37" s="1"/>
  <c r="I160" i="35"/>
  <c r="H164" i="35"/>
  <c r="H164" i="37" s="1"/>
  <c r="H353" i="8"/>
  <c r="H197" i="39"/>
  <c r="H199" i="39"/>
  <c r="H355" i="8"/>
  <c r="H198" i="39"/>
  <c r="H354" i="8"/>
  <c r="H213" i="39"/>
  <c r="H369" i="8"/>
  <c r="H210" i="39"/>
  <c r="H366" i="8"/>
  <c r="F606" i="8"/>
  <c r="I215" i="8"/>
  <c r="I217" i="8"/>
  <c r="I220" i="8"/>
  <c r="I222" i="8"/>
  <c r="I185" i="39"/>
  <c r="I216" i="8"/>
  <c r="I218" i="8"/>
  <c r="I219" i="8"/>
  <c r="I221" i="8"/>
  <c r="K184" i="8"/>
  <c r="K184" i="39" s="1"/>
  <c r="J184" i="39"/>
  <c r="E647" i="8"/>
  <c r="H377" i="8"/>
  <c r="H221" i="39"/>
  <c r="E166" i="29"/>
  <c r="E172" i="29"/>
  <c r="J182" i="39"/>
  <c r="K182" i="8"/>
  <c r="K182" i="39" s="1"/>
  <c r="G378" i="39"/>
  <c r="G522" i="8"/>
  <c r="F588" i="8"/>
  <c r="F624" i="8"/>
  <c r="G508" i="8"/>
  <c r="G364" i="39"/>
  <c r="J164" i="39"/>
  <c r="K164" i="8"/>
  <c r="K164" i="39" s="1"/>
  <c r="J160" i="39"/>
  <c r="K160" i="8"/>
  <c r="K160" i="39" s="1"/>
  <c r="I201" i="8"/>
  <c r="I198" i="8"/>
  <c r="I202" i="8"/>
  <c r="I199" i="8"/>
  <c r="I203" i="8"/>
  <c r="I204" i="8"/>
  <c r="I197" i="8"/>
  <c r="I200" i="8"/>
  <c r="I165" i="39"/>
  <c r="L11" i="9"/>
  <c r="F612" i="8"/>
  <c r="J159" i="39"/>
  <c r="K159" i="8"/>
  <c r="K159" i="39" s="1"/>
  <c r="J183" i="39"/>
  <c r="K183" i="8"/>
  <c r="K183" i="39" s="1"/>
  <c r="G356" i="39"/>
  <c r="G500" i="8"/>
  <c r="D75" i="40"/>
  <c r="D210" i="4"/>
  <c r="F593" i="8"/>
  <c r="F629" i="8"/>
  <c r="J163" i="39"/>
  <c r="K163" i="8"/>
  <c r="K163" i="39" s="1"/>
  <c r="F591" i="8"/>
  <c r="F627" i="8"/>
  <c r="J180" i="39"/>
  <c r="K180" i="8"/>
  <c r="K180" i="39" s="1"/>
  <c r="G504" i="8"/>
  <c r="G360" i="39"/>
  <c r="J172" i="39"/>
  <c r="K172" i="8"/>
  <c r="K172" i="39" s="1"/>
  <c r="K168" i="8"/>
  <c r="K168" i="39" s="1"/>
  <c r="J168" i="39"/>
  <c r="G367" i="39"/>
  <c r="G511" i="8"/>
  <c r="D83" i="40"/>
  <c r="F605" i="8"/>
  <c r="J158" i="39"/>
  <c r="K158" i="8"/>
  <c r="K158" i="39" s="1"/>
  <c r="H200" i="39"/>
  <c r="H356" i="8"/>
  <c r="H360" i="8"/>
  <c r="H204" i="39"/>
  <c r="F584" i="8"/>
  <c r="F620" i="8"/>
  <c r="H207" i="39"/>
  <c r="H363" i="8"/>
  <c r="H208" i="39"/>
  <c r="H364" i="8"/>
  <c r="D98" i="40"/>
  <c r="D99" i="4"/>
  <c r="B506" i="38" a="1"/>
  <c r="G521" i="8"/>
  <c r="G377" i="39"/>
  <c r="D710" i="8"/>
  <c r="J185" i="8"/>
  <c r="J177" i="39"/>
  <c r="K177" i="8"/>
  <c r="F610" i="8"/>
  <c r="H375" i="8"/>
  <c r="H219" i="39"/>
  <c r="H218" i="39"/>
  <c r="H374" i="8"/>
  <c r="H376" i="8"/>
  <c r="H220" i="39"/>
  <c r="G512" i="8"/>
  <c r="G368" i="39"/>
  <c r="D119" i="4"/>
  <c r="D119" i="40" s="1"/>
  <c r="D115" i="40"/>
  <c r="G518" i="8"/>
  <c r="G374" i="39"/>
  <c r="G503" i="8"/>
  <c r="G359" i="39"/>
  <c r="J165" i="8"/>
  <c r="J157" i="39"/>
  <c r="K157" i="8"/>
  <c r="F580" i="8"/>
  <c r="F616" i="8"/>
  <c r="F582" i="8"/>
  <c r="F618" i="8"/>
  <c r="F611" i="8"/>
  <c r="F609" i="8"/>
  <c r="G513" i="8"/>
  <c r="G369" i="39"/>
  <c r="K179" i="8"/>
  <c r="K179" i="39" s="1"/>
  <c r="J179" i="39"/>
  <c r="G371" i="39"/>
  <c r="G515" i="8"/>
  <c r="D82" i="40"/>
  <c r="D87" i="4"/>
  <c r="F583" i="8"/>
  <c r="F619" i="8"/>
  <c r="K162" i="8"/>
  <c r="K162" i="39" s="1"/>
  <c r="J162" i="39"/>
  <c r="H201" i="39"/>
  <c r="H357" i="8"/>
  <c r="H209" i="39"/>
  <c r="H365" i="8"/>
  <c r="H212" i="39"/>
  <c r="H368" i="8"/>
  <c r="G357" i="39"/>
  <c r="G501" i="8"/>
  <c r="G354" i="39"/>
  <c r="G498" i="8"/>
  <c r="H373" i="8"/>
  <c r="H217" i="39"/>
  <c r="H215" i="39"/>
  <c r="H371" i="8"/>
  <c r="F578" i="8"/>
  <c r="F614" i="8"/>
  <c r="D168" i="57"/>
  <c r="D165" i="57"/>
  <c r="D164" i="57"/>
  <c r="D163" i="57"/>
  <c r="D161" i="57"/>
  <c r="D162" i="57"/>
  <c r="D167" i="57"/>
  <c r="E642" i="8" l="1"/>
  <c r="E646" i="8"/>
  <c r="E644" i="8"/>
  <c r="E648" i="8"/>
  <c r="E645" i="8"/>
  <c r="E641" i="8"/>
  <c r="K227" i="38"/>
  <c r="K383" i="38" s="1"/>
  <c r="K527" i="38" s="1"/>
  <c r="K230" i="38"/>
  <c r="K386" i="38" s="1"/>
  <c r="K530" i="38" s="1"/>
  <c r="K231" i="38"/>
  <c r="K387" i="38" s="1"/>
  <c r="K531" i="38" s="1"/>
  <c r="K226" i="38"/>
  <c r="K382" i="38" s="1"/>
  <c r="K526" i="38" s="1"/>
  <c r="K225" i="38"/>
  <c r="K381" i="38" s="1"/>
  <c r="K525" i="38" s="1"/>
  <c r="K224" i="38"/>
  <c r="K380" i="38" s="1"/>
  <c r="K524" i="38" s="1"/>
  <c r="K228" i="38"/>
  <c r="K384" i="38" s="1"/>
  <c r="K528" i="38" s="1"/>
  <c r="K229" i="38"/>
  <c r="K385" i="38" s="1"/>
  <c r="K529" i="38" s="1"/>
  <c r="G383" i="39"/>
  <c r="G527" i="8"/>
  <c r="I598" i="38"/>
  <c r="I634" i="38"/>
  <c r="I597" i="38"/>
  <c r="I633" i="38"/>
  <c r="F529" i="39"/>
  <c r="F601" i="8"/>
  <c r="F601" i="39" s="1"/>
  <c r="F637" i="8"/>
  <c r="F637" i="39" s="1"/>
  <c r="J190" i="39"/>
  <c r="K190" i="8"/>
  <c r="K190" i="39" s="1"/>
  <c r="G385" i="39"/>
  <c r="G529" i="8"/>
  <c r="H383" i="8"/>
  <c r="H227" i="39"/>
  <c r="H380" i="8"/>
  <c r="H224" i="39"/>
  <c r="F531" i="39"/>
  <c r="F603" i="8"/>
  <c r="F603" i="39" s="1"/>
  <c r="F639" i="8"/>
  <c r="F639" i="39" s="1"/>
  <c r="F526" i="39"/>
  <c r="F598" i="8"/>
  <c r="F598" i="39" s="1"/>
  <c r="F634" i="8"/>
  <c r="F634" i="39" s="1"/>
  <c r="F528" i="39"/>
  <c r="F600" i="8"/>
  <c r="F600" i="39" s="1"/>
  <c r="F636" i="8"/>
  <c r="F636" i="39" s="1"/>
  <c r="I602" i="38"/>
  <c r="I638" i="38"/>
  <c r="I599" i="38"/>
  <c r="I635" i="38"/>
  <c r="G382" i="39"/>
  <c r="G526" i="8"/>
  <c r="K192" i="8"/>
  <c r="K192" i="39" s="1"/>
  <c r="J192" i="39"/>
  <c r="F527" i="39"/>
  <c r="F599" i="8"/>
  <c r="F599" i="39" s="1"/>
  <c r="F635" i="8"/>
  <c r="F635" i="39" s="1"/>
  <c r="H384" i="8"/>
  <c r="H228" i="39"/>
  <c r="H381" i="8"/>
  <c r="H225" i="39"/>
  <c r="J193" i="39"/>
  <c r="K193" i="8"/>
  <c r="K193" i="39" s="1"/>
  <c r="G387" i="39"/>
  <c r="G531" i="8"/>
  <c r="I226" i="8"/>
  <c r="I228" i="8"/>
  <c r="I225" i="8"/>
  <c r="I230" i="8"/>
  <c r="I224" i="8"/>
  <c r="I231" i="8"/>
  <c r="I227" i="8"/>
  <c r="I229" i="8"/>
  <c r="I195" i="39"/>
  <c r="G380" i="39"/>
  <c r="G524" i="8"/>
  <c r="F524" i="39"/>
  <c r="F596" i="8"/>
  <c r="F596" i="39" s="1"/>
  <c r="F632" i="8"/>
  <c r="F632" i="39" s="1"/>
  <c r="I601" i="38"/>
  <c r="I637" i="38"/>
  <c r="I600" i="38"/>
  <c r="I636" i="38"/>
  <c r="J194" i="39"/>
  <c r="K194" i="8"/>
  <c r="K194" i="39" s="1"/>
  <c r="F525" i="39"/>
  <c r="F597" i="8"/>
  <c r="F597" i="39" s="1"/>
  <c r="F633" i="8"/>
  <c r="F633" i="39" s="1"/>
  <c r="G384" i="39"/>
  <c r="G528" i="8"/>
  <c r="H387" i="8"/>
  <c r="H231" i="39"/>
  <c r="H386" i="8"/>
  <c r="H230" i="39"/>
  <c r="K191" i="8"/>
  <c r="K191" i="39" s="1"/>
  <c r="J191" i="39"/>
  <c r="K189" i="8"/>
  <c r="K189" i="39" s="1"/>
  <c r="J189" i="39"/>
  <c r="K187" i="8"/>
  <c r="J195" i="8"/>
  <c r="J187" i="39"/>
  <c r="J228" i="38"/>
  <c r="J384" i="38" s="1"/>
  <c r="J528" i="38" s="1"/>
  <c r="J225" i="38"/>
  <c r="J381" i="38" s="1"/>
  <c r="J525" i="38" s="1"/>
  <c r="J227" i="38"/>
  <c r="J383" i="38" s="1"/>
  <c r="J527" i="38" s="1"/>
  <c r="J231" i="38"/>
  <c r="J387" i="38" s="1"/>
  <c r="J531" i="38" s="1"/>
  <c r="J224" i="38"/>
  <c r="J380" i="38" s="1"/>
  <c r="J524" i="38" s="1"/>
  <c r="J230" i="38"/>
  <c r="J386" i="38" s="1"/>
  <c r="J530" i="38" s="1"/>
  <c r="J229" i="38"/>
  <c r="J385" i="38" s="1"/>
  <c r="J529" i="38" s="1"/>
  <c r="J226" i="38"/>
  <c r="J382" i="38" s="1"/>
  <c r="J526" i="38" s="1"/>
  <c r="I596" i="38"/>
  <c r="I632" i="38"/>
  <c r="I603" i="38"/>
  <c r="I639" i="38"/>
  <c r="G381" i="39"/>
  <c r="G525" i="8"/>
  <c r="J188" i="39"/>
  <c r="K188" i="8"/>
  <c r="K188" i="39" s="1"/>
  <c r="H385" i="8"/>
  <c r="H229" i="39"/>
  <c r="H382" i="8"/>
  <c r="H226" i="39"/>
  <c r="G386" i="39"/>
  <c r="G530" i="8"/>
  <c r="F530" i="39"/>
  <c r="F602" i="8"/>
  <c r="F602" i="39" s="1"/>
  <c r="F638" i="8"/>
  <c r="F638" i="39" s="1"/>
  <c r="F641" i="8"/>
  <c r="G583" i="8"/>
  <c r="G619" i="8"/>
  <c r="G606" i="8"/>
  <c r="H509" i="8"/>
  <c r="H365" i="39"/>
  <c r="G590" i="8"/>
  <c r="G626" i="8"/>
  <c r="H520" i="8"/>
  <c r="H376" i="39"/>
  <c r="H375" i="39"/>
  <c r="H519" i="8"/>
  <c r="K185" i="8"/>
  <c r="K177" i="39"/>
  <c r="G608" i="8"/>
  <c r="I200" i="39"/>
  <c r="I356" i="8"/>
  <c r="I199" i="39"/>
  <c r="I355" i="8"/>
  <c r="E189" i="29"/>
  <c r="E191" i="29" s="1"/>
  <c r="E199" i="29"/>
  <c r="E184" i="29"/>
  <c r="E181" i="29"/>
  <c r="D124" i="30"/>
  <c r="D125" i="30" s="1"/>
  <c r="D127" i="30" s="1"/>
  <c r="E107" i="29"/>
  <c r="E108" i="29" s="1"/>
  <c r="E55" i="29"/>
  <c r="E182" i="29"/>
  <c r="E121" i="29"/>
  <c r="E122" i="29" s="1"/>
  <c r="E180" i="29"/>
  <c r="E94" i="29"/>
  <c r="E178" i="29"/>
  <c r="E183" i="29"/>
  <c r="E177" i="29"/>
  <c r="E38" i="29"/>
  <c r="E179" i="29"/>
  <c r="E174" i="29"/>
  <c r="E200" i="29" s="1"/>
  <c r="E175" i="29"/>
  <c r="E89" i="29"/>
  <c r="I377" i="8"/>
  <c r="I221" i="39"/>
  <c r="I371" i="8"/>
  <c r="I215" i="39"/>
  <c r="H497" i="8"/>
  <c r="H353" i="39"/>
  <c r="G168" i="35"/>
  <c r="G168" i="37" s="1"/>
  <c r="G160" i="37"/>
  <c r="B168" i="35"/>
  <c r="B168" i="37" s="1"/>
  <c r="B170" i="35" a="1"/>
  <c r="B160" i="37"/>
  <c r="K167" i="39"/>
  <c r="K175" i="8"/>
  <c r="F643" i="8"/>
  <c r="G607" i="8"/>
  <c r="I210" i="39"/>
  <c r="I366" i="8"/>
  <c r="I207" i="39"/>
  <c r="I363" i="8"/>
  <c r="H357" i="39"/>
  <c r="H501" i="8"/>
  <c r="D88" i="4"/>
  <c r="D212" i="4"/>
  <c r="D212" i="40" s="1"/>
  <c r="D87" i="40"/>
  <c r="G585" i="8"/>
  <c r="G621" i="8"/>
  <c r="K157" i="39"/>
  <c r="K165" i="8"/>
  <c r="D102" i="4"/>
  <c r="D99" i="40"/>
  <c r="H507" i="8"/>
  <c r="H363" i="39"/>
  <c r="H356" i="39"/>
  <c r="H500" i="8"/>
  <c r="H373" i="39"/>
  <c r="H517" i="8"/>
  <c r="J204" i="8"/>
  <c r="J202" i="8"/>
  <c r="J165" i="39"/>
  <c r="J198" i="8"/>
  <c r="J200" i="8"/>
  <c r="J203" i="8"/>
  <c r="J199" i="8"/>
  <c r="J197" i="8"/>
  <c r="J201" i="8"/>
  <c r="G584" i="8"/>
  <c r="G620" i="8"/>
  <c r="H374" i="39"/>
  <c r="H518" i="8"/>
  <c r="G593" i="8"/>
  <c r="G629" i="8"/>
  <c r="H364" i="39"/>
  <c r="H508" i="8"/>
  <c r="I197" i="39"/>
  <c r="I353" i="8"/>
  <c r="I202" i="39"/>
  <c r="I358" i="8"/>
  <c r="E167" i="29"/>
  <c r="E168" i="29"/>
  <c r="I219" i="39"/>
  <c r="I375" i="8"/>
  <c r="I222" i="39"/>
  <c r="I378" i="8"/>
  <c r="F642" i="8"/>
  <c r="H513" i="8"/>
  <c r="H369" i="39"/>
  <c r="H355" i="39"/>
  <c r="H499" i="8"/>
  <c r="E168" i="35"/>
  <c r="E168" i="37" s="1"/>
  <c r="E160" i="37"/>
  <c r="J168" i="35"/>
  <c r="J168" i="37" s="1"/>
  <c r="J160" i="37"/>
  <c r="D168" i="35"/>
  <c r="D168" i="37" s="1"/>
  <c r="D160" i="37"/>
  <c r="G579" i="8"/>
  <c r="G615" i="8"/>
  <c r="K521" i="38"/>
  <c r="H518" i="38"/>
  <c r="J515" i="38"/>
  <c r="D517" i="38"/>
  <c r="D517" i="39" s="1"/>
  <c r="B522" i="38"/>
  <c r="B522" i="39" s="1"/>
  <c r="D519" i="38"/>
  <c r="D519" i="39" s="1"/>
  <c r="I522" i="38"/>
  <c r="C521" i="38"/>
  <c r="C521" i="39" s="1"/>
  <c r="H522" i="38"/>
  <c r="I520" i="38"/>
  <c r="D516" i="38"/>
  <c r="D516" i="39" s="1"/>
  <c r="I519" i="38"/>
  <c r="K517" i="38"/>
  <c r="C520" i="38"/>
  <c r="C520" i="39" s="1"/>
  <c r="C516" i="38"/>
  <c r="C516" i="39" s="1"/>
  <c r="E518" i="38"/>
  <c r="E518" i="39" s="1"/>
  <c r="F521" i="38"/>
  <c r="F521" i="39" s="1"/>
  <c r="D521" i="38"/>
  <c r="D521" i="39" s="1"/>
  <c r="D518" i="38"/>
  <c r="D518" i="39" s="1"/>
  <c r="G515" i="38"/>
  <c r="G515" i="39" s="1"/>
  <c r="G521" i="38"/>
  <c r="G521" i="39" s="1"/>
  <c r="H519" i="38"/>
  <c r="E517" i="38"/>
  <c r="E517" i="39" s="1"/>
  <c r="G516" i="38"/>
  <c r="K519" i="38"/>
  <c r="J517" i="38"/>
  <c r="H515" i="38"/>
  <c r="J521" i="38"/>
  <c r="K522" i="38"/>
  <c r="H517" i="38"/>
  <c r="K515" i="38"/>
  <c r="C519" i="38"/>
  <c r="C519" i="39" s="1"/>
  <c r="B517" i="38"/>
  <c r="B517" i="39" s="1"/>
  <c r="G520" i="38"/>
  <c r="G520" i="39" s="1"/>
  <c r="F520" i="38"/>
  <c r="F520" i="39" s="1"/>
  <c r="B519" i="38"/>
  <c r="B519" i="39" s="1"/>
  <c r="H516" i="38"/>
  <c r="F517" i="38"/>
  <c r="F517" i="39" s="1"/>
  <c r="B516" i="38"/>
  <c r="B516" i="39" s="1"/>
  <c r="J520" i="38"/>
  <c r="B520" i="38"/>
  <c r="B520" i="39" s="1"/>
  <c r="E516" i="38"/>
  <c r="E516" i="39" s="1"/>
  <c r="H521" i="38"/>
  <c r="H520" i="38"/>
  <c r="I517" i="38"/>
  <c r="B521" i="38"/>
  <c r="B521" i="39" s="1"/>
  <c r="G519" i="38"/>
  <c r="E519" i="38"/>
  <c r="E519" i="39" s="1"/>
  <c r="K516" i="38"/>
  <c r="B515" i="38"/>
  <c r="E521" i="38"/>
  <c r="E521" i="39" s="1"/>
  <c r="B518" i="38"/>
  <c r="B518" i="39" s="1"/>
  <c r="C515" i="38"/>
  <c r="C515" i="39" s="1"/>
  <c r="F515" i="38"/>
  <c r="F515" i="39" s="1"/>
  <c r="G517" i="38"/>
  <c r="G517" i="39" s="1"/>
  <c r="D522" i="38"/>
  <c r="D522" i="39" s="1"/>
  <c r="J516" i="38"/>
  <c r="G518" i="38"/>
  <c r="G518" i="39" s="1"/>
  <c r="F522" i="38"/>
  <c r="F522" i="39" s="1"/>
  <c r="C518" i="38"/>
  <c r="C518" i="39" s="1"/>
  <c r="J518" i="38"/>
  <c r="E515" i="38"/>
  <c r="E515" i="39" s="1"/>
  <c r="D515" i="38"/>
  <c r="D515" i="39" s="1"/>
  <c r="F518" i="38"/>
  <c r="F518" i="39" s="1"/>
  <c r="I521" i="38"/>
  <c r="J519" i="38"/>
  <c r="G522" i="38"/>
  <c r="G522" i="39" s="1"/>
  <c r="I516" i="38"/>
  <c r="E522" i="38"/>
  <c r="E522" i="39" s="1"/>
  <c r="F519" i="38"/>
  <c r="F519" i="39" s="1"/>
  <c r="F516" i="38"/>
  <c r="F516" i="39" s="1"/>
  <c r="C522" i="38"/>
  <c r="C522" i="39" s="1"/>
  <c r="C517" i="38"/>
  <c r="C517" i="39" s="1"/>
  <c r="D520" i="38"/>
  <c r="D520" i="39" s="1"/>
  <c r="K518" i="38"/>
  <c r="I518" i="38"/>
  <c r="E520" i="38"/>
  <c r="E520" i="39" s="1"/>
  <c r="I515" i="38"/>
  <c r="J522" i="38"/>
  <c r="K520" i="38"/>
  <c r="E504" i="38"/>
  <c r="E504" i="39" s="1"/>
  <c r="K504" i="38"/>
  <c r="G498" i="38"/>
  <c r="G498" i="39" s="1"/>
  <c r="G503" i="38"/>
  <c r="G504" i="38"/>
  <c r="F497" i="38"/>
  <c r="F497" i="39" s="1"/>
  <c r="I497" i="38"/>
  <c r="J498" i="38"/>
  <c r="D499" i="38"/>
  <c r="D499" i="39" s="1"/>
  <c r="F499" i="38"/>
  <c r="F499" i="39" s="1"/>
  <c r="B500" i="38"/>
  <c r="B500" i="39" s="1"/>
  <c r="B503" i="38"/>
  <c r="B503" i="39" s="1"/>
  <c r="D498" i="38"/>
  <c r="D498" i="39" s="1"/>
  <c r="D500" i="38"/>
  <c r="D500" i="39" s="1"/>
  <c r="H499" i="38"/>
  <c r="I498" i="38"/>
  <c r="J503" i="38"/>
  <c r="H500" i="38"/>
  <c r="C499" i="38"/>
  <c r="C499" i="39" s="1"/>
  <c r="K498" i="38"/>
  <c r="K502" i="38"/>
  <c r="C504" i="38"/>
  <c r="C504" i="39" s="1"/>
  <c r="I499" i="38"/>
  <c r="C497" i="38"/>
  <c r="C497" i="39" s="1"/>
  <c r="I504" i="38"/>
  <c r="C503" i="38"/>
  <c r="C503" i="39" s="1"/>
  <c r="B498" i="38"/>
  <c r="B498" i="39" s="1"/>
  <c r="J499" i="38"/>
  <c r="C498" i="38"/>
  <c r="C498" i="39" s="1"/>
  <c r="H503" i="38"/>
  <c r="G497" i="38"/>
  <c r="H504" i="38"/>
  <c r="K497" i="38"/>
  <c r="H497" i="38"/>
  <c r="B504" i="38"/>
  <c r="B504" i="39" s="1"/>
  <c r="E497" i="38"/>
  <c r="E497" i="39" s="1"/>
  <c r="J502" i="38"/>
  <c r="E500" i="38"/>
  <c r="E500" i="39" s="1"/>
  <c r="I503" i="38"/>
  <c r="F502" i="38"/>
  <c r="F502" i="39" s="1"/>
  <c r="E498" i="38"/>
  <c r="E498" i="39" s="1"/>
  <c r="F501" i="38"/>
  <c r="F501" i="39" s="1"/>
  <c r="C500" i="38"/>
  <c r="C500" i="39" s="1"/>
  <c r="E502" i="38"/>
  <c r="E502" i="39" s="1"/>
  <c r="H498" i="38"/>
  <c r="D497" i="38"/>
  <c r="D497" i="39" s="1"/>
  <c r="J501" i="38"/>
  <c r="G501" i="38"/>
  <c r="G501" i="39" s="1"/>
  <c r="J504" i="38"/>
  <c r="G502" i="38"/>
  <c r="G502" i="39" s="1"/>
  <c r="K501" i="38"/>
  <c r="E499" i="38"/>
  <c r="E499" i="39" s="1"/>
  <c r="B499" i="38"/>
  <c r="B499" i="39" s="1"/>
  <c r="C502" i="38"/>
  <c r="C502" i="39" s="1"/>
  <c r="K503" i="38"/>
  <c r="J497" i="38"/>
  <c r="B501" i="38"/>
  <c r="B501" i="39" s="1"/>
  <c r="F498" i="38"/>
  <c r="F498" i="39" s="1"/>
  <c r="E503" i="38"/>
  <c r="E503" i="39" s="1"/>
  <c r="D501" i="38"/>
  <c r="D501" i="39" s="1"/>
  <c r="F503" i="38"/>
  <c r="F503" i="39" s="1"/>
  <c r="I500" i="38"/>
  <c r="G499" i="38"/>
  <c r="G499" i="39" s="1"/>
  <c r="D503" i="38"/>
  <c r="D503" i="39" s="1"/>
  <c r="J500" i="38"/>
  <c r="I502" i="38"/>
  <c r="B497" i="38"/>
  <c r="H502" i="38"/>
  <c r="C501" i="38"/>
  <c r="C501" i="39" s="1"/>
  <c r="E501" i="38"/>
  <c r="E501" i="39" s="1"/>
  <c r="H501" i="38"/>
  <c r="B502" i="38"/>
  <c r="B502" i="39" s="1"/>
  <c r="K499" i="38"/>
  <c r="D502" i="38"/>
  <c r="D502" i="39" s="1"/>
  <c r="D504" i="38"/>
  <c r="D504" i="39" s="1"/>
  <c r="K500" i="38"/>
  <c r="I501" i="38"/>
  <c r="F500" i="38"/>
  <c r="F500" i="39" s="1"/>
  <c r="F504" i="38"/>
  <c r="F504" i="39" s="1"/>
  <c r="G500" i="38"/>
  <c r="G500" i="39" s="1"/>
  <c r="J210" i="8"/>
  <c r="J212" i="8"/>
  <c r="J209" i="8"/>
  <c r="J213" i="8"/>
  <c r="J211" i="8"/>
  <c r="J206" i="8"/>
  <c r="J208" i="8"/>
  <c r="J175" i="39"/>
  <c r="J207" i="8"/>
  <c r="G578" i="8"/>
  <c r="G614" i="8"/>
  <c r="G589" i="8"/>
  <c r="G625" i="8"/>
  <c r="H503" i="8"/>
  <c r="H359" i="39"/>
  <c r="G581" i="8"/>
  <c r="G617" i="8"/>
  <c r="I209" i="39"/>
  <c r="I365" i="8"/>
  <c r="H515" i="8"/>
  <c r="H371" i="39"/>
  <c r="G609" i="8"/>
  <c r="H368" i="39"/>
  <c r="H512" i="8"/>
  <c r="G587" i="8"/>
  <c r="G623" i="8"/>
  <c r="G503" i="39"/>
  <c r="G611" i="8"/>
  <c r="F646" i="8"/>
  <c r="J185" i="39"/>
  <c r="J216" i="8"/>
  <c r="J219" i="8"/>
  <c r="J218" i="8"/>
  <c r="J222" i="8"/>
  <c r="J220" i="8"/>
  <c r="J215" i="8"/>
  <c r="J221" i="8"/>
  <c r="J217" i="8"/>
  <c r="B507" i="38"/>
  <c r="B507" i="39" s="1"/>
  <c r="H506" i="38"/>
  <c r="F511" i="38"/>
  <c r="F511" i="39" s="1"/>
  <c r="B511" i="38"/>
  <c r="B511" i="39" s="1"/>
  <c r="F509" i="38"/>
  <c r="F509" i="39" s="1"/>
  <c r="E513" i="38"/>
  <c r="E513" i="39" s="1"/>
  <c r="E508" i="38"/>
  <c r="E508" i="39" s="1"/>
  <c r="B509" i="38"/>
  <c r="B509" i="39" s="1"/>
  <c r="D506" i="38"/>
  <c r="D506" i="39" s="1"/>
  <c r="J511" i="38"/>
  <c r="J508" i="38"/>
  <c r="F512" i="38"/>
  <c r="F512" i="39" s="1"/>
  <c r="C510" i="38"/>
  <c r="C510" i="39" s="1"/>
  <c r="D508" i="38"/>
  <c r="D508" i="39" s="1"/>
  <c r="J512" i="38"/>
  <c r="C506" i="38"/>
  <c r="C506" i="39" s="1"/>
  <c r="G506" i="38"/>
  <c r="G506" i="39" s="1"/>
  <c r="H512" i="38"/>
  <c r="G511" i="38"/>
  <c r="G511" i="39" s="1"/>
  <c r="I513" i="38"/>
  <c r="E510" i="38"/>
  <c r="E510" i="39" s="1"/>
  <c r="E509" i="38"/>
  <c r="E509" i="39" s="1"/>
  <c r="E511" i="38"/>
  <c r="E511" i="39" s="1"/>
  <c r="G508" i="38"/>
  <c r="G508" i="39" s="1"/>
  <c r="B513" i="38"/>
  <c r="B513" i="39" s="1"/>
  <c r="K508" i="38"/>
  <c r="F513" i="38"/>
  <c r="F513" i="39" s="1"/>
  <c r="C513" i="38"/>
  <c r="C513" i="39" s="1"/>
  <c r="B506" i="38"/>
  <c r="F506" i="38"/>
  <c r="F506" i="39" s="1"/>
  <c r="K507" i="38"/>
  <c r="C512" i="38"/>
  <c r="C512" i="39" s="1"/>
  <c r="I512" i="38"/>
  <c r="D507" i="38"/>
  <c r="D507" i="39" s="1"/>
  <c r="F508" i="38"/>
  <c r="F508" i="39" s="1"/>
  <c r="J510" i="38"/>
  <c r="K509" i="38"/>
  <c r="G510" i="38"/>
  <c r="B508" i="38"/>
  <c r="B508" i="39" s="1"/>
  <c r="H510" i="38"/>
  <c r="H509" i="38"/>
  <c r="K511" i="38"/>
  <c r="D511" i="38"/>
  <c r="D511" i="39" s="1"/>
  <c r="D509" i="38"/>
  <c r="D509" i="39" s="1"/>
  <c r="G509" i="38"/>
  <c r="G509" i="39" s="1"/>
  <c r="B512" i="38"/>
  <c r="B512" i="39" s="1"/>
  <c r="D513" i="38"/>
  <c r="D513" i="39" s="1"/>
  <c r="K510" i="38"/>
  <c r="H513" i="38"/>
  <c r="I511" i="38"/>
  <c r="C507" i="38"/>
  <c r="C507" i="39" s="1"/>
  <c r="I510" i="38"/>
  <c r="K513" i="38"/>
  <c r="J513" i="38"/>
  <c r="K506" i="38"/>
  <c r="J509" i="38"/>
  <c r="I506" i="38"/>
  <c r="E512" i="38"/>
  <c r="E512" i="39" s="1"/>
  <c r="H507" i="38"/>
  <c r="J507" i="38"/>
  <c r="B510" i="38"/>
  <c r="B510" i="39" s="1"/>
  <c r="D510" i="38"/>
  <c r="D510" i="39" s="1"/>
  <c r="F507" i="38"/>
  <c r="F507" i="39" s="1"/>
  <c r="C508" i="38"/>
  <c r="C508" i="39" s="1"/>
  <c r="I508" i="38"/>
  <c r="H511" i="38"/>
  <c r="E507" i="38"/>
  <c r="E507" i="39" s="1"/>
  <c r="G513" i="38"/>
  <c r="G513" i="39" s="1"/>
  <c r="H508" i="38"/>
  <c r="F510" i="38"/>
  <c r="F510" i="39" s="1"/>
  <c r="E506" i="38"/>
  <c r="E506" i="39" s="1"/>
  <c r="G512" i="38"/>
  <c r="G512" i="39" s="1"/>
  <c r="I507" i="38"/>
  <c r="K512" i="38"/>
  <c r="C509" i="38"/>
  <c r="C509" i="39" s="1"/>
  <c r="C511" i="38"/>
  <c r="C511" i="39" s="1"/>
  <c r="I509" i="38"/>
  <c r="J506" i="38"/>
  <c r="D512" i="38"/>
  <c r="D512" i="39" s="1"/>
  <c r="G507" i="38"/>
  <c r="G507" i="39" s="1"/>
  <c r="H504" i="8"/>
  <c r="H360" i="39"/>
  <c r="G504" i="39"/>
  <c r="G612" i="8"/>
  <c r="D211" i="4"/>
  <c r="D211" i="40" s="1"/>
  <c r="D210" i="40"/>
  <c r="I360" i="8"/>
  <c r="I204" i="39"/>
  <c r="I198" i="39"/>
  <c r="I354" i="8"/>
  <c r="G580" i="8"/>
  <c r="G616" i="8"/>
  <c r="G594" i="8"/>
  <c r="G630" i="8"/>
  <c r="I218" i="39"/>
  <c r="I374" i="8"/>
  <c r="I220" i="39"/>
  <c r="I376" i="8"/>
  <c r="I168" i="35"/>
  <c r="I168" i="37" s="1"/>
  <c r="I160" i="37"/>
  <c r="K168" i="35"/>
  <c r="K168" i="37" s="1"/>
  <c r="K160" i="37"/>
  <c r="C168" i="35"/>
  <c r="C168" i="37" s="1"/>
  <c r="C160" i="37"/>
  <c r="G519" i="39"/>
  <c r="G591" i="8"/>
  <c r="G627" i="8"/>
  <c r="H516" i="8"/>
  <c r="H372" i="39"/>
  <c r="H362" i="39"/>
  <c r="H506" i="8"/>
  <c r="G516" i="39"/>
  <c r="G588" i="8"/>
  <c r="G624" i="8"/>
  <c r="I212" i="39"/>
  <c r="I368" i="8"/>
  <c r="I206" i="39"/>
  <c r="I362" i="8"/>
  <c r="I208" i="39"/>
  <c r="I364" i="8"/>
  <c r="F648" i="8"/>
  <c r="I203" i="39"/>
  <c r="I359" i="8"/>
  <c r="I201" i="39"/>
  <c r="I357" i="8"/>
  <c r="H521" i="8"/>
  <c r="H377" i="39"/>
  <c r="I216" i="39"/>
  <c r="I372" i="8"/>
  <c r="I217" i="39"/>
  <c r="I373" i="8"/>
  <c r="H366" i="39"/>
  <c r="H510" i="8"/>
  <c r="H498" i="8"/>
  <c r="H354" i="39"/>
  <c r="H168" i="35"/>
  <c r="H168" i="37" s="1"/>
  <c r="H160" i="37"/>
  <c r="F168" i="35"/>
  <c r="F168" i="37" s="1"/>
  <c r="F160" i="37"/>
  <c r="G497" i="39"/>
  <c r="G605" i="8"/>
  <c r="G592" i="8"/>
  <c r="G628" i="8"/>
  <c r="G510" i="39"/>
  <c r="G582" i="8"/>
  <c r="G618" i="8"/>
  <c r="F644" i="8"/>
  <c r="H378" i="39"/>
  <c r="H522" i="8"/>
  <c r="G610" i="8"/>
  <c r="H367" i="39"/>
  <c r="H511" i="8"/>
  <c r="H358" i="39"/>
  <c r="H502" i="8"/>
  <c r="I211" i="39"/>
  <c r="I367" i="8"/>
  <c r="I213" i="39"/>
  <c r="I369" i="8"/>
  <c r="E710" i="8" l="1"/>
  <c r="F645" i="8"/>
  <c r="F647" i="8"/>
  <c r="G530" i="39"/>
  <c r="G602" i="8"/>
  <c r="G602" i="39" s="1"/>
  <c r="G638" i="8"/>
  <c r="G638" i="39" s="1"/>
  <c r="G525" i="39"/>
  <c r="G597" i="8"/>
  <c r="G597" i="39" s="1"/>
  <c r="G633" i="8"/>
  <c r="G633" i="39" s="1"/>
  <c r="J602" i="38"/>
  <c r="J638" i="38"/>
  <c r="J597" i="38"/>
  <c r="J633" i="38"/>
  <c r="K195" i="8"/>
  <c r="K187" i="39"/>
  <c r="H387" i="39"/>
  <c r="H531" i="8"/>
  <c r="G524" i="39"/>
  <c r="G596" i="8"/>
  <c r="G596" i="39" s="1"/>
  <c r="G632" i="8"/>
  <c r="G632" i="39" s="1"/>
  <c r="I383" i="8"/>
  <c r="I227" i="39"/>
  <c r="I381" i="8"/>
  <c r="I225" i="39"/>
  <c r="H381" i="39"/>
  <c r="H525" i="8"/>
  <c r="G526" i="39"/>
  <c r="G598" i="8"/>
  <c r="G598" i="39" s="1"/>
  <c r="G634" i="8"/>
  <c r="G634" i="39" s="1"/>
  <c r="H380" i="39"/>
  <c r="H524" i="8"/>
  <c r="K637" i="38"/>
  <c r="K601" i="38"/>
  <c r="K634" i="38"/>
  <c r="K598" i="38"/>
  <c r="H529" i="8"/>
  <c r="H385" i="39"/>
  <c r="J596" i="38"/>
  <c r="J632" i="38"/>
  <c r="J636" i="38"/>
  <c r="J600" i="38"/>
  <c r="G528" i="39"/>
  <c r="G600" i="8"/>
  <c r="G600" i="39" s="1"/>
  <c r="G636" i="8"/>
  <c r="G636" i="39" s="1"/>
  <c r="I387" i="8"/>
  <c r="I231" i="39"/>
  <c r="I384" i="8"/>
  <c r="I228" i="39"/>
  <c r="K636" i="38"/>
  <c r="K600" i="38"/>
  <c r="K603" i="38"/>
  <c r="K639" i="38"/>
  <c r="J598" i="38"/>
  <c r="J634" i="38"/>
  <c r="J603" i="38"/>
  <c r="J639" i="38"/>
  <c r="H386" i="39"/>
  <c r="H530" i="8"/>
  <c r="I380" i="8"/>
  <c r="I224" i="39"/>
  <c r="I382" i="8"/>
  <c r="I226" i="39"/>
  <c r="H384" i="39"/>
  <c r="H528" i="8"/>
  <c r="H383" i="39"/>
  <c r="H527" i="8"/>
  <c r="G527" i="39"/>
  <c r="G599" i="8"/>
  <c r="G599" i="39" s="1"/>
  <c r="G635" i="8"/>
  <c r="G635" i="39" s="1"/>
  <c r="K632" i="38"/>
  <c r="K596" i="38"/>
  <c r="K602" i="38"/>
  <c r="K638" i="38"/>
  <c r="H526" i="8"/>
  <c r="H382" i="39"/>
  <c r="J601" i="38"/>
  <c r="J637" i="38"/>
  <c r="J635" i="38"/>
  <c r="J599" i="38"/>
  <c r="J228" i="8"/>
  <c r="J224" i="8"/>
  <c r="J230" i="8"/>
  <c r="J227" i="8"/>
  <c r="J229" i="8"/>
  <c r="J225" i="8"/>
  <c r="J226" i="8"/>
  <c r="J231" i="8"/>
  <c r="J195" i="39"/>
  <c r="I385" i="8"/>
  <c r="I229" i="39"/>
  <c r="I386" i="8"/>
  <c r="I230" i="39"/>
  <c r="G531" i="39"/>
  <c r="G603" i="8"/>
  <c r="G603" i="39" s="1"/>
  <c r="G639" i="8"/>
  <c r="G639" i="39" s="1"/>
  <c r="G529" i="39"/>
  <c r="G601" i="8"/>
  <c r="G601" i="39" s="1"/>
  <c r="G637" i="8"/>
  <c r="G637" i="39" s="1"/>
  <c r="K597" i="38"/>
  <c r="K633" i="38"/>
  <c r="K635" i="38"/>
  <c r="K599" i="38"/>
  <c r="H504" i="39"/>
  <c r="H612" i="8"/>
  <c r="J377" i="8"/>
  <c r="J221" i="39"/>
  <c r="J374" i="8"/>
  <c r="J218" i="39"/>
  <c r="H512" i="39"/>
  <c r="H584" i="8"/>
  <c r="H620" i="8"/>
  <c r="J206" i="39"/>
  <c r="J362" i="8"/>
  <c r="J212" i="39"/>
  <c r="J368" i="8"/>
  <c r="I592" i="38"/>
  <c r="H630" i="38"/>
  <c r="D588" i="38"/>
  <c r="D588" i="39" s="1"/>
  <c r="J593" i="38"/>
  <c r="D592" i="38"/>
  <c r="D592" i="39" s="1"/>
  <c r="F630" i="38"/>
  <c r="F630" i="39" s="1"/>
  <c r="H626" i="38"/>
  <c r="D594" i="38"/>
  <c r="D594" i="39" s="1"/>
  <c r="E623" i="38"/>
  <c r="E623" i="39" s="1"/>
  <c r="B629" i="38"/>
  <c r="B629" i="39" s="1"/>
  <c r="G590" i="38"/>
  <c r="F626" i="38"/>
  <c r="F626" i="39" s="1"/>
  <c r="D589" i="38"/>
  <c r="D589" i="39" s="1"/>
  <c r="F589" i="38"/>
  <c r="F589" i="39" s="1"/>
  <c r="I623" i="38"/>
  <c r="B591" i="38"/>
  <c r="B591" i="39" s="1"/>
  <c r="F629" i="38"/>
  <c r="F629" i="39" s="1"/>
  <c r="D629" i="38"/>
  <c r="D629" i="39" s="1"/>
  <c r="D624" i="38"/>
  <c r="D624" i="39" s="1"/>
  <c r="J592" i="38"/>
  <c r="K589" i="38"/>
  <c r="J591" i="38"/>
  <c r="B623" i="38"/>
  <c r="B623" i="39" s="1"/>
  <c r="G594" i="38"/>
  <c r="E591" i="38"/>
  <c r="E591" i="39" s="1"/>
  <c r="D625" i="38"/>
  <c r="D625" i="39" s="1"/>
  <c r="G623" i="38"/>
  <c r="J623" i="38"/>
  <c r="I588" i="38"/>
  <c r="J589" i="38"/>
  <c r="F594" i="38"/>
  <c r="F594" i="39" s="1"/>
  <c r="E628" i="38"/>
  <c r="E628" i="39" s="1"/>
  <c r="H588" i="38"/>
  <c r="E594" i="38"/>
  <c r="E594" i="39" s="1"/>
  <c r="F623" i="38"/>
  <c r="F623" i="39" s="1"/>
  <c r="D628" i="38"/>
  <c r="D628" i="39" s="1"/>
  <c r="G592" i="38"/>
  <c r="G592" i="39" s="1"/>
  <c r="B627" i="38"/>
  <c r="B627" i="39" s="1"/>
  <c r="C593" i="38"/>
  <c r="C593" i="39" s="1"/>
  <c r="G628" i="38"/>
  <c r="D593" i="38"/>
  <c r="D593" i="39" s="1"/>
  <c r="I625" i="38"/>
  <c r="K623" i="38"/>
  <c r="G593" i="38"/>
  <c r="I587" i="38"/>
  <c r="G625" i="38"/>
  <c r="G625" i="39" s="1"/>
  <c r="J627" i="38"/>
  <c r="D630" i="38"/>
  <c r="D630" i="39" s="1"/>
  <c r="G629" i="38"/>
  <c r="G629" i="39" s="1"/>
  <c r="B593" i="38"/>
  <c r="B593" i="39" s="1"/>
  <c r="D623" i="38"/>
  <c r="D623" i="39" s="1"/>
  <c r="K624" i="38"/>
  <c r="K588" i="38"/>
  <c r="E629" i="38"/>
  <c r="E629" i="39" s="1"/>
  <c r="B589" i="38"/>
  <c r="B589" i="39" s="1"/>
  <c r="E624" i="38"/>
  <c r="E624" i="39" s="1"/>
  <c r="G626" i="38"/>
  <c r="G624" i="38"/>
  <c r="H627" i="38"/>
  <c r="G630" i="38"/>
  <c r="G630" i="39" s="1"/>
  <c r="D627" i="38"/>
  <c r="D627" i="39" s="1"/>
  <c r="G587" i="38"/>
  <c r="G587" i="39" s="1"/>
  <c r="K591" i="38"/>
  <c r="E627" i="38"/>
  <c r="E627" i="39" s="1"/>
  <c r="H589" i="38"/>
  <c r="K593" i="38"/>
  <c r="J587" i="38"/>
  <c r="I624" i="38"/>
  <c r="H591" i="38"/>
  <c r="H625" i="38"/>
  <c r="J588" i="38"/>
  <c r="K628" i="38"/>
  <c r="C588" i="38"/>
  <c r="C588" i="39" s="1"/>
  <c r="B624" i="38"/>
  <c r="B624" i="39" s="1"/>
  <c r="J628" i="38"/>
  <c r="C629" i="38"/>
  <c r="C629" i="39" s="1"/>
  <c r="I628" i="38"/>
  <c r="C625" i="38"/>
  <c r="C625" i="39" s="1"/>
  <c r="E589" i="38"/>
  <c r="E589" i="39" s="1"/>
  <c r="E625" i="38"/>
  <c r="E625" i="39" s="1"/>
  <c r="I589" i="38"/>
  <c r="H594" i="38"/>
  <c r="H623" i="38"/>
  <c r="C628" i="38"/>
  <c r="C628" i="39" s="1"/>
  <c r="J625" i="38"/>
  <c r="H628" i="38"/>
  <c r="J624" i="38"/>
  <c r="E626" i="38"/>
  <c r="E626" i="39" s="1"/>
  <c r="J590" i="38"/>
  <c r="F628" i="38"/>
  <c r="F628" i="39" s="1"/>
  <c r="H592" i="38"/>
  <c r="C627" i="38"/>
  <c r="C627" i="39" s="1"/>
  <c r="I630" i="38"/>
  <c r="B626" i="38"/>
  <c r="B626" i="39" s="1"/>
  <c r="J626" i="38"/>
  <c r="J630" i="38"/>
  <c r="D587" i="38"/>
  <c r="D587" i="39" s="1"/>
  <c r="C592" i="38"/>
  <c r="C592" i="39" s="1"/>
  <c r="H629" i="38"/>
  <c r="I627" i="38"/>
  <c r="H624" i="38"/>
  <c r="B625" i="38"/>
  <c r="B625" i="39" s="1"/>
  <c r="K626" i="38"/>
  <c r="K629" i="38"/>
  <c r="G588" i="38"/>
  <c r="G588" i="39" s="1"/>
  <c r="C589" i="38"/>
  <c r="C589" i="39" s="1"/>
  <c r="K627" i="38"/>
  <c r="B594" i="38"/>
  <c r="B594" i="39" s="1"/>
  <c r="E592" i="38"/>
  <c r="E592" i="39" s="1"/>
  <c r="E588" i="38"/>
  <c r="E588" i="39" s="1"/>
  <c r="K592" i="38"/>
  <c r="F591" i="38"/>
  <c r="F591" i="39" s="1"/>
  <c r="F587" i="38"/>
  <c r="F587" i="39" s="1"/>
  <c r="I594" i="38"/>
  <c r="F588" i="38"/>
  <c r="F588" i="39" s="1"/>
  <c r="B628" i="38"/>
  <c r="B628" i="39" s="1"/>
  <c r="I626" i="38"/>
  <c r="C587" i="38"/>
  <c r="C587" i="39" s="1"/>
  <c r="K594" i="38"/>
  <c r="I591" i="38"/>
  <c r="J594" i="38"/>
  <c r="I590" i="38"/>
  <c r="E593" i="38"/>
  <c r="E593" i="39" s="1"/>
  <c r="C591" i="38"/>
  <c r="C591" i="39" s="1"/>
  <c r="I593" i="38"/>
  <c r="F625" i="38"/>
  <c r="F625" i="39" s="1"/>
  <c r="K630" i="38"/>
  <c r="F627" i="38"/>
  <c r="F627" i="39" s="1"/>
  <c r="D591" i="38"/>
  <c r="D591" i="39" s="1"/>
  <c r="H590" i="38"/>
  <c r="E587" i="38"/>
  <c r="E587" i="39" s="1"/>
  <c r="B590" i="38"/>
  <c r="B590" i="39" s="1"/>
  <c r="D590" i="38"/>
  <c r="D590" i="39" s="1"/>
  <c r="C630" i="38"/>
  <c r="C630" i="39" s="1"/>
  <c r="F624" i="38"/>
  <c r="F624" i="39" s="1"/>
  <c r="K590" i="38"/>
  <c r="I629" i="38"/>
  <c r="B592" i="38"/>
  <c r="B592" i="39" s="1"/>
  <c r="F592" i="38"/>
  <c r="F592" i="39" s="1"/>
  <c r="K625" i="38"/>
  <c r="D626" i="38"/>
  <c r="D626" i="39" s="1"/>
  <c r="H587" i="38"/>
  <c r="B630" i="38"/>
  <c r="B630" i="39" s="1"/>
  <c r="F593" i="38"/>
  <c r="F593" i="39" s="1"/>
  <c r="C626" i="38"/>
  <c r="C626" i="39" s="1"/>
  <c r="C623" i="38"/>
  <c r="C623" i="39" s="1"/>
  <c r="E590" i="38"/>
  <c r="E590" i="39" s="1"/>
  <c r="J629" i="38"/>
  <c r="K587" i="38"/>
  <c r="G589" i="38"/>
  <c r="G589" i="39" s="1"/>
  <c r="C594" i="38"/>
  <c r="C594" i="39" s="1"/>
  <c r="E630" i="38"/>
  <c r="E630" i="39" s="1"/>
  <c r="F590" i="38"/>
  <c r="F590" i="39" s="1"/>
  <c r="B588" i="38"/>
  <c r="B588" i="39" s="1"/>
  <c r="C590" i="38"/>
  <c r="C590" i="39" s="1"/>
  <c r="G591" i="38"/>
  <c r="G591" i="39" s="1"/>
  <c r="G627" i="38"/>
  <c r="G627" i="39" s="1"/>
  <c r="B587" i="38"/>
  <c r="B587" i="39" s="1"/>
  <c r="C624" i="38"/>
  <c r="C624" i="39" s="1"/>
  <c r="H593" i="38"/>
  <c r="B515" i="39"/>
  <c r="H499" i="39"/>
  <c r="H607" i="8"/>
  <c r="I375" i="39"/>
  <c r="I519" i="8"/>
  <c r="E170" i="29"/>
  <c r="E169" i="29"/>
  <c r="J357" i="8"/>
  <c r="J201" i="39"/>
  <c r="J200" i="39"/>
  <c r="J356" i="8"/>
  <c r="J204" i="39"/>
  <c r="J360" i="8"/>
  <c r="H517" i="39"/>
  <c r="H589" i="8"/>
  <c r="H625" i="8"/>
  <c r="H500" i="39"/>
  <c r="H608" i="8"/>
  <c r="K213" i="8"/>
  <c r="K209" i="8"/>
  <c r="K211" i="8"/>
  <c r="K206" i="8"/>
  <c r="K212" i="8"/>
  <c r="K208" i="8"/>
  <c r="K175" i="39"/>
  <c r="K210" i="8"/>
  <c r="K207" i="8"/>
  <c r="I515" i="8"/>
  <c r="I371" i="39"/>
  <c r="D99" i="30"/>
  <c r="D204" i="30" s="1"/>
  <c r="D213" i="30" s="1"/>
  <c r="D231" i="30" s="1"/>
  <c r="D108" i="30"/>
  <c r="D117" i="30"/>
  <c r="D294" i="30" s="1"/>
  <c r="D98" i="30"/>
  <c r="D203" i="30" s="1"/>
  <c r="D212" i="30" s="1"/>
  <c r="D230" i="30" s="1"/>
  <c r="D116" i="30"/>
  <c r="D293" i="30" s="1"/>
  <c r="D107" i="30"/>
  <c r="D102" i="30"/>
  <c r="D207" i="30" s="1"/>
  <c r="D216" i="30" s="1"/>
  <c r="D234" i="30" s="1"/>
  <c r="D111" i="30"/>
  <c r="D120" i="30"/>
  <c r="D297" i="30" s="1"/>
  <c r="D101" i="30"/>
  <c r="D206" i="30" s="1"/>
  <c r="D215" i="30" s="1"/>
  <c r="D233" i="30" s="1"/>
  <c r="D119" i="30"/>
  <c r="D296" i="30" s="1"/>
  <c r="D110" i="30"/>
  <c r="I356" i="39"/>
  <c r="I500" i="8"/>
  <c r="G590" i="39"/>
  <c r="G642" i="8"/>
  <c r="G628" i="39"/>
  <c r="H522" i="39"/>
  <c r="H594" i="8"/>
  <c r="H630" i="8"/>
  <c r="H630" i="39" s="1"/>
  <c r="I357" i="39"/>
  <c r="I501" i="8"/>
  <c r="I520" i="8"/>
  <c r="I376" i="39"/>
  <c r="I367" i="39"/>
  <c r="I511" i="8"/>
  <c r="H502" i="39"/>
  <c r="H610" i="8"/>
  <c r="I517" i="8"/>
  <c r="I373" i="39"/>
  <c r="I508" i="8"/>
  <c r="I364" i="39"/>
  <c r="I368" i="39"/>
  <c r="I512" i="8"/>
  <c r="G594" i="39"/>
  <c r="I360" i="39"/>
  <c r="I504" i="8"/>
  <c r="G648" i="8"/>
  <c r="B614" i="38" a="1"/>
  <c r="B578" i="38" a="1"/>
  <c r="B506" i="39"/>
  <c r="J215" i="39"/>
  <c r="J371" i="8"/>
  <c r="J219" i="39"/>
  <c r="J375" i="8"/>
  <c r="G623" i="39"/>
  <c r="H515" i="39"/>
  <c r="H587" i="8"/>
  <c r="H623" i="8"/>
  <c r="H623" i="39" s="1"/>
  <c r="H503" i="39"/>
  <c r="H611" i="8"/>
  <c r="J207" i="39"/>
  <c r="J363" i="8"/>
  <c r="J211" i="39"/>
  <c r="J367" i="8"/>
  <c r="J210" i="39"/>
  <c r="J366" i="8"/>
  <c r="I358" i="39"/>
  <c r="I502" i="8"/>
  <c r="G593" i="39"/>
  <c r="J197" i="39"/>
  <c r="J353" i="8"/>
  <c r="J354" i="8"/>
  <c r="J198" i="39"/>
  <c r="D103" i="4"/>
  <c r="D102" i="40"/>
  <c r="D88" i="40"/>
  <c r="D90" i="4"/>
  <c r="D90" i="40" s="1"/>
  <c r="I363" i="39"/>
  <c r="I507" i="8"/>
  <c r="H171" i="35"/>
  <c r="H171" i="37" s="1"/>
  <c r="B172" i="35"/>
  <c r="I173" i="35"/>
  <c r="I173" i="37" s="1"/>
  <c r="I170" i="35"/>
  <c r="I177" i="35"/>
  <c r="I177" i="37" s="1"/>
  <c r="F172" i="35"/>
  <c r="F172" i="37" s="1"/>
  <c r="E173" i="35"/>
  <c r="E173" i="37" s="1"/>
  <c r="K172" i="35"/>
  <c r="K172" i="37" s="1"/>
  <c r="J174" i="35"/>
  <c r="J174" i="37" s="1"/>
  <c r="H175" i="35"/>
  <c r="H175" i="37" s="1"/>
  <c r="F171" i="35"/>
  <c r="F171" i="37" s="1"/>
  <c r="B174" i="35"/>
  <c r="I176" i="35"/>
  <c r="I176" i="37" s="1"/>
  <c r="C170" i="35"/>
  <c r="J177" i="35"/>
  <c r="J177" i="37" s="1"/>
  <c r="G172" i="35"/>
  <c r="G172" i="37" s="1"/>
  <c r="E176" i="35"/>
  <c r="E176" i="37" s="1"/>
  <c r="F176" i="35"/>
  <c r="F176" i="37" s="1"/>
  <c r="C174" i="35"/>
  <c r="C174" i="37" s="1"/>
  <c r="E172" i="35"/>
  <c r="E172" i="37" s="1"/>
  <c r="F175" i="35"/>
  <c r="F175" i="37" s="1"/>
  <c r="G173" i="35"/>
  <c r="G173" i="37" s="1"/>
  <c r="I175" i="35"/>
  <c r="I175" i="37" s="1"/>
  <c r="G170" i="35"/>
  <c r="K171" i="35"/>
  <c r="K171" i="37" s="1"/>
  <c r="C176" i="35"/>
  <c r="C176" i="37" s="1"/>
  <c r="B177" i="35"/>
  <c r="H176" i="35"/>
  <c r="H176" i="37" s="1"/>
  <c r="I172" i="35"/>
  <c r="I172" i="37" s="1"/>
  <c r="D173" i="35"/>
  <c r="D173" i="37" s="1"/>
  <c r="G174" i="35"/>
  <c r="G174" i="37" s="1"/>
  <c r="J172" i="35"/>
  <c r="J172" i="37" s="1"/>
  <c r="E174" i="35"/>
  <c r="E174" i="37" s="1"/>
  <c r="D172" i="35"/>
  <c r="D172" i="37" s="1"/>
  <c r="G176" i="35"/>
  <c r="G176" i="37" s="1"/>
  <c r="F173" i="35"/>
  <c r="F173" i="37" s="1"/>
  <c r="G171" i="35"/>
  <c r="G171" i="37" s="1"/>
  <c r="F170" i="35"/>
  <c r="K170" i="35"/>
  <c r="C177" i="35"/>
  <c r="C177" i="37" s="1"/>
  <c r="H173" i="35"/>
  <c r="H173" i="37" s="1"/>
  <c r="D170" i="35"/>
  <c r="E171" i="35"/>
  <c r="E171" i="37" s="1"/>
  <c r="D175" i="35"/>
  <c r="D175" i="37" s="1"/>
  <c r="K174" i="35"/>
  <c r="K174" i="37" s="1"/>
  <c r="G175" i="35"/>
  <c r="G175" i="37" s="1"/>
  <c r="K175" i="35"/>
  <c r="K175" i="37" s="1"/>
  <c r="K173" i="35"/>
  <c r="K173" i="37" s="1"/>
  <c r="J175" i="35"/>
  <c r="J175" i="37" s="1"/>
  <c r="I171" i="35"/>
  <c r="I171" i="37" s="1"/>
  <c r="C171" i="35"/>
  <c r="C171" i="37" s="1"/>
  <c r="H174" i="35"/>
  <c r="H174" i="37" s="1"/>
  <c r="B171" i="35"/>
  <c r="K177" i="35"/>
  <c r="K177" i="37" s="1"/>
  <c r="J176" i="35"/>
  <c r="J176" i="37" s="1"/>
  <c r="C173" i="35"/>
  <c r="C173" i="37" s="1"/>
  <c r="D174" i="35"/>
  <c r="D174" i="37" s="1"/>
  <c r="K176" i="35"/>
  <c r="K176" i="37" s="1"/>
  <c r="B170" i="35"/>
  <c r="J170" i="35"/>
  <c r="H172" i="35"/>
  <c r="H172" i="37" s="1"/>
  <c r="J171" i="35"/>
  <c r="J171" i="37" s="1"/>
  <c r="F174" i="35"/>
  <c r="F174" i="37" s="1"/>
  <c r="H170" i="35"/>
  <c r="I174" i="35"/>
  <c r="I174" i="37" s="1"/>
  <c r="G177" i="35"/>
  <c r="G177" i="37" s="1"/>
  <c r="B176" i="35"/>
  <c r="D176" i="35"/>
  <c r="D176" i="37" s="1"/>
  <c r="E175" i="35"/>
  <c r="E175" i="37" s="1"/>
  <c r="D177" i="35"/>
  <c r="D177" i="37" s="1"/>
  <c r="J173" i="35"/>
  <c r="J173" i="37" s="1"/>
  <c r="E170" i="35"/>
  <c r="H177" i="35"/>
  <c r="H177" i="37" s="1"/>
  <c r="B173" i="35"/>
  <c r="E177" i="35"/>
  <c r="E177" i="37" s="1"/>
  <c r="B175" i="35"/>
  <c r="C172" i="35"/>
  <c r="C172" i="37" s="1"/>
  <c r="C175" i="35"/>
  <c r="C175" i="37" s="1"/>
  <c r="F177" i="35"/>
  <c r="F177" i="37" s="1"/>
  <c r="D171" i="35"/>
  <c r="D171" i="37" s="1"/>
  <c r="E48" i="29"/>
  <c r="E47" i="29"/>
  <c r="E50" i="29" s="1"/>
  <c r="E49" i="29"/>
  <c r="E41" i="29"/>
  <c r="E40" i="29"/>
  <c r="E39" i="29"/>
  <c r="E42" i="29" s="1"/>
  <c r="E96" i="29"/>
  <c r="E57" i="29"/>
  <c r="E56" i="29"/>
  <c r="E59" i="29" s="1"/>
  <c r="E58" i="29"/>
  <c r="D104" i="30"/>
  <c r="D209" i="30" s="1"/>
  <c r="D218" i="30" s="1"/>
  <c r="D236" i="30" s="1"/>
  <c r="D122" i="30"/>
  <c r="D299" i="30" s="1"/>
  <c r="D113" i="30"/>
  <c r="H498" i="39"/>
  <c r="H606" i="8"/>
  <c r="I359" i="39"/>
  <c r="I503" i="8"/>
  <c r="I374" i="39"/>
  <c r="I518" i="8"/>
  <c r="I498" i="8"/>
  <c r="I354" i="39"/>
  <c r="J376" i="8"/>
  <c r="J220" i="39"/>
  <c r="J216" i="39"/>
  <c r="J372" i="8"/>
  <c r="G647" i="8"/>
  <c r="G645" i="8"/>
  <c r="I509" i="8"/>
  <c r="I365" i="39"/>
  <c r="J213" i="39"/>
  <c r="J369" i="8"/>
  <c r="I522" i="8"/>
  <c r="I378" i="39"/>
  <c r="H508" i="39"/>
  <c r="H580" i="8"/>
  <c r="H616" i="8"/>
  <c r="J199" i="39"/>
  <c r="J355" i="8"/>
  <c r="K200" i="8"/>
  <c r="K201" i="8"/>
  <c r="K197" i="8"/>
  <c r="K199" i="8"/>
  <c r="K198" i="8"/>
  <c r="K202" i="8"/>
  <c r="K204" i="8"/>
  <c r="K165" i="39"/>
  <c r="K203" i="8"/>
  <c r="H501" i="39"/>
  <c r="H609" i="8"/>
  <c r="H497" i="39"/>
  <c r="H605" i="8"/>
  <c r="I377" i="39"/>
  <c r="I521" i="8"/>
  <c r="E185" i="29" a="1"/>
  <c r="E185" i="29" s="1"/>
  <c r="E187" i="29" s="1"/>
  <c r="D97" i="30"/>
  <c r="D202" i="30" s="1"/>
  <c r="D211" i="30" s="1"/>
  <c r="D229" i="30" s="1"/>
  <c r="D115" i="30"/>
  <c r="D292" i="30" s="1"/>
  <c r="D106" i="30"/>
  <c r="D100" i="30"/>
  <c r="D205" i="30" s="1"/>
  <c r="D214" i="30" s="1"/>
  <c r="D232" i="30" s="1"/>
  <c r="D118" i="30"/>
  <c r="D295" i="30" s="1"/>
  <c r="D109" i="30"/>
  <c r="E109" i="29"/>
  <c r="E112" i="29" s="1"/>
  <c r="E113" i="29" s="1"/>
  <c r="I355" i="39"/>
  <c r="I499" i="8"/>
  <c r="K222" i="8"/>
  <c r="K215" i="8"/>
  <c r="K185" i="39"/>
  <c r="K221" i="8"/>
  <c r="K217" i="8"/>
  <c r="K219" i="8"/>
  <c r="K218" i="8"/>
  <c r="K216" i="8"/>
  <c r="K220" i="8"/>
  <c r="H520" i="39"/>
  <c r="H592" i="8"/>
  <c r="H592" i="39" s="1"/>
  <c r="H628" i="8"/>
  <c r="G646" i="8"/>
  <c r="H521" i="39"/>
  <c r="H593" i="8"/>
  <c r="H629" i="8"/>
  <c r="H629" i="39" s="1"/>
  <c r="I513" i="8"/>
  <c r="I369" i="39"/>
  <c r="H511" i="39"/>
  <c r="H583" i="8"/>
  <c r="H619" i="8"/>
  <c r="G641" i="8"/>
  <c r="H510" i="39"/>
  <c r="H582" i="8"/>
  <c r="H618" i="8"/>
  <c r="I372" i="39"/>
  <c r="I516" i="8"/>
  <c r="I506" i="8"/>
  <c r="I362" i="39"/>
  <c r="G624" i="39"/>
  <c r="H506" i="39"/>
  <c r="H578" i="8"/>
  <c r="H614" i="8"/>
  <c r="H516" i="39"/>
  <c r="H588" i="8"/>
  <c r="H588" i="39" s="1"/>
  <c r="H624" i="8"/>
  <c r="J373" i="8"/>
  <c r="J217" i="39"/>
  <c r="J222" i="39"/>
  <c r="J378" i="8"/>
  <c r="J208" i="39"/>
  <c r="J364" i="8"/>
  <c r="J209" i="39"/>
  <c r="J365" i="8"/>
  <c r="J612" i="38"/>
  <c r="D611" i="38"/>
  <c r="D611" i="39" s="1"/>
  <c r="G611" i="38"/>
  <c r="G611" i="39" s="1"/>
  <c r="J610" i="38"/>
  <c r="E606" i="38"/>
  <c r="E606" i="39" s="1"/>
  <c r="C611" i="38"/>
  <c r="C611" i="39" s="1"/>
  <c r="H610" i="38"/>
  <c r="D606" i="38"/>
  <c r="D606" i="39" s="1"/>
  <c r="I612" i="38"/>
  <c r="B605" i="38"/>
  <c r="B607" i="38"/>
  <c r="B607" i="39" s="1"/>
  <c r="G607" i="38"/>
  <c r="G607" i="39" s="1"/>
  <c r="C609" i="38"/>
  <c r="C609" i="39" s="1"/>
  <c r="K606" i="38"/>
  <c r="C607" i="38"/>
  <c r="C607" i="39" s="1"/>
  <c r="F610" i="38"/>
  <c r="F610" i="39" s="1"/>
  <c r="J608" i="38"/>
  <c r="B609" i="38"/>
  <c r="B609" i="39" s="1"/>
  <c r="K610" i="38"/>
  <c r="E607" i="38"/>
  <c r="E607" i="39" s="1"/>
  <c r="F607" i="38"/>
  <c r="F607" i="39" s="1"/>
  <c r="J605" i="38"/>
  <c r="D612" i="38"/>
  <c r="D612" i="39" s="1"/>
  <c r="J611" i="38"/>
  <c r="F605" i="38"/>
  <c r="F605" i="39" s="1"/>
  <c r="G609" i="38"/>
  <c r="G609" i="39" s="1"/>
  <c r="I609" i="38"/>
  <c r="E610" i="38"/>
  <c r="E610" i="39" s="1"/>
  <c r="H612" i="38"/>
  <c r="F611" i="38"/>
  <c r="F611" i="39" s="1"/>
  <c r="D608" i="38"/>
  <c r="D608" i="39" s="1"/>
  <c r="H609" i="38"/>
  <c r="D607" i="38"/>
  <c r="D607" i="39" s="1"/>
  <c r="J607" i="38"/>
  <c r="F609" i="38"/>
  <c r="F609" i="39" s="1"/>
  <c r="B606" i="38"/>
  <c r="B606" i="39" s="1"/>
  <c r="K607" i="38"/>
  <c r="E609" i="38"/>
  <c r="E609" i="39" s="1"/>
  <c r="H611" i="38"/>
  <c r="C606" i="38"/>
  <c r="C606" i="39" s="1"/>
  <c r="B610" i="38"/>
  <c r="B610" i="39" s="1"/>
  <c r="I610" i="38"/>
  <c r="B608" i="38"/>
  <c r="B608" i="39" s="1"/>
  <c r="I607" i="38"/>
  <c r="B612" i="38"/>
  <c r="B612" i="39" s="1"/>
  <c r="F608" i="38"/>
  <c r="F608" i="39" s="1"/>
  <c r="G610" i="38"/>
  <c r="G610" i="39" s="1"/>
  <c r="D605" i="38"/>
  <c r="D605" i="39" s="1"/>
  <c r="G612" i="38"/>
  <c r="G612" i="39" s="1"/>
  <c r="E608" i="38"/>
  <c r="E608" i="39" s="1"/>
  <c r="I611" i="38"/>
  <c r="G608" i="38"/>
  <c r="G608" i="39" s="1"/>
  <c r="K612" i="38"/>
  <c r="K605" i="38"/>
  <c r="D609" i="38"/>
  <c r="D609" i="39" s="1"/>
  <c r="F606" i="38"/>
  <c r="F606" i="39" s="1"/>
  <c r="I605" i="38"/>
  <c r="G606" i="38"/>
  <c r="G606" i="39" s="1"/>
  <c r="H605" i="38"/>
  <c r="B569" i="38" a="1"/>
  <c r="E612" i="38"/>
  <c r="E612" i="39" s="1"/>
  <c r="K608" i="38"/>
  <c r="B611" i="38"/>
  <c r="B611" i="39" s="1"/>
  <c r="G605" i="38"/>
  <c r="G605" i="39" s="1"/>
  <c r="E611" i="38"/>
  <c r="E611" i="39" s="1"/>
  <c r="C612" i="38"/>
  <c r="C612" i="39" s="1"/>
  <c r="I608" i="38"/>
  <c r="E605" i="38"/>
  <c r="E605" i="39" s="1"/>
  <c r="H608" i="38"/>
  <c r="C610" i="38"/>
  <c r="C610" i="39" s="1"/>
  <c r="J606" i="38"/>
  <c r="K609" i="38"/>
  <c r="D610" i="38"/>
  <c r="D610" i="39" s="1"/>
  <c r="H607" i="38"/>
  <c r="C608" i="38"/>
  <c r="C608" i="39" s="1"/>
  <c r="H606" i="38"/>
  <c r="K611" i="38"/>
  <c r="F612" i="38"/>
  <c r="F612" i="39" s="1"/>
  <c r="I606" i="38"/>
  <c r="C605" i="38"/>
  <c r="C605" i="39" s="1"/>
  <c r="J609" i="38"/>
  <c r="B497" i="39"/>
  <c r="H513" i="39"/>
  <c r="H585" i="8"/>
  <c r="H621" i="8"/>
  <c r="I497" i="8"/>
  <c r="I353" i="39"/>
  <c r="H518" i="39"/>
  <c r="H590" i="8"/>
  <c r="H626" i="8"/>
  <c r="H626" i="39" s="1"/>
  <c r="J203" i="39"/>
  <c r="J359" i="8"/>
  <c r="J202" i="39"/>
  <c r="J358" i="8"/>
  <c r="H507" i="39"/>
  <c r="H579" i="8"/>
  <c r="H615" i="8"/>
  <c r="I510" i="8"/>
  <c r="I366" i="39"/>
  <c r="D103" i="30"/>
  <c r="D208" i="30" s="1"/>
  <c r="D217" i="30" s="1"/>
  <c r="D235" i="30" s="1"/>
  <c r="D112" i="30"/>
  <c r="D121" i="30"/>
  <c r="D298" i="30" s="1"/>
  <c r="E123" i="29"/>
  <c r="E126" i="29" s="1"/>
  <c r="E127" i="29" s="1"/>
  <c r="D95" i="30"/>
  <c r="D155" i="30" s="1"/>
  <c r="D92" i="30"/>
  <c r="D152" i="30" s="1"/>
  <c r="D94" i="30"/>
  <c r="D154" i="30" s="1"/>
  <c r="D88" i="30"/>
  <c r="D148" i="30" s="1"/>
  <c r="D89" i="30"/>
  <c r="D149" i="30" s="1"/>
  <c r="D93" i="30"/>
  <c r="D153" i="30" s="1"/>
  <c r="D91" i="30"/>
  <c r="D151" i="30" s="1"/>
  <c r="D90" i="30"/>
  <c r="D150" i="30" s="1"/>
  <c r="H519" i="39"/>
  <c r="H591" i="8"/>
  <c r="H591" i="39" s="1"/>
  <c r="H627" i="8"/>
  <c r="H627" i="39" s="1"/>
  <c r="G626" i="39"/>
  <c r="H509" i="39"/>
  <c r="H581" i="8"/>
  <c r="H617" i="8"/>
  <c r="F710" i="8"/>
  <c r="G643" i="8" l="1"/>
  <c r="H594" i="39"/>
  <c r="H625" i="39"/>
  <c r="H624" i="39"/>
  <c r="H628" i="39"/>
  <c r="G644" i="8"/>
  <c r="H589" i="39"/>
  <c r="H590" i="39"/>
  <c r="H593" i="39"/>
  <c r="H587" i="39"/>
  <c r="I530" i="8"/>
  <c r="I386" i="39"/>
  <c r="J387" i="8"/>
  <c r="J231" i="39"/>
  <c r="J383" i="8"/>
  <c r="J227" i="39"/>
  <c r="I524" i="8"/>
  <c r="I380" i="39"/>
  <c r="I528" i="8"/>
  <c r="I384" i="39"/>
  <c r="H524" i="39"/>
  <c r="H596" i="8"/>
  <c r="H596" i="39" s="1"/>
  <c r="H632" i="8"/>
  <c r="H632" i="39" s="1"/>
  <c r="I525" i="8"/>
  <c r="I381" i="39"/>
  <c r="J382" i="8"/>
  <c r="J226" i="39"/>
  <c r="J386" i="8"/>
  <c r="J230" i="39"/>
  <c r="H526" i="39"/>
  <c r="H598" i="8"/>
  <c r="H598" i="39" s="1"/>
  <c r="H634" i="8"/>
  <c r="H634" i="39" s="1"/>
  <c r="H527" i="39"/>
  <c r="H599" i="8"/>
  <c r="H599" i="39" s="1"/>
  <c r="H635" i="8"/>
  <c r="H635" i="39" s="1"/>
  <c r="H530" i="39"/>
  <c r="H602" i="8"/>
  <c r="H602" i="39" s="1"/>
  <c r="H638" i="8"/>
  <c r="H638" i="39" s="1"/>
  <c r="H525" i="39"/>
  <c r="H597" i="8"/>
  <c r="H597" i="39" s="1"/>
  <c r="H633" i="8"/>
  <c r="H633" i="39" s="1"/>
  <c r="K225" i="8"/>
  <c r="K224" i="8"/>
  <c r="K231" i="8"/>
  <c r="K226" i="8"/>
  <c r="K227" i="8"/>
  <c r="K228" i="8"/>
  <c r="K230" i="8"/>
  <c r="K229" i="8"/>
  <c r="K195" i="39"/>
  <c r="I529" i="8"/>
  <c r="I385" i="39"/>
  <c r="J381" i="8"/>
  <c r="J225" i="39"/>
  <c r="J380" i="8"/>
  <c r="J224" i="39"/>
  <c r="I526" i="8"/>
  <c r="I382" i="39"/>
  <c r="I531" i="8"/>
  <c r="I387" i="39"/>
  <c r="I527" i="8"/>
  <c r="I383" i="39"/>
  <c r="H531" i="39"/>
  <c r="H603" i="8"/>
  <c r="H603" i="39" s="1"/>
  <c r="H639" i="8"/>
  <c r="H639" i="39" s="1"/>
  <c r="J385" i="8"/>
  <c r="J229" i="39"/>
  <c r="J384" i="8"/>
  <c r="J228" i="39"/>
  <c r="H528" i="39"/>
  <c r="H600" i="8"/>
  <c r="H600" i="39" s="1"/>
  <c r="H636" i="8"/>
  <c r="H636" i="39" s="1"/>
  <c r="H529" i="39"/>
  <c r="H601" i="8"/>
  <c r="H601" i="39" s="1"/>
  <c r="H637" i="8"/>
  <c r="H637" i="39" s="1"/>
  <c r="K372" i="8"/>
  <c r="K216" i="39"/>
  <c r="K377" i="8"/>
  <c r="K221" i="39"/>
  <c r="F111" i="29"/>
  <c r="E114" i="29"/>
  <c r="K202" i="39"/>
  <c r="K358" i="8"/>
  <c r="K201" i="39"/>
  <c r="K357" i="8"/>
  <c r="I509" i="39"/>
  <c r="I581" i="8"/>
  <c r="I617" i="8"/>
  <c r="I518" i="39"/>
  <c r="I590" i="8"/>
  <c r="I590" i="39" s="1"/>
  <c r="I626" i="8"/>
  <c r="I626" i="39" s="1"/>
  <c r="H606" i="39"/>
  <c r="L171" i="35"/>
  <c r="L171" i="37" s="1"/>
  <c r="B171" i="37"/>
  <c r="J353" i="39"/>
  <c r="J497" i="8"/>
  <c r="I502" i="39"/>
  <c r="I610" i="8"/>
  <c r="J367" i="39"/>
  <c r="J511" i="8"/>
  <c r="H611" i="39"/>
  <c r="B583" i="38"/>
  <c r="B583" i="39" s="1"/>
  <c r="E578" i="38"/>
  <c r="E578" i="39" s="1"/>
  <c r="K584" i="38"/>
  <c r="K579" i="38"/>
  <c r="C583" i="38"/>
  <c r="C583" i="39" s="1"/>
  <c r="F580" i="38"/>
  <c r="F580" i="39" s="1"/>
  <c r="K583" i="38"/>
  <c r="E582" i="38"/>
  <c r="E582" i="39" s="1"/>
  <c r="J580" i="38"/>
  <c r="B581" i="38"/>
  <c r="B581" i="39" s="1"/>
  <c r="D583" i="38"/>
  <c r="D583" i="39" s="1"/>
  <c r="G580" i="38"/>
  <c r="G580" i="39" s="1"/>
  <c r="J581" i="38"/>
  <c r="D579" i="38"/>
  <c r="D579" i="39" s="1"/>
  <c r="F581" i="38"/>
  <c r="F581" i="39" s="1"/>
  <c r="B580" i="38"/>
  <c r="B580" i="39" s="1"/>
  <c r="K585" i="38"/>
  <c r="F578" i="38"/>
  <c r="F578" i="39" s="1"/>
  <c r="G582" i="38"/>
  <c r="G582" i="39" s="1"/>
  <c r="C578" i="38"/>
  <c r="C578" i="39" s="1"/>
  <c r="J578" i="38"/>
  <c r="B579" i="38"/>
  <c r="B579" i="39" s="1"/>
  <c r="I584" i="38"/>
  <c r="B584" i="38"/>
  <c r="B584" i="39" s="1"/>
  <c r="B582" i="38"/>
  <c r="B582" i="39" s="1"/>
  <c r="D578" i="38"/>
  <c r="D578" i="39" s="1"/>
  <c r="K578" i="38"/>
  <c r="C581" i="38"/>
  <c r="C581" i="39" s="1"/>
  <c r="D581" i="38"/>
  <c r="D581" i="39" s="1"/>
  <c r="D584" i="38"/>
  <c r="D584" i="39" s="1"/>
  <c r="D585" i="38"/>
  <c r="D585" i="39" s="1"/>
  <c r="I582" i="38"/>
  <c r="J579" i="38"/>
  <c r="J585" i="38"/>
  <c r="H582" i="38"/>
  <c r="H582" i="39" s="1"/>
  <c r="E584" i="38"/>
  <c r="E584" i="39" s="1"/>
  <c r="F583" i="38"/>
  <c r="F583" i="39" s="1"/>
  <c r="C579" i="38"/>
  <c r="C579" i="39" s="1"/>
  <c r="H579" i="38"/>
  <c r="H579" i="39" s="1"/>
  <c r="D582" i="38"/>
  <c r="D582" i="39" s="1"/>
  <c r="I578" i="38"/>
  <c r="H581" i="38"/>
  <c r="H581" i="39" s="1"/>
  <c r="E581" i="38"/>
  <c r="E581" i="39" s="1"/>
  <c r="J583" i="38"/>
  <c r="E580" i="38"/>
  <c r="E580" i="39" s="1"/>
  <c r="H585" i="38"/>
  <c r="H585" i="39" s="1"/>
  <c r="F585" i="38"/>
  <c r="F585" i="39" s="1"/>
  <c r="E583" i="38"/>
  <c r="E583" i="39" s="1"/>
  <c r="E585" i="38"/>
  <c r="E585" i="39" s="1"/>
  <c r="G581" i="38"/>
  <c r="G581" i="39" s="1"/>
  <c r="C584" i="38"/>
  <c r="C584" i="39" s="1"/>
  <c r="G583" i="38"/>
  <c r="G583" i="39" s="1"/>
  <c r="B585" i="38"/>
  <c r="B585" i="39" s="1"/>
  <c r="D580" i="38"/>
  <c r="D580" i="39" s="1"/>
  <c r="K582" i="38"/>
  <c r="I583" i="38"/>
  <c r="I579" i="38"/>
  <c r="H580" i="38"/>
  <c r="H580" i="39" s="1"/>
  <c r="G579" i="38"/>
  <c r="G579" i="39" s="1"/>
  <c r="I580" i="38"/>
  <c r="H583" i="38"/>
  <c r="H583" i="39" s="1"/>
  <c r="E579" i="38"/>
  <c r="E579" i="39" s="1"/>
  <c r="G584" i="38"/>
  <c r="G584" i="39" s="1"/>
  <c r="J584" i="38"/>
  <c r="F582" i="38"/>
  <c r="F582" i="39" s="1"/>
  <c r="C585" i="38"/>
  <c r="C585" i="39" s="1"/>
  <c r="J582" i="38"/>
  <c r="F584" i="38"/>
  <c r="F584" i="39" s="1"/>
  <c r="G585" i="38"/>
  <c r="G585" i="39" s="1"/>
  <c r="B578" i="38"/>
  <c r="B578" i="39" s="1"/>
  <c r="H578" i="38"/>
  <c r="H578" i="39" s="1"/>
  <c r="I581" i="38"/>
  <c r="K581" i="38"/>
  <c r="G578" i="38"/>
  <c r="G578" i="39" s="1"/>
  <c r="C580" i="38"/>
  <c r="C580" i="39" s="1"/>
  <c r="H584" i="38"/>
  <c r="C582" i="38"/>
  <c r="C582" i="39" s="1"/>
  <c r="K580" i="38"/>
  <c r="F579" i="38"/>
  <c r="F579" i="39" s="1"/>
  <c r="I585" i="38"/>
  <c r="I504" i="39"/>
  <c r="I612" i="8"/>
  <c r="I520" i="39"/>
  <c r="I592" i="8"/>
  <c r="I592" i="39" s="1"/>
  <c r="I628" i="8"/>
  <c r="I628" i="39" s="1"/>
  <c r="K211" i="39"/>
  <c r="K367" i="8"/>
  <c r="H608" i="39"/>
  <c r="J512" i="8"/>
  <c r="J368" i="39"/>
  <c r="J521" i="8"/>
  <c r="J377" i="39"/>
  <c r="I569" i="38"/>
  <c r="D576" i="38"/>
  <c r="H573" i="38"/>
  <c r="G569" i="38"/>
  <c r="K573" i="38"/>
  <c r="F575" i="38"/>
  <c r="G573" i="38"/>
  <c r="H571" i="38"/>
  <c r="D573" i="38"/>
  <c r="H576" i="38"/>
  <c r="C571" i="38"/>
  <c r="D572" i="38"/>
  <c r="F571" i="38"/>
  <c r="C573" i="38"/>
  <c r="H575" i="38"/>
  <c r="K570" i="38"/>
  <c r="J573" i="38"/>
  <c r="B574" i="38"/>
  <c r="G576" i="38"/>
  <c r="K572" i="38"/>
  <c r="B575" i="38"/>
  <c r="C574" i="38"/>
  <c r="J571" i="38"/>
  <c r="I571" i="38"/>
  <c r="E570" i="38"/>
  <c r="G571" i="38"/>
  <c r="B570" i="38"/>
  <c r="I572" i="38"/>
  <c r="K569" i="38"/>
  <c r="E573" i="38"/>
  <c r="G574" i="38"/>
  <c r="D571" i="38"/>
  <c r="E576" i="38"/>
  <c r="B571" i="38"/>
  <c r="D575" i="38"/>
  <c r="J575" i="38"/>
  <c r="B573" i="38"/>
  <c r="C575" i="38"/>
  <c r="C576" i="38"/>
  <c r="D574" i="38"/>
  <c r="D570" i="38"/>
  <c r="F570" i="38"/>
  <c r="C570" i="38"/>
  <c r="B569" i="38"/>
  <c r="E572" i="38"/>
  <c r="J576" i="38"/>
  <c r="B572" i="38"/>
  <c r="G570" i="38"/>
  <c r="G575" i="38"/>
  <c r="H572" i="38"/>
  <c r="I570" i="38"/>
  <c r="J570" i="38"/>
  <c r="E571" i="38"/>
  <c r="F572" i="38"/>
  <c r="I573" i="38"/>
  <c r="K576" i="38"/>
  <c r="C572" i="38"/>
  <c r="C569" i="38"/>
  <c r="I576" i="38"/>
  <c r="F576" i="38"/>
  <c r="H570" i="38"/>
  <c r="J574" i="38"/>
  <c r="J572" i="38"/>
  <c r="K575" i="38"/>
  <c r="I575" i="38"/>
  <c r="F574" i="38"/>
  <c r="E569" i="38"/>
  <c r="G572" i="38"/>
  <c r="E574" i="38"/>
  <c r="F569" i="38"/>
  <c r="I574" i="38"/>
  <c r="K574" i="38"/>
  <c r="E575" i="38"/>
  <c r="B576" i="38"/>
  <c r="H574" i="38"/>
  <c r="J569" i="38"/>
  <c r="D569" i="38"/>
  <c r="H569" i="38"/>
  <c r="K571" i="38"/>
  <c r="F573" i="38"/>
  <c r="J365" i="39"/>
  <c r="J509" i="8"/>
  <c r="I506" i="39"/>
  <c r="I578" i="8"/>
  <c r="I614" i="8"/>
  <c r="I513" i="39"/>
  <c r="I585" i="8"/>
  <c r="I621" i="8"/>
  <c r="K218" i="39"/>
  <c r="K374" i="8"/>
  <c r="I521" i="39"/>
  <c r="I593" i="8"/>
  <c r="I593" i="39" s="1"/>
  <c r="I629" i="8"/>
  <c r="I629" i="39" s="1"/>
  <c r="K359" i="8"/>
  <c r="K203" i="39"/>
  <c r="K354" i="8"/>
  <c r="K198" i="39"/>
  <c r="K200" i="39"/>
  <c r="K356" i="8"/>
  <c r="I522" i="39"/>
  <c r="I594" i="8"/>
  <c r="I594" i="39" s="1"/>
  <c r="I630" i="8"/>
  <c r="I630" i="39" s="1"/>
  <c r="J520" i="8"/>
  <c r="J376" i="39"/>
  <c r="L175" i="35"/>
  <c r="L175" i="37" s="1"/>
  <c r="B175" i="37"/>
  <c r="E178" i="35"/>
  <c r="E178" i="37" s="1"/>
  <c r="E170" i="37"/>
  <c r="H178" i="35"/>
  <c r="H178" i="37" s="1"/>
  <c r="H170" i="37"/>
  <c r="J178" i="35"/>
  <c r="J178" i="37" s="1"/>
  <c r="J170" i="37"/>
  <c r="G178" i="35"/>
  <c r="G178" i="37" s="1"/>
  <c r="G170" i="37"/>
  <c r="L174" i="35"/>
  <c r="L174" i="37" s="1"/>
  <c r="B174" i="37"/>
  <c r="I178" i="35"/>
  <c r="I178" i="37" s="1"/>
  <c r="I170" i="37"/>
  <c r="D91" i="4"/>
  <c r="D103" i="40"/>
  <c r="E101" i="4"/>
  <c r="D104" i="4"/>
  <c r="J371" i="39"/>
  <c r="J515" i="8"/>
  <c r="J621" i="38"/>
  <c r="B615" i="38"/>
  <c r="B615" i="39" s="1"/>
  <c r="H614" i="38"/>
  <c r="H614" i="39" s="1"/>
  <c r="D615" i="38"/>
  <c r="D615" i="39" s="1"/>
  <c r="K617" i="38"/>
  <c r="J617" i="38"/>
  <c r="G621" i="38"/>
  <c r="G621" i="39" s="1"/>
  <c r="K619" i="38"/>
  <c r="I619" i="38"/>
  <c r="B614" i="38"/>
  <c r="B614" i="39" s="1"/>
  <c r="F616" i="38"/>
  <c r="F616" i="39" s="1"/>
  <c r="B616" i="38"/>
  <c r="B616" i="39" s="1"/>
  <c r="H617" i="38"/>
  <c r="H617" i="39" s="1"/>
  <c r="E621" i="38"/>
  <c r="E621" i="39" s="1"/>
  <c r="I618" i="38"/>
  <c r="F618" i="38"/>
  <c r="F618" i="39" s="1"/>
  <c r="J614" i="38"/>
  <c r="F614" i="38"/>
  <c r="F614" i="39" s="1"/>
  <c r="F619" i="38"/>
  <c r="F619" i="39" s="1"/>
  <c r="D618" i="38"/>
  <c r="D618" i="39" s="1"/>
  <c r="H620" i="38"/>
  <c r="H620" i="39" s="1"/>
  <c r="H618" i="38"/>
  <c r="H618" i="39" s="1"/>
  <c r="F620" i="38"/>
  <c r="F620" i="39" s="1"/>
  <c r="C621" i="38"/>
  <c r="C621" i="39" s="1"/>
  <c r="J620" i="38"/>
  <c r="D617" i="38"/>
  <c r="D617" i="39" s="1"/>
  <c r="H616" i="38"/>
  <c r="H616" i="39" s="1"/>
  <c r="E618" i="38"/>
  <c r="E618" i="39" s="1"/>
  <c r="B618" i="38"/>
  <c r="B618" i="39" s="1"/>
  <c r="F617" i="38"/>
  <c r="F617" i="39" s="1"/>
  <c r="J616" i="38"/>
  <c r="K614" i="38"/>
  <c r="D619" i="38"/>
  <c r="D619" i="39" s="1"/>
  <c r="E620" i="38"/>
  <c r="E620" i="39" s="1"/>
  <c r="B617" i="38"/>
  <c r="B617" i="39" s="1"/>
  <c r="G616" i="38"/>
  <c r="G616" i="39" s="1"/>
  <c r="D614" i="38"/>
  <c r="D614" i="39" s="1"/>
  <c r="J615" i="38"/>
  <c r="H619" i="38"/>
  <c r="H619" i="39" s="1"/>
  <c r="F615" i="38"/>
  <c r="F615" i="39" s="1"/>
  <c r="G619" i="38"/>
  <c r="G619" i="39" s="1"/>
  <c r="D621" i="38"/>
  <c r="D621" i="39" s="1"/>
  <c r="D620" i="38"/>
  <c r="D620" i="39" s="1"/>
  <c r="F621" i="38"/>
  <c r="F621" i="39" s="1"/>
  <c r="B619" i="38"/>
  <c r="B619" i="39" s="1"/>
  <c r="D616" i="38"/>
  <c r="D616" i="39" s="1"/>
  <c r="J619" i="38"/>
  <c r="I615" i="38"/>
  <c r="C618" i="38"/>
  <c r="C618" i="39" s="1"/>
  <c r="K620" i="38"/>
  <c r="K618" i="38"/>
  <c r="E614" i="38"/>
  <c r="E614" i="39" s="1"/>
  <c r="E617" i="38"/>
  <c r="E617" i="39" s="1"/>
  <c r="G617" i="38"/>
  <c r="G617" i="39" s="1"/>
  <c r="I616" i="38"/>
  <c r="C616" i="38"/>
  <c r="C616" i="39" s="1"/>
  <c r="E619" i="38"/>
  <c r="E619" i="39" s="1"/>
  <c r="C614" i="38"/>
  <c r="C614" i="39" s="1"/>
  <c r="G614" i="38"/>
  <c r="G614" i="39" s="1"/>
  <c r="I614" i="38"/>
  <c r="K621" i="38"/>
  <c r="C619" i="38"/>
  <c r="C619" i="39" s="1"/>
  <c r="E616" i="38"/>
  <c r="E616" i="39" s="1"/>
  <c r="H621" i="38"/>
  <c r="H621" i="39" s="1"/>
  <c r="B621" i="38"/>
  <c r="B621" i="39" s="1"/>
  <c r="C617" i="38"/>
  <c r="C617" i="39" s="1"/>
  <c r="G615" i="38"/>
  <c r="G615" i="39" s="1"/>
  <c r="I617" i="38"/>
  <c r="C620" i="38"/>
  <c r="C620" i="39" s="1"/>
  <c r="I620" i="38"/>
  <c r="K615" i="38"/>
  <c r="G618" i="38"/>
  <c r="G618" i="39" s="1"/>
  <c r="J618" i="38"/>
  <c r="E615" i="38"/>
  <c r="E615" i="39" s="1"/>
  <c r="H615" i="38"/>
  <c r="H615" i="39" s="1"/>
  <c r="B620" i="38"/>
  <c r="B620" i="39" s="1"/>
  <c r="K616" i="38"/>
  <c r="G620" i="38"/>
  <c r="G620" i="39" s="1"/>
  <c r="C615" i="38"/>
  <c r="C615" i="39" s="1"/>
  <c r="I621" i="38"/>
  <c r="I517" i="39"/>
  <c r="I589" i="8"/>
  <c r="I589" i="39" s="1"/>
  <c r="I625" i="8"/>
  <c r="I625" i="39" s="1"/>
  <c r="I511" i="39"/>
  <c r="I583" i="8"/>
  <c r="I619" i="8"/>
  <c r="I515" i="39"/>
  <c r="I587" i="8"/>
  <c r="I587" i="39" s="1"/>
  <c r="I623" i="8"/>
  <c r="I623" i="39" s="1"/>
  <c r="K208" i="39"/>
  <c r="K364" i="8"/>
  <c r="K209" i="39"/>
  <c r="K365" i="8"/>
  <c r="J504" i="8"/>
  <c r="J360" i="39"/>
  <c r="H607" i="39"/>
  <c r="H612" i="39"/>
  <c r="H648" i="8"/>
  <c r="E128" i="29"/>
  <c r="E129" i="29" s="1"/>
  <c r="F125" i="29"/>
  <c r="J359" i="39"/>
  <c r="J503" i="8"/>
  <c r="I510" i="39"/>
  <c r="I582" i="8"/>
  <c r="I618" i="8"/>
  <c r="J358" i="39"/>
  <c r="J502" i="8"/>
  <c r="I497" i="39"/>
  <c r="I605" i="8"/>
  <c r="J373" i="39"/>
  <c r="J517" i="8"/>
  <c r="I516" i="39"/>
  <c r="I588" i="8"/>
  <c r="I588" i="39" s="1"/>
  <c r="I624" i="8"/>
  <c r="I624" i="39" s="1"/>
  <c r="K219" i="39"/>
  <c r="K375" i="8"/>
  <c r="K215" i="39"/>
  <c r="K371" i="8"/>
  <c r="I499" i="39"/>
  <c r="I607" i="8"/>
  <c r="K355" i="8"/>
  <c r="K199" i="39"/>
  <c r="J499" i="8"/>
  <c r="J355" i="39"/>
  <c r="J516" i="8"/>
  <c r="J372" i="39"/>
  <c r="I503" i="39"/>
  <c r="I611" i="8"/>
  <c r="L176" i="35"/>
  <c r="L176" i="37" s="1"/>
  <c r="B176" i="37"/>
  <c r="L170" i="35"/>
  <c r="B178" i="35"/>
  <c r="B170" i="37"/>
  <c r="K178" i="35"/>
  <c r="K178" i="37" s="1"/>
  <c r="K170" i="37"/>
  <c r="L177" i="35"/>
  <c r="L177" i="37" s="1"/>
  <c r="B177" i="37"/>
  <c r="I507" i="39"/>
  <c r="I579" i="8"/>
  <c r="I579" i="39" s="1"/>
  <c r="I615" i="8"/>
  <c r="J366" i="39"/>
  <c r="J510" i="8"/>
  <c r="J363" i="39"/>
  <c r="J507" i="8"/>
  <c r="I508" i="39"/>
  <c r="I580" i="8"/>
  <c r="I616" i="8"/>
  <c r="I500" i="39"/>
  <c r="I608" i="8"/>
  <c r="K207" i="39"/>
  <c r="K363" i="8"/>
  <c r="K212" i="39"/>
  <c r="K368" i="8"/>
  <c r="K213" i="39"/>
  <c r="K369" i="8"/>
  <c r="J357" i="39"/>
  <c r="J501" i="8"/>
  <c r="I519" i="39"/>
  <c r="I591" i="8"/>
  <c r="I591" i="39" s="1"/>
  <c r="I627" i="8"/>
  <c r="I627" i="39" s="1"/>
  <c r="J362" i="39"/>
  <c r="J506" i="8"/>
  <c r="H584" i="39"/>
  <c r="J518" i="8"/>
  <c r="J374" i="39"/>
  <c r="B605" i="39"/>
  <c r="J364" i="39"/>
  <c r="J508" i="8"/>
  <c r="J522" i="8"/>
  <c r="J378" i="39"/>
  <c r="G710" i="8"/>
  <c r="K376" i="8"/>
  <c r="K220" i="39"/>
  <c r="K217" i="39"/>
  <c r="K373" i="8"/>
  <c r="K222" i="39"/>
  <c r="K378" i="8"/>
  <c r="H641" i="8"/>
  <c r="H605" i="39"/>
  <c r="H609" i="39"/>
  <c r="K204" i="39"/>
  <c r="K360" i="8"/>
  <c r="K197" i="39"/>
  <c r="K353" i="8"/>
  <c r="J513" i="8"/>
  <c r="J369" i="39"/>
  <c r="I498" i="39"/>
  <c r="I606" i="8"/>
  <c r="E60" i="29"/>
  <c r="E43" i="29"/>
  <c r="E44" i="29" s="1"/>
  <c r="E51" i="29"/>
  <c r="E52" i="29" s="1"/>
  <c r="L173" i="35"/>
  <c r="L173" i="37" s="1"/>
  <c r="B173" i="37"/>
  <c r="D178" i="35"/>
  <c r="D178" i="37" s="1"/>
  <c r="D170" i="37"/>
  <c r="F178" i="35"/>
  <c r="F178" i="37" s="1"/>
  <c r="F170" i="37"/>
  <c r="C178" i="35"/>
  <c r="C178" i="37" s="1"/>
  <c r="C170" i="37"/>
  <c r="L172" i="35"/>
  <c r="L172" i="37" s="1"/>
  <c r="B172" i="37"/>
  <c r="J498" i="8"/>
  <c r="J354" i="39"/>
  <c r="J519" i="8"/>
  <c r="J375" i="39"/>
  <c r="I512" i="39"/>
  <c r="I584" i="8"/>
  <c r="I620" i="8"/>
  <c r="H610" i="39"/>
  <c r="I501" i="39"/>
  <c r="I609" i="8"/>
  <c r="K210" i="39"/>
  <c r="K366" i="8"/>
  <c r="K362" i="8"/>
  <c r="K206" i="39"/>
  <c r="J356" i="39"/>
  <c r="J500" i="8"/>
  <c r="C62" i="57"/>
  <c r="I620" i="39" l="1"/>
  <c r="I618" i="39"/>
  <c r="H645" i="8"/>
  <c r="I616" i="39"/>
  <c r="H643" i="8"/>
  <c r="I615" i="39"/>
  <c r="H644" i="8"/>
  <c r="H646" i="8"/>
  <c r="H647" i="8"/>
  <c r="I583" i="39"/>
  <c r="I527" i="39"/>
  <c r="I599" i="8"/>
  <c r="I599" i="39" s="1"/>
  <c r="I635" i="8"/>
  <c r="I635" i="39" s="1"/>
  <c r="I531" i="39"/>
  <c r="I603" i="8"/>
  <c r="I603" i="39" s="1"/>
  <c r="I639" i="8"/>
  <c r="I639" i="39" s="1"/>
  <c r="I526" i="39"/>
  <c r="I598" i="8"/>
  <c r="I598" i="39" s="1"/>
  <c r="I634" i="8"/>
  <c r="I634" i="39" s="1"/>
  <c r="J524" i="8"/>
  <c r="J380" i="39"/>
  <c r="I529" i="39"/>
  <c r="I601" i="8"/>
  <c r="I601" i="39" s="1"/>
  <c r="I637" i="8"/>
  <c r="I637" i="39" s="1"/>
  <c r="K385" i="8"/>
  <c r="K229" i="39"/>
  <c r="K382" i="8"/>
  <c r="K226" i="39"/>
  <c r="J531" i="8"/>
  <c r="J387" i="39"/>
  <c r="J529" i="8"/>
  <c r="J385" i="39"/>
  <c r="K386" i="8"/>
  <c r="K230" i="39"/>
  <c r="K387" i="8"/>
  <c r="K231" i="39"/>
  <c r="J530" i="8"/>
  <c r="J386" i="39"/>
  <c r="I580" i="39"/>
  <c r="I582" i="39"/>
  <c r="I578" i="39"/>
  <c r="J525" i="8"/>
  <c r="J381" i="39"/>
  <c r="K384" i="8"/>
  <c r="K228" i="39"/>
  <c r="K380" i="8"/>
  <c r="K224" i="39"/>
  <c r="I528" i="39"/>
  <c r="I600" i="8"/>
  <c r="I600" i="39" s="1"/>
  <c r="I636" i="8"/>
  <c r="I636" i="39" s="1"/>
  <c r="I524" i="39"/>
  <c r="I596" i="8"/>
  <c r="I596" i="39" s="1"/>
  <c r="I632" i="8"/>
  <c r="I632" i="39" s="1"/>
  <c r="J527" i="8"/>
  <c r="J383" i="39"/>
  <c r="I530" i="39"/>
  <c r="I602" i="8"/>
  <c r="I602" i="39" s="1"/>
  <c r="I638" i="8"/>
  <c r="I638" i="39" s="1"/>
  <c r="I585" i="39"/>
  <c r="H642" i="8"/>
  <c r="J528" i="8"/>
  <c r="J384" i="39"/>
  <c r="K383" i="8"/>
  <c r="K227" i="39"/>
  <c r="K381" i="8"/>
  <c r="K225" i="39"/>
  <c r="J526" i="8"/>
  <c r="J382" i="39"/>
  <c r="I525" i="39"/>
  <c r="I597" i="8"/>
  <c r="I597" i="39" s="1"/>
  <c r="I633" i="8"/>
  <c r="I633" i="39" s="1"/>
  <c r="J500" i="39"/>
  <c r="J608" i="8"/>
  <c r="K366" i="39"/>
  <c r="K510" i="8"/>
  <c r="J518" i="39"/>
  <c r="J590" i="8"/>
  <c r="J590" i="39" s="1"/>
  <c r="J626" i="8"/>
  <c r="J626" i="39" s="1"/>
  <c r="I608" i="39"/>
  <c r="J516" i="39"/>
  <c r="J588" i="8"/>
  <c r="J588" i="39" s="1"/>
  <c r="J624" i="8"/>
  <c r="J624" i="39" s="1"/>
  <c r="J499" i="39"/>
  <c r="J607" i="8"/>
  <c r="K375" i="39"/>
  <c r="K519" i="8"/>
  <c r="K360" i="39"/>
  <c r="K504" i="8"/>
  <c r="K522" i="8"/>
  <c r="K378" i="39"/>
  <c r="K513" i="8"/>
  <c r="K369" i="39"/>
  <c r="K507" i="8"/>
  <c r="K363" i="39"/>
  <c r="J507" i="39"/>
  <c r="J579" i="8"/>
  <c r="J579" i="39" s="1"/>
  <c r="J615" i="8"/>
  <c r="J615" i="39" s="1"/>
  <c r="I607" i="39"/>
  <c r="I643" i="8"/>
  <c r="J498" i="39"/>
  <c r="J606" i="8"/>
  <c r="L178" i="35"/>
  <c r="L178" i="37" s="1"/>
  <c r="B178" i="37"/>
  <c r="J515" i="39"/>
  <c r="J587" i="8"/>
  <c r="J587" i="39" s="1"/>
  <c r="J623" i="8"/>
  <c r="J623" i="39" s="1"/>
  <c r="K498" i="8"/>
  <c r="K354" i="39"/>
  <c r="J512" i="39"/>
  <c r="J584" i="8"/>
  <c r="J584" i="39" s="1"/>
  <c r="J620" i="8"/>
  <c r="J620" i="39" s="1"/>
  <c r="I645" i="8"/>
  <c r="I609" i="39"/>
  <c r="E61" i="29"/>
  <c r="E67" i="29" s="1"/>
  <c r="E75" i="29" s="1"/>
  <c r="E210" i="29" s="1"/>
  <c r="E211" i="29" s="1"/>
  <c r="E64" i="29"/>
  <c r="J513" i="39"/>
  <c r="J585" i="8"/>
  <c r="J585" i="39" s="1"/>
  <c r="J621" i="8"/>
  <c r="J621" i="39" s="1"/>
  <c r="K520" i="8"/>
  <c r="K376" i="39"/>
  <c r="J522" i="39"/>
  <c r="J594" i="8"/>
  <c r="J594" i="39" s="1"/>
  <c r="J630" i="8"/>
  <c r="J630" i="39" s="1"/>
  <c r="B641" i="38" a="1"/>
  <c r="J506" i="39"/>
  <c r="J578" i="8"/>
  <c r="J578" i="39" s="1"/>
  <c r="J614" i="8"/>
  <c r="J614" i="39" s="1"/>
  <c r="L179" i="35"/>
  <c r="L170" i="37"/>
  <c r="K499" i="8"/>
  <c r="K355" i="39"/>
  <c r="K371" i="39"/>
  <c r="K515" i="8"/>
  <c r="I605" i="39"/>
  <c r="I641" i="8"/>
  <c r="D91" i="40"/>
  <c r="D92" i="4"/>
  <c r="K500" i="8"/>
  <c r="K356" i="39"/>
  <c r="I612" i="39"/>
  <c r="J511" i="39"/>
  <c r="J583" i="8"/>
  <c r="J583" i="39" s="1"/>
  <c r="J619" i="8"/>
  <c r="J619" i="39" s="1"/>
  <c r="J497" i="39"/>
  <c r="J605" i="8"/>
  <c r="E45" i="29"/>
  <c r="I617" i="39"/>
  <c r="E115" i="29"/>
  <c r="E117" i="29"/>
  <c r="I611" i="39"/>
  <c r="I647" i="8"/>
  <c r="K509" i="8"/>
  <c r="K365" i="39"/>
  <c r="K374" i="39"/>
  <c r="K518" i="8"/>
  <c r="K357" i="39"/>
  <c r="K501" i="8"/>
  <c r="K521" i="8"/>
  <c r="K377" i="39"/>
  <c r="K506" i="8"/>
  <c r="K362" i="39"/>
  <c r="I584" i="39"/>
  <c r="J519" i="39"/>
  <c r="J591" i="8"/>
  <c r="J591" i="39" s="1"/>
  <c r="J627" i="8"/>
  <c r="J627" i="39" s="1"/>
  <c r="E70" i="29"/>
  <c r="E98" i="29" s="1"/>
  <c r="E99" i="29" s="1"/>
  <c r="E102" i="29" s="1"/>
  <c r="E103" i="29" s="1"/>
  <c r="I642" i="8"/>
  <c r="I606" i="39"/>
  <c r="K353" i="39"/>
  <c r="K497" i="8"/>
  <c r="K373" i="39"/>
  <c r="K517" i="8"/>
  <c r="J508" i="39"/>
  <c r="J580" i="8"/>
  <c r="J580" i="39" s="1"/>
  <c r="J616" i="8"/>
  <c r="J616" i="39" s="1"/>
  <c r="J501" i="39"/>
  <c r="J609" i="8"/>
  <c r="K368" i="39"/>
  <c r="K512" i="8"/>
  <c r="J510" i="39"/>
  <c r="J582" i="8"/>
  <c r="J582" i="39" s="1"/>
  <c r="J618" i="8"/>
  <c r="J618" i="39" s="1"/>
  <c r="J517" i="39"/>
  <c r="J589" i="8"/>
  <c r="J589" i="39" s="1"/>
  <c r="J625" i="8"/>
  <c r="J625" i="39" s="1"/>
  <c r="J503" i="39"/>
  <c r="J611" i="8"/>
  <c r="K364" i="39"/>
  <c r="K508" i="8"/>
  <c r="I619" i="39"/>
  <c r="D105" i="4"/>
  <c r="D104" i="40"/>
  <c r="D116" i="4"/>
  <c r="D116" i="40" s="1"/>
  <c r="K359" i="39"/>
  <c r="K503" i="8"/>
  <c r="I621" i="39"/>
  <c r="J521" i="39"/>
  <c r="J593" i="8"/>
  <c r="J593" i="39" s="1"/>
  <c r="J629" i="8"/>
  <c r="J629" i="39" s="1"/>
  <c r="E62" i="29"/>
  <c r="I581" i="39"/>
  <c r="K358" i="39"/>
  <c r="K502" i="8"/>
  <c r="K516" i="8"/>
  <c r="K372" i="39"/>
  <c r="J502" i="39"/>
  <c r="J610" i="8"/>
  <c r="J504" i="39"/>
  <c r="J612" i="8"/>
  <c r="E101" i="40"/>
  <c r="J520" i="39"/>
  <c r="J592" i="8"/>
  <c r="J592" i="39" s="1"/>
  <c r="J628" i="8"/>
  <c r="J628" i="39" s="1"/>
  <c r="I614" i="39"/>
  <c r="J509" i="39"/>
  <c r="J581" i="8"/>
  <c r="J581" i="39" s="1"/>
  <c r="J617" i="8"/>
  <c r="J617" i="39" s="1"/>
  <c r="K511" i="8"/>
  <c r="K367" i="39"/>
  <c r="I610" i="39"/>
  <c r="I646" i="8" l="1"/>
  <c r="I648" i="8"/>
  <c r="H710" i="8"/>
  <c r="I644" i="8"/>
  <c r="K525" i="8"/>
  <c r="K381" i="39"/>
  <c r="J600" i="8"/>
  <c r="J600" i="39" s="1"/>
  <c r="J528" i="39"/>
  <c r="J636" i="8"/>
  <c r="J636" i="39" s="1"/>
  <c r="J602" i="8"/>
  <c r="J602" i="39" s="1"/>
  <c r="J530" i="39"/>
  <c r="J638" i="8"/>
  <c r="J638" i="39" s="1"/>
  <c r="K530" i="8"/>
  <c r="K386" i="39"/>
  <c r="J603" i="8"/>
  <c r="J603" i="39" s="1"/>
  <c r="J531" i="39"/>
  <c r="J639" i="8"/>
  <c r="J639" i="39" s="1"/>
  <c r="K529" i="8"/>
  <c r="K385" i="39"/>
  <c r="K528" i="8"/>
  <c r="K384" i="39"/>
  <c r="J596" i="8"/>
  <c r="J596" i="39" s="1"/>
  <c r="J524" i="39"/>
  <c r="J632" i="8"/>
  <c r="J632" i="39" s="1"/>
  <c r="J598" i="8"/>
  <c r="J598" i="39" s="1"/>
  <c r="J526" i="39"/>
  <c r="J634" i="8"/>
  <c r="J634" i="39" s="1"/>
  <c r="K527" i="8"/>
  <c r="K383" i="39"/>
  <c r="K531" i="8"/>
  <c r="K387" i="39"/>
  <c r="J601" i="8"/>
  <c r="J601" i="39" s="1"/>
  <c r="J529" i="39"/>
  <c r="J637" i="8"/>
  <c r="J637" i="39" s="1"/>
  <c r="K526" i="8"/>
  <c r="K382" i="39"/>
  <c r="J527" i="39"/>
  <c r="J599" i="8"/>
  <c r="J599" i="39" s="1"/>
  <c r="J635" i="8"/>
  <c r="J635" i="39" s="1"/>
  <c r="K524" i="8"/>
  <c r="K380" i="39"/>
  <c r="J597" i="8"/>
  <c r="J597" i="39" s="1"/>
  <c r="J525" i="39"/>
  <c r="J633" i="8"/>
  <c r="J633" i="39" s="1"/>
  <c r="K502" i="39"/>
  <c r="K610" i="8"/>
  <c r="K511" i="39"/>
  <c r="K583" i="8"/>
  <c r="K583" i="39" s="1"/>
  <c r="K619" i="8"/>
  <c r="K619" i="39" s="1"/>
  <c r="J610" i="39"/>
  <c r="K517" i="39"/>
  <c r="K589" i="8"/>
  <c r="K589" i="39" s="1"/>
  <c r="K625" i="8"/>
  <c r="K625" i="39" s="1"/>
  <c r="K501" i="39"/>
  <c r="K609" i="8"/>
  <c r="E68" i="29"/>
  <c r="E76" i="29" s="1"/>
  <c r="I710" i="8"/>
  <c r="K520" i="39"/>
  <c r="K592" i="8"/>
  <c r="K592" i="39" s="1"/>
  <c r="K628" i="8"/>
  <c r="K628" i="39" s="1"/>
  <c r="K504" i="39"/>
  <c r="K612" i="8"/>
  <c r="K510" i="39"/>
  <c r="K582" i="8"/>
  <c r="K582" i="39" s="1"/>
  <c r="K618" i="8"/>
  <c r="K618" i="39" s="1"/>
  <c r="J605" i="39"/>
  <c r="K499" i="39"/>
  <c r="K607" i="8"/>
  <c r="K498" i="39"/>
  <c r="K606" i="8"/>
  <c r="K513" i="39"/>
  <c r="K585" i="8"/>
  <c r="K585" i="39" s="1"/>
  <c r="K621" i="8"/>
  <c r="K621" i="39" s="1"/>
  <c r="J643" i="8"/>
  <c r="J607" i="39"/>
  <c r="J647" i="8"/>
  <c r="J611" i="39"/>
  <c r="K512" i="39"/>
  <c r="K584" i="8"/>
  <c r="K584" i="39" s="1"/>
  <c r="K620" i="8"/>
  <c r="K620" i="39" s="1"/>
  <c r="J612" i="39"/>
  <c r="K509" i="39"/>
  <c r="K581" i="8"/>
  <c r="K581" i="39" s="1"/>
  <c r="K617" i="8"/>
  <c r="K617" i="39" s="1"/>
  <c r="E119" i="29"/>
  <c r="K500" i="39"/>
  <c r="K608" i="8"/>
  <c r="K515" i="39"/>
  <c r="K587" i="8"/>
  <c r="K587" i="39" s="1"/>
  <c r="K623" i="8"/>
  <c r="K623" i="39" s="1"/>
  <c r="J608" i="39"/>
  <c r="J644" i="8"/>
  <c r="K503" i="39"/>
  <c r="K611" i="8"/>
  <c r="D105" i="40"/>
  <c r="D118" i="4"/>
  <c r="D118" i="40" s="1"/>
  <c r="K506" i="39"/>
  <c r="K578" i="8"/>
  <c r="K578" i="39" s="1"/>
  <c r="K614" i="8"/>
  <c r="K614" i="39" s="1"/>
  <c r="K516" i="39"/>
  <c r="K588" i="8"/>
  <c r="K588" i="39" s="1"/>
  <c r="K624" i="8"/>
  <c r="K624" i="39" s="1"/>
  <c r="K508" i="39"/>
  <c r="K580" i="8"/>
  <c r="K580" i="39" s="1"/>
  <c r="K616" i="8"/>
  <c r="K616" i="39" s="1"/>
  <c r="J609" i="39"/>
  <c r="K497" i="39"/>
  <c r="K605" i="8"/>
  <c r="B569" i="8" a="1"/>
  <c r="F101" i="29"/>
  <c r="E104" i="29"/>
  <c r="K521" i="39"/>
  <c r="K593" i="8"/>
  <c r="K593" i="39" s="1"/>
  <c r="K629" i="8"/>
  <c r="K629" i="39" s="1"/>
  <c r="K518" i="39"/>
  <c r="K590" i="8"/>
  <c r="K590" i="39" s="1"/>
  <c r="K626" i="8"/>
  <c r="K626" i="39" s="1"/>
  <c r="D131" i="4"/>
  <c r="D92" i="40"/>
  <c r="L22" i="9"/>
  <c r="L179" i="37"/>
  <c r="L33" i="9" s="1"/>
  <c r="L38" i="9" s="1"/>
  <c r="K642" i="38"/>
  <c r="F642" i="38"/>
  <c r="F642" i="39" s="1"/>
  <c r="I648" i="38"/>
  <c r="I648" i="39" s="1"/>
  <c r="G648" i="38"/>
  <c r="G648" i="39" s="1"/>
  <c r="K645" i="38"/>
  <c r="E644" i="38"/>
  <c r="E644" i="39" s="1"/>
  <c r="B643" i="38"/>
  <c r="B643" i="39" s="1"/>
  <c r="H648" i="38"/>
  <c r="H648" i="39" s="1"/>
  <c r="B642" i="38"/>
  <c r="B642" i="39" s="1"/>
  <c r="E642" i="38"/>
  <c r="E642" i="39" s="1"/>
  <c r="I645" i="38"/>
  <c r="I645" i="39" s="1"/>
  <c r="C646" i="38"/>
  <c r="C646" i="39" s="1"/>
  <c r="J646" i="38"/>
  <c r="D643" i="38"/>
  <c r="D643" i="39" s="1"/>
  <c r="J647" i="38"/>
  <c r="H642" i="38"/>
  <c r="H642" i="39" s="1"/>
  <c r="B647" i="38"/>
  <c r="B647" i="39" s="1"/>
  <c r="H646" i="38"/>
  <c r="H646" i="39" s="1"/>
  <c r="B648" i="38"/>
  <c r="B648" i="39" s="1"/>
  <c r="E648" i="38"/>
  <c r="E648" i="39" s="1"/>
  <c r="K641" i="38"/>
  <c r="J644" i="38"/>
  <c r="H643" i="38"/>
  <c r="H643" i="39" s="1"/>
  <c r="I646" i="38"/>
  <c r="I646" i="39" s="1"/>
  <c r="F646" i="38"/>
  <c r="F646" i="39" s="1"/>
  <c r="G645" i="38"/>
  <c r="G645" i="39" s="1"/>
  <c r="H647" i="38"/>
  <c r="H647" i="39" s="1"/>
  <c r="E646" i="38"/>
  <c r="E646" i="39" s="1"/>
  <c r="F645" i="38"/>
  <c r="F645" i="39" s="1"/>
  <c r="C641" i="38"/>
  <c r="C641" i="39" s="1"/>
  <c r="E643" i="38"/>
  <c r="E643" i="39" s="1"/>
  <c r="F641" i="38"/>
  <c r="F641" i="39" s="1"/>
  <c r="J645" i="38"/>
  <c r="D642" i="38"/>
  <c r="D642" i="39" s="1"/>
  <c r="J643" i="38"/>
  <c r="D644" i="38"/>
  <c r="D644" i="39" s="1"/>
  <c r="B641" i="38"/>
  <c r="H644" i="38"/>
  <c r="H644" i="39" s="1"/>
  <c r="C645" i="38"/>
  <c r="C645" i="39" s="1"/>
  <c r="D641" i="38"/>
  <c r="D641" i="39" s="1"/>
  <c r="E647" i="38"/>
  <c r="E647" i="39" s="1"/>
  <c r="G647" i="38"/>
  <c r="G647" i="39" s="1"/>
  <c r="I643" i="38"/>
  <c r="I643" i="39" s="1"/>
  <c r="K643" i="38"/>
  <c r="D648" i="38"/>
  <c r="D648" i="39" s="1"/>
  <c r="C644" i="38"/>
  <c r="C644" i="39" s="1"/>
  <c r="F644" i="38"/>
  <c r="F644" i="39" s="1"/>
  <c r="K648" i="38"/>
  <c r="D647" i="38"/>
  <c r="D647" i="39" s="1"/>
  <c r="K646" i="38"/>
  <c r="I644" i="38"/>
  <c r="I644" i="39" s="1"/>
  <c r="C647" i="38"/>
  <c r="C647" i="39" s="1"/>
  <c r="J641" i="38"/>
  <c r="G644" i="38"/>
  <c r="G644" i="39" s="1"/>
  <c r="B646" i="38"/>
  <c r="B646" i="39" s="1"/>
  <c r="G643" i="38"/>
  <c r="G643" i="39" s="1"/>
  <c r="D646" i="38"/>
  <c r="D646" i="39" s="1"/>
  <c r="K647" i="38"/>
  <c r="F647" i="38"/>
  <c r="F647" i="39" s="1"/>
  <c r="C648" i="38"/>
  <c r="C648" i="39" s="1"/>
  <c r="J648" i="38"/>
  <c r="H645" i="38"/>
  <c r="H645" i="39" s="1"/>
  <c r="G646" i="38"/>
  <c r="G646" i="39" s="1"/>
  <c r="I642" i="38"/>
  <c r="I642" i="39" s="1"/>
  <c r="I641" i="38"/>
  <c r="I641" i="39" s="1"/>
  <c r="E641" i="38"/>
  <c r="E641" i="39" s="1"/>
  <c r="E645" i="38"/>
  <c r="E645" i="39" s="1"/>
  <c r="H641" i="38"/>
  <c r="H641" i="39" s="1"/>
  <c r="F648" i="38"/>
  <c r="F648" i="39" s="1"/>
  <c r="K644" i="38"/>
  <c r="B644" i="38"/>
  <c r="B644" i="39" s="1"/>
  <c r="G641" i="38"/>
  <c r="G641" i="39" s="1"/>
  <c r="D645" i="38"/>
  <c r="D645" i="39" s="1"/>
  <c r="C643" i="38"/>
  <c r="C643" i="39" s="1"/>
  <c r="G642" i="38"/>
  <c r="G642" i="39" s="1"/>
  <c r="B645" i="38"/>
  <c r="B645" i="39" s="1"/>
  <c r="J642" i="38"/>
  <c r="I647" i="38"/>
  <c r="I647" i="39" s="1"/>
  <c r="F643" i="38"/>
  <c r="F643" i="39" s="1"/>
  <c r="C642" i="38"/>
  <c r="C642" i="39" s="1"/>
  <c r="J606" i="39"/>
  <c r="K507" i="39"/>
  <c r="K579" i="8"/>
  <c r="K579" i="39" s="1"/>
  <c r="K615" i="8"/>
  <c r="K615" i="39" s="1"/>
  <c r="K522" i="39"/>
  <c r="K594" i="8"/>
  <c r="K594" i="39" s="1"/>
  <c r="K630" i="8"/>
  <c r="K630" i="39" s="1"/>
  <c r="K519" i="39"/>
  <c r="K591" i="8"/>
  <c r="K591" i="39" s="1"/>
  <c r="K627" i="8"/>
  <c r="K627" i="39" s="1"/>
  <c r="J645" i="8" l="1"/>
  <c r="J648" i="8"/>
  <c r="J642" i="8"/>
  <c r="J641" i="8"/>
  <c r="J710" i="8" s="1"/>
  <c r="J646" i="8"/>
  <c r="K596" i="8"/>
  <c r="K596" i="39" s="1"/>
  <c r="K632" i="8"/>
  <c r="K632" i="39" s="1"/>
  <c r="K524" i="39"/>
  <c r="K599" i="8"/>
  <c r="K599" i="39" s="1"/>
  <c r="K527" i="39"/>
  <c r="K635" i="8"/>
  <c r="K635" i="39" s="1"/>
  <c r="K600" i="8"/>
  <c r="K600" i="39" s="1"/>
  <c r="K636" i="8"/>
  <c r="K636" i="39" s="1"/>
  <c r="K528" i="39"/>
  <c r="K598" i="8"/>
  <c r="K598" i="39" s="1"/>
  <c r="K634" i="8"/>
  <c r="K634" i="39" s="1"/>
  <c r="K526" i="39"/>
  <c r="K603" i="8"/>
  <c r="K603" i="39" s="1"/>
  <c r="K639" i="8"/>
  <c r="K639" i="39" s="1"/>
  <c r="K531" i="39"/>
  <c r="K601" i="8"/>
  <c r="K601" i="39" s="1"/>
  <c r="K637" i="8"/>
  <c r="K637" i="39" s="1"/>
  <c r="K529" i="39"/>
  <c r="J642" i="39"/>
  <c r="K602" i="8"/>
  <c r="K602" i="39" s="1"/>
  <c r="K638" i="8"/>
  <c r="K638" i="39" s="1"/>
  <c r="K530" i="39"/>
  <c r="K597" i="8"/>
  <c r="K597" i="39" s="1"/>
  <c r="K633" i="8"/>
  <c r="K633" i="39" s="1"/>
  <c r="K525" i="39"/>
  <c r="K609" i="39"/>
  <c r="B650" i="38" a="1"/>
  <c r="B641" i="39"/>
  <c r="D161" i="4"/>
  <c r="D131" i="40"/>
  <c r="E105" i="29"/>
  <c r="E116" i="29"/>
  <c r="K608" i="39"/>
  <c r="K644" i="8"/>
  <c r="K644" i="39" s="1"/>
  <c r="J648" i="39"/>
  <c r="J643" i="39"/>
  <c r="K607" i="39"/>
  <c r="J646" i="39"/>
  <c r="K605" i="39"/>
  <c r="K641" i="8"/>
  <c r="K612" i="39"/>
  <c r="J644" i="39"/>
  <c r="K606" i="39"/>
  <c r="K610" i="39"/>
  <c r="K646" i="8"/>
  <c r="K646" i="39" s="1"/>
  <c r="J641" i="39"/>
  <c r="K574" i="8"/>
  <c r="K574" i="39" s="1"/>
  <c r="F569" i="8"/>
  <c r="F569" i="39" s="1"/>
  <c r="J574" i="8"/>
  <c r="J574" i="39" s="1"/>
  <c r="F571" i="8"/>
  <c r="F571" i="39" s="1"/>
  <c r="K570" i="8"/>
  <c r="K570" i="39" s="1"/>
  <c r="D571" i="8"/>
  <c r="D571" i="39" s="1"/>
  <c r="D576" i="8"/>
  <c r="D576" i="39" s="1"/>
  <c r="B572" i="8"/>
  <c r="B572" i="39" s="1"/>
  <c r="B575" i="8"/>
  <c r="B575" i="39" s="1"/>
  <c r="C570" i="8"/>
  <c r="C570" i="39" s="1"/>
  <c r="C576" i="8"/>
  <c r="C576" i="39" s="1"/>
  <c r="K571" i="8"/>
  <c r="K571" i="39" s="1"/>
  <c r="B570" i="8"/>
  <c r="B570" i="39" s="1"/>
  <c r="H576" i="8"/>
  <c r="H576" i="39" s="1"/>
  <c r="C573" i="8"/>
  <c r="C573" i="39" s="1"/>
  <c r="I570" i="8"/>
  <c r="I570" i="39" s="1"/>
  <c r="K572" i="8"/>
  <c r="K572" i="39" s="1"/>
  <c r="F576" i="8"/>
  <c r="F576" i="39" s="1"/>
  <c r="C572" i="8"/>
  <c r="C572" i="39" s="1"/>
  <c r="H569" i="8"/>
  <c r="H569" i="39" s="1"/>
  <c r="E570" i="8"/>
  <c r="E570" i="39" s="1"/>
  <c r="H572" i="8"/>
  <c r="H572" i="39" s="1"/>
  <c r="G572" i="8"/>
  <c r="G572" i="39" s="1"/>
  <c r="J571" i="8"/>
  <c r="J571" i="39" s="1"/>
  <c r="G575" i="8"/>
  <c r="G575" i="39" s="1"/>
  <c r="H573" i="8"/>
  <c r="H573" i="39" s="1"/>
  <c r="I572" i="8"/>
  <c r="I572" i="39" s="1"/>
  <c r="J576" i="8"/>
  <c r="J576" i="39" s="1"/>
  <c r="B571" i="8"/>
  <c r="B571" i="39" s="1"/>
  <c r="F574" i="8"/>
  <c r="F574" i="39" s="1"/>
  <c r="K576" i="8"/>
  <c r="K576" i="39" s="1"/>
  <c r="J572" i="8"/>
  <c r="J572" i="39" s="1"/>
  <c r="E572" i="8"/>
  <c r="E572" i="39" s="1"/>
  <c r="K575" i="8"/>
  <c r="K575" i="39" s="1"/>
  <c r="G576" i="8"/>
  <c r="G576" i="39" s="1"/>
  <c r="B569" i="8"/>
  <c r="B569" i="39" s="1"/>
  <c r="B573" i="8"/>
  <c r="B573" i="39" s="1"/>
  <c r="C575" i="8"/>
  <c r="C575" i="39" s="1"/>
  <c r="C569" i="8"/>
  <c r="C569" i="39" s="1"/>
  <c r="H575" i="8"/>
  <c r="H575" i="39" s="1"/>
  <c r="G574" i="8"/>
  <c r="G574" i="39" s="1"/>
  <c r="G569" i="8"/>
  <c r="G569" i="39" s="1"/>
  <c r="B574" i="8"/>
  <c r="B574" i="39" s="1"/>
  <c r="B576" i="8"/>
  <c r="B576" i="39" s="1"/>
  <c r="D572" i="8"/>
  <c r="D572" i="39" s="1"/>
  <c r="D574" i="8"/>
  <c r="D574" i="39" s="1"/>
  <c r="E569" i="8"/>
  <c r="E569" i="39" s="1"/>
  <c r="J573" i="8"/>
  <c r="J573" i="39" s="1"/>
  <c r="F575" i="8"/>
  <c r="F575" i="39" s="1"/>
  <c r="I575" i="8"/>
  <c r="I575" i="39" s="1"/>
  <c r="J569" i="8"/>
  <c r="J569" i="39" s="1"/>
  <c r="E574" i="8"/>
  <c r="E574" i="39" s="1"/>
  <c r="F572" i="8"/>
  <c r="F572" i="39" s="1"/>
  <c r="I576" i="8"/>
  <c r="I576" i="39" s="1"/>
  <c r="I573" i="8"/>
  <c r="I573" i="39" s="1"/>
  <c r="J575" i="8"/>
  <c r="J575" i="39" s="1"/>
  <c r="J570" i="8"/>
  <c r="J570" i="39" s="1"/>
  <c r="I574" i="8"/>
  <c r="I574" i="39" s="1"/>
  <c r="K573" i="8"/>
  <c r="K573" i="39" s="1"/>
  <c r="E576" i="8"/>
  <c r="E576" i="39" s="1"/>
  <c r="E571" i="8"/>
  <c r="E571" i="39" s="1"/>
  <c r="D573" i="8"/>
  <c r="D573" i="39" s="1"/>
  <c r="D570" i="8"/>
  <c r="D570" i="39" s="1"/>
  <c r="I571" i="8"/>
  <c r="I571" i="39" s="1"/>
  <c r="H574" i="8"/>
  <c r="H574" i="39" s="1"/>
  <c r="K569" i="8"/>
  <c r="K569" i="39" s="1"/>
  <c r="C571" i="8"/>
  <c r="C571" i="39" s="1"/>
  <c r="H571" i="8"/>
  <c r="H571" i="39" s="1"/>
  <c r="F570" i="8"/>
  <c r="F570" i="39" s="1"/>
  <c r="G573" i="8"/>
  <c r="G573" i="39" s="1"/>
  <c r="F573" i="8"/>
  <c r="F573" i="39" s="1"/>
  <c r="E573" i="8"/>
  <c r="E573" i="39" s="1"/>
  <c r="C574" i="8"/>
  <c r="C574" i="39" s="1"/>
  <c r="I569" i="8"/>
  <c r="I569" i="39" s="1"/>
  <c r="E575" i="8"/>
  <c r="E575" i="39" s="1"/>
  <c r="G571" i="8"/>
  <c r="G571" i="39" s="1"/>
  <c r="D575" i="8"/>
  <c r="D575" i="39" s="1"/>
  <c r="G570" i="8"/>
  <c r="G570" i="39" s="1"/>
  <c r="D569" i="8"/>
  <c r="D569" i="39" s="1"/>
  <c r="H570" i="8"/>
  <c r="H570" i="39" s="1"/>
  <c r="J645" i="39"/>
  <c r="K611" i="39"/>
  <c r="J647" i="39"/>
  <c r="E82" i="29"/>
  <c r="E84" i="29"/>
  <c r="E83" i="29"/>
  <c r="E85" i="29"/>
  <c r="C68" i="57"/>
  <c r="K643" i="8" l="1"/>
  <c r="K643" i="39" s="1"/>
  <c r="K645" i="8"/>
  <c r="K645" i="39" s="1"/>
  <c r="K647" i="8"/>
  <c r="K647" i="39" s="1"/>
  <c r="K642" i="8"/>
  <c r="K642" i="39" s="1"/>
  <c r="K648" i="8"/>
  <c r="K648" i="39" s="1"/>
  <c r="E118" i="29"/>
  <c r="G652" i="38"/>
  <c r="I654" i="38"/>
  <c r="B654" i="38"/>
  <c r="C657" i="38"/>
  <c r="D654" i="38"/>
  <c r="F652" i="38"/>
  <c r="H653" i="38"/>
  <c r="I653" i="38"/>
  <c r="K651" i="38"/>
  <c r="D652" i="38"/>
  <c r="G656" i="38"/>
  <c r="E657" i="38"/>
  <c r="K657" i="38"/>
  <c r="B651" i="38"/>
  <c r="I655" i="38"/>
  <c r="E650" i="38"/>
  <c r="C654" i="38"/>
  <c r="D651" i="38"/>
  <c r="I657" i="38"/>
  <c r="C651" i="38"/>
  <c r="I656" i="38"/>
  <c r="K650" i="38"/>
  <c r="B655" i="38"/>
  <c r="D650" i="38"/>
  <c r="K656" i="38"/>
  <c r="F651" i="38"/>
  <c r="I652" i="38"/>
  <c r="B657" i="38"/>
  <c r="E654" i="38"/>
  <c r="E651" i="38"/>
  <c r="J651" i="38"/>
  <c r="F655" i="38"/>
  <c r="J655" i="38"/>
  <c r="K655" i="38"/>
  <c r="K653" i="38"/>
  <c r="C653" i="38"/>
  <c r="C655" i="38"/>
  <c r="J656" i="38"/>
  <c r="J654" i="38"/>
  <c r="B652" i="38"/>
  <c r="B653" i="38"/>
  <c r="G653" i="38"/>
  <c r="J653" i="38"/>
  <c r="K652" i="38"/>
  <c r="G654" i="38"/>
  <c r="C650" i="38"/>
  <c r="C656" i="38"/>
  <c r="H654" i="38"/>
  <c r="F653" i="38"/>
  <c r="F650" i="38"/>
  <c r="H657" i="38"/>
  <c r="H652" i="38"/>
  <c r="G650" i="38"/>
  <c r="E653" i="38"/>
  <c r="K654" i="38"/>
  <c r="G651" i="38"/>
  <c r="B650" i="38"/>
  <c r="J657" i="38"/>
  <c r="C652" i="38"/>
  <c r="I651" i="38"/>
  <c r="H650" i="38"/>
  <c r="B656" i="38"/>
  <c r="J650" i="38"/>
  <c r="J652" i="38"/>
  <c r="D657" i="38"/>
  <c r="I650" i="38"/>
  <c r="H651" i="38"/>
  <c r="D653" i="38"/>
  <c r="G655" i="38"/>
  <c r="E655" i="38"/>
  <c r="F657" i="38"/>
  <c r="E652" i="38"/>
  <c r="F656" i="38"/>
  <c r="G657" i="38"/>
  <c r="D655" i="38"/>
  <c r="F654" i="38"/>
  <c r="H656" i="38"/>
  <c r="E656" i="38"/>
  <c r="H655" i="38"/>
  <c r="D656" i="38"/>
  <c r="E87" i="29"/>
  <c r="K641" i="39"/>
  <c r="D221" i="4"/>
  <c r="D221" i="40" s="1"/>
  <c r="D161" i="40"/>
  <c r="D162" i="4"/>
  <c r="D162" i="40" s="1"/>
  <c r="B713" i="8" l="1" a="1"/>
  <c r="K715" i="8" s="1"/>
  <c r="E164" i="4"/>
  <c r="E164" i="40" s="1"/>
  <c r="K710" i="8"/>
  <c r="B721" i="8" s="1" a="1"/>
  <c r="F721" i="8" s="1"/>
  <c r="B650" i="8" a="1"/>
  <c r="G652" i="8" s="1"/>
  <c r="G652" i="39" s="1"/>
  <c r="E212" i="29"/>
  <c r="E213" i="29" s="1"/>
  <c r="D213" i="29" s="1"/>
  <c r="E88" i="29"/>
  <c r="D713" i="8"/>
  <c r="D716" i="8"/>
  <c r="E713" i="8"/>
  <c r="E716" i="8"/>
  <c r="D721" i="8"/>
  <c r="K721" i="8"/>
  <c r="E721" i="8"/>
  <c r="H721" i="8"/>
  <c r="C130" i="30" a="1"/>
  <c r="B659" i="38" a="1"/>
  <c r="E166" i="4" l="1"/>
  <c r="E167" i="4" s="1"/>
  <c r="B713" i="8"/>
  <c r="B714" i="8"/>
  <c r="H716" i="8"/>
  <c r="I714" i="8"/>
  <c r="B716" i="8"/>
  <c r="D715" i="8"/>
  <c r="H717" i="8"/>
  <c r="F715" i="8"/>
  <c r="G713" i="8"/>
  <c r="I713" i="8"/>
  <c r="D719" i="8"/>
  <c r="K717" i="8"/>
  <c r="B715" i="8"/>
  <c r="H715" i="8"/>
  <c r="K713" i="8"/>
  <c r="H714" i="8"/>
  <c r="C714" i="8"/>
  <c r="J716" i="8"/>
  <c r="H720" i="8"/>
  <c r="D718" i="8"/>
  <c r="J718" i="8"/>
  <c r="E714" i="8"/>
  <c r="D714" i="8"/>
  <c r="K716" i="8"/>
  <c r="E720" i="8"/>
  <c r="J719" i="8"/>
  <c r="F718" i="8"/>
  <c r="G714" i="8"/>
  <c r="D720" i="8"/>
  <c r="F713" i="8"/>
  <c r="C716" i="8"/>
  <c r="I718" i="8"/>
  <c r="K719" i="8"/>
  <c r="E718" i="8"/>
  <c r="H713" i="8"/>
  <c r="J714" i="8"/>
  <c r="G718" i="8"/>
  <c r="E715" i="8"/>
  <c r="G717" i="8"/>
  <c r="C717" i="8"/>
  <c r="G720" i="8"/>
  <c r="I717" i="8"/>
  <c r="J720" i="8"/>
  <c r="E719" i="8"/>
  <c r="K714" i="8"/>
  <c r="G715" i="8"/>
  <c r="G719" i="8"/>
  <c r="C715" i="8"/>
  <c r="F714" i="8"/>
  <c r="B717" i="8"/>
  <c r="F716" i="8"/>
  <c r="K718" i="8"/>
  <c r="H719" i="8"/>
  <c r="K720" i="8"/>
  <c r="C720" i="8"/>
  <c r="D717" i="8"/>
  <c r="I716" i="8"/>
  <c r="F719" i="8"/>
  <c r="B719" i="8"/>
  <c r="B720" i="8"/>
  <c r="J717" i="8"/>
  <c r="H718" i="8"/>
  <c r="C718" i="8"/>
  <c r="C719" i="8"/>
  <c r="E717" i="8"/>
  <c r="I720" i="8"/>
  <c r="I719" i="8"/>
  <c r="G716" i="8"/>
  <c r="J715" i="8"/>
  <c r="C713" i="8"/>
  <c r="J713" i="8"/>
  <c r="F720" i="8"/>
  <c r="I715" i="8"/>
  <c r="B718" i="8"/>
  <c r="F717" i="8"/>
  <c r="G721" i="8"/>
  <c r="C721" i="8"/>
  <c r="K656" i="8"/>
  <c r="K656" i="39" s="1"/>
  <c r="H652" i="8"/>
  <c r="H652" i="39" s="1"/>
  <c r="B656" i="8"/>
  <c r="B656" i="39" s="1"/>
  <c r="G655" i="8"/>
  <c r="G655" i="39" s="1"/>
  <c r="J650" i="8"/>
  <c r="J650" i="39" s="1"/>
  <c r="F652" i="8"/>
  <c r="F652" i="39" s="1"/>
  <c r="E652" i="8"/>
  <c r="E652" i="39" s="1"/>
  <c r="K651" i="8"/>
  <c r="K651" i="39" s="1"/>
  <c r="E650" i="8"/>
  <c r="E650" i="39" s="1"/>
  <c r="C653" i="8"/>
  <c r="C653" i="39" s="1"/>
  <c r="C656" i="8"/>
  <c r="C656" i="39" s="1"/>
  <c r="C652" i="8"/>
  <c r="C652" i="39" s="1"/>
  <c r="J651" i="8"/>
  <c r="J651" i="39" s="1"/>
  <c r="B657" i="8"/>
  <c r="B657" i="39" s="1"/>
  <c r="I654" i="8"/>
  <c r="I654" i="39" s="1"/>
  <c r="B654" i="8"/>
  <c r="B654" i="39" s="1"/>
  <c r="F655" i="8"/>
  <c r="F655" i="39" s="1"/>
  <c r="C651" i="8"/>
  <c r="C651" i="39" s="1"/>
  <c r="I656" i="8"/>
  <c r="I656" i="39" s="1"/>
  <c r="D652" i="8"/>
  <c r="D652" i="39" s="1"/>
  <c r="F657" i="8"/>
  <c r="F657" i="39" s="1"/>
  <c r="G650" i="8"/>
  <c r="G650" i="39" s="1"/>
  <c r="I657" i="8"/>
  <c r="I657" i="39" s="1"/>
  <c r="B650" i="8"/>
  <c r="E654" i="8"/>
  <c r="E654" i="39" s="1"/>
  <c r="K657" i="8"/>
  <c r="K657" i="39" s="1"/>
  <c r="H653" i="8"/>
  <c r="H653" i="39" s="1"/>
  <c r="C654" i="8"/>
  <c r="C654" i="39" s="1"/>
  <c r="K655" i="8"/>
  <c r="K655" i="39" s="1"/>
  <c r="D656" i="8"/>
  <c r="D656" i="39" s="1"/>
  <c r="C655" i="8"/>
  <c r="C655" i="39" s="1"/>
  <c r="J655" i="8"/>
  <c r="J655" i="39" s="1"/>
  <c r="B653" i="8"/>
  <c r="B653" i="39" s="1"/>
  <c r="F654" i="8"/>
  <c r="F654" i="39" s="1"/>
  <c r="B652" i="8"/>
  <c r="B652" i="39" s="1"/>
  <c r="D650" i="8"/>
  <c r="D650" i="39" s="1"/>
  <c r="F653" i="8"/>
  <c r="F653" i="39" s="1"/>
  <c r="G653" i="8"/>
  <c r="G653" i="39" s="1"/>
  <c r="H656" i="8"/>
  <c r="H656" i="39" s="1"/>
  <c r="F656" i="8"/>
  <c r="F656" i="39" s="1"/>
  <c r="J721" i="8"/>
  <c r="B721" i="8"/>
  <c r="E653" i="8"/>
  <c r="E653" i="39" s="1"/>
  <c r="H654" i="8"/>
  <c r="H654" i="39" s="1"/>
  <c r="D654" i="8"/>
  <c r="D654" i="39" s="1"/>
  <c r="D657" i="8"/>
  <c r="D657" i="39" s="1"/>
  <c r="D651" i="8"/>
  <c r="D651" i="39" s="1"/>
  <c r="K650" i="8"/>
  <c r="K650" i="39" s="1"/>
  <c r="J652" i="8"/>
  <c r="J652" i="39" s="1"/>
  <c r="J657" i="8"/>
  <c r="J657" i="39" s="1"/>
  <c r="H650" i="8"/>
  <c r="H650" i="39" s="1"/>
  <c r="J653" i="8"/>
  <c r="J653" i="39" s="1"/>
  <c r="G651" i="8"/>
  <c r="G651" i="39" s="1"/>
  <c r="J656" i="8"/>
  <c r="J656" i="39" s="1"/>
  <c r="I650" i="8"/>
  <c r="I650" i="39" s="1"/>
  <c r="I652" i="8"/>
  <c r="I652" i="39" s="1"/>
  <c r="F651" i="8"/>
  <c r="F651" i="39" s="1"/>
  <c r="H655" i="8"/>
  <c r="H655" i="39" s="1"/>
  <c r="E656" i="8"/>
  <c r="E656" i="39" s="1"/>
  <c r="B651" i="8"/>
  <c r="B651" i="39" s="1"/>
  <c r="H651" i="8"/>
  <c r="H651" i="39" s="1"/>
  <c r="K652" i="8"/>
  <c r="K652" i="39" s="1"/>
  <c r="I721" i="8"/>
  <c r="J654" i="8"/>
  <c r="J654" i="39" s="1"/>
  <c r="B655" i="8"/>
  <c r="B655" i="39" s="1"/>
  <c r="D653" i="8"/>
  <c r="D653" i="39" s="1"/>
  <c r="E651" i="8"/>
  <c r="E651" i="39" s="1"/>
  <c r="G656" i="8"/>
  <c r="G656" i="39" s="1"/>
  <c r="E655" i="8"/>
  <c r="E655" i="39" s="1"/>
  <c r="I653" i="8"/>
  <c r="I653" i="39" s="1"/>
  <c r="C650" i="8"/>
  <c r="C650" i="39" s="1"/>
  <c r="E657" i="8"/>
  <c r="E657" i="39" s="1"/>
  <c r="F650" i="8"/>
  <c r="F650" i="39" s="1"/>
  <c r="K653" i="8"/>
  <c r="K653" i="39" s="1"/>
  <c r="G654" i="8"/>
  <c r="G654" i="39" s="1"/>
  <c r="H657" i="8"/>
  <c r="H657" i="39" s="1"/>
  <c r="G657" i="8"/>
  <c r="G657" i="39" s="1"/>
  <c r="D655" i="8"/>
  <c r="D655" i="39" s="1"/>
  <c r="C657" i="8"/>
  <c r="C657" i="39" s="1"/>
  <c r="K654" i="8"/>
  <c r="K654" i="39" s="1"/>
  <c r="I651" i="8"/>
  <c r="I651" i="39" s="1"/>
  <c r="I655" i="8"/>
  <c r="I655" i="39" s="1"/>
  <c r="E166" i="40"/>
  <c r="E168" i="4"/>
  <c r="E168" i="40" s="1"/>
  <c r="B659" i="8" a="1"/>
  <c r="B650" i="39"/>
  <c r="F662" i="38"/>
  <c r="J662" i="38"/>
  <c r="G664" i="38"/>
  <c r="C662" i="38"/>
  <c r="J659" i="38"/>
  <c r="K660" i="38"/>
  <c r="E665" i="38"/>
  <c r="D665" i="38"/>
  <c r="C666" i="38"/>
  <c r="G660" i="38"/>
  <c r="D666" i="38"/>
  <c r="E666" i="38"/>
  <c r="J663" i="38"/>
  <c r="B665" i="38"/>
  <c r="C665" i="38"/>
  <c r="C659" i="38"/>
  <c r="G663" i="38"/>
  <c r="C661" i="38"/>
  <c r="G662" i="38"/>
  <c r="H659" i="38"/>
  <c r="C660" i="38"/>
  <c r="F663" i="38"/>
  <c r="B662" i="38"/>
  <c r="F661" i="38"/>
  <c r="B659" i="38"/>
  <c r="H661" i="38"/>
  <c r="I660" i="38"/>
  <c r="J666" i="38"/>
  <c r="G665" i="38"/>
  <c r="E664" i="38"/>
  <c r="H663" i="38"/>
  <c r="J660" i="38"/>
  <c r="I659" i="38"/>
  <c r="I662" i="38"/>
  <c r="K666" i="38"/>
  <c r="K659" i="38"/>
  <c r="F659" i="38"/>
  <c r="I665" i="38"/>
  <c r="K665" i="38"/>
  <c r="D664" i="38"/>
  <c r="D662" i="38"/>
  <c r="E660" i="38"/>
  <c r="E659" i="38"/>
  <c r="F660" i="38"/>
  <c r="K663" i="38"/>
  <c r="E662" i="38"/>
  <c r="B660" i="38"/>
  <c r="I663" i="38"/>
  <c r="D663" i="38"/>
  <c r="I661" i="38"/>
  <c r="G666" i="38"/>
  <c r="H666" i="38"/>
  <c r="C664" i="38"/>
  <c r="I666" i="38"/>
  <c r="I664" i="38"/>
  <c r="H662" i="38"/>
  <c r="K661" i="38"/>
  <c r="B666" i="38"/>
  <c r="G661" i="38"/>
  <c r="J664" i="38"/>
  <c r="H660" i="38"/>
  <c r="C663" i="38"/>
  <c r="B663" i="38"/>
  <c r="H665" i="38"/>
  <c r="J661" i="38"/>
  <c r="D659" i="38"/>
  <c r="E663" i="38"/>
  <c r="F665" i="38"/>
  <c r="G659" i="38"/>
  <c r="D661" i="38"/>
  <c r="D660" i="38"/>
  <c r="K662" i="38"/>
  <c r="K664" i="38"/>
  <c r="B664" i="38"/>
  <c r="J665" i="38"/>
  <c r="E661" i="38"/>
  <c r="F666" i="38"/>
  <c r="B661" i="38"/>
  <c r="F664" i="38"/>
  <c r="H664" i="38"/>
  <c r="E90" i="29"/>
  <c r="E91" i="29" s="1"/>
  <c r="E92" i="29" s="1"/>
  <c r="E131" i="29" s="1"/>
  <c r="E161" i="29" s="1"/>
  <c r="E136" i="30"/>
  <c r="E135" i="30"/>
  <c r="E131" i="30"/>
  <c r="G133" i="30"/>
  <c r="H137" i="30"/>
  <c r="C134" i="30"/>
  <c r="F130" i="30"/>
  <c r="L133" i="30"/>
  <c r="G130" i="30"/>
  <c r="K134" i="30"/>
  <c r="L136" i="30"/>
  <c r="K131" i="30"/>
  <c r="G135" i="30"/>
  <c r="K132" i="30"/>
  <c r="H134" i="30"/>
  <c r="F131" i="30"/>
  <c r="L135" i="30"/>
  <c r="G136" i="30"/>
  <c r="J134" i="30"/>
  <c r="C130" i="30"/>
  <c r="F136" i="30"/>
  <c r="I132" i="30"/>
  <c r="J135" i="30"/>
  <c r="K133" i="30"/>
  <c r="L132" i="30"/>
  <c r="D137" i="30"/>
  <c r="H130" i="30"/>
  <c r="K136" i="30"/>
  <c r="D135" i="30"/>
  <c r="D131" i="30"/>
  <c r="I131" i="30"/>
  <c r="I134" i="30"/>
  <c r="J136" i="30"/>
  <c r="D132" i="30"/>
  <c r="J132" i="30"/>
  <c r="E132" i="30"/>
  <c r="E133" i="30"/>
  <c r="E130" i="30"/>
  <c r="C135" i="30"/>
  <c r="E137" i="30"/>
  <c r="H132" i="30"/>
  <c r="J133" i="30"/>
  <c r="F133" i="30"/>
  <c r="L131" i="30"/>
  <c r="J131" i="30"/>
  <c r="H131" i="30"/>
  <c r="C132" i="30"/>
  <c r="C136" i="30"/>
  <c r="F137" i="30"/>
  <c r="D130" i="30"/>
  <c r="F134" i="30"/>
  <c r="H136" i="30"/>
  <c r="I130" i="30"/>
  <c r="G137" i="30"/>
  <c r="C131" i="30"/>
  <c r="K137" i="30"/>
  <c r="H135" i="30"/>
  <c r="H133" i="30"/>
  <c r="G131" i="30"/>
  <c r="G134" i="30"/>
  <c r="D133" i="30"/>
  <c r="D136" i="30"/>
  <c r="I133" i="30"/>
  <c r="K135" i="30"/>
  <c r="I135" i="30"/>
  <c r="L130" i="30"/>
  <c r="C133" i="30"/>
  <c r="I137" i="30"/>
  <c r="L134" i="30"/>
  <c r="C137" i="30"/>
  <c r="F135" i="30"/>
  <c r="J137" i="30"/>
  <c r="E134" i="30"/>
  <c r="L137" i="30"/>
  <c r="K130" i="30"/>
  <c r="D134" i="30"/>
  <c r="F132" i="30"/>
  <c r="J130" i="30"/>
  <c r="G132" i="30"/>
  <c r="I136" i="30"/>
  <c r="D81" i="57"/>
  <c r="D154" i="57"/>
  <c r="D152" i="57"/>
  <c r="D153" i="57"/>
  <c r="D151" i="57"/>
  <c r="D150" i="57"/>
  <c r="C130" i="6" l="1" a="1"/>
  <c r="F136" i="6" s="1"/>
  <c r="E162" i="29"/>
  <c r="F164" i="29" s="1"/>
  <c r="E221" i="29"/>
  <c r="C659" i="8"/>
  <c r="C659" i="39" s="1"/>
  <c r="J661" i="8"/>
  <c r="J661" i="39" s="1"/>
  <c r="J666" i="8"/>
  <c r="J666" i="39" s="1"/>
  <c r="K666" i="8"/>
  <c r="K666" i="39" s="1"/>
  <c r="I661" i="8"/>
  <c r="I661" i="39" s="1"/>
  <c r="E665" i="8"/>
  <c r="E665" i="39" s="1"/>
  <c r="C665" i="8"/>
  <c r="C665" i="39" s="1"/>
  <c r="G660" i="8"/>
  <c r="G660" i="39" s="1"/>
  <c r="D665" i="8"/>
  <c r="D665" i="39" s="1"/>
  <c r="I663" i="8"/>
  <c r="I663" i="39" s="1"/>
  <c r="G659" i="8"/>
  <c r="G659" i="39" s="1"/>
  <c r="D662" i="8"/>
  <c r="D662" i="39" s="1"/>
  <c r="C663" i="8"/>
  <c r="C663" i="39" s="1"/>
  <c r="F665" i="8"/>
  <c r="F665" i="39" s="1"/>
  <c r="K662" i="8"/>
  <c r="K662" i="39" s="1"/>
  <c r="F663" i="8"/>
  <c r="F663" i="39" s="1"/>
  <c r="B661" i="8"/>
  <c r="B661" i="39" s="1"/>
  <c r="E661" i="8"/>
  <c r="E661" i="39" s="1"/>
  <c r="H665" i="8"/>
  <c r="H665" i="39" s="1"/>
  <c r="F666" i="8"/>
  <c r="F666" i="39" s="1"/>
  <c r="I666" i="8"/>
  <c r="I666" i="39" s="1"/>
  <c r="B660" i="8"/>
  <c r="B660" i="39" s="1"/>
  <c r="B662" i="8"/>
  <c r="B662" i="39" s="1"/>
  <c r="G663" i="8"/>
  <c r="G663" i="39" s="1"/>
  <c r="I665" i="8"/>
  <c r="I665" i="39" s="1"/>
  <c r="J662" i="8"/>
  <c r="J662" i="39" s="1"/>
  <c r="B663" i="8"/>
  <c r="B663" i="39" s="1"/>
  <c r="D661" i="8"/>
  <c r="D661" i="39" s="1"/>
  <c r="H659" i="8"/>
  <c r="H659" i="39" s="1"/>
  <c r="F660" i="8"/>
  <c r="F660" i="39" s="1"/>
  <c r="H663" i="8"/>
  <c r="H663" i="39" s="1"/>
  <c r="K663" i="8"/>
  <c r="K663" i="39" s="1"/>
  <c r="J665" i="8"/>
  <c r="J665" i="39" s="1"/>
  <c r="G661" i="8"/>
  <c r="G661" i="39" s="1"/>
  <c r="H664" i="8"/>
  <c r="H664" i="39" s="1"/>
  <c r="G666" i="8"/>
  <c r="G666" i="39" s="1"/>
  <c r="C666" i="8"/>
  <c r="C666" i="39" s="1"/>
  <c r="C661" i="8"/>
  <c r="C661" i="39" s="1"/>
  <c r="E660" i="8"/>
  <c r="E660" i="39" s="1"/>
  <c r="G664" i="8"/>
  <c r="G664" i="39" s="1"/>
  <c r="D660" i="8"/>
  <c r="D660" i="39" s="1"/>
  <c r="D666" i="8"/>
  <c r="D666" i="39" s="1"/>
  <c r="E663" i="8"/>
  <c r="E663" i="39" s="1"/>
  <c r="E666" i="8"/>
  <c r="E666" i="39" s="1"/>
  <c r="I662" i="8"/>
  <c r="I662" i="39" s="1"/>
  <c r="K665" i="8"/>
  <c r="K665" i="39" s="1"/>
  <c r="G665" i="8"/>
  <c r="G665" i="39" s="1"/>
  <c r="B665" i="8"/>
  <c r="B665" i="39" s="1"/>
  <c r="K661" i="8"/>
  <c r="K661" i="39" s="1"/>
  <c r="C662" i="8"/>
  <c r="C662" i="39" s="1"/>
  <c r="E664" i="8"/>
  <c r="E664" i="39" s="1"/>
  <c r="K660" i="8"/>
  <c r="K660" i="39" s="1"/>
  <c r="H662" i="8"/>
  <c r="H662" i="39" s="1"/>
  <c r="C664" i="8"/>
  <c r="C664" i="39" s="1"/>
  <c r="D664" i="8"/>
  <c r="D664" i="39" s="1"/>
  <c r="J664" i="8"/>
  <c r="J664" i="39" s="1"/>
  <c r="J659" i="8"/>
  <c r="J659" i="39" s="1"/>
  <c r="C660" i="8"/>
  <c r="C660" i="39" s="1"/>
  <c r="F662" i="8"/>
  <c r="F662" i="39" s="1"/>
  <c r="D663" i="8"/>
  <c r="D663" i="39" s="1"/>
  <c r="F659" i="8"/>
  <c r="F659" i="39" s="1"/>
  <c r="H661" i="8"/>
  <c r="H661" i="39" s="1"/>
  <c r="I659" i="8"/>
  <c r="I659" i="39" s="1"/>
  <c r="E662" i="8"/>
  <c r="E662" i="39" s="1"/>
  <c r="D659" i="8"/>
  <c r="D659" i="39" s="1"/>
  <c r="J663" i="8"/>
  <c r="J663" i="39" s="1"/>
  <c r="F661" i="8"/>
  <c r="F661" i="39" s="1"/>
  <c r="B659" i="8"/>
  <c r="I664" i="8"/>
  <c r="I664" i="39" s="1"/>
  <c r="H660" i="8"/>
  <c r="H660" i="39" s="1"/>
  <c r="J660" i="8"/>
  <c r="J660" i="39" s="1"/>
  <c r="B666" i="8"/>
  <c r="B666" i="39" s="1"/>
  <c r="E659" i="8"/>
  <c r="E659" i="39" s="1"/>
  <c r="H666" i="8"/>
  <c r="H666" i="39" s="1"/>
  <c r="G662" i="8"/>
  <c r="G662" i="39" s="1"/>
  <c r="K664" i="8"/>
  <c r="K664" i="39" s="1"/>
  <c r="K659" i="8"/>
  <c r="K659" i="39" s="1"/>
  <c r="I660" i="8"/>
  <c r="I660" i="39" s="1"/>
  <c r="B664" i="8"/>
  <c r="B664" i="39" s="1"/>
  <c r="F664" i="8"/>
  <c r="F664" i="39" s="1"/>
  <c r="E167" i="40"/>
  <c r="E170" i="4"/>
  <c r="E170" i="40" s="1"/>
  <c r="E169" i="4"/>
  <c r="C139" i="30" a="1"/>
  <c r="B668" i="38" a="1"/>
  <c r="I137" i="6" l="1"/>
  <c r="H132" i="6"/>
  <c r="I136" i="6"/>
  <c r="C134" i="6"/>
  <c r="C134" i="34" s="1"/>
  <c r="D137" i="6"/>
  <c r="D132" i="6"/>
  <c r="J131" i="6"/>
  <c r="F137" i="6"/>
  <c r="F137" i="34" s="1"/>
  <c r="H135" i="6"/>
  <c r="K137" i="6"/>
  <c r="C130" i="6"/>
  <c r="J132" i="6"/>
  <c r="J132" i="34" s="1"/>
  <c r="L135" i="6"/>
  <c r="E135" i="6"/>
  <c r="G136" i="6"/>
  <c r="K135" i="6"/>
  <c r="K135" i="34" s="1"/>
  <c r="C131" i="6"/>
  <c r="I134" i="6"/>
  <c r="G137" i="6"/>
  <c r="F133" i="6"/>
  <c r="F133" i="34" s="1"/>
  <c r="J135" i="6"/>
  <c r="J135" i="34" s="1"/>
  <c r="E133" i="6"/>
  <c r="E133" i="34" s="1"/>
  <c r="H137" i="6"/>
  <c r="H137" i="34" s="1"/>
  <c r="L130" i="6"/>
  <c r="F132" i="6"/>
  <c r="D135" i="6"/>
  <c r="D135" i="34" s="1"/>
  <c r="I130" i="6"/>
  <c r="I130" i="34" s="1"/>
  <c r="I131" i="6"/>
  <c r="I131" i="34" s="1"/>
  <c r="H131" i="6"/>
  <c r="C132" i="6"/>
  <c r="C132" i="34" s="1"/>
  <c r="K136" i="6"/>
  <c r="K136" i="34" s="1"/>
  <c r="E137" i="6"/>
  <c r="E137" i="34" s="1"/>
  <c r="H130" i="6"/>
  <c r="H130" i="34" s="1"/>
  <c r="L137" i="6"/>
  <c r="L137" i="34" s="1"/>
  <c r="C135" i="6"/>
  <c r="C135" i="34" s="1"/>
  <c r="D133" i="6"/>
  <c r="D133" i="34" s="1"/>
  <c r="E132" i="6"/>
  <c r="F134" i="6"/>
  <c r="F134" i="34" s="1"/>
  <c r="G132" i="6"/>
  <c r="G132" i="34" s="1"/>
  <c r="H136" i="6"/>
  <c r="H136" i="34" s="1"/>
  <c r="J133" i="6"/>
  <c r="C136" i="6"/>
  <c r="F130" i="6"/>
  <c r="F130" i="34" s="1"/>
  <c r="F135" i="6"/>
  <c r="I132" i="6"/>
  <c r="L131" i="6"/>
  <c r="E131" i="6"/>
  <c r="E130" i="6"/>
  <c r="I133" i="6"/>
  <c r="J130" i="6"/>
  <c r="J136" i="6"/>
  <c r="C133" i="6"/>
  <c r="C133" i="34" s="1"/>
  <c r="K132" i="6"/>
  <c r="E134" i="6"/>
  <c r="H134" i="6"/>
  <c r="H134" i="34" s="1"/>
  <c r="G130" i="6"/>
  <c r="G130" i="34" s="1"/>
  <c r="E136" i="6"/>
  <c r="J134" i="6"/>
  <c r="J134" i="34" s="1"/>
  <c r="G134" i="6"/>
  <c r="K134" i="6"/>
  <c r="K134" i="34" s="1"/>
  <c r="I135" i="6"/>
  <c r="G133" i="6"/>
  <c r="G133" i="34" s="1"/>
  <c r="C137" i="6"/>
  <c r="H133" i="6"/>
  <c r="H133" i="34" s="1"/>
  <c r="L136" i="6"/>
  <c r="L136" i="34" s="1"/>
  <c r="D131" i="6"/>
  <c r="D131" i="34" s="1"/>
  <c r="L132" i="6"/>
  <c r="L133" i="6"/>
  <c r="L133" i="34" s="1"/>
  <c r="D134" i="6"/>
  <c r="G131" i="6"/>
  <c r="G131" i="34" s="1"/>
  <c r="L134" i="6"/>
  <c r="L134" i="34" s="1"/>
  <c r="J137" i="6"/>
  <c r="J137" i="34" s="1"/>
  <c r="D130" i="6"/>
  <c r="D130" i="34" s="1"/>
  <c r="G135" i="6"/>
  <c r="D136" i="6"/>
  <c r="D136" i="34" s="1"/>
  <c r="K133" i="6"/>
  <c r="K133" i="34" s="1"/>
  <c r="F131" i="6"/>
  <c r="K131" i="6"/>
  <c r="K131" i="34" s="1"/>
  <c r="K130" i="6"/>
  <c r="K130" i="34" s="1"/>
  <c r="L130" i="34"/>
  <c r="D134" i="34"/>
  <c r="F131" i="34"/>
  <c r="F136" i="34"/>
  <c r="F132" i="34"/>
  <c r="H131" i="34"/>
  <c r="E132" i="34"/>
  <c r="B659" i="39"/>
  <c r="E669" i="8"/>
  <c r="C672" i="8"/>
  <c r="G671" i="8"/>
  <c r="I675" i="8"/>
  <c r="K671" i="8"/>
  <c r="I674" i="8"/>
  <c r="I668" i="8"/>
  <c r="C671" i="8"/>
  <c r="E675" i="8"/>
  <c r="J672" i="8"/>
  <c r="J668" i="8"/>
  <c r="D673" i="8"/>
  <c r="J669" i="8"/>
  <c r="E670" i="8"/>
  <c r="E671" i="8"/>
  <c r="B671" i="8"/>
  <c r="H668" i="8"/>
  <c r="K672" i="8"/>
  <c r="B670" i="8"/>
  <c r="C670" i="8"/>
  <c r="I671" i="8"/>
  <c r="B668" i="8"/>
  <c r="J671" i="8"/>
  <c r="H675" i="8"/>
  <c r="D674" i="8"/>
  <c r="F674" i="8"/>
  <c r="H669" i="8"/>
  <c r="B674" i="8"/>
  <c r="C674" i="8"/>
  <c r="H674" i="8"/>
  <c r="C669" i="8"/>
  <c r="D675" i="8"/>
  <c r="F673" i="8"/>
  <c r="H670" i="8"/>
  <c r="K669" i="8"/>
  <c r="I670" i="8"/>
  <c r="I669" i="8"/>
  <c r="D671" i="8"/>
  <c r="C675" i="8"/>
  <c r="F668" i="8"/>
  <c r="F669" i="8"/>
  <c r="J670" i="8"/>
  <c r="D668" i="8"/>
  <c r="G673" i="8"/>
  <c r="D669" i="8"/>
  <c r="E673" i="8"/>
  <c r="G669" i="8"/>
  <c r="B669" i="8"/>
  <c r="C673" i="8"/>
  <c r="K673" i="8"/>
  <c r="F670" i="8"/>
  <c r="I672" i="8"/>
  <c r="B672" i="8"/>
  <c r="D670" i="8"/>
  <c r="H673" i="8"/>
  <c r="K674" i="8"/>
  <c r="H671" i="8"/>
  <c r="B673" i="8"/>
  <c r="I673" i="8"/>
  <c r="E672" i="8"/>
  <c r="H672" i="8"/>
  <c r="K675" i="8"/>
  <c r="J675" i="8"/>
  <c r="G670" i="8"/>
  <c r="F675" i="8"/>
  <c r="F671" i="8"/>
  <c r="G672" i="8"/>
  <c r="F672" i="8"/>
  <c r="G675" i="8"/>
  <c r="K668" i="8"/>
  <c r="E674" i="8"/>
  <c r="G674" i="8"/>
  <c r="K670" i="8"/>
  <c r="J673" i="8"/>
  <c r="E668" i="8"/>
  <c r="C668" i="8"/>
  <c r="G668" i="8"/>
  <c r="D672" i="8"/>
  <c r="J674" i="8"/>
  <c r="B675" i="8"/>
  <c r="I135" i="34"/>
  <c r="C137" i="34"/>
  <c r="L132" i="34"/>
  <c r="G135" i="34"/>
  <c r="F172" i="29"/>
  <c r="F166" i="29"/>
  <c r="J133" i="34"/>
  <c r="C136" i="34"/>
  <c r="F135" i="34"/>
  <c r="I132" i="34"/>
  <c r="L131" i="34"/>
  <c r="E131" i="34"/>
  <c r="E130" i="34"/>
  <c r="I133" i="34"/>
  <c r="J130" i="34"/>
  <c r="J136" i="34"/>
  <c r="K132" i="34"/>
  <c r="E134" i="34"/>
  <c r="E136" i="34"/>
  <c r="G134" i="34"/>
  <c r="I137" i="34"/>
  <c r="H132" i="34"/>
  <c r="I136" i="34"/>
  <c r="D137" i="34"/>
  <c r="D132" i="34"/>
  <c r="J131" i="34"/>
  <c r="H135" i="34"/>
  <c r="K137" i="34"/>
  <c r="C130" i="34"/>
  <c r="L135" i="34"/>
  <c r="E135" i="34"/>
  <c r="G136" i="34"/>
  <c r="C131" i="34"/>
  <c r="I134" i="34"/>
  <c r="G137" i="34"/>
  <c r="I673" i="38"/>
  <c r="E669" i="38"/>
  <c r="C672" i="38"/>
  <c r="J675" i="38"/>
  <c r="K673" i="38"/>
  <c r="C670" i="38"/>
  <c r="G672" i="38"/>
  <c r="E674" i="38"/>
  <c r="I671" i="38"/>
  <c r="F672" i="38"/>
  <c r="C674" i="38"/>
  <c r="G671" i="38"/>
  <c r="I674" i="38"/>
  <c r="F673" i="38"/>
  <c r="E672" i="38"/>
  <c r="C671" i="38"/>
  <c r="B672" i="38"/>
  <c r="K668" i="38"/>
  <c r="I670" i="38"/>
  <c r="B674" i="38"/>
  <c r="D674" i="38"/>
  <c r="H674" i="38"/>
  <c r="K675" i="38"/>
  <c r="G668" i="38"/>
  <c r="H669" i="38"/>
  <c r="C669" i="38"/>
  <c r="C675" i="38"/>
  <c r="J669" i="38"/>
  <c r="F671" i="38"/>
  <c r="G669" i="38"/>
  <c r="J668" i="38"/>
  <c r="H672" i="38"/>
  <c r="K670" i="38"/>
  <c r="B675" i="38"/>
  <c r="D673" i="38"/>
  <c r="F670" i="38"/>
  <c r="D669" i="38"/>
  <c r="F675" i="38"/>
  <c r="I668" i="38"/>
  <c r="D670" i="38"/>
  <c r="B673" i="38"/>
  <c r="G673" i="38"/>
  <c r="J674" i="38"/>
  <c r="J670" i="38"/>
  <c r="E673" i="38"/>
  <c r="C668" i="38"/>
  <c r="B669" i="38"/>
  <c r="K672" i="38"/>
  <c r="E668" i="38"/>
  <c r="J672" i="38"/>
  <c r="F669" i="38"/>
  <c r="J673" i="38"/>
  <c r="C673" i="38"/>
  <c r="F674" i="38"/>
  <c r="B668" i="38"/>
  <c r="H668" i="38"/>
  <c r="I672" i="38"/>
  <c r="E671" i="38"/>
  <c r="G675" i="38"/>
  <c r="B670" i="38"/>
  <c r="K671" i="38"/>
  <c r="D668" i="38"/>
  <c r="J671" i="38"/>
  <c r="E670" i="38"/>
  <c r="D671" i="38"/>
  <c r="B671" i="38"/>
  <c r="H675" i="38"/>
  <c r="F668" i="38"/>
  <c r="K669" i="38"/>
  <c r="E675" i="38"/>
  <c r="I669" i="38"/>
  <c r="I675" i="38"/>
  <c r="D675" i="38"/>
  <c r="H673" i="38"/>
  <c r="D672" i="38"/>
  <c r="H670" i="38"/>
  <c r="G674" i="38"/>
  <c r="H671" i="38"/>
  <c r="G670" i="38"/>
  <c r="K674" i="38"/>
  <c r="I140" i="30"/>
  <c r="K143" i="30"/>
  <c r="J146" i="30"/>
  <c r="C142" i="30"/>
  <c r="C160" i="30" s="1"/>
  <c r="L145" i="30"/>
  <c r="F141" i="30"/>
  <c r="I146" i="30"/>
  <c r="F143" i="30"/>
  <c r="H144" i="30"/>
  <c r="L146" i="30"/>
  <c r="G140" i="30"/>
  <c r="C141" i="30"/>
  <c r="C159" i="30" s="1"/>
  <c r="H145" i="30"/>
  <c r="F144" i="30"/>
  <c r="E141" i="30"/>
  <c r="H139" i="30"/>
  <c r="J139" i="30"/>
  <c r="E143" i="30"/>
  <c r="F140" i="30"/>
  <c r="J145" i="30"/>
  <c r="C145" i="30"/>
  <c r="C163" i="30" s="1"/>
  <c r="J144" i="30"/>
  <c r="E140" i="30"/>
  <c r="K146" i="30"/>
  <c r="E144" i="30"/>
  <c r="G144" i="30"/>
  <c r="K141" i="30"/>
  <c r="E145" i="30"/>
  <c r="E142" i="30"/>
  <c r="I145" i="30"/>
  <c r="I144" i="30"/>
  <c r="G146" i="30"/>
  <c r="G145" i="30"/>
  <c r="H142" i="30"/>
  <c r="D141" i="30"/>
  <c r="D159" i="30" s="1"/>
  <c r="K139" i="30"/>
  <c r="C139" i="30"/>
  <c r="C157" i="30" s="1"/>
  <c r="L141" i="30"/>
  <c r="K144" i="30"/>
  <c r="L144" i="30"/>
  <c r="J143" i="30"/>
  <c r="J141" i="30"/>
  <c r="I142" i="30"/>
  <c r="F142" i="30"/>
  <c r="K145" i="30"/>
  <c r="H146" i="30"/>
  <c r="D142" i="30"/>
  <c r="D160" i="30" s="1"/>
  <c r="D146" i="30"/>
  <c r="D164" i="30" s="1"/>
  <c r="F139" i="30"/>
  <c r="K140" i="30"/>
  <c r="E146" i="30"/>
  <c r="C144" i="30"/>
  <c r="C162" i="30" s="1"/>
  <c r="I139" i="30"/>
  <c r="C143" i="30"/>
  <c r="C161" i="30" s="1"/>
  <c r="G141" i="30"/>
  <c r="L143" i="30"/>
  <c r="C140" i="30"/>
  <c r="C158" i="30" s="1"/>
  <c r="G143" i="30"/>
  <c r="L139" i="30"/>
  <c r="H143" i="30"/>
  <c r="D140" i="30"/>
  <c r="D158" i="30" s="1"/>
  <c r="H141" i="30"/>
  <c r="I143" i="30"/>
  <c r="J142" i="30"/>
  <c r="I141" i="30"/>
  <c r="D143" i="30"/>
  <c r="D161" i="30" s="1"/>
  <c r="K142" i="30"/>
  <c r="D139" i="30"/>
  <c r="D157" i="30" s="1"/>
  <c r="G139" i="30"/>
  <c r="G142" i="30"/>
  <c r="C146" i="30"/>
  <c r="C164" i="30" s="1"/>
  <c r="D145" i="30"/>
  <c r="D163" i="30" s="1"/>
  <c r="D144" i="30"/>
  <c r="D162" i="30" s="1"/>
  <c r="F145" i="30"/>
  <c r="L142" i="30"/>
  <c r="J140" i="30"/>
  <c r="L140" i="30"/>
  <c r="H140" i="30"/>
  <c r="F146" i="30"/>
  <c r="E139" i="30"/>
  <c r="E169" i="40"/>
  <c r="E202" i="4"/>
  <c r="E172" i="4"/>
  <c r="D83" i="57"/>
  <c r="D100" i="57"/>
  <c r="D70" i="57"/>
  <c r="D99" i="57"/>
  <c r="D102" i="57"/>
  <c r="D71" i="57"/>
  <c r="D96" i="57"/>
  <c r="D103" i="57"/>
  <c r="D98" i="57"/>
  <c r="D97" i="57"/>
  <c r="E162" i="57"/>
  <c r="E164" i="57"/>
  <c r="E168" i="57"/>
  <c r="E165" i="57"/>
  <c r="E163" i="57"/>
  <c r="E161" i="57"/>
  <c r="E167" i="57"/>
  <c r="C139" i="6" l="1" a="1"/>
  <c r="J674" i="39"/>
  <c r="E668" i="39"/>
  <c r="E674" i="39"/>
  <c r="G672" i="39"/>
  <c r="J675" i="39"/>
  <c r="I673" i="39"/>
  <c r="F670" i="39"/>
  <c r="C675" i="39"/>
  <c r="K669" i="39"/>
  <c r="H669" i="39"/>
  <c r="J671" i="39"/>
  <c r="B670" i="39"/>
  <c r="J668" i="39"/>
  <c r="I668" i="39"/>
  <c r="G671" i="39"/>
  <c r="D672" i="39"/>
  <c r="J673" i="39"/>
  <c r="K675" i="39"/>
  <c r="D670" i="39"/>
  <c r="J670" i="39"/>
  <c r="H670" i="39"/>
  <c r="K672" i="39"/>
  <c r="E670" i="39"/>
  <c r="C672" i="39"/>
  <c r="G675" i="39"/>
  <c r="F669" i="39"/>
  <c r="I669" i="39"/>
  <c r="D78" i="57"/>
  <c r="F179" i="29"/>
  <c r="F107" i="29"/>
  <c r="F108" i="29" s="1"/>
  <c r="F181" i="29"/>
  <c r="F189" i="29"/>
  <c r="F191" i="29" s="1"/>
  <c r="E124" i="30"/>
  <c r="E125" i="30" s="1"/>
  <c r="E127" i="30" s="1"/>
  <c r="F180" i="29"/>
  <c r="F177" i="29"/>
  <c r="F184" i="29"/>
  <c r="F121" i="29"/>
  <c r="F122" i="29" s="1"/>
  <c r="F55" i="29"/>
  <c r="F199" i="29"/>
  <c r="F182" i="29"/>
  <c r="F178" i="29"/>
  <c r="F94" i="29"/>
  <c r="F183" i="29"/>
  <c r="F38" i="29"/>
  <c r="F175" i="29"/>
  <c r="F174" i="29"/>
  <c r="F200" i="29" s="1"/>
  <c r="F89" i="29"/>
  <c r="H673" i="39"/>
  <c r="C669" i="39"/>
  <c r="E671" i="39"/>
  <c r="K668" i="39"/>
  <c r="F674" i="39"/>
  <c r="I674" i="39"/>
  <c r="D668" i="39"/>
  <c r="C172" i="30"/>
  <c r="C181" i="30" s="1"/>
  <c r="C190" i="30" s="1"/>
  <c r="D170" i="30"/>
  <c r="D179" i="30" s="1"/>
  <c r="D188" i="30" s="1"/>
  <c r="D166" i="30"/>
  <c r="D175" i="30" s="1"/>
  <c r="D184" i="30" s="1"/>
  <c r="D169" i="30"/>
  <c r="D178" i="30" s="1"/>
  <c r="D187" i="30" s="1"/>
  <c r="D173" i="30"/>
  <c r="D182" i="30" s="1"/>
  <c r="D191" i="30" s="1"/>
  <c r="D172" i="30"/>
  <c r="D181" i="30" s="1"/>
  <c r="D190" i="30" s="1"/>
  <c r="D171" i="30"/>
  <c r="D180" i="30" s="1"/>
  <c r="D189" i="30" s="1"/>
  <c r="C171" i="30"/>
  <c r="C180" i="30" s="1"/>
  <c r="C189" i="30" s="1"/>
  <c r="C170" i="30"/>
  <c r="C179" i="30" s="1"/>
  <c r="C188" i="30" s="1"/>
  <c r="C167" i="30"/>
  <c r="C176" i="30" s="1"/>
  <c r="C185" i="30" s="1"/>
  <c r="D167" i="30"/>
  <c r="D176" i="30" s="1"/>
  <c r="D185" i="30" s="1"/>
  <c r="C166" i="30"/>
  <c r="C175" i="30" s="1"/>
  <c r="C184" i="30" s="1"/>
  <c r="C173" i="30"/>
  <c r="C182" i="30" s="1"/>
  <c r="C191" i="30" s="1"/>
  <c r="C169" i="30"/>
  <c r="C178" i="30" s="1"/>
  <c r="C187" i="30" s="1"/>
  <c r="C168" i="30"/>
  <c r="C177" i="30" s="1"/>
  <c r="C186" i="30" s="1"/>
  <c r="D168" i="30"/>
  <c r="D177" i="30" s="1"/>
  <c r="D186" i="30" s="1"/>
  <c r="K673" i="39"/>
  <c r="J672" i="39"/>
  <c r="G144" i="6"/>
  <c r="G144" i="34" s="1"/>
  <c r="I141" i="6"/>
  <c r="I141" i="34" s="1"/>
  <c r="L140" i="6"/>
  <c r="L140" i="34" s="1"/>
  <c r="F141" i="6"/>
  <c r="F141" i="34" s="1"/>
  <c r="F139" i="6"/>
  <c r="F139" i="34" s="1"/>
  <c r="J142" i="6"/>
  <c r="J142" i="34" s="1"/>
  <c r="J141" i="6"/>
  <c r="J141" i="34" s="1"/>
  <c r="F144" i="6"/>
  <c r="F144" i="34" s="1"/>
  <c r="E142" i="6"/>
  <c r="E142" i="34" s="1"/>
  <c r="L146" i="6"/>
  <c r="L146" i="34" s="1"/>
  <c r="L144" i="6"/>
  <c r="L144" i="34" s="1"/>
  <c r="I146" i="6"/>
  <c r="I146" i="34" s="1"/>
  <c r="D140" i="6"/>
  <c r="D140" i="34" s="1"/>
  <c r="D146" i="6"/>
  <c r="D146" i="34" s="1"/>
  <c r="K141" i="6"/>
  <c r="K141" i="34" s="1"/>
  <c r="I140" i="6"/>
  <c r="I140" i="34" s="1"/>
  <c r="H139" i="6"/>
  <c r="H139" i="34" s="1"/>
  <c r="K146" i="6"/>
  <c r="K146" i="34" s="1"/>
  <c r="G142" i="6"/>
  <c r="G142" i="34" s="1"/>
  <c r="J139" i="6"/>
  <c r="J139" i="34" s="1"/>
  <c r="K143" i="6"/>
  <c r="K143" i="34" s="1"/>
  <c r="G145" i="6"/>
  <c r="G145" i="34" s="1"/>
  <c r="E141" i="6"/>
  <c r="E141" i="34" s="1"/>
  <c r="K145" i="6"/>
  <c r="K145" i="34" s="1"/>
  <c r="I143" i="6"/>
  <c r="I143" i="34" s="1"/>
  <c r="E143" i="6"/>
  <c r="E143" i="34" s="1"/>
  <c r="C140" i="6"/>
  <c r="I144" i="6"/>
  <c r="I144" i="34" s="1"/>
  <c r="F140" i="6"/>
  <c r="F140" i="34" s="1"/>
  <c r="E145" i="6"/>
  <c r="E145" i="34" s="1"/>
  <c r="J143" i="6"/>
  <c r="J143" i="34" s="1"/>
  <c r="G143" i="6"/>
  <c r="G143" i="34" s="1"/>
  <c r="H146" i="6"/>
  <c r="H146" i="34" s="1"/>
  <c r="K144" i="6"/>
  <c r="K144" i="34" s="1"/>
  <c r="H141" i="6"/>
  <c r="H141" i="34" s="1"/>
  <c r="L139" i="6"/>
  <c r="L139" i="34" s="1"/>
  <c r="E139" i="6"/>
  <c r="E139" i="34" s="1"/>
  <c r="C146" i="6"/>
  <c r="H140" i="6"/>
  <c r="H140" i="34" s="1"/>
  <c r="L142" i="6"/>
  <c r="L142" i="34" s="1"/>
  <c r="D141" i="6"/>
  <c r="D141" i="34" s="1"/>
  <c r="J146" i="6"/>
  <c r="J146" i="34" s="1"/>
  <c r="D139" i="6"/>
  <c r="D139" i="34" s="1"/>
  <c r="G140" i="6"/>
  <c r="G140" i="34" s="1"/>
  <c r="D145" i="6"/>
  <c r="D145" i="34" s="1"/>
  <c r="F146" i="6"/>
  <c r="F146" i="34" s="1"/>
  <c r="H144" i="6"/>
  <c r="H144" i="34" s="1"/>
  <c r="L143" i="6"/>
  <c r="L143" i="34" s="1"/>
  <c r="K140" i="6"/>
  <c r="K140" i="34" s="1"/>
  <c r="I145" i="6"/>
  <c r="I145" i="34" s="1"/>
  <c r="E144" i="6"/>
  <c r="E144" i="34" s="1"/>
  <c r="I139" i="6"/>
  <c r="I139" i="34" s="1"/>
  <c r="F145" i="6"/>
  <c r="F145" i="34" s="1"/>
  <c r="C141" i="6"/>
  <c r="D142" i="6"/>
  <c r="D142" i="34" s="1"/>
  <c r="G141" i="6"/>
  <c r="G141" i="34" s="1"/>
  <c r="D144" i="6"/>
  <c r="D144" i="34" s="1"/>
  <c r="K142" i="6"/>
  <c r="K142" i="34" s="1"/>
  <c r="G139" i="6"/>
  <c r="G139" i="34" s="1"/>
  <c r="D143" i="6"/>
  <c r="D143" i="34" s="1"/>
  <c r="H142" i="6"/>
  <c r="H142" i="34" s="1"/>
  <c r="H145" i="6"/>
  <c r="H145" i="34" s="1"/>
  <c r="H143" i="6"/>
  <c r="H143" i="34" s="1"/>
  <c r="L145" i="6"/>
  <c r="L145" i="34" s="1"/>
  <c r="J145" i="6"/>
  <c r="J145" i="34" s="1"/>
  <c r="J140" i="6"/>
  <c r="J140" i="34" s="1"/>
  <c r="J144" i="6"/>
  <c r="J144" i="34" s="1"/>
  <c r="E146" i="6"/>
  <c r="E146" i="34" s="1"/>
  <c r="C145" i="6"/>
  <c r="L141" i="6"/>
  <c r="L141" i="34" s="1"/>
  <c r="C142" i="6"/>
  <c r="E140" i="6"/>
  <c r="E140" i="34" s="1"/>
  <c r="C143" i="6"/>
  <c r="I142" i="6"/>
  <c r="I142" i="34" s="1"/>
  <c r="F143" i="6"/>
  <c r="F143" i="34" s="1"/>
  <c r="G146" i="6"/>
  <c r="G146" i="34" s="1"/>
  <c r="K139" i="6"/>
  <c r="K139" i="34" s="1"/>
  <c r="C139" i="6"/>
  <c r="F142" i="6"/>
  <c r="F142" i="34" s="1"/>
  <c r="C144" i="6"/>
  <c r="F675" i="39"/>
  <c r="D669" i="39"/>
  <c r="F673" i="39"/>
  <c r="C674" i="39"/>
  <c r="D674" i="39"/>
  <c r="I671" i="39"/>
  <c r="H668" i="39"/>
  <c r="J669" i="39"/>
  <c r="E675" i="39"/>
  <c r="K671" i="39"/>
  <c r="E669" i="39"/>
  <c r="P172" i="4"/>
  <c r="E199" i="4"/>
  <c r="E182" i="4"/>
  <c r="E189" i="4"/>
  <c r="E172" i="40"/>
  <c r="E180" i="4"/>
  <c r="E181" i="4"/>
  <c r="E55" i="4"/>
  <c r="E177" i="4"/>
  <c r="E201" i="4"/>
  <c r="E184" i="4"/>
  <c r="E183" i="4"/>
  <c r="E38" i="4"/>
  <c r="D124" i="6"/>
  <c r="E94" i="4"/>
  <c r="E179" i="4"/>
  <c r="E107" i="4"/>
  <c r="E178" i="4"/>
  <c r="E121" i="4"/>
  <c r="E175" i="4"/>
  <c r="E175" i="40" s="1"/>
  <c r="E89" i="4"/>
  <c r="E89" i="40" s="1"/>
  <c r="E174" i="4"/>
  <c r="G669" i="39"/>
  <c r="F671" i="39"/>
  <c r="B673" i="39"/>
  <c r="E673" i="39"/>
  <c r="D671" i="39"/>
  <c r="H674" i="39"/>
  <c r="B677" i="8" a="1"/>
  <c r="B668" i="39"/>
  <c r="F167" i="29"/>
  <c r="F168" i="29"/>
  <c r="G668" i="39"/>
  <c r="K670" i="39"/>
  <c r="H672" i="39"/>
  <c r="H671" i="39"/>
  <c r="B672" i="39"/>
  <c r="C673" i="39"/>
  <c r="B677" i="38" a="1"/>
  <c r="B675" i="39"/>
  <c r="C668" i="39"/>
  <c r="G674" i="39"/>
  <c r="F672" i="39"/>
  <c r="G670" i="39"/>
  <c r="E672" i="39"/>
  <c r="K674" i="39"/>
  <c r="I672" i="39"/>
  <c r="B669" i="39"/>
  <c r="G673" i="39"/>
  <c r="F668" i="39"/>
  <c r="I670" i="39"/>
  <c r="D675" i="39"/>
  <c r="B674" i="39"/>
  <c r="H675" i="39"/>
  <c r="C670" i="39"/>
  <c r="B671" i="39"/>
  <c r="D673" i="39"/>
  <c r="C671" i="39"/>
  <c r="I675" i="39"/>
  <c r="D182" i="57"/>
  <c r="D176" i="57"/>
  <c r="D177" i="57"/>
  <c r="D175" i="57"/>
  <c r="D178" i="57"/>
  <c r="D181" i="57"/>
  <c r="D179" i="57"/>
  <c r="D80" i="57"/>
  <c r="D106" i="57"/>
  <c r="D109" i="57"/>
  <c r="D108" i="57"/>
  <c r="D110" i="57"/>
  <c r="D107" i="57"/>
  <c r="D135" i="57"/>
  <c r="D133" i="57"/>
  <c r="D82" i="57"/>
  <c r="D136" i="57"/>
  <c r="D137" i="57"/>
  <c r="D134" i="57"/>
  <c r="D79" i="57"/>
  <c r="E200" i="4" l="1"/>
  <c r="E174" i="40"/>
  <c r="E121" i="40"/>
  <c r="E122" i="4"/>
  <c r="E94" i="40"/>
  <c r="E96" i="4"/>
  <c r="D104" i="6"/>
  <c r="E184" i="40"/>
  <c r="D122" i="6"/>
  <c r="D113" i="6"/>
  <c r="D113" i="34" s="1"/>
  <c r="E55" i="40"/>
  <c r="E57" i="4"/>
  <c r="E56" i="4"/>
  <c r="E58" i="4"/>
  <c r="E58" i="40" s="1"/>
  <c r="E189" i="40"/>
  <c r="E191" i="4"/>
  <c r="C142" i="34"/>
  <c r="C160" i="6"/>
  <c r="C160" i="34" s="1"/>
  <c r="C140" i="34"/>
  <c r="C158" i="6"/>
  <c r="C158" i="34" s="1"/>
  <c r="C194" i="30"/>
  <c r="C239" i="30" s="1"/>
  <c r="C198" i="30"/>
  <c r="C243" i="30" s="1"/>
  <c r="D200" i="30"/>
  <c r="D245" i="30" s="1"/>
  <c r="C199" i="30"/>
  <c r="C244" i="30" s="1"/>
  <c r="F48" i="29"/>
  <c r="F47" i="29"/>
  <c r="F50" i="29" s="1"/>
  <c r="F39" i="29"/>
  <c r="F42" i="29" s="1"/>
  <c r="F40" i="29"/>
  <c r="F41" i="29"/>
  <c r="F49" i="29"/>
  <c r="E102" i="30"/>
  <c r="E207" i="30" s="1"/>
  <c r="E216" i="30" s="1"/>
  <c r="E234" i="30" s="1"/>
  <c r="E111" i="30"/>
  <c r="E120" i="30"/>
  <c r="E297" i="30" s="1"/>
  <c r="E104" i="30"/>
  <c r="E209" i="30" s="1"/>
  <c r="E218" i="30" s="1"/>
  <c r="E236" i="30" s="1"/>
  <c r="E122" i="30"/>
  <c r="E299" i="30" s="1"/>
  <c r="E113" i="30"/>
  <c r="E99" i="30"/>
  <c r="E204" i="30" s="1"/>
  <c r="E213" i="30" s="1"/>
  <c r="E231" i="30" s="1"/>
  <c r="E108" i="30"/>
  <c r="E117" i="30"/>
  <c r="E294" i="30" s="1"/>
  <c r="J678" i="8"/>
  <c r="E681" i="8"/>
  <c r="E682" i="8"/>
  <c r="K679" i="8"/>
  <c r="G679" i="8"/>
  <c r="C677" i="8"/>
  <c r="D678" i="8"/>
  <c r="E678" i="8"/>
  <c r="G682" i="8"/>
  <c r="H681" i="8"/>
  <c r="F678" i="8"/>
  <c r="I677" i="8"/>
  <c r="F684" i="8"/>
  <c r="D682" i="8"/>
  <c r="B684" i="8"/>
  <c r="K684" i="8"/>
  <c r="H678" i="8"/>
  <c r="E677" i="8"/>
  <c r="H683" i="8"/>
  <c r="I679" i="8"/>
  <c r="B681" i="8"/>
  <c r="F677" i="8"/>
  <c r="F679" i="8"/>
  <c r="I684" i="8"/>
  <c r="B680" i="8"/>
  <c r="D683" i="8"/>
  <c r="K683" i="8"/>
  <c r="J681" i="8"/>
  <c r="C682" i="8"/>
  <c r="F680" i="8"/>
  <c r="C681" i="8"/>
  <c r="K681" i="8"/>
  <c r="E680" i="8"/>
  <c r="H680" i="8"/>
  <c r="I680" i="8"/>
  <c r="I682" i="8"/>
  <c r="I681" i="8"/>
  <c r="H684" i="8"/>
  <c r="G678" i="8"/>
  <c r="J679" i="8"/>
  <c r="D680" i="8"/>
  <c r="J677" i="8"/>
  <c r="C680" i="8"/>
  <c r="K682" i="8"/>
  <c r="J682" i="8"/>
  <c r="H679" i="8"/>
  <c r="B679" i="8"/>
  <c r="D681" i="8"/>
  <c r="G684" i="8"/>
  <c r="F681" i="8"/>
  <c r="E684" i="8"/>
  <c r="D679" i="8"/>
  <c r="B677" i="8"/>
  <c r="E683" i="8"/>
  <c r="I683" i="8"/>
  <c r="K677" i="8"/>
  <c r="D684" i="8"/>
  <c r="B682" i="8"/>
  <c r="B683" i="8"/>
  <c r="G677" i="8"/>
  <c r="C684" i="8"/>
  <c r="C683" i="8"/>
  <c r="F683" i="8"/>
  <c r="H682" i="8"/>
  <c r="J683" i="8"/>
  <c r="J684" i="8"/>
  <c r="B678" i="8"/>
  <c r="K680" i="8"/>
  <c r="I678" i="8"/>
  <c r="F682" i="8"/>
  <c r="J680" i="8"/>
  <c r="D677" i="8"/>
  <c r="K678" i="8"/>
  <c r="G683" i="8"/>
  <c r="E679" i="8"/>
  <c r="C678" i="8"/>
  <c r="H677" i="8"/>
  <c r="G681" i="8"/>
  <c r="G680" i="8"/>
  <c r="C679" i="8"/>
  <c r="E178" i="40"/>
  <c r="D98" i="6"/>
  <c r="D116" i="6"/>
  <c r="D107" i="6"/>
  <c r="D107" i="34" s="1"/>
  <c r="D125" i="6"/>
  <c r="D124" i="34"/>
  <c r="E181" i="40"/>
  <c r="D101" i="6"/>
  <c r="D110" i="6"/>
  <c r="D110" i="34" s="1"/>
  <c r="D119" i="6"/>
  <c r="E182" i="40"/>
  <c r="D102" i="6"/>
  <c r="D111" i="6"/>
  <c r="D111" i="34" s="1"/>
  <c r="D120" i="6"/>
  <c r="C139" i="34"/>
  <c r="C157" i="6"/>
  <c r="C141" i="34"/>
  <c r="C159" i="6"/>
  <c r="C159" i="34" s="1"/>
  <c r="C146" i="34"/>
  <c r="C164" i="6"/>
  <c r="C164" i="34" s="1"/>
  <c r="D195" i="30"/>
  <c r="D240" i="30" s="1"/>
  <c r="C196" i="30"/>
  <c r="C241" i="30" s="1"/>
  <c r="C197" i="30"/>
  <c r="C242" i="30" s="1"/>
  <c r="D198" i="30"/>
  <c r="D243" i="30" s="1"/>
  <c r="D196" i="30"/>
  <c r="D241" i="30" s="1"/>
  <c r="E103" i="30"/>
  <c r="E208" i="30" s="1"/>
  <c r="E217" i="30" s="1"/>
  <c r="E235" i="30" s="1"/>
  <c r="E121" i="30"/>
  <c r="E298" i="30" s="1"/>
  <c r="E112" i="30"/>
  <c r="F185" i="29" a="1"/>
  <c r="F185" i="29" s="1"/>
  <c r="F187" i="29" s="1"/>
  <c r="E97" i="30"/>
  <c r="E202" i="30" s="1"/>
  <c r="E211" i="30" s="1"/>
  <c r="E229" i="30" s="1"/>
  <c r="E106" i="30"/>
  <c r="E115" i="30"/>
  <c r="E292" i="30" s="1"/>
  <c r="E95" i="30"/>
  <c r="E155" i="30" s="1"/>
  <c r="E164" i="30" s="1"/>
  <c r="E173" i="30" s="1"/>
  <c r="E182" i="30" s="1"/>
  <c r="E191" i="30" s="1"/>
  <c r="E94" i="30"/>
  <c r="E154" i="30" s="1"/>
  <c r="E163" i="30" s="1"/>
  <c r="E172" i="30" s="1"/>
  <c r="E181" i="30" s="1"/>
  <c r="E190" i="30" s="1"/>
  <c r="E90" i="30"/>
  <c r="E150" i="30" s="1"/>
  <c r="E159" i="30" s="1"/>
  <c r="E168" i="30" s="1"/>
  <c r="E177" i="30" s="1"/>
  <c r="E186" i="30" s="1"/>
  <c r="E93" i="30"/>
  <c r="E153" i="30" s="1"/>
  <c r="E162" i="30" s="1"/>
  <c r="E171" i="30" s="1"/>
  <c r="E180" i="30" s="1"/>
  <c r="E189" i="30" s="1"/>
  <c r="E91" i="30"/>
  <c r="E151" i="30" s="1"/>
  <c r="E160" i="30" s="1"/>
  <c r="E169" i="30" s="1"/>
  <c r="E178" i="30" s="1"/>
  <c r="E187" i="30" s="1"/>
  <c r="E88" i="30"/>
  <c r="E148" i="30" s="1"/>
  <c r="E157" i="30" s="1"/>
  <c r="E166" i="30" s="1"/>
  <c r="E175" i="30" s="1"/>
  <c r="E184" i="30" s="1"/>
  <c r="E89" i="30"/>
  <c r="E149" i="30" s="1"/>
  <c r="E158" i="30" s="1"/>
  <c r="E167" i="30" s="1"/>
  <c r="E176" i="30" s="1"/>
  <c r="E185" i="30" s="1"/>
  <c r="E92" i="30"/>
  <c r="E152" i="30" s="1"/>
  <c r="E161" i="30" s="1"/>
  <c r="E170" i="30" s="1"/>
  <c r="E179" i="30" s="1"/>
  <c r="E188" i="30" s="1"/>
  <c r="B683" i="38"/>
  <c r="I680" i="38"/>
  <c r="B682" i="38"/>
  <c r="I679" i="38"/>
  <c r="I684" i="38"/>
  <c r="K684" i="38"/>
  <c r="B680" i="38"/>
  <c r="C677" i="38"/>
  <c r="E684" i="38"/>
  <c r="H678" i="38"/>
  <c r="E678" i="38"/>
  <c r="F682" i="38"/>
  <c r="J683" i="38"/>
  <c r="J678" i="38"/>
  <c r="E677" i="38"/>
  <c r="F683" i="38"/>
  <c r="K682" i="38"/>
  <c r="D683" i="38"/>
  <c r="G680" i="38"/>
  <c r="C684" i="38"/>
  <c r="D677" i="38"/>
  <c r="H677" i="38"/>
  <c r="K679" i="38"/>
  <c r="J679" i="38"/>
  <c r="C681" i="38"/>
  <c r="C682" i="38"/>
  <c r="I678" i="38"/>
  <c r="B677" i="38"/>
  <c r="K680" i="38"/>
  <c r="G683" i="38"/>
  <c r="E680" i="38"/>
  <c r="K683" i="38"/>
  <c r="J684" i="38"/>
  <c r="D679" i="38"/>
  <c r="E679" i="38"/>
  <c r="C678" i="38"/>
  <c r="H680" i="38"/>
  <c r="C683" i="38"/>
  <c r="F678" i="38"/>
  <c r="I682" i="38"/>
  <c r="J682" i="38"/>
  <c r="G679" i="38"/>
  <c r="H681" i="38"/>
  <c r="B679" i="38"/>
  <c r="F684" i="38"/>
  <c r="C680" i="38"/>
  <c r="I677" i="38"/>
  <c r="F681" i="38"/>
  <c r="F680" i="38"/>
  <c r="E681" i="38"/>
  <c r="I681" i="38"/>
  <c r="F677" i="38"/>
  <c r="D678" i="38"/>
  <c r="H683" i="38"/>
  <c r="D680" i="38"/>
  <c r="E682" i="38"/>
  <c r="J677" i="38"/>
  <c r="F679" i="38"/>
  <c r="G677" i="38"/>
  <c r="D682" i="38"/>
  <c r="B678" i="38"/>
  <c r="B681" i="38"/>
  <c r="D684" i="38"/>
  <c r="G684" i="38"/>
  <c r="G682" i="38"/>
  <c r="K681" i="38"/>
  <c r="G681" i="38"/>
  <c r="K677" i="38"/>
  <c r="E683" i="38"/>
  <c r="D681" i="38"/>
  <c r="C679" i="38"/>
  <c r="I683" i="38"/>
  <c r="B684" i="38"/>
  <c r="J681" i="38"/>
  <c r="K678" i="38"/>
  <c r="H682" i="38"/>
  <c r="J680" i="38"/>
  <c r="H679" i="38"/>
  <c r="G678" i="38"/>
  <c r="H684" i="38"/>
  <c r="C200" i="30"/>
  <c r="C245" i="30" s="1"/>
  <c r="C193" i="30"/>
  <c r="C238" i="30" s="1"/>
  <c r="D193" i="30"/>
  <c r="D238" i="30" s="1"/>
  <c r="F96" i="29"/>
  <c r="F56" i="29"/>
  <c r="F59" i="29" s="1"/>
  <c r="F57" i="29"/>
  <c r="F58" i="29"/>
  <c r="E100" i="30"/>
  <c r="E205" i="30" s="1"/>
  <c r="E214" i="30" s="1"/>
  <c r="E232" i="30" s="1"/>
  <c r="E118" i="30"/>
  <c r="E295" i="30" s="1"/>
  <c r="E109" i="30"/>
  <c r="E101" i="30"/>
  <c r="E206" i="30" s="1"/>
  <c r="E215" i="30" s="1"/>
  <c r="E233" i="30" s="1"/>
  <c r="E110" i="30"/>
  <c r="E119" i="30"/>
  <c r="E296" i="30" s="1"/>
  <c r="C195" i="30"/>
  <c r="C240" i="30" s="1"/>
  <c r="E108" i="4"/>
  <c r="E107" i="40"/>
  <c r="E48" i="4"/>
  <c r="E48" i="40" s="1"/>
  <c r="E38" i="40"/>
  <c r="E47" i="4"/>
  <c r="E41" i="4"/>
  <c r="E41" i="40" s="1"/>
  <c r="E40" i="4"/>
  <c r="E39" i="4"/>
  <c r="E49" i="4"/>
  <c r="E49" i="40" s="1"/>
  <c r="D100" i="6"/>
  <c r="E180" i="40"/>
  <c r="D118" i="6"/>
  <c r="D109" i="6"/>
  <c r="D109" i="34" s="1"/>
  <c r="C143" i="34"/>
  <c r="C161" i="6"/>
  <c r="C161" i="34" s="1"/>
  <c r="C145" i="34"/>
  <c r="C163" i="6"/>
  <c r="C163" i="34" s="1"/>
  <c r="F169" i="29"/>
  <c r="F170" i="29"/>
  <c r="D99" i="6"/>
  <c r="E179" i="40"/>
  <c r="D117" i="6"/>
  <c r="D108" i="6"/>
  <c r="D108" i="34" s="1"/>
  <c r="E183" i="40"/>
  <c r="D103" i="6"/>
  <c r="D121" i="6"/>
  <c r="D112" i="6"/>
  <c r="D112" i="34" s="1"/>
  <c r="E185" i="4" a="1"/>
  <c r="E185" i="4" s="1"/>
  <c r="D97" i="6"/>
  <c r="E177" i="40"/>
  <c r="D115" i="6"/>
  <c r="D106" i="6"/>
  <c r="D106" i="34" s="1"/>
  <c r="E195" i="40"/>
  <c r="C144" i="34"/>
  <c r="C162" i="6"/>
  <c r="C162" i="34" s="1"/>
  <c r="D194" i="30"/>
  <c r="D239" i="30" s="1"/>
  <c r="D199" i="30"/>
  <c r="D244" i="30" s="1"/>
  <c r="D197" i="30"/>
  <c r="D242" i="30" s="1"/>
  <c r="E98" i="30"/>
  <c r="E203" i="30" s="1"/>
  <c r="E212" i="30" s="1"/>
  <c r="E230" i="30" s="1"/>
  <c r="E116" i="30"/>
  <c r="E293" i="30" s="1"/>
  <c r="E107" i="30"/>
  <c r="F123" i="29"/>
  <c r="F126" i="29" s="1"/>
  <c r="F127" i="29" s="1"/>
  <c r="F109" i="29"/>
  <c r="F112" i="29" s="1"/>
  <c r="F113" i="29" s="1"/>
  <c r="D143" i="57"/>
  <c r="D144" i="57"/>
  <c r="D140" i="57"/>
  <c r="D146" i="57"/>
  <c r="D147" i="57"/>
  <c r="D142" i="57"/>
  <c r="D141" i="57"/>
  <c r="D73" i="57"/>
  <c r="D187" i="57"/>
  <c r="D186" i="57"/>
  <c r="D192" i="57"/>
  <c r="D191" i="57"/>
  <c r="D185" i="57"/>
  <c r="D189" i="57"/>
  <c r="D188" i="57"/>
  <c r="D292" i="6" l="1"/>
  <c r="D115" i="34"/>
  <c r="E40" i="40"/>
  <c r="H685" i="38"/>
  <c r="E193" i="30"/>
  <c r="E238" i="30" s="1"/>
  <c r="E247" i="30" s="1"/>
  <c r="E256" i="30" s="1"/>
  <c r="E265" i="30" s="1"/>
  <c r="E274" i="30" s="1"/>
  <c r="E283" i="30" s="1"/>
  <c r="E301" i="30" s="1"/>
  <c r="E199" i="30"/>
  <c r="C169" i="6"/>
  <c r="C172" i="6"/>
  <c r="C170" i="6"/>
  <c r="C157" i="34"/>
  <c r="C166" i="6"/>
  <c r="C167" i="6"/>
  <c r="C173" i="6"/>
  <c r="C171" i="6"/>
  <c r="C168" i="6"/>
  <c r="D102" i="34"/>
  <c r="D207" i="6"/>
  <c r="D101" i="34"/>
  <c r="D206" i="6"/>
  <c r="C679" i="39"/>
  <c r="C678" i="39"/>
  <c r="D685" i="8"/>
  <c r="D677" i="39"/>
  <c r="K680" i="39"/>
  <c r="H682" i="39"/>
  <c r="G685" i="8"/>
  <c r="G677" i="39"/>
  <c r="K685" i="8"/>
  <c r="K677" i="39"/>
  <c r="D679" i="39"/>
  <c r="D681" i="39"/>
  <c r="K682" i="39"/>
  <c r="J679" i="39"/>
  <c r="I682" i="39"/>
  <c r="K681" i="39"/>
  <c r="J681" i="39"/>
  <c r="I684" i="39"/>
  <c r="I679" i="39"/>
  <c r="K684" i="39"/>
  <c r="I685" i="8"/>
  <c r="I677" i="39"/>
  <c r="E678" i="39"/>
  <c r="K679" i="39"/>
  <c r="F43" i="29"/>
  <c r="F44" i="29" s="1"/>
  <c r="D104" i="34"/>
  <c r="D209" i="6"/>
  <c r="E122" i="40"/>
  <c r="E123" i="4"/>
  <c r="D121" i="34"/>
  <c r="D298" i="6"/>
  <c r="D205" i="6"/>
  <c r="D100" i="34"/>
  <c r="F60" i="29"/>
  <c r="J685" i="38"/>
  <c r="D685" i="38"/>
  <c r="E196" i="30"/>
  <c r="E241" i="30" s="1"/>
  <c r="E250" i="30" s="1"/>
  <c r="E259" i="30" s="1"/>
  <c r="E268" i="30" s="1"/>
  <c r="E277" i="30" s="1"/>
  <c r="E286" i="30" s="1"/>
  <c r="E304" i="30" s="1"/>
  <c r="E200" i="30"/>
  <c r="E245" i="30" s="1"/>
  <c r="E254" i="30" s="1"/>
  <c r="E263" i="30" s="1"/>
  <c r="E272" i="30" s="1"/>
  <c r="E281" i="30" s="1"/>
  <c r="E290" i="30" s="1"/>
  <c r="E308" i="30" s="1"/>
  <c r="E244" i="30"/>
  <c r="D293" i="6"/>
  <c r="D116" i="34"/>
  <c r="G680" i="39"/>
  <c r="E679" i="39"/>
  <c r="J680" i="39"/>
  <c r="B678" i="39"/>
  <c r="F683" i="39"/>
  <c r="B683" i="39"/>
  <c r="I683" i="39"/>
  <c r="E684" i="39"/>
  <c r="B679" i="39"/>
  <c r="C680" i="39"/>
  <c r="G678" i="39"/>
  <c r="I680" i="39"/>
  <c r="C681" i="39"/>
  <c r="K683" i="39"/>
  <c r="F679" i="39"/>
  <c r="H683" i="39"/>
  <c r="B684" i="39"/>
  <c r="F678" i="39"/>
  <c r="D678" i="39"/>
  <c r="E682" i="39"/>
  <c r="F51" i="29"/>
  <c r="F52" i="29" s="1"/>
  <c r="E96" i="40"/>
  <c r="F128" i="29"/>
  <c r="F129" i="29" s="1"/>
  <c r="G125" i="29"/>
  <c r="D294" i="6"/>
  <c r="D117" i="34"/>
  <c r="D202" i="6"/>
  <c r="D97" i="34"/>
  <c r="D103" i="34"/>
  <c r="D208" i="6"/>
  <c r="E47" i="40"/>
  <c r="E50" i="4"/>
  <c r="E108" i="40"/>
  <c r="E109" i="4"/>
  <c r="K685" i="38"/>
  <c r="F685" i="38"/>
  <c r="B685" i="38"/>
  <c r="B687" i="38" a="1"/>
  <c r="C685" i="38"/>
  <c r="E197" i="30"/>
  <c r="E242" i="30" s="1"/>
  <c r="E251" i="30" s="1"/>
  <c r="E260" i="30" s="1"/>
  <c r="E269" i="30" s="1"/>
  <c r="E278" i="30" s="1"/>
  <c r="E287" i="30" s="1"/>
  <c r="E305" i="30" s="1"/>
  <c r="E198" i="30"/>
  <c r="E243" i="30" s="1"/>
  <c r="E252" i="30" s="1"/>
  <c r="E261" i="30" s="1"/>
  <c r="E270" i="30" s="1"/>
  <c r="E279" i="30" s="1"/>
  <c r="E288" i="30" s="1"/>
  <c r="E306" i="30" s="1"/>
  <c r="D120" i="34"/>
  <c r="D297" i="6"/>
  <c r="D296" i="6"/>
  <c r="D119" i="34"/>
  <c r="D98" i="34"/>
  <c r="D203" i="6"/>
  <c r="G681" i="39"/>
  <c r="G683" i="39"/>
  <c r="F682" i="39"/>
  <c r="J684" i="39"/>
  <c r="C683" i="39"/>
  <c r="B682" i="39"/>
  <c r="E683" i="39"/>
  <c r="F681" i="39"/>
  <c r="H679" i="39"/>
  <c r="J685" i="8"/>
  <c r="J685" i="39" s="1"/>
  <c r="J677" i="39"/>
  <c r="H684" i="39"/>
  <c r="H680" i="39"/>
  <c r="F680" i="39"/>
  <c r="D683" i="39"/>
  <c r="F685" i="8"/>
  <c r="F677" i="39"/>
  <c r="E685" i="8"/>
  <c r="E677" i="39"/>
  <c r="D682" i="39"/>
  <c r="H681" i="39"/>
  <c r="C685" i="8"/>
  <c r="C677" i="39"/>
  <c r="E681" i="39"/>
  <c r="E56" i="40"/>
  <c r="E59" i="4"/>
  <c r="D122" i="34"/>
  <c r="D299" i="6"/>
  <c r="G111" i="29"/>
  <c r="F114" i="29"/>
  <c r="E185" i="40"/>
  <c r="E187" i="4"/>
  <c r="E187" i="40" s="1"/>
  <c r="D204" i="6"/>
  <c r="D99" i="34"/>
  <c r="D118" i="34"/>
  <c r="D295" i="6"/>
  <c r="E39" i="40"/>
  <c r="E42" i="4"/>
  <c r="C248" i="30"/>
  <c r="C257" i="30" s="1"/>
  <c r="C266" i="30" s="1"/>
  <c r="C275" i="30" s="1"/>
  <c r="C284" i="30" s="1"/>
  <c r="C302" i="30" s="1"/>
  <c r="C251" i="30"/>
  <c r="C260" i="30" s="1"/>
  <c r="C269" i="30" s="1"/>
  <c r="C278" i="30" s="1"/>
  <c r="C287" i="30" s="1"/>
  <c r="C305" i="30" s="1"/>
  <c r="C253" i="30"/>
  <c r="C262" i="30" s="1"/>
  <c r="C271" i="30" s="1"/>
  <c r="C280" i="30" s="1"/>
  <c r="C289" i="30" s="1"/>
  <c r="C307" i="30" s="1"/>
  <c r="C250" i="30"/>
  <c r="C259" i="30" s="1"/>
  <c r="C268" i="30" s="1"/>
  <c r="C277" i="30" s="1"/>
  <c r="C286" i="30" s="1"/>
  <c r="C304" i="30" s="1"/>
  <c r="C252" i="30"/>
  <c r="C261" i="30" s="1"/>
  <c r="C270" i="30" s="1"/>
  <c r="C279" i="30" s="1"/>
  <c r="C288" i="30" s="1"/>
  <c r="C306" i="30" s="1"/>
  <c r="C254" i="30"/>
  <c r="C263" i="30" s="1"/>
  <c r="C272" i="30" s="1"/>
  <c r="C281" i="30" s="1"/>
  <c r="C290" i="30" s="1"/>
  <c r="C308" i="30" s="1"/>
  <c r="D254" i="30"/>
  <c r="D263" i="30" s="1"/>
  <c r="D272" i="30" s="1"/>
  <c r="D281" i="30" s="1"/>
  <c r="D290" i="30" s="1"/>
  <c r="D308" i="30" s="1"/>
  <c r="D252" i="30"/>
  <c r="D261" i="30" s="1"/>
  <c r="D270" i="30" s="1"/>
  <c r="D279" i="30" s="1"/>
  <c r="D288" i="30" s="1"/>
  <c r="D306" i="30" s="1"/>
  <c r="D250" i="30"/>
  <c r="D259" i="30" s="1"/>
  <c r="D268" i="30" s="1"/>
  <c r="D277" i="30" s="1"/>
  <c r="D286" i="30" s="1"/>
  <c r="D304" i="30" s="1"/>
  <c r="D247" i="30"/>
  <c r="D256" i="30" s="1"/>
  <c r="D265" i="30" s="1"/>
  <c r="D274" i="30" s="1"/>
  <c r="D283" i="30" s="1"/>
  <c r="D301" i="30" s="1"/>
  <c r="D251" i="30"/>
  <c r="D260" i="30" s="1"/>
  <c r="D269" i="30" s="1"/>
  <c r="D278" i="30" s="1"/>
  <c r="D287" i="30" s="1"/>
  <c r="D305" i="30" s="1"/>
  <c r="D249" i="30"/>
  <c r="D258" i="30" s="1"/>
  <c r="D267" i="30" s="1"/>
  <c r="D276" i="30" s="1"/>
  <c r="D285" i="30" s="1"/>
  <c r="D303" i="30" s="1"/>
  <c r="E253" i="30"/>
  <c r="E262" i="30" s="1"/>
  <c r="E271" i="30" s="1"/>
  <c r="E280" i="30" s="1"/>
  <c r="E289" i="30" s="1"/>
  <c r="E307" i="30" s="1"/>
  <c r="C247" i="30"/>
  <c r="C256" i="30" s="1"/>
  <c r="C265" i="30" s="1"/>
  <c r="C274" i="30" s="1"/>
  <c r="D253" i="30"/>
  <c r="D262" i="30" s="1"/>
  <c r="D271" i="30" s="1"/>
  <c r="D280" i="30" s="1"/>
  <c r="D289" i="30" s="1"/>
  <c r="D307" i="30" s="1"/>
  <c r="D248" i="30"/>
  <c r="D257" i="30" s="1"/>
  <c r="D266" i="30" s="1"/>
  <c r="D275" i="30" s="1"/>
  <c r="D284" i="30" s="1"/>
  <c r="D302" i="30" s="1"/>
  <c r="C249" i="30"/>
  <c r="C258" i="30" s="1"/>
  <c r="C267" i="30" s="1"/>
  <c r="C276" i="30" s="1"/>
  <c r="C285" i="30" s="1"/>
  <c r="C303" i="30" s="1"/>
  <c r="G685" i="38"/>
  <c r="I685" i="38"/>
  <c r="E685" i="38"/>
  <c r="E194" i="30"/>
  <c r="E239" i="30" s="1"/>
  <c r="E248" i="30" s="1"/>
  <c r="E257" i="30" s="1"/>
  <c r="E266" i="30" s="1"/>
  <c r="E275" i="30" s="1"/>
  <c r="E284" i="30" s="1"/>
  <c r="E302" i="30" s="1"/>
  <c r="E195" i="30"/>
  <c r="E240" i="30" s="1"/>
  <c r="E249" i="30" s="1"/>
  <c r="E258" i="30" s="1"/>
  <c r="E267" i="30" s="1"/>
  <c r="E276" i="30" s="1"/>
  <c r="E285" i="30" s="1"/>
  <c r="E303" i="30" s="1"/>
  <c r="D125" i="34"/>
  <c r="D127" i="6"/>
  <c r="D127" i="34" s="1"/>
  <c r="H685" i="8"/>
  <c r="H677" i="39"/>
  <c r="K678" i="39"/>
  <c r="I678" i="39"/>
  <c r="J683" i="39"/>
  <c r="C684" i="39"/>
  <c r="D684" i="39"/>
  <c r="B685" i="8"/>
  <c r="B685" i="39" s="1"/>
  <c r="B677" i="39"/>
  <c r="B687" i="8" a="1"/>
  <c r="G684" i="39"/>
  <c r="J682" i="39"/>
  <c r="D680" i="39"/>
  <c r="I681" i="39"/>
  <c r="E680" i="39"/>
  <c r="C682" i="39"/>
  <c r="B680" i="39"/>
  <c r="B681" i="39"/>
  <c r="H678" i="39"/>
  <c r="F684" i="39"/>
  <c r="G682" i="39"/>
  <c r="G679" i="39"/>
  <c r="J678" i="39"/>
  <c r="P191" i="4"/>
  <c r="E191" i="40"/>
  <c r="D90" i="6"/>
  <c r="D93" i="6"/>
  <c r="D88" i="6"/>
  <c r="D95" i="6"/>
  <c r="D92" i="6"/>
  <c r="D94" i="6"/>
  <c r="D91" i="6"/>
  <c r="D89" i="6"/>
  <c r="E57" i="40"/>
  <c r="F45" i="29" l="1"/>
  <c r="H685" i="39"/>
  <c r="C685" i="39"/>
  <c r="D149" i="6"/>
  <c r="D89" i="34"/>
  <c r="D295" i="34"/>
  <c r="D299" i="34"/>
  <c r="E685" i="39"/>
  <c r="D208" i="34"/>
  <c r="D217" i="6"/>
  <c r="D298" i="34"/>
  <c r="D206" i="34"/>
  <c r="D215" i="6"/>
  <c r="C175" i="6"/>
  <c r="C166" i="34"/>
  <c r="C169" i="34"/>
  <c r="C178" i="6"/>
  <c r="D155" i="6"/>
  <c r="D95" i="34"/>
  <c r="D91" i="34"/>
  <c r="D151" i="6"/>
  <c r="D148" i="6"/>
  <c r="D88" i="34"/>
  <c r="C694" i="8"/>
  <c r="B688" i="8"/>
  <c r="H689" i="8"/>
  <c r="H692" i="8"/>
  <c r="D691" i="8"/>
  <c r="H687" i="8"/>
  <c r="E690" i="8"/>
  <c r="I690" i="8"/>
  <c r="F690" i="8"/>
  <c r="G691" i="8"/>
  <c r="D692" i="8"/>
  <c r="I692" i="8"/>
  <c r="J689" i="8"/>
  <c r="H688" i="8"/>
  <c r="B689" i="8"/>
  <c r="J693" i="8"/>
  <c r="E689" i="8"/>
  <c r="H694" i="8"/>
  <c r="E692" i="8"/>
  <c r="H691" i="8"/>
  <c r="F687" i="8"/>
  <c r="J694" i="8"/>
  <c r="D688" i="8"/>
  <c r="B692" i="8"/>
  <c r="E693" i="8"/>
  <c r="F692" i="8"/>
  <c r="B694" i="8"/>
  <c r="J692" i="8"/>
  <c r="F688" i="8"/>
  <c r="D693" i="8"/>
  <c r="F689" i="8"/>
  <c r="I693" i="8"/>
  <c r="I688" i="8"/>
  <c r="B693" i="8"/>
  <c r="E688" i="8"/>
  <c r="D689" i="8"/>
  <c r="J688" i="8"/>
  <c r="C693" i="8"/>
  <c r="K689" i="8"/>
  <c r="G689" i="8"/>
  <c r="G693" i="8"/>
  <c r="K687" i="8"/>
  <c r="G690" i="8"/>
  <c r="C688" i="8"/>
  <c r="B690" i="8"/>
  <c r="I687" i="8"/>
  <c r="G692" i="8"/>
  <c r="K690" i="8"/>
  <c r="K693" i="8"/>
  <c r="F691" i="8"/>
  <c r="F694" i="8"/>
  <c r="K691" i="8"/>
  <c r="G688" i="8"/>
  <c r="C692" i="8"/>
  <c r="C690" i="8"/>
  <c r="G694" i="8"/>
  <c r="K692" i="8"/>
  <c r="F693" i="8"/>
  <c r="J691" i="8"/>
  <c r="B691" i="8"/>
  <c r="E694" i="8"/>
  <c r="B687" i="8"/>
  <c r="I691" i="8"/>
  <c r="I694" i="8"/>
  <c r="I689" i="8"/>
  <c r="D687" i="8"/>
  <c r="D694" i="8"/>
  <c r="E687" i="8"/>
  <c r="H693" i="8"/>
  <c r="K688" i="8"/>
  <c r="C689" i="8"/>
  <c r="E691" i="8"/>
  <c r="J690" i="8"/>
  <c r="J687" i="8"/>
  <c r="D690" i="8"/>
  <c r="C687" i="8"/>
  <c r="K694" i="8"/>
  <c r="C691" i="8"/>
  <c r="G687" i="8"/>
  <c r="H690" i="8"/>
  <c r="D296" i="34"/>
  <c r="D690" i="38"/>
  <c r="D700" i="38" s="1"/>
  <c r="D688" i="38"/>
  <c r="D698" i="38" s="1"/>
  <c r="J692" i="38"/>
  <c r="J702" i="38" s="1"/>
  <c r="B687" i="38"/>
  <c r="C689" i="38"/>
  <c r="C699" i="38" s="1"/>
  <c r="D691" i="38"/>
  <c r="D701" i="38" s="1"/>
  <c r="I692" i="38"/>
  <c r="I702" i="38" s="1"/>
  <c r="B693" i="38"/>
  <c r="B703" i="38" s="1"/>
  <c r="F689" i="38"/>
  <c r="F699" i="38" s="1"/>
  <c r="K688" i="38"/>
  <c r="K698" i="38" s="1"/>
  <c r="C688" i="38"/>
  <c r="C698" i="38" s="1"/>
  <c r="C690" i="38"/>
  <c r="C700" i="38" s="1"/>
  <c r="H692" i="38"/>
  <c r="H702" i="38" s="1"/>
  <c r="G690" i="38"/>
  <c r="G700" i="38" s="1"/>
  <c r="E691" i="38"/>
  <c r="E701" i="38" s="1"/>
  <c r="F691" i="38"/>
  <c r="F701" i="38" s="1"/>
  <c r="B689" i="38"/>
  <c r="B699" i="38" s="1"/>
  <c r="I694" i="38"/>
  <c r="I704" i="38" s="1"/>
  <c r="J694" i="38"/>
  <c r="J704" i="38" s="1"/>
  <c r="K691" i="38"/>
  <c r="K701" i="38" s="1"/>
  <c r="G693" i="38"/>
  <c r="G703" i="38" s="1"/>
  <c r="E693" i="38"/>
  <c r="E703" i="38" s="1"/>
  <c r="K689" i="38"/>
  <c r="K699" i="38" s="1"/>
  <c r="D689" i="38"/>
  <c r="D699" i="38" s="1"/>
  <c r="E689" i="38"/>
  <c r="E699" i="38" s="1"/>
  <c r="H688" i="38"/>
  <c r="H698" i="38" s="1"/>
  <c r="F690" i="38"/>
  <c r="F700" i="38" s="1"/>
  <c r="K694" i="38"/>
  <c r="K704" i="38" s="1"/>
  <c r="D693" i="38"/>
  <c r="D703" i="38" s="1"/>
  <c r="H694" i="38"/>
  <c r="H704" i="38" s="1"/>
  <c r="F692" i="38"/>
  <c r="F702" i="38" s="1"/>
  <c r="D694" i="38"/>
  <c r="D704" i="38" s="1"/>
  <c r="I689" i="38"/>
  <c r="I699" i="38" s="1"/>
  <c r="E694" i="38"/>
  <c r="E704" i="38" s="1"/>
  <c r="E688" i="38"/>
  <c r="E698" i="38" s="1"/>
  <c r="K687" i="38"/>
  <c r="G694" i="38"/>
  <c r="G704" i="38" s="1"/>
  <c r="G687" i="38"/>
  <c r="K690" i="38"/>
  <c r="K700" i="38" s="1"/>
  <c r="I690" i="38"/>
  <c r="I700" i="38" s="1"/>
  <c r="D687" i="38"/>
  <c r="E687" i="38"/>
  <c r="H693" i="38"/>
  <c r="H703" i="38" s="1"/>
  <c r="J689" i="38"/>
  <c r="J699" i="38" s="1"/>
  <c r="I691" i="38"/>
  <c r="I701" i="38" s="1"/>
  <c r="G689" i="38"/>
  <c r="G699" i="38" s="1"/>
  <c r="J691" i="38"/>
  <c r="J701" i="38" s="1"/>
  <c r="F687" i="38"/>
  <c r="H689" i="38"/>
  <c r="H699" i="38" s="1"/>
  <c r="B691" i="38"/>
  <c r="B701" i="38" s="1"/>
  <c r="B690" i="38"/>
  <c r="B700" i="38" s="1"/>
  <c r="J693" i="38"/>
  <c r="J703" i="38" s="1"/>
  <c r="J687" i="38"/>
  <c r="J688" i="38"/>
  <c r="J698" i="38" s="1"/>
  <c r="C694" i="38"/>
  <c r="C704" i="38" s="1"/>
  <c r="G688" i="38"/>
  <c r="G698" i="38" s="1"/>
  <c r="E690" i="38"/>
  <c r="E700" i="38" s="1"/>
  <c r="C691" i="38"/>
  <c r="C701" i="38" s="1"/>
  <c r="K692" i="38"/>
  <c r="K702" i="38" s="1"/>
  <c r="F693" i="38"/>
  <c r="F703" i="38" s="1"/>
  <c r="B692" i="38"/>
  <c r="B702" i="38" s="1"/>
  <c r="F688" i="38"/>
  <c r="F698" i="38" s="1"/>
  <c r="G691" i="38"/>
  <c r="G701" i="38" s="1"/>
  <c r="C692" i="38"/>
  <c r="C702" i="38" s="1"/>
  <c r="K693" i="38"/>
  <c r="K703" i="38" s="1"/>
  <c r="I687" i="38"/>
  <c r="I688" i="38"/>
  <c r="I698" i="38" s="1"/>
  <c r="H690" i="38"/>
  <c r="H700" i="38" s="1"/>
  <c r="E692" i="38"/>
  <c r="E702" i="38" s="1"/>
  <c r="J690" i="38"/>
  <c r="J700" i="38" s="1"/>
  <c r="D692" i="38"/>
  <c r="D702" i="38" s="1"/>
  <c r="H687" i="38"/>
  <c r="I693" i="38"/>
  <c r="I703" i="38" s="1"/>
  <c r="C693" i="38"/>
  <c r="C703" i="38" s="1"/>
  <c r="C687" i="38"/>
  <c r="F694" i="38"/>
  <c r="F704" i="38" s="1"/>
  <c r="B694" i="38"/>
  <c r="B704" i="38" s="1"/>
  <c r="H691" i="38"/>
  <c r="H701" i="38" s="1"/>
  <c r="G692" i="38"/>
  <c r="G702" i="38" s="1"/>
  <c r="B688" i="38"/>
  <c r="B698" i="38" s="1"/>
  <c r="D294" i="34"/>
  <c r="G685" i="39"/>
  <c r="D685" i="39"/>
  <c r="C177" i="6"/>
  <c r="C168" i="34"/>
  <c r="C179" i="6"/>
  <c r="C170" i="34"/>
  <c r="D152" i="6"/>
  <c r="D92" i="34"/>
  <c r="D94" i="34"/>
  <c r="D154" i="6"/>
  <c r="D153" i="6"/>
  <c r="D93" i="34"/>
  <c r="C283" i="30"/>
  <c r="C301" i="30" s="1"/>
  <c r="E43" i="4"/>
  <c r="E42" i="40"/>
  <c r="F117" i="29"/>
  <c r="F115" i="29"/>
  <c r="E60" i="4"/>
  <c r="E59" i="40"/>
  <c r="F685" i="39"/>
  <c r="D212" i="6"/>
  <c r="D203" i="34"/>
  <c r="D297" i="34"/>
  <c r="E50" i="40"/>
  <c r="E51" i="4"/>
  <c r="D293" i="34"/>
  <c r="D218" i="6"/>
  <c r="D209" i="34"/>
  <c r="D207" i="34"/>
  <c r="D216" i="6"/>
  <c r="C171" i="34"/>
  <c r="C180" i="6"/>
  <c r="C182" i="6"/>
  <c r="C173" i="34"/>
  <c r="D150" i="6"/>
  <c r="D90" i="34"/>
  <c r="D204" i="34"/>
  <c r="D213" i="6"/>
  <c r="E109" i="40"/>
  <c r="E112" i="4"/>
  <c r="D211" i="6"/>
  <c r="D202" i="34"/>
  <c r="F64" i="29"/>
  <c r="F70" i="29" s="1"/>
  <c r="F98" i="29" s="1"/>
  <c r="F99" i="29" s="1"/>
  <c r="F102" i="29" s="1"/>
  <c r="F103" i="29" s="1"/>
  <c r="F61" i="29"/>
  <c r="F67" i="29" s="1"/>
  <c r="F75" i="29" s="1"/>
  <c r="F210" i="29" s="1"/>
  <c r="F211" i="29" s="1"/>
  <c r="D205" i="34"/>
  <c r="D214" i="6"/>
  <c r="E126" i="4"/>
  <c r="E123" i="40"/>
  <c r="I685" i="39"/>
  <c r="K685" i="39"/>
  <c r="C176" i="6"/>
  <c r="C167" i="34"/>
  <c r="C181" i="6"/>
  <c r="C172" i="34"/>
  <c r="F62" i="29"/>
  <c r="F68" i="29" s="1"/>
  <c r="F76" i="29" s="1"/>
  <c r="D292" i="34"/>
  <c r="L704" i="38" l="1"/>
  <c r="L698" i="38"/>
  <c r="F119" i="29"/>
  <c r="F83" i="29"/>
  <c r="F84" i="29"/>
  <c r="F82" i="29"/>
  <c r="F85" i="29"/>
  <c r="D211" i="34"/>
  <c r="D229" i="6"/>
  <c r="D213" i="34"/>
  <c r="D231" i="6"/>
  <c r="D234" i="6"/>
  <c r="D216" i="34"/>
  <c r="D212" i="34"/>
  <c r="D230" i="6"/>
  <c r="D154" i="34"/>
  <c r="D163" i="6"/>
  <c r="H695" i="38"/>
  <c r="H697" i="38"/>
  <c r="H705" i="38" s="1"/>
  <c r="F695" i="38"/>
  <c r="F697" i="38"/>
  <c r="F705" i="38" s="1"/>
  <c r="K695" i="38"/>
  <c r="K697" i="38"/>
  <c r="K705" i="38" s="1"/>
  <c r="L703" i="38"/>
  <c r="B695" i="38"/>
  <c r="B697" i="38"/>
  <c r="C691" i="39"/>
  <c r="C701" i="8"/>
  <c r="C701" i="39" s="1"/>
  <c r="J697" i="8"/>
  <c r="J687" i="39"/>
  <c r="J695" i="8"/>
  <c r="K698" i="8"/>
  <c r="K698" i="39" s="1"/>
  <c r="K688" i="39"/>
  <c r="D697" i="8"/>
  <c r="D687" i="39"/>
  <c r="D695" i="8"/>
  <c r="B695" i="8"/>
  <c r="B695" i="39" s="1"/>
  <c r="B697" i="8"/>
  <c r="B687" i="39"/>
  <c r="F703" i="8"/>
  <c r="F703" i="39" s="1"/>
  <c r="F693" i="39"/>
  <c r="C702" i="8"/>
  <c r="C702" i="39" s="1"/>
  <c r="C692" i="39"/>
  <c r="F701" i="8"/>
  <c r="F701" i="39" s="1"/>
  <c r="F691" i="39"/>
  <c r="I697" i="8"/>
  <c r="I687" i="39"/>
  <c r="I695" i="8"/>
  <c r="K687" i="39"/>
  <c r="K697" i="8"/>
  <c r="K695" i="8"/>
  <c r="K695" i="39" s="1"/>
  <c r="C703" i="8"/>
  <c r="C703" i="39" s="1"/>
  <c r="C693" i="39"/>
  <c r="B703" i="8"/>
  <c r="B693" i="39"/>
  <c r="D693" i="39"/>
  <c r="D703" i="8"/>
  <c r="D703" i="39" s="1"/>
  <c r="F702" i="8"/>
  <c r="F702" i="39" s="1"/>
  <c r="F692" i="39"/>
  <c r="J704" i="8"/>
  <c r="J704" i="39" s="1"/>
  <c r="J694" i="39"/>
  <c r="H704" i="8"/>
  <c r="H704" i="39" s="1"/>
  <c r="H694" i="39"/>
  <c r="H688" i="39"/>
  <c r="H698" i="8"/>
  <c r="H698" i="39" s="1"/>
  <c r="G691" i="39"/>
  <c r="G701" i="8"/>
  <c r="G701" i="39" s="1"/>
  <c r="H695" i="8"/>
  <c r="H695" i="39" s="1"/>
  <c r="H697" i="8"/>
  <c r="H687" i="39"/>
  <c r="B688" i="39"/>
  <c r="B698" i="8"/>
  <c r="D160" i="6"/>
  <c r="D151" i="34"/>
  <c r="C175" i="34"/>
  <c r="C184" i="6"/>
  <c r="D214" i="34"/>
  <c r="D232" i="6"/>
  <c r="C181" i="34"/>
  <c r="C190" i="6"/>
  <c r="D150" i="34"/>
  <c r="D159" i="6"/>
  <c r="D236" i="6"/>
  <c r="D218" i="34"/>
  <c r="C176" i="34"/>
  <c r="C185" i="6"/>
  <c r="E126" i="40"/>
  <c r="E127" i="4"/>
  <c r="E112" i="40"/>
  <c r="E113" i="4"/>
  <c r="C182" i="34"/>
  <c r="C191" i="6"/>
  <c r="E316" i="30"/>
  <c r="D313" i="30"/>
  <c r="E312" i="30"/>
  <c r="C311" i="30"/>
  <c r="D312" i="30"/>
  <c r="E314" i="30"/>
  <c r="E315" i="30"/>
  <c r="C310" i="30"/>
  <c r="C317" i="30"/>
  <c r="D311" i="30"/>
  <c r="C313" i="30"/>
  <c r="D317" i="30"/>
  <c r="C312" i="30"/>
  <c r="E317" i="30"/>
  <c r="C316" i="30"/>
  <c r="C314" i="30"/>
  <c r="D310" i="30"/>
  <c r="D315" i="30"/>
  <c r="E313" i="30"/>
  <c r="D314" i="30"/>
  <c r="E311" i="30"/>
  <c r="C315" i="30"/>
  <c r="D316" i="30"/>
  <c r="E310" i="30"/>
  <c r="C179" i="34"/>
  <c r="C188" i="6"/>
  <c r="C695" i="38"/>
  <c r="C697" i="38"/>
  <c r="C705" i="38" s="1"/>
  <c r="L700" i="38"/>
  <c r="K694" i="39"/>
  <c r="K704" i="8"/>
  <c r="K704" i="39" s="1"/>
  <c r="J700" i="8"/>
  <c r="J700" i="39" s="1"/>
  <c r="J690" i="39"/>
  <c r="H703" i="8"/>
  <c r="H703" i="39" s="1"/>
  <c r="H693" i="39"/>
  <c r="I689" i="39"/>
  <c r="I699" i="8"/>
  <c r="I699" i="39" s="1"/>
  <c r="E694" i="39"/>
  <c r="E704" i="8"/>
  <c r="E704" i="39" s="1"/>
  <c r="K692" i="39"/>
  <c r="K702" i="8"/>
  <c r="K702" i="39" s="1"/>
  <c r="G698" i="8"/>
  <c r="G698" i="39" s="1"/>
  <c r="G688" i="39"/>
  <c r="K703" i="8"/>
  <c r="K703" i="39" s="1"/>
  <c r="K693" i="39"/>
  <c r="B700" i="8"/>
  <c r="B690" i="39"/>
  <c r="G693" i="39"/>
  <c r="G703" i="8"/>
  <c r="G703" i="39" s="1"/>
  <c r="J688" i="39"/>
  <c r="J698" i="8"/>
  <c r="J698" i="39" s="1"/>
  <c r="I698" i="8"/>
  <c r="I698" i="39" s="1"/>
  <c r="I688" i="39"/>
  <c r="F698" i="8"/>
  <c r="F698" i="39" s="1"/>
  <c r="F688" i="39"/>
  <c r="E693" i="39"/>
  <c r="E703" i="8"/>
  <c r="E703" i="39" s="1"/>
  <c r="F687" i="39"/>
  <c r="F695" i="8"/>
  <c r="F697" i="8"/>
  <c r="E689" i="39"/>
  <c r="E699" i="8"/>
  <c r="E699" i="39" s="1"/>
  <c r="J699" i="8"/>
  <c r="J699" i="39" s="1"/>
  <c r="J689" i="39"/>
  <c r="F700" i="8"/>
  <c r="F700" i="39" s="1"/>
  <c r="F690" i="39"/>
  <c r="D691" i="39"/>
  <c r="D701" i="8"/>
  <c r="D701" i="39" s="1"/>
  <c r="C704" i="8"/>
  <c r="C704" i="39" s="1"/>
  <c r="C694" i="39"/>
  <c r="C178" i="34"/>
  <c r="C187" i="6"/>
  <c r="D233" i="6"/>
  <c r="D215" i="34"/>
  <c r="G101" i="29"/>
  <c r="F104" i="29"/>
  <c r="C180" i="34"/>
  <c r="C189" i="6"/>
  <c r="E51" i="40"/>
  <c r="E52" i="4"/>
  <c r="E44" i="4"/>
  <c r="E43" i="40"/>
  <c r="I697" i="38"/>
  <c r="I705" i="38" s="1"/>
  <c r="I695" i="38"/>
  <c r="L701" i="38"/>
  <c r="E695" i="38"/>
  <c r="E697" i="38"/>
  <c r="E705" i="38" s="1"/>
  <c r="G695" i="38"/>
  <c r="G697" i="38"/>
  <c r="G705" i="38" s="1"/>
  <c r="H690" i="39"/>
  <c r="H700" i="8"/>
  <c r="H700" i="39" s="1"/>
  <c r="C687" i="39"/>
  <c r="C695" i="8"/>
  <c r="C697" i="8"/>
  <c r="E691" i="39"/>
  <c r="E701" i="8"/>
  <c r="E701" i="39" s="1"/>
  <c r="E697" i="8"/>
  <c r="E687" i="39"/>
  <c r="E695" i="8"/>
  <c r="I704" i="8"/>
  <c r="I704" i="39" s="1"/>
  <c r="I694" i="39"/>
  <c r="B701" i="8"/>
  <c r="B691" i="39"/>
  <c r="G694" i="39"/>
  <c r="G704" i="8"/>
  <c r="G704" i="39" s="1"/>
  <c r="K691" i="39"/>
  <c r="K701" i="8"/>
  <c r="K701" i="39" s="1"/>
  <c r="K700" i="8"/>
  <c r="K700" i="39" s="1"/>
  <c r="K690" i="39"/>
  <c r="C688" i="39"/>
  <c r="C698" i="8"/>
  <c r="C698" i="39" s="1"/>
  <c r="G689" i="39"/>
  <c r="G699" i="8"/>
  <c r="G699" i="39" s="1"/>
  <c r="D689" i="39"/>
  <c r="D699" i="8"/>
  <c r="D699" i="39" s="1"/>
  <c r="I703" i="8"/>
  <c r="I703" i="39" s="1"/>
  <c r="I693" i="39"/>
  <c r="J692" i="39"/>
  <c r="J702" i="8"/>
  <c r="J702" i="39" s="1"/>
  <c r="B692" i="39"/>
  <c r="B702" i="8"/>
  <c r="H701" i="8"/>
  <c r="H701" i="39" s="1"/>
  <c r="H691" i="39"/>
  <c r="J693" i="39"/>
  <c r="J703" i="8"/>
  <c r="J703" i="39" s="1"/>
  <c r="I692" i="39"/>
  <c r="I702" i="8"/>
  <c r="I702" i="39" s="1"/>
  <c r="I690" i="39"/>
  <c r="I700" i="8"/>
  <c r="I700" i="39" s="1"/>
  <c r="H702" i="8"/>
  <c r="H702" i="39" s="1"/>
  <c r="H692" i="39"/>
  <c r="D217" i="34"/>
  <c r="D235" i="6"/>
  <c r="D149" i="34"/>
  <c r="D158" i="6"/>
  <c r="E60" i="40"/>
  <c r="E64" i="4"/>
  <c r="E64" i="40" s="1"/>
  <c r="E61" i="4"/>
  <c r="E61" i="40" s="1"/>
  <c r="E62" i="4"/>
  <c r="E62" i="40" s="1"/>
  <c r="D162" i="6"/>
  <c r="D153" i="34"/>
  <c r="D161" i="6"/>
  <c r="D152" i="34"/>
  <c r="C177" i="34"/>
  <c r="C186" i="6"/>
  <c r="L702" i="38"/>
  <c r="J695" i="38"/>
  <c r="J697" i="38"/>
  <c r="J705" i="38" s="1"/>
  <c r="D695" i="38"/>
  <c r="D697" i="38"/>
  <c r="D705" i="38" s="1"/>
  <c r="L699" i="38"/>
  <c r="G695" i="8"/>
  <c r="G695" i="39" s="1"/>
  <c r="G697" i="8"/>
  <c r="G687" i="39"/>
  <c r="D690" i="39"/>
  <c r="D700" i="8"/>
  <c r="D700" i="39" s="1"/>
  <c r="C689" i="39"/>
  <c r="C699" i="8"/>
  <c r="C699" i="39" s="1"/>
  <c r="D694" i="39"/>
  <c r="D704" i="8"/>
  <c r="D704" i="39" s="1"/>
  <c r="I701" i="8"/>
  <c r="I701" i="39" s="1"/>
  <c r="I691" i="39"/>
  <c r="J691" i="39"/>
  <c r="J701" i="8"/>
  <c r="J701" i="39" s="1"/>
  <c r="C690" i="39"/>
  <c r="C700" i="8"/>
  <c r="C700" i="39" s="1"/>
  <c r="F694" i="39"/>
  <c r="F704" i="8"/>
  <c r="F704" i="39" s="1"/>
  <c r="G692" i="39"/>
  <c r="G702" i="8"/>
  <c r="G702" i="39" s="1"/>
  <c r="G690" i="39"/>
  <c r="G700" i="8"/>
  <c r="G700" i="39" s="1"/>
  <c r="K699" i="8"/>
  <c r="K699" i="39" s="1"/>
  <c r="K689" i="39"/>
  <c r="E698" i="8"/>
  <c r="E698" i="39" s="1"/>
  <c r="E688" i="39"/>
  <c r="F699" i="8"/>
  <c r="F699" i="39" s="1"/>
  <c r="F689" i="39"/>
  <c r="B694" i="39"/>
  <c r="B704" i="8"/>
  <c r="D698" i="8"/>
  <c r="D698" i="39" s="1"/>
  <c r="D688" i="39"/>
  <c r="E702" i="8"/>
  <c r="E702" i="39" s="1"/>
  <c r="E692" i="39"/>
  <c r="B699" i="8"/>
  <c r="B689" i="39"/>
  <c r="D692" i="39"/>
  <c r="D702" i="8"/>
  <c r="D702" i="39" s="1"/>
  <c r="E700" i="8"/>
  <c r="E700" i="39" s="1"/>
  <c r="E690" i="39"/>
  <c r="H699" i="8"/>
  <c r="H699" i="39" s="1"/>
  <c r="H689" i="39"/>
  <c r="D148" i="34"/>
  <c r="D157" i="6"/>
  <c r="D155" i="34"/>
  <c r="D164" i="6"/>
  <c r="E45" i="4"/>
  <c r="F695" i="39" l="1"/>
  <c r="C695" i="39"/>
  <c r="C186" i="34"/>
  <c r="C195" i="6"/>
  <c r="D162" i="34"/>
  <c r="D171" i="6"/>
  <c r="D158" i="34"/>
  <c r="D167" i="6"/>
  <c r="E695" i="39"/>
  <c r="D236" i="34"/>
  <c r="J695" i="39"/>
  <c r="D230" i="34"/>
  <c r="D231" i="34"/>
  <c r="E45" i="40"/>
  <c r="E68" i="4"/>
  <c r="B704" i="39"/>
  <c r="L704" i="8"/>
  <c r="L704" i="39" s="1"/>
  <c r="D157" i="34"/>
  <c r="D166" i="6"/>
  <c r="D161" i="34"/>
  <c r="D170" i="6"/>
  <c r="B701" i="39"/>
  <c r="L701" i="8"/>
  <c r="L701" i="39" s="1"/>
  <c r="C697" i="39"/>
  <c r="C705" i="8"/>
  <c r="C705" i="39" s="1"/>
  <c r="C198" i="6"/>
  <c r="C189" i="34"/>
  <c r="B700" i="39"/>
  <c r="L700" i="8"/>
  <c r="L700" i="39" s="1"/>
  <c r="C188" i="34"/>
  <c r="C197" i="6"/>
  <c r="E113" i="40"/>
  <c r="E114" i="4"/>
  <c r="F111" i="4"/>
  <c r="C185" i="34"/>
  <c r="C194" i="6"/>
  <c r="D159" i="34"/>
  <c r="D168" i="6"/>
  <c r="D232" i="34"/>
  <c r="B703" i="39"/>
  <c r="L703" i="8"/>
  <c r="L703" i="39" s="1"/>
  <c r="K697" i="39"/>
  <c r="K705" i="8"/>
  <c r="K705" i="39" s="1"/>
  <c r="I705" i="8"/>
  <c r="I705" i="39" s="1"/>
  <c r="I697" i="39"/>
  <c r="B697" i="39"/>
  <c r="L697" i="8"/>
  <c r="B705" i="8"/>
  <c r="D697" i="39"/>
  <c r="D705" i="8"/>
  <c r="D705" i="39" s="1"/>
  <c r="B705" i="38"/>
  <c r="L706" i="38" s="1"/>
  <c r="L21" i="9" s="1"/>
  <c r="L697" i="38"/>
  <c r="L705" i="38" s="1"/>
  <c r="F87" i="29"/>
  <c r="B699" i="39"/>
  <c r="L699" i="8"/>
  <c r="L699" i="39" s="1"/>
  <c r="G697" i="39"/>
  <c r="G705" i="8"/>
  <c r="G705" i="39" s="1"/>
  <c r="D235" i="34"/>
  <c r="L702" i="8"/>
  <c r="L702" i="39" s="1"/>
  <c r="B702" i="39"/>
  <c r="E705" i="8"/>
  <c r="E705" i="39" s="1"/>
  <c r="E697" i="39"/>
  <c r="E44" i="40"/>
  <c r="E67" i="4"/>
  <c r="D233" i="34"/>
  <c r="D160" i="34"/>
  <c r="D169" i="6"/>
  <c r="H705" i="8"/>
  <c r="H705" i="39" s="1"/>
  <c r="H697" i="39"/>
  <c r="J697" i="39"/>
  <c r="J705" i="8"/>
  <c r="J705" i="39" s="1"/>
  <c r="D163" i="34"/>
  <c r="D172" i="6"/>
  <c r="D229" i="34"/>
  <c r="D164" i="34"/>
  <c r="D173" i="6"/>
  <c r="E70" i="4"/>
  <c r="E52" i="40"/>
  <c r="F105" i="29"/>
  <c r="F116" i="29"/>
  <c r="C187" i="34"/>
  <c r="C196" i="6"/>
  <c r="F705" i="8"/>
  <c r="F705" i="39" s="1"/>
  <c r="F697" i="39"/>
  <c r="C191" i="34"/>
  <c r="C200" i="6"/>
  <c r="E128" i="4"/>
  <c r="F125" i="4"/>
  <c r="E127" i="40"/>
  <c r="C199" i="6"/>
  <c r="C190" i="34"/>
  <c r="C184" i="34"/>
  <c r="C193" i="6"/>
  <c r="B698" i="39"/>
  <c r="L698" i="8"/>
  <c r="L698" i="39" s="1"/>
  <c r="I695" i="39"/>
  <c r="D695" i="39"/>
  <c r="D234" i="34"/>
  <c r="D115" i="57"/>
  <c r="D113" i="57"/>
  <c r="D117" i="57"/>
  <c r="D114" i="57"/>
  <c r="D116" i="57"/>
  <c r="D120" i="57"/>
  <c r="D119" i="57"/>
  <c r="D125" i="57"/>
  <c r="D130" i="57"/>
  <c r="D127" i="57"/>
  <c r="D124" i="57"/>
  <c r="D126" i="57"/>
  <c r="D123" i="57"/>
  <c r="D129" i="57"/>
  <c r="D168" i="34" l="1"/>
  <c r="D177" i="6"/>
  <c r="F125" i="40"/>
  <c r="F118" i="29"/>
  <c r="D181" i="6"/>
  <c r="D172" i="34"/>
  <c r="L706" i="8"/>
  <c r="B705" i="39"/>
  <c r="F111" i="40"/>
  <c r="C197" i="34"/>
  <c r="C242" i="6"/>
  <c r="C242" i="34" s="1"/>
  <c r="D173" i="34"/>
  <c r="D182" i="6"/>
  <c r="C193" i="34"/>
  <c r="C238" i="6"/>
  <c r="C199" i="34"/>
  <c r="C244" i="6"/>
  <c r="C244" i="34" s="1"/>
  <c r="E128" i="40"/>
  <c r="E129" i="4"/>
  <c r="E129" i="40" s="1"/>
  <c r="D175" i="6"/>
  <c r="D166" i="34"/>
  <c r="E68" i="40"/>
  <c r="E76" i="4"/>
  <c r="D176" i="6"/>
  <c r="D167" i="34"/>
  <c r="C195" i="34"/>
  <c r="C240" i="6"/>
  <c r="C240" i="34" s="1"/>
  <c r="C196" i="34"/>
  <c r="C241" i="6"/>
  <c r="C241" i="34" s="1"/>
  <c r="L697" i="39"/>
  <c r="L705" i="8"/>
  <c r="L705" i="39" s="1"/>
  <c r="C194" i="34"/>
  <c r="C239" i="6"/>
  <c r="C239" i="34" s="1"/>
  <c r="E114" i="40"/>
  <c r="E115" i="4"/>
  <c r="E117" i="4"/>
  <c r="E117" i="40" s="1"/>
  <c r="C198" i="34"/>
  <c r="C243" i="6"/>
  <c r="C243" i="34" s="1"/>
  <c r="E98" i="4"/>
  <c r="E70" i="40"/>
  <c r="D178" i="6"/>
  <c r="D169" i="34"/>
  <c r="E67" i="40"/>
  <c r="F206" i="4"/>
  <c r="E75" i="4"/>
  <c r="F88" i="29"/>
  <c r="F212" i="29"/>
  <c r="F213" i="29" s="1"/>
  <c r="C200" i="34"/>
  <c r="C245" i="6"/>
  <c r="C245" i="34" s="1"/>
  <c r="D179" i="6"/>
  <c r="D170" i="34"/>
  <c r="D180" i="6"/>
  <c r="D171" i="34"/>
  <c r="E75" i="57"/>
  <c r="D200" i="57"/>
  <c r="E98" i="40" l="1"/>
  <c r="E99" i="4"/>
  <c r="D179" i="34"/>
  <c r="D188" i="6"/>
  <c r="F90" i="29"/>
  <c r="F91" i="29" s="1"/>
  <c r="F92" i="29" s="1"/>
  <c r="F131" i="29" s="1"/>
  <c r="F161" i="29" s="1"/>
  <c r="L10" i="9"/>
  <c r="L706" i="39"/>
  <c r="L32" i="9" s="1"/>
  <c r="L37" i="9" s="1"/>
  <c r="E75" i="40"/>
  <c r="E210" i="4"/>
  <c r="D178" i="34"/>
  <c r="D187" i="6"/>
  <c r="D182" i="34"/>
  <c r="D191" i="6"/>
  <c r="D180" i="34"/>
  <c r="D189" i="6"/>
  <c r="D176" i="34"/>
  <c r="D185" i="6"/>
  <c r="D175" i="34"/>
  <c r="D184" i="6"/>
  <c r="D181" i="34"/>
  <c r="D190" i="6"/>
  <c r="D177" i="34"/>
  <c r="D186" i="6"/>
  <c r="E115" i="40"/>
  <c r="E119" i="4"/>
  <c r="E119" i="40" s="1"/>
  <c r="E76" i="40"/>
  <c r="E84" i="4"/>
  <c r="E85" i="4"/>
  <c r="E83" i="4"/>
  <c r="E82" i="4"/>
  <c r="C248" i="6"/>
  <c r="C250" i="6"/>
  <c r="C247" i="6"/>
  <c r="C249" i="6"/>
  <c r="C253" i="6"/>
  <c r="C251" i="6"/>
  <c r="C238" i="34"/>
  <c r="C252" i="6"/>
  <c r="C254" i="6"/>
  <c r="F221" i="29" l="1"/>
  <c r="F162" i="29"/>
  <c r="G164" i="29" s="1"/>
  <c r="C261" i="6"/>
  <c r="C252" i="34"/>
  <c r="C262" i="6"/>
  <c r="C253" i="34"/>
  <c r="C256" i="6"/>
  <c r="C247" i="34"/>
  <c r="E82" i="40"/>
  <c r="E87" i="4"/>
  <c r="D197" i="6"/>
  <c r="D188" i="34"/>
  <c r="E83" i="40"/>
  <c r="D199" i="6"/>
  <c r="D190" i="34"/>
  <c r="D185" i="34"/>
  <c r="D194" i="6"/>
  <c r="D200" i="6"/>
  <c r="D191" i="34"/>
  <c r="E210" i="40"/>
  <c r="E211" i="4"/>
  <c r="E211" i="40" s="1"/>
  <c r="C250" i="34"/>
  <c r="C259" i="6"/>
  <c r="E85" i="40"/>
  <c r="E102" i="4"/>
  <c r="E99" i="40"/>
  <c r="C263" i="6"/>
  <c r="C254" i="34"/>
  <c r="C251" i="34"/>
  <c r="C260" i="6"/>
  <c r="C258" i="6"/>
  <c r="C249" i="34"/>
  <c r="C257" i="6"/>
  <c r="C248" i="34"/>
  <c r="E84" i="40"/>
  <c r="D186" i="34"/>
  <c r="D195" i="6"/>
  <c r="D193" i="6"/>
  <c r="D184" i="34"/>
  <c r="D198" i="6"/>
  <c r="D189" i="34"/>
  <c r="D196" i="6"/>
  <c r="D187" i="34"/>
  <c r="D193" i="34" l="1"/>
  <c r="D238" i="6"/>
  <c r="D200" i="34"/>
  <c r="D245" i="6"/>
  <c r="E212" i="4"/>
  <c r="E87" i="40"/>
  <c r="E88" i="4"/>
  <c r="C265" i="6"/>
  <c r="C256" i="34"/>
  <c r="C261" i="34"/>
  <c r="C270" i="6"/>
  <c r="C267" i="6"/>
  <c r="C258" i="34"/>
  <c r="C263" i="34"/>
  <c r="C272" i="6"/>
  <c r="D199" i="34"/>
  <c r="D244" i="6"/>
  <c r="G172" i="29"/>
  <c r="G166" i="29"/>
  <c r="D198" i="34"/>
  <c r="D243" i="6"/>
  <c r="D195" i="34"/>
  <c r="D240" i="6"/>
  <c r="D196" i="34"/>
  <c r="D241" i="6"/>
  <c r="C259" i="34"/>
  <c r="C268" i="6"/>
  <c r="D194" i="34"/>
  <c r="D239" i="6"/>
  <c r="D197" i="34"/>
  <c r="D242" i="6"/>
  <c r="C271" i="6"/>
  <c r="C262" i="34"/>
  <c r="C269" i="6"/>
  <c r="C260" i="34"/>
  <c r="C266" i="6"/>
  <c r="C257" i="34"/>
  <c r="E102" i="40"/>
  <c r="E103" i="4"/>
  <c r="F165" i="57"/>
  <c r="F164" i="57"/>
  <c r="F163" i="57"/>
  <c r="F168" i="57"/>
  <c r="F167" i="57"/>
  <c r="F162" i="57"/>
  <c r="F161" i="57"/>
  <c r="G167" i="29" l="1"/>
  <c r="G168" i="29"/>
  <c r="C267" i="34"/>
  <c r="C276" i="6"/>
  <c r="C265" i="34"/>
  <c r="C274" i="6"/>
  <c r="D245" i="34"/>
  <c r="D254" i="6"/>
  <c r="D240" i="34"/>
  <c r="D249" i="6"/>
  <c r="E88" i="40"/>
  <c r="E91" i="4"/>
  <c r="E90" i="4"/>
  <c r="E90" i="40" s="1"/>
  <c r="D242" i="34"/>
  <c r="D251" i="6"/>
  <c r="C269" i="34"/>
  <c r="C278" i="6"/>
  <c r="C272" i="34"/>
  <c r="C281" i="6"/>
  <c r="D241" i="34"/>
  <c r="D250" i="6"/>
  <c r="D238" i="34"/>
  <c r="D247" i="6"/>
  <c r="E103" i="40"/>
  <c r="E104" i="4"/>
  <c r="F101" i="4"/>
  <c r="C268" i="34"/>
  <c r="C277" i="6"/>
  <c r="G199" i="29"/>
  <c r="G182" i="29"/>
  <c r="G179" i="29"/>
  <c r="G94" i="29"/>
  <c r="G107" i="29"/>
  <c r="G108" i="29" s="1"/>
  <c r="G177" i="29"/>
  <c r="G178" i="29"/>
  <c r="G183" i="29"/>
  <c r="G181" i="29"/>
  <c r="G121" i="29"/>
  <c r="G122" i="29" s="1"/>
  <c r="G180" i="29"/>
  <c r="G55" i="29"/>
  <c r="G189" i="29"/>
  <c r="G191" i="29" s="1"/>
  <c r="F124" i="30"/>
  <c r="F125" i="30" s="1"/>
  <c r="F127" i="30" s="1"/>
  <c r="G184" i="29"/>
  <c r="G38" i="29"/>
  <c r="G175" i="29"/>
  <c r="G174" i="29"/>
  <c r="G200" i="29" s="1"/>
  <c r="G89" i="29"/>
  <c r="C270" i="34"/>
  <c r="C279" i="6"/>
  <c r="D239" i="34"/>
  <c r="D248" i="6"/>
  <c r="D243" i="34"/>
  <c r="D252" i="6"/>
  <c r="C266" i="34"/>
  <c r="C275" i="6"/>
  <c r="C271" i="34"/>
  <c r="C280" i="6"/>
  <c r="D244" i="34"/>
  <c r="D253" i="6"/>
  <c r="E212" i="40"/>
  <c r="D62" i="57"/>
  <c r="G47" i="29" l="1"/>
  <c r="G50" i="29" s="1"/>
  <c r="G48" i="29"/>
  <c r="G49" i="29"/>
  <c r="G41" i="29"/>
  <c r="G40" i="29"/>
  <c r="G39" i="29"/>
  <c r="G42" i="29" s="1"/>
  <c r="G96" i="29"/>
  <c r="E91" i="40"/>
  <c r="E92" i="4"/>
  <c r="D252" i="34"/>
  <c r="D261" i="6"/>
  <c r="C279" i="34"/>
  <c r="C288" i="6"/>
  <c r="F104" i="30"/>
  <c r="F209" i="30" s="1"/>
  <c r="F218" i="30" s="1"/>
  <c r="F236" i="30" s="1"/>
  <c r="F113" i="30"/>
  <c r="F122" i="30"/>
  <c r="F299" i="30" s="1"/>
  <c r="F100" i="30"/>
  <c r="F205" i="30" s="1"/>
  <c r="F214" i="30" s="1"/>
  <c r="F232" i="30" s="1"/>
  <c r="F109" i="30"/>
  <c r="F118" i="30"/>
  <c r="F295" i="30" s="1"/>
  <c r="F98" i="30"/>
  <c r="F203" i="30" s="1"/>
  <c r="F212" i="30" s="1"/>
  <c r="F230" i="30" s="1"/>
  <c r="F107" i="30"/>
  <c r="F116" i="30"/>
  <c r="F293" i="30" s="1"/>
  <c r="F99" i="30"/>
  <c r="F204" i="30" s="1"/>
  <c r="F213" i="30" s="1"/>
  <c r="F231" i="30" s="1"/>
  <c r="F117" i="30"/>
  <c r="F294" i="30" s="1"/>
  <c r="F108" i="30"/>
  <c r="D256" i="6"/>
  <c r="D247" i="34"/>
  <c r="C290" i="6"/>
  <c r="C281" i="34"/>
  <c r="D260" i="6"/>
  <c r="D251" i="34"/>
  <c r="D254" i="34"/>
  <c r="D263" i="6"/>
  <c r="C276" i="34"/>
  <c r="C285" i="6"/>
  <c r="C280" i="34"/>
  <c r="C289" i="6"/>
  <c r="G123" i="29"/>
  <c r="G126" i="29" s="1"/>
  <c r="G127" i="29" s="1"/>
  <c r="G185" i="29" a="1"/>
  <c r="G185" i="29" s="1"/>
  <c r="G187" i="29" s="1"/>
  <c r="F97" i="30"/>
  <c r="F202" i="30" s="1"/>
  <c r="F211" i="30" s="1"/>
  <c r="F229" i="30" s="1"/>
  <c r="F106" i="30"/>
  <c r="F115" i="30"/>
  <c r="F292" i="30" s="1"/>
  <c r="F102" i="30"/>
  <c r="F207" i="30" s="1"/>
  <c r="F216" i="30" s="1"/>
  <c r="F234" i="30" s="1"/>
  <c r="F120" i="30"/>
  <c r="F297" i="30" s="1"/>
  <c r="F111" i="30"/>
  <c r="F101" i="40"/>
  <c r="D249" i="34"/>
  <c r="D258" i="6"/>
  <c r="C283" i="6"/>
  <c r="C274" i="34"/>
  <c r="G57" i="29"/>
  <c r="G56" i="29"/>
  <c r="G59" i="29" s="1"/>
  <c r="G58" i="29"/>
  <c r="F103" i="30"/>
  <c r="F208" i="30" s="1"/>
  <c r="F217" i="30" s="1"/>
  <c r="F235" i="30" s="1"/>
  <c r="F112" i="30"/>
  <c r="F121" i="30"/>
  <c r="F298" i="30" s="1"/>
  <c r="C277" i="34"/>
  <c r="C286" i="6"/>
  <c r="D262" i="6"/>
  <c r="D253" i="34"/>
  <c r="C284" i="6"/>
  <c r="C275" i="34"/>
  <c r="D257" i="6"/>
  <c r="D248" i="34"/>
  <c r="F94" i="30"/>
  <c r="F154" i="30" s="1"/>
  <c r="F163" i="30" s="1"/>
  <c r="F172" i="30" s="1"/>
  <c r="F181" i="30" s="1"/>
  <c r="F190" i="30" s="1"/>
  <c r="F88" i="30"/>
  <c r="F148" i="30" s="1"/>
  <c r="F157" i="30" s="1"/>
  <c r="F166" i="30" s="1"/>
  <c r="F175" i="30" s="1"/>
  <c r="F184" i="30" s="1"/>
  <c r="F92" i="30"/>
  <c r="F152" i="30" s="1"/>
  <c r="F161" i="30" s="1"/>
  <c r="F170" i="30" s="1"/>
  <c r="F179" i="30" s="1"/>
  <c r="F188" i="30" s="1"/>
  <c r="F91" i="30"/>
  <c r="F151" i="30" s="1"/>
  <c r="F160" i="30" s="1"/>
  <c r="F169" i="30" s="1"/>
  <c r="F178" i="30" s="1"/>
  <c r="F187" i="30" s="1"/>
  <c r="F93" i="30"/>
  <c r="F153" i="30" s="1"/>
  <c r="F162" i="30" s="1"/>
  <c r="F171" i="30" s="1"/>
  <c r="F180" i="30" s="1"/>
  <c r="F189" i="30" s="1"/>
  <c r="F89" i="30"/>
  <c r="F149" i="30" s="1"/>
  <c r="F158" i="30" s="1"/>
  <c r="F167" i="30" s="1"/>
  <c r="F176" i="30" s="1"/>
  <c r="F185" i="30" s="1"/>
  <c r="F90" i="30"/>
  <c r="F150" i="30" s="1"/>
  <c r="F159" i="30" s="1"/>
  <c r="F168" i="30" s="1"/>
  <c r="F177" i="30" s="1"/>
  <c r="F186" i="30" s="1"/>
  <c r="F95" i="30"/>
  <c r="F155" i="30" s="1"/>
  <c r="F164" i="30" s="1"/>
  <c r="F173" i="30" s="1"/>
  <c r="F182" i="30" s="1"/>
  <c r="F191" i="30" s="1"/>
  <c r="F101" i="30"/>
  <c r="F206" i="30" s="1"/>
  <c r="F215" i="30" s="1"/>
  <c r="F233" i="30" s="1"/>
  <c r="F119" i="30"/>
  <c r="F296" i="30" s="1"/>
  <c r="F110" i="30"/>
  <c r="G109" i="29"/>
  <c r="G112" i="29" s="1"/>
  <c r="G113" i="29" s="1"/>
  <c r="E104" i="40"/>
  <c r="E105" i="4"/>
  <c r="E116" i="4"/>
  <c r="E116" i="40" s="1"/>
  <c r="D259" i="6"/>
  <c r="D250" i="34"/>
  <c r="C287" i="6"/>
  <c r="C278" i="34"/>
  <c r="G169" i="29"/>
  <c r="G170" i="29"/>
  <c r="G60" i="29" l="1"/>
  <c r="G62" i="29" s="1"/>
  <c r="D268" i="6"/>
  <c r="D259" i="34"/>
  <c r="H111" i="29"/>
  <c r="G114" i="29"/>
  <c r="F198" i="30"/>
  <c r="D262" i="34"/>
  <c r="D271" i="6"/>
  <c r="D272" i="6"/>
  <c r="D263" i="34"/>
  <c r="D261" i="34"/>
  <c r="D270" i="6"/>
  <c r="F199" i="30"/>
  <c r="F244" i="30" s="1"/>
  <c r="F253" i="30" s="1"/>
  <c r="F262" i="30" s="1"/>
  <c r="F271" i="30" s="1"/>
  <c r="F280" i="30" s="1"/>
  <c r="F289" i="30" s="1"/>
  <c r="F307" i="30" s="1"/>
  <c r="F316" i="30" s="1"/>
  <c r="F196" i="30"/>
  <c r="F241" i="30" s="1"/>
  <c r="F250" i="30" s="1"/>
  <c r="F259" i="30" s="1"/>
  <c r="F268" i="30" s="1"/>
  <c r="F277" i="30" s="1"/>
  <c r="F286" i="30" s="1"/>
  <c r="F304" i="30" s="1"/>
  <c r="F313" i="30" s="1"/>
  <c r="C286" i="34"/>
  <c r="C304" i="6"/>
  <c r="C304" i="34" s="1"/>
  <c r="D258" i="34"/>
  <c r="D267" i="6"/>
  <c r="C287" i="34"/>
  <c r="C305" i="6"/>
  <c r="C305" i="34" s="1"/>
  <c r="E105" i="40"/>
  <c r="E118" i="4"/>
  <c r="E118" i="40" s="1"/>
  <c r="F195" i="30"/>
  <c r="F197" i="30"/>
  <c r="F242" i="30" s="1"/>
  <c r="F251" i="30" s="1"/>
  <c r="F260" i="30" s="1"/>
  <c r="F269" i="30" s="1"/>
  <c r="F278" i="30" s="1"/>
  <c r="F287" i="30" s="1"/>
  <c r="F305" i="30" s="1"/>
  <c r="F314" i="30" s="1"/>
  <c r="C284" i="34"/>
  <c r="C302" i="6"/>
  <c r="C302" i="34" s="1"/>
  <c r="C289" i="34"/>
  <c r="C307" i="6"/>
  <c r="C307" i="34" s="1"/>
  <c r="C285" i="34"/>
  <c r="C303" i="6"/>
  <c r="C303" i="34" s="1"/>
  <c r="C290" i="34"/>
  <c r="C308" i="6"/>
  <c r="C308" i="34" s="1"/>
  <c r="C288" i="34"/>
  <c r="C306" i="6"/>
  <c r="C306" i="34" s="1"/>
  <c r="E92" i="40"/>
  <c r="G43" i="29"/>
  <c r="G44" i="29" s="1"/>
  <c r="G64" i="29"/>
  <c r="G128" i="29"/>
  <c r="G129" i="29" s="1"/>
  <c r="H125" i="29"/>
  <c r="D265" i="6"/>
  <c r="D256" i="34"/>
  <c r="F200" i="30"/>
  <c r="F245" i="30" s="1"/>
  <c r="F254" i="30" s="1"/>
  <c r="F263" i="30" s="1"/>
  <c r="F272" i="30" s="1"/>
  <c r="F281" i="30" s="1"/>
  <c r="F290" i="30" s="1"/>
  <c r="F308" i="30" s="1"/>
  <c r="F317" i="30" s="1"/>
  <c r="F194" i="30"/>
  <c r="F239" i="30" s="1"/>
  <c r="F248" i="30" s="1"/>
  <c r="F257" i="30" s="1"/>
  <c r="F266" i="30" s="1"/>
  <c r="F275" i="30" s="1"/>
  <c r="F284" i="30" s="1"/>
  <c r="F302" i="30" s="1"/>
  <c r="F311" i="30" s="1"/>
  <c r="F193" i="30"/>
  <c r="F238" i="30" s="1"/>
  <c r="F247" i="30" s="1"/>
  <c r="F256" i="30" s="1"/>
  <c r="F265" i="30" s="1"/>
  <c r="F274" i="30" s="1"/>
  <c r="F283" i="30" s="1"/>
  <c r="F301" i="30" s="1"/>
  <c r="F310" i="30" s="1"/>
  <c r="D257" i="34"/>
  <c r="D266" i="6"/>
  <c r="C283" i="34"/>
  <c r="C301" i="6"/>
  <c r="F243" i="30"/>
  <c r="F252" i="30" s="1"/>
  <c r="F261" i="30" s="1"/>
  <c r="F270" i="30" s="1"/>
  <c r="F279" i="30" s="1"/>
  <c r="F288" i="30" s="1"/>
  <c r="F306" i="30" s="1"/>
  <c r="F315" i="30" s="1"/>
  <c r="D269" i="6"/>
  <c r="D260" i="34"/>
  <c r="F240" i="30"/>
  <c r="F249" i="30" s="1"/>
  <c r="F258" i="30" s="1"/>
  <c r="F267" i="30" s="1"/>
  <c r="F276" i="30" s="1"/>
  <c r="F285" i="30" s="1"/>
  <c r="F303" i="30" s="1"/>
  <c r="F312" i="30" s="1"/>
  <c r="G51" i="29"/>
  <c r="G52" i="29" s="1"/>
  <c r="G70" i="29" s="1"/>
  <c r="G98" i="29" s="1"/>
  <c r="G99" i="29" s="1"/>
  <c r="G102" i="29" s="1"/>
  <c r="G103" i="29" s="1"/>
  <c r="G61" i="29" l="1"/>
  <c r="G67" i="29" s="1"/>
  <c r="G75" i="29" s="1"/>
  <c r="G210" i="29" s="1"/>
  <c r="G211" i="29" s="1"/>
  <c r="H101" i="29"/>
  <c r="G104" i="29"/>
  <c r="D272" i="34"/>
  <c r="D281" i="6"/>
  <c r="G45" i="29"/>
  <c r="G68" i="29" s="1"/>
  <c r="G76" i="29" s="1"/>
  <c r="D269" i="34"/>
  <c r="D278" i="6"/>
  <c r="D266" i="34"/>
  <c r="D275" i="6"/>
  <c r="E131" i="4"/>
  <c r="C301" i="34"/>
  <c r="C311" i="6"/>
  <c r="C312" i="6"/>
  <c r="C314" i="6"/>
  <c r="C310" i="6"/>
  <c r="C316" i="6"/>
  <c r="C315" i="6"/>
  <c r="C313" i="6"/>
  <c r="C317" i="6"/>
  <c r="D265" i="34"/>
  <c r="D274" i="6"/>
  <c r="D267" i="34"/>
  <c r="D276" i="6"/>
  <c r="D270" i="34"/>
  <c r="D279" i="6"/>
  <c r="G115" i="29"/>
  <c r="G117" i="29"/>
  <c r="D271" i="34"/>
  <c r="D280" i="6"/>
  <c r="D268" i="34"/>
  <c r="D277" i="6"/>
  <c r="D280" i="34" l="1"/>
  <c r="D289" i="6"/>
  <c r="D283" i="6"/>
  <c r="D274" i="34"/>
  <c r="C315" i="34"/>
  <c r="C324" i="6"/>
  <c r="C321" i="6"/>
  <c r="C312" i="34"/>
  <c r="D284" i="6"/>
  <c r="D275" i="34"/>
  <c r="G85" i="29"/>
  <c r="G82" i="29"/>
  <c r="G83" i="29"/>
  <c r="G84" i="29"/>
  <c r="C325" i="6"/>
  <c r="C316" i="34"/>
  <c r="C320" i="6"/>
  <c r="C311" i="34"/>
  <c r="C317" i="34"/>
  <c r="C326" i="6"/>
  <c r="C319" i="6"/>
  <c r="C310" i="34"/>
  <c r="D278" i="34"/>
  <c r="D287" i="6"/>
  <c r="D290" i="6"/>
  <c r="D281" i="34"/>
  <c r="G105" i="29"/>
  <c r="G116" i="29"/>
  <c r="D279" i="34"/>
  <c r="D288" i="6"/>
  <c r="D286" i="6"/>
  <c r="D277" i="34"/>
  <c r="D285" i="6"/>
  <c r="D276" i="34"/>
  <c r="G119" i="29"/>
  <c r="C322" i="6"/>
  <c r="C313" i="34"/>
  <c r="C323" i="6"/>
  <c r="C314" i="34"/>
  <c r="E161" i="4"/>
  <c r="E131" i="40"/>
  <c r="D68" i="57"/>
  <c r="D285" i="34" l="1"/>
  <c r="D303" i="6"/>
  <c r="G118" i="29"/>
  <c r="C328" i="6"/>
  <c r="C329" i="6"/>
  <c r="C333" i="6"/>
  <c r="D283" i="34"/>
  <c r="D301" i="6"/>
  <c r="C331" i="6"/>
  <c r="D288" i="34"/>
  <c r="D306" i="6"/>
  <c r="D287" i="34"/>
  <c r="D305" i="6"/>
  <c r="C335" i="6"/>
  <c r="G87" i="29"/>
  <c r="D284" i="34"/>
  <c r="D302" i="6"/>
  <c r="D289" i="34"/>
  <c r="D307" i="6"/>
  <c r="E162" i="4"/>
  <c r="E162" i="40" s="1"/>
  <c r="E161" i="40"/>
  <c r="E221" i="4"/>
  <c r="E221" i="40" s="1"/>
  <c r="C332" i="6"/>
  <c r="D286" i="34"/>
  <c r="D304" i="6"/>
  <c r="C334" i="6"/>
  <c r="D290" i="34"/>
  <c r="D308" i="6"/>
  <c r="C330" i="6"/>
  <c r="F164" i="4" l="1"/>
  <c r="F166" i="4" s="1"/>
  <c r="C343" i="6"/>
  <c r="C341" i="6"/>
  <c r="D302" i="34"/>
  <c r="D311" i="6"/>
  <c r="C344" i="6"/>
  <c r="D306" i="34"/>
  <c r="D315" i="6"/>
  <c r="D301" i="34"/>
  <c r="D310" i="6"/>
  <c r="D308" i="34"/>
  <c r="D317" i="6"/>
  <c r="C338" i="6"/>
  <c r="F164" i="40"/>
  <c r="D307" i="34"/>
  <c r="D316" i="6"/>
  <c r="G88" i="29"/>
  <c r="G212" i="29"/>
  <c r="G213" i="29" s="1"/>
  <c r="D305" i="34"/>
  <c r="D314" i="6"/>
  <c r="C340" i="6"/>
  <c r="C342" i="6"/>
  <c r="D303" i="34"/>
  <c r="D312" i="6"/>
  <c r="C339" i="6"/>
  <c r="D304" i="34"/>
  <c r="D313" i="6"/>
  <c r="C337" i="6"/>
  <c r="D316" i="34" l="1"/>
  <c r="D325" i="6"/>
  <c r="D320" i="6"/>
  <c r="D311" i="34"/>
  <c r="C359" i="6"/>
  <c r="D312" i="34"/>
  <c r="D321" i="6"/>
  <c r="C360" i="6"/>
  <c r="F167" i="4"/>
  <c r="F166" i="40"/>
  <c r="F168" i="4"/>
  <c r="F168" i="40" s="1"/>
  <c r="D319" i="6"/>
  <c r="D310" i="34"/>
  <c r="D323" i="6"/>
  <c r="D314" i="34"/>
  <c r="C355" i="6"/>
  <c r="D322" i="6"/>
  <c r="D313" i="34"/>
  <c r="C357" i="6"/>
  <c r="C358" i="6"/>
  <c r="G90" i="29"/>
  <c r="G91" i="29" s="1"/>
  <c r="G92" i="29" s="1"/>
  <c r="G131" i="29" s="1"/>
  <c r="G161" i="29" s="1"/>
  <c r="C356" i="6"/>
  <c r="D326" i="6"/>
  <c r="D317" i="34"/>
  <c r="D315" i="34"/>
  <c r="D324" i="6"/>
  <c r="C362" i="6"/>
  <c r="C361" i="6"/>
  <c r="E154" i="57"/>
  <c r="E150" i="57"/>
  <c r="E81" i="57"/>
  <c r="E152" i="57"/>
  <c r="E153" i="57"/>
  <c r="E151" i="57"/>
  <c r="G162" i="29" l="1"/>
  <c r="G221" i="29"/>
  <c r="H164" i="29"/>
  <c r="D331" i="6"/>
  <c r="D332" i="6"/>
  <c r="D330" i="6"/>
  <c r="C364" i="6" a="1"/>
  <c r="F170" i="4"/>
  <c r="F170" i="40" s="1"/>
  <c r="F167" i="40"/>
  <c r="F169" i="4"/>
  <c r="D329" i="6"/>
  <c r="D333" i="6"/>
  <c r="D335" i="6"/>
  <c r="D328" i="6"/>
  <c r="D334" i="6"/>
  <c r="C365" i="6" l="1"/>
  <c r="C370" i="6"/>
  <c r="C367" i="6"/>
  <c r="C369" i="6"/>
  <c r="C371" i="6"/>
  <c r="C366" i="6"/>
  <c r="C364" i="6"/>
  <c r="C368" i="6"/>
  <c r="D343" i="6"/>
  <c r="D337" i="6"/>
  <c r="D342" i="6"/>
  <c r="H172" i="29"/>
  <c r="H166" i="29"/>
  <c r="F169" i="40"/>
  <c r="F202" i="4"/>
  <c r="F172" i="4"/>
  <c r="D339" i="6"/>
  <c r="D340" i="6"/>
  <c r="D344" i="6"/>
  <c r="D338" i="6"/>
  <c r="D341" i="6"/>
  <c r="G165" i="57"/>
  <c r="G167" i="57"/>
  <c r="G161" i="57"/>
  <c r="G163" i="57"/>
  <c r="G164" i="57"/>
  <c r="G162" i="57"/>
  <c r="G168" i="57"/>
  <c r="E83" i="57"/>
  <c r="E71" i="57"/>
  <c r="E103" i="57"/>
  <c r="E97" i="57"/>
  <c r="E70" i="57"/>
  <c r="E99" i="57"/>
  <c r="E100" i="57"/>
  <c r="E98" i="57"/>
  <c r="E96" i="57"/>
  <c r="E102" i="57"/>
  <c r="E78" i="57" l="1"/>
  <c r="H167" i="29"/>
  <c r="H168" i="29"/>
  <c r="D355" i="6"/>
  <c r="D364" i="6" s="1"/>
  <c r="D373" i="6" s="1"/>
  <c r="Q172" i="4"/>
  <c r="F199" i="4"/>
  <c r="F201" i="4"/>
  <c r="F177" i="4"/>
  <c r="F107" i="4"/>
  <c r="F38" i="4"/>
  <c r="F172" i="40"/>
  <c r="F181" i="4"/>
  <c r="F55" i="4"/>
  <c r="F189" i="4"/>
  <c r="F178" i="4"/>
  <c r="F184" i="4"/>
  <c r="F121" i="4"/>
  <c r="F182" i="4"/>
  <c r="F179" i="4"/>
  <c r="F183" i="4"/>
  <c r="F180" i="4"/>
  <c r="F94" i="4"/>
  <c r="E124" i="6"/>
  <c r="F174" i="4"/>
  <c r="F89" i="4"/>
  <c r="F89" i="40" s="1"/>
  <c r="F175" i="4"/>
  <c r="F175" i="40" s="1"/>
  <c r="D360" i="6"/>
  <c r="C373" i="6"/>
  <c r="C376" i="6"/>
  <c r="C375" i="6"/>
  <c r="C377" i="6"/>
  <c r="C379" i="6"/>
  <c r="C378" i="6"/>
  <c r="C380" i="6"/>
  <c r="C374" i="6"/>
  <c r="D359" i="6"/>
  <c r="D358" i="6"/>
  <c r="H184" i="29"/>
  <c r="H182" i="29"/>
  <c r="H183" i="29"/>
  <c r="H177" i="29"/>
  <c r="G124" i="30"/>
  <c r="G125" i="30" s="1"/>
  <c r="G127" i="30" s="1"/>
  <c r="H199" i="29"/>
  <c r="H121" i="29"/>
  <c r="H122" i="29" s="1"/>
  <c r="H189" i="29"/>
  <c r="H191" i="29" s="1"/>
  <c r="H55" i="29"/>
  <c r="H180" i="29"/>
  <c r="H94" i="29"/>
  <c r="H178" i="29"/>
  <c r="H38" i="29"/>
  <c r="H107" i="29"/>
  <c r="H108" i="29" s="1"/>
  <c r="H181" i="29"/>
  <c r="H179" i="29"/>
  <c r="H174" i="29"/>
  <c r="H200" i="29" s="1"/>
  <c r="H89" i="29"/>
  <c r="H175" i="29"/>
  <c r="D357" i="6"/>
  <c r="D366" i="6" s="1"/>
  <c r="D362" i="6"/>
  <c r="D371" i="6" s="1"/>
  <c r="D380" i="6" s="1"/>
  <c r="D356" i="6"/>
  <c r="D365" i="6" s="1"/>
  <c r="D374" i="6" s="1"/>
  <c r="D361" i="6"/>
  <c r="D370" i="6" s="1"/>
  <c r="E80" i="57"/>
  <c r="E110" i="57"/>
  <c r="E107" i="57"/>
  <c r="E108" i="57"/>
  <c r="E109" i="57"/>
  <c r="E106" i="57"/>
  <c r="E137" i="57"/>
  <c r="E82" i="57"/>
  <c r="E135" i="57"/>
  <c r="E133" i="57"/>
  <c r="E136" i="57"/>
  <c r="E134" i="57"/>
  <c r="E179" i="57"/>
  <c r="E177" i="57"/>
  <c r="E175" i="57"/>
  <c r="E181" i="57"/>
  <c r="E178" i="57"/>
  <c r="E176" i="57"/>
  <c r="E182" i="57"/>
  <c r="E79" i="57"/>
  <c r="D379" i="6" l="1"/>
  <c r="F108" i="4"/>
  <c r="F107" i="40"/>
  <c r="F183" i="40"/>
  <c r="E103" i="6"/>
  <c r="E121" i="6"/>
  <c r="E112" i="6"/>
  <c r="E112" i="34" s="1"/>
  <c r="E104" i="6"/>
  <c r="F184" i="40"/>
  <c r="E113" i="6"/>
  <c r="E113" i="34" s="1"/>
  <c r="E122" i="6"/>
  <c r="E101" i="6"/>
  <c r="F181" i="40"/>
  <c r="E119" i="6"/>
  <c r="E110" i="6"/>
  <c r="E110" i="34" s="1"/>
  <c r="E97" i="6"/>
  <c r="F185" i="4" a="1"/>
  <c r="F185" i="4" s="1"/>
  <c r="F177" i="40"/>
  <c r="E106" i="6"/>
  <c r="E106" i="34" s="1"/>
  <c r="E115" i="6"/>
  <c r="F200" i="4"/>
  <c r="F174" i="40"/>
  <c r="F180" i="40"/>
  <c r="E100" i="6"/>
  <c r="E109" i="6"/>
  <c r="E109" i="34" s="1"/>
  <c r="E118" i="6"/>
  <c r="F122" i="4"/>
  <c r="F121" i="40"/>
  <c r="F56" i="4"/>
  <c r="F57" i="4"/>
  <c r="F55" i="40"/>
  <c r="F58" i="4"/>
  <c r="F58" i="40" s="1"/>
  <c r="G98" i="30"/>
  <c r="G203" i="30" s="1"/>
  <c r="G212" i="30" s="1"/>
  <c r="G230" i="30" s="1"/>
  <c r="G107" i="30"/>
  <c r="G116" i="30"/>
  <c r="G293" i="30" s="1"/>
  <c r="G104" i="30"/>
  <c r="G209" i="30" s="1"/>
  <c r="G218" i="30" s="1"/>
  <c r="G236" i="30" s="1"/>
  <c r="G122" i="30"/>
  <c r="G299" i="30" s="1"/>
  <c r="G113" i="30"/>
  <c r="E124" i="34"/>
  <c r="E125" i="6"/>
  <c r="E99" i="6"/>
  <c r="F179" i="40"/>
  <c r="E108" i="6"/>
  <c r="E108" i="34" s="1"/>
  <c r="E117" i="6"/>
  <c r="E98" i="6"/>
  <c r="F178" i="40"/>
  <c r="E107" i="6"/>
  <c r="E107" i="34" s="1"/>
  <c r="E116" i="6"/>
  <c r="F195" i="40"/>
  <c r="D369" i="6"/>
  <c r="H47" i="29"/>
  <c r="H50" i="29" s="1"/>
  <c r="H48" i="29"/>
  <c r="H41" i="29"/>
  <c r="H49" i="29"/>
  <c r="H40" i="29"/>
  <c r="H39" i="29"/>
  <c r="H42" i="29" s="1"/>
  <c r="G100" i="30"/>
  <c r="G205" i="30" s="1"/>
  <c r="G214" i="30" s="1"/>
  <c r="G232" i="30" s="1"/>
  <c r="G109" i="30"/>
  <c r="G118" i="30"/>
  <c r="G295" i="30" s="1"/>
  <c r="G102" i="30"/>
  <c r="G207" i="30" s="1"/>
  <c r="G216" i="30" s="1"/>
  <c r="G234" i="30" s="1"/>
  <c r="G120" i="30"/>
  <c r="G297" i="30" s="1"/>
  <c r="G111" i="30"/>
  <c r="D368" i="6"/>
  <c r="H170" i="29"/>
  <c r="H169" i="29"/>
  <c r="G99" i="30"/>
  <c r="G204" i="30" s="1"/>
  <c r="G213" i="30" s="1"/>
  <c r="G231" i="30" s="1"/>
  <c r="G108" i="30"/>
  <c r="G117" i="30"/>
  <c r="G294" i="30" s="1"/>
  <c r="H57" i="29"/>
  <c r="H56" i="29"/>
  <c r="H59" i="29" s="1"/>
  <c r="H58" i="29"/>
  <c r="G101" i="30"/>
  <c r="G206" i="30" s="1"/>
  <c r="G215" i="30" s="1"/>
  <c r="G233" i="30" s="1"/>
  <c r="G119" i="30"/>
  <c r="G296" i="30" s="1"/>
  <c r="G110" i="30"/>
  <c r="H96" i="29"/>
  <c r="G90" i="30"/>
  <c r="G150" i="30" s="1"/>
  <c r="G159" i="30" s="1"/>
  <c r="G168" i="30" s="1"/>
  <c r="G177" i="30" s="1"/>
  <c r="G186" i="30" s="1"/>
  <c r="G91" i="30"/>
  <c r="G151" i="30" s="1"/>
  <c r="G160" i="30" s="1"/>
  <c r="G169" i="30" s="1"/>
  <c r="G178" i="30" s="1"/>
  <c r="G187" i="30" s="1"/>
  <c r="G94" i="30"/>
  <c r="G154" i="30" s="1"/>
  <c r="G163" i="30" s="1"/>
  <c r="G172" i="30" s="1"/>
  <c r="G181" i="30" s="1"/>
  <c r="G190" i="30" s="1"/>
  <c r="G92" i="30"/>
  <c r="G152" i="30" s="1"/>
  <c r="G161" i="30" s="1"/>
  <c r="G170" i="30" s="1"/>
  <c r="G179" i="30" s="1"/>
  <c r="G188" i="30" s="1"/>
  <c r="G95" i="30"/>
  <c r="G155" i="30" s="1"/>
  <c r="G164" i="30" s="1"/>
  <c r="G173" i="30" s="1"/>
  <c r="G182" i="30" s="1"/>
  <c r="G191" i="30" s="1"/>
  <c r="G89" i="30"/>
  <c r="G149" i="30" s="1"/>
  <c r="G158" i="30" s="1"/>
  <c r="G167" i="30" s="1"/>
  <c r="G176" i="30" s="1"/>
  <c r="G185" i="30" s="1"/>
  <c r="G93" i="30"/>
  <c r="G153" i="30" s="1"/>
  <c r="G162" i="30" s="1"/>
  <c r="G171" i="30" s="1"/>
  <c r="G180" i="30" s="1"/>
  <c r="G189" i="30" s="1"/>
  <c r="G88" i="30"/>
  <c r="G148" i="30" s="1"/>
  <c r="G157" i="30" s="1"/>
  <c r="G166" i="30" s="1"/>
  <c r="G175" i="30" s="1"/>
  <c r="G184" i="30" s="1"/>
  <c r="G97" i="30"/>
  <c r="G202" i="30" s="1"/>
  <c r="G211" i="30" s="1"/>
  <c r="G229" i="30" s="1"/>
  <c r="H185" i="29" a="1"/>
  <c r="H185" i="29" s="1"/>
  <c r="H187" i="29" s="1"/>
  <c r="G106" i="30"/>
  <c r="G115" i="30"/>
  <c r="G292" i="30" s="1"/>
  <c r="H109" i="29"/>
  <c r="H112" i="29" s="1"/>
  <c r="H113" i="29" s="1"/>
  <c r="H123" i="29"/>
  <c r="H126" i="29" s="1"/>
  <c r="H127" i="29" s="1"/>
  <c r="G103" i="30"/>
  <c r="G208" i="30" s="1"/>
  <c r="G217" i="30" s="1"/>
  <c r="G235" i="30" s="1"/>
  <c r="G121" i="30"/>
  <c r="G298" i="30" s="1"/>
  <c r="G112" i="30"/>
  <c r="D367" i="6"/>
  <c r="D375" i="6"/>
  <c r="F94" i="40"/>
  <c r="F96" i="4"/>
  <c r="F182" i="40"/>
  <c r="E102" i="6"/>
  <c r="E111" i="6"/>
  <c r="E111" i="34" s="1"/>
  <c r="E120" i="6"/>
  <c r="F189" i="40"/>
  <c r="F191" i="4"/>
  <c r="F48" i="4"/>
  <c r="F48" i="40" s="1"/>
  <c r="F47" i="4"/>
  <c r="F38" i="40"/>
  <c r="F40" i="4"/>
  <c r="F49" i="4"/>
  <c r="F49" i="40" s="1"/>
  <c r="F41" i="4"/>
  <c r="F41" i="40" s="1"/>
  <c r="F39" i="4"/>
  <c r="E188" i="57"/>
  <c r="E186" i="57"/>
  <c r="E192" i="57"/>
  <c r="E189" i="57"/>
  <c r="E187" i="57"/>
  <c r="E185" i="57"/>
  <c r="E191" i="57"/>
  <c r="E73" i="57"/>
  <c r="E147" i="57"/>
  <c r="E141" i="57"/>
  <c r="E143" i="57"/>
  <c r="E144" i="57"/>
  <c r="E142" i="57"/>
  <c r="E140" i="57"/>
  <c r="E146" i="57"/>
  <c r="H43" i="29" l="1"/>
  <c r="H44" i="29" s="1"/>
  <c r="G193" i="30"/>
  <c r="E117" i="34"/>
  <c r="E294" i="6"/>
  <c r="E127" i="6"/>
  <c r="E125" i="34"/>
  <c r="F57" i="40"/>
  <c r="E118" i="34"/>
  <c r="E295" i="6"/>
  <c r="F185" i="40"/>
  <c r="F187" i="4"/>
  <c r="F187" i="40" s="1"/>
  <c r="E208" i="6"/>
  <c r="E103" i="34"/>
  <c r="F47" i="40"/>
  <c r="F50" i="4"/>
  <c r="E120" i="34"/>
  <c r="E297" i="6"/>
  <c r="F96" i="40"/>
  <c r="D376" i="6"/>
  <c r="I125" i="29"/>
  <c r="H128" i="29"/>
  <c r="H129" i="29" s="1"/>
  <c r="G198" i="30"/>
  <c r="G243" i="30" s="1"/>
  <c r="G252" i="30" s="1"/>
  <c r="G261" i="30" s="1"/>
  <c r="G270" i="30" s="1"/>
  <c r="G279" i="30" s="1"/>
  <c r="G288" i="30" s="1"/>
  <c r="G306" i="30" s="1"/>
  <c r="G315" i="30" s="1"/>
  <c r="G199" i="30"/>
  <c r="G244" i="30" s="1"/>
  <c r="G253" i="30" s="1"/>
  <c r="G262" i="30" s="1"/>
  <c r="G271" i="30" s="1"/>
  <c r="G280" i="30" s="1"/>
  <c r="G289" i="30" s="1"/>
  <c r="G307" i="30" s="1"/>
  <c r="G316" i="30" s="1"/>
  <c r="H51" i="29"/>
  <c r="H52" i="29" s="1"/>
  <c r="F56" i="40"/>
  <c r="F59" i="4"/>
  <c r="E115" i="34"/>
  <c r="E292" i="6"/>
  <c r="E202" i="6"/>
  <c r="E97" i="34"/>
  <c r="E101" i="34"/>
  <c r="E206" i="6"/>
  <c r="E104" i="34"/>
  <c r="E209" i="6"/>
  <c r="F39" i="40"/>
  <c r="F42" i="4"/>
  <c r="G194" i="30"/>
  <c r="G239" i="30" s="1"/>
  <c r="G248" i="30" s="1"/>
  <c r="G257" i="30" s="1"/>
  <c r="G266" i="30" s="1"/>
  <c r="G275" i="30" s="1"/>
  <c r="G284" i="30" s="1"/>
  <c r="G302" i="30" s="1"/>
  <c r="G311" i="30" s="1"/>
  <c r="D378" i="6"/>
  <c r="E100" i="34"/>
  <c r="E205" i="6"/>
  <c r="E122" i="34"/>
  <c r="E299" i="6"/>
  <c r="F108" i="40"/>
  <c r="F109" i="4"/>
  <c r="G197" i="30"/>
  <c r="G242" i="30" s="1"/>
  <c r="G251" i="30" s="1"/>
  <c r="G260" i="30" s="1"/>
  <c r="G269" i="30" s="1"/>
  <c r="G278" i="30" s="1"/>
  <c r="G287" i="30" s="1"/>
  <c r="G305" i="30" s="1"/>
  <c r="G314" i="30" s="1"/>
  <c r="D377" i="6"/>
  <c r="E293" i="6"/>
  <c r="E116" i="34"/>
  <c r="G196" i="30"/>
  <c r="G241" i="30" s="1"/>
  <c r="G250" i="30" s="1"/>
  <c r="G259" i="30" s="1"/>
  <c r="G268" i="30" s="1"/>
  <c r="G277" i="30" s="1"/>
  <c r="G286" i="30" s="1"/>
  <c r="G304" i="30" s="1"/>
  <c r="G313" i="30" s="1"/>
  <c r="F40" i="40"/>
  <c r="Q191" i="4"/>
  <c r="F191" i="40"/>
  <c r="E93" i="6"/>
  <c r="E88" i="6"/>
  <c r="E91" i="6"/>
  <c r="E90" i="6"/>
  <c r="E95" i="6"/>
  <c r="E89" i="6"/>
  <c r="E94" i="6"/>
  <c r="E92" i="6"/>
  <c r="E207" i="6"/>
  <c r="E102" i="34"/>
  <c r="H114" i="29"/>
  <c r="I111" i="29"/>
  <c r="G238" i="30"/>
  <c r="G247" i="30" s="1"/>
  <c r="G256" i="30" s="1"/>
  <c r="G265" i="30" s="1"/>
  <c r="G274" i="30" s="1"/>
  <c r="G283" i="30" s="1"/>
  <c r="G301" i="30" s="1"/>
  <c r="G310" i="30" s="1"/>
  <c r="G200" i="30"/>
  <c r="G245" i="30" s="1"/>
  <c r="G254" i="30" s="1"/>
  <c r="G263" i="30" s="1"/>
  <c r="G272" i="30" s="1"/>
  <c r="G281" i="30" s="1"/>
  <c r="G290" i="30" s="1"/>
  <c r="G308" i="30" s="1"/>
  <c r="G317" i="30" s="1"/>
  <c r="G195" i="30"/>
  <c r="H60" i="29"/>
  <c r="G240" i="30"/>
  <c r="G249" i="30" s="1"/>
  <c r="G258" i="30" s="1"/>
  <c r="G267" i="30" s="1"/>
  <c r="G276" i="30" s="1"/>
  <c r="G285" i="30" s="1"/>
  <c r="G303" i="30" s="1"/>
  <c r="G312" i="30" s="1"/>
  <c r="E203" i="6"/>
  <c r="E98" i="34"/>
  <c r="E204" i="6"/>
  <c r="E99" i="34"/>
  <c r="F122" i="40"/>
  <c r="F123" i="4"/>
  <c r="E119" i="34"/>
  <c r="E296" i="6"/>
  <c r="E121" i="34"/>
  <c r="E298" i="6"/>
  <c r="H45" i="29" l="1"/>
  <c r="H117" i="29"/>
  <c r="H115" i="29"/>
  <c r="E152" i="6"/>
  <c r="E92" i="34"/>
  <c r="E90" i="34"/>
  <c r="E150" i="6"/>
  <c r="E293" i="34"/>
  <c r="F42" i="40"/>
  <c r="F43" i="4"/>
  <c r="E202" i="34"/>
  <c r="E211" i="6"/>
  <c r="E297" i="34"/>
  <c r="E295" i="34"/>
  <c r="E212" i="6"/>
  <c r="E203" i="34"/>
  <c r="H64" i="29"/>
  <c r="H61" i="29"/>
  <c r="H67" i="29" s="1"/>
  <c r="H75" i="29" s="1"/>
  <c r="H210" i="29" s="1"/>
  <c r="H211" i="29" s="1"/>
  <c r="E154" i="6"/>
  <c r="E94" i="34"/>
  <c r="E151" i="6"/>
  <c r="E91" i="34"/>
  <c r="H62" i="29"/>
  <c r="E299" i="34"/>
  <c r="E206" i="34"/>
  <c r="E215" i="6"/>
  <c r="E292" i="34"/>
  <c r="E208" i="34"/>
  <c r="E217" i="6"/>
  <c r="E127" i="34"/>
  <c r="E298" i="34"/>
  <c r="F123" i="40"/>
  <c r="F126" i="4"/>
  <c r="F112" i="4"/>
  <c r="F109" i="40"/>
  <c r="F50" i="40"/>
  <c r="F51" i="4"/>
  <c r="E294" i="34"/>
  <c r="E296" i="34"/>
  <c r="E149" i="6"/>
  <c r="E89" i="34"/>
  <c r="E88" i="34"/>
  <c r="E148" i="6"/>
  <c r="E213" i="6"/>
  <c r="E204" i="34"/>
  <c r="E216" i="6"/>
  <c r="E207" i="34"/>
  <c r="E95" i="34"/>
  <c r="E155" i="6"/>
  <c r="E153" i="6"/>
  <c r="E93" i="34"/>
  <c r="E205" i="34"/>
  <c r="E214" i="6"/>
  <c r="E209" i="34"/>
  <c r="E218" i="6"/>
  <c r="F59" i="40"/>
  <c r="F60" i="4"/>
  <c r="H70" i="29"/>
  <c r="H98" i="29" s="1"/>
  <c r="H99" i="29" s="1"/>
  <c r="H102" i="29" s="1"/>
  <c r="H103" i="29" s="1"/>
  <c r="H68" i="29" l="1"/>
  <c r="H76" i="29" s="1"/>
  <c r="H82" i="29" s="1"/>
  <c r="H119" i="29"/>
  <c r="H85" i="29"/>
  <c r="H84" i="29"/>
  <c r="H83" i="29"/>
  <c r="F64" i="4"/>
  <c r="F64" i="40" s="1"/>
  <c r="F60" i="40"/>
  <c r="F61" i="4"/>
  <c r="F61" i="40" s="1"/>
  <c r="E232" i="6"/>
  <c r="E214" i="34"/>
  <c r="E162" i="6"/>
  <c r="E153" i="34"/>
  <c r="E234" i="6"/>
  <c r="E216" i="34"/>
  <c r="E157" i="6"/>
  <c r="E148" i="34"/>
  <c r="F62" i="4"/>
  <c r="F62" i="40" s="1"/>
  <c r="E233" i="6"/>
  <c r="E215" i="34"/>
  <c r="F43" i="40"/>
  <c r="F44" i="4"/>
  <c r="E159" i="6"/>
  <c r="E150" i="34"/>
  <c r="E218" i="34"/>
  <c r="E236" i="6"/>
  <c r="F45" i="4"/>
  <c r="F52" i="4"/>
  <c r="F51" i="40"/>
  <c r="E152" i="34"/>
  <c r="E161" i="6"/>
  <c r="E155" i="34"/>
  <c r="E164" i="6"/>
  <c r="F112" i="40"/>
  <c r="F113" i="4"/>
  <c r="E217" i="34"/>
  <c r="E235" i="6"/>
  <c r="E154" i="34"/>
  <c r="E163" i="6"/>
  <c r="E230" i="6"/>
  <c r="E212" i="34"/>
  <c r="I101" i="29"/>
  <c r="H104" i="29"/>
  <c r="E231" i="6"/>
  <c r="E213" i="34"/>
  <c r="E149" i="34"/>
  <c r="E158" i="6"/>
  <c r="F126" i="40"/>
  <c r="F127" i="4"/>
  <c r="E160" i="6"/>
  <c r="E151" i="34"/>
  <c r="E211" i="34"/>
  <c r="E229" i="6"/>
  <c r="H105" i="29" l="1"/>
  <c r="H116" i="29"/>
  <c r="E234" i="34"/>
  <c r="E232" i="34"/>
  <c r="E229" i="34"/>
  <c r="G125" i="4"/>
  <c r="F128" i="4"/>
  <c r="F127" i="40"/>
  <c r="E235" i="34"/>
  <c r="E164" i="34"/>
  <c r="E173" i="6"/>
  <c r="E158" i="34"/>
  <c r="E167" i="6"/>
  <c r="E163" i="34"/>
  <c r="E172" i="6"/>
  <c r="F113" i="40"/>
  <c r="F114" i="4"/>
  <c r="G111" i="4"/>
  <c r="E161" i="34"/>
  <c r="E170" i="6"/>
  <c r="E160" i="34"/>
  <c r="E169" i="6"/>
  <c r="E236" i="34"/>
  <c r="F67" i="4"/>
  <c r="F44" i="40"/>
  <c r="E231" i="34"/>
  <c r="E230" i="34"/>
  <c r="F70" i="4"/>
  <c r="F52" i="40"/>
  <c r="E157" i="34"/>
  <c r="E166" i="6"/>
  <c r="E162" i="34"/>
  <c r="E171" i="6"/>
  <c r="F45" i="40"/>
  <c r="F68" i="4"/>
  <c r="E159" i="34"/>
  <c r="E168" i="6"/>
  <c r="E233" i="34"/>
  <c r="H87" i="29"/>
  <c r="E124" i="57"/>
  <c r="E126" i="57"/>
  <c r="E130" i="57"/>
  <c r="E127" i="57"/>
  <c r="E125" i="57"/>
  <c r="E123" i="57"/>
  <c r="E129" i="57"/>
  <c r="E115" i="57"/>
  <c r="E117" i="57"/>
  <c r="E119" i="57"/>
  <c r="E113" i="57"/>
  <c r="E116" i="57"/>
  <c r="E114" i="57"/>
  <c r="E120" i="57"/>
  <c r="H88" i="29" l="1"/>
  <c r="H212" i="29"/>
  <c r="H213" i="29" s="1"/>
  <c r="E180" i="6"/>
  <c r="E171" i="34"/>
  <c r="F67" i="40"/>
  <c r="G206" i="4"/>
  <c r="F75" i="4"/>
  <c r="E169" i="34"/>
  <c r="E178" i="6"/>
  <c r="G111" i="40"/>
  <c r="E173" i="34"/>
  <c r="E182" i="6"/>
  <c r="E177" i="6"/>
  <c r="E168" i="34"/>
  <c r="E167" i="34"/>
  <c r="E176" i="6"/>
  <c r="F128" i="40"/>
  <c r="F129" i="4"/>
  <c r="F129" i="40" s="1"/>
  <c r="E181" i="6"/>
  <c r="E172" i="34"/>
  <c r="F68" i="40"/>
  <c r="F76" i="4"/>
  <c r="F70" i="40"/>
  <c r="F98" i="4"/>
  <c r="F114" i="40"/>
  <c r="F115" i="4"/>
  <c r="F117" i="4"/>
  <c r="F117" i="40" s="1"/>
  <c r="E175" i="6"/>
  <c r="E166" i="34"/>
  <c r="E179" i="6"/>
  <c r="E170" i="34"/>
  <c r="G125" i="40"/>
  <c r="H118" i="29"/>
  <c r="F75" i="57"/>
  <c r="E200" i="57"/>
  <c r="E181" i="34" l="1"/>
  <c r="E190" i="6"/>
  <c r="F75" i="40"/>
  <c r="F210" i="4"/>
  <c r="E180" i="34"/>
  <c r="E189" i="6"/>
  <c r="F115" i="40"/>
  <c r="F119" i="4"/>
  <c r="F119" i="40" s="1"/>
  <c r="E177" i="34"/>
  <c r="E186" i="6"/>
  <c r="E179" i="34"/>
  <c r="E188" i="6"/>
  <c r="F76" i="40"/>
  <c r="F83" i="4"/>
  <c r="F84" i="4"/>
  <c r="F82" i="4"/>
  <c r="F85" i="4"/>
  <c r="E175" i="34"/>
  <c r="E184" i="6"/>
  <c r="F98" i="40"/>
  <c r="F99" i="4"/>
  <c r="E176" i="34"/>
  <c r="E185" i="6"/>
  <c r="E182" i="34"/>
  <c r="E191" i="6"/>
  <c r="E178" i="34"/>
  <c r="E187" i="6"/>
  <c r="H90" i="29"/>
  <c r="H91" i="29" s="1"/>
  <c r="H92" i="29" s="1"/>
  <c r="H131" i="29" s="1"/>
  <c r="H161" i="29" s="1"/>
  <c r="H162" i="29" l="1"/>
  <c r="H221" i="29"/>
  <c r="I164" i="29"/>
  <c r="E187" i="34"/>
  <c r="E196" i="6"/>
  <c r="E185" i="34"/>
  <c r="E194" i="6"/>
  <c r="E184" i="34"/>
  <c r="E193" i="6"/>
  <c r="F83" i="40"/>
  <c r="E195" i="6"/>
  <c r="E186" i="34"/>
  <c r="E200" i="6"/>
  <c r="E191" i="34"/>
  <c r="F102" i="4"/>
  <c r="F99" i="40"/>
  <c r="F85" i="40"/>
  <c r="E189" i="34"/>
  <c r="E198" i="6"/>
  <c r="E199" i="6"/>
  <c r="E190" i="34"/>
  <c r="F84" i="40"/>
  <c r="F210" i="40"/>
  <c r="F211" i="4"/>
  <c r="F211" i="40" s="1"/>
  <c r="F82" i="40"/>
  <c r="F87" i="4"/>
  <c r="E188" i="34"/>
  <c r="E197" i="6"/>
  <c r="E199" i="34" l="1"/>
  <c r="E244" i="6"/>
  <c r="E193" i="34"/>
  <c r="E238" i="6"/>
  <c r="E195" i="34"/>
  <c r="E240" i="6"/>
  <c r="I172" i="29"/>
  <c r="I166" i="29"/>
  <c r="E198" i="34"/>
  <c r="E243" i="6"/>
  <c r="E200" i="34"/>
  <c r="E245" i="6"/>
  <c r="E197" i="34"/>
  <c r="E242" i="6"/>
  <c r="F212" i="4"/>
  <c r="F88" i="4"/>
  <c r="F87" i="40"/>
  <c r="F102" i="40"/>
  <c r="F103" i="4"/>
  <c r="E194" i="34"/>
  <c r="E239" i="6"/>
  <c r="E196" i="34"/>
  <c r="E241" i="6"/>
  <c r="C16" i="57"/>
  <c r="C17" i="57"/>
  <c r="C18" i="57"/>
  <c r="C21" i="57"/>
  <c r="H162" i="57"/>
  <c r="H161" i="57"/>
  <c r="H168" i="57"/>
  <c r="H167" i="57"/>
  <c r="C19" i="57"/>
  <c r="C15" i="57"/>
  <c r="H163" i="57"/>
  <c r="H165" i="57"/>
  <c r="H164" i="57"/>
  <c r="F90" i="4" l="1"/>
  <c r="F90" i="40" s="1"/>
  <c r="F88" i="40"/>
  <c r="E241" i="34"/>
  <c r="E250" i="6"/>
  <c r="F103" i="40"/>
  <c r="F104" i="4"/>
  <c r="G101" i="4"/>
  <c r="F212" i="40"/>
  <c r="E238" i="34"/>
  <c r="E247" i="6"/>
  <c r="E242" i="34"/>
  <c r="E251" i="6"/>
  <c r="E243" i="34"/>
  <c r="E252" i="6"/>
  <c r="E245" i="34"/>
  <c r="E254" i="6"/>
  <c r="I184" i="29"/>
  <c r="H124" i="30"/>
  <c r="H125" i="30" s="1"/>
  <c r="H127" i="30" s="1"/>
  <c r="I181" i="29"/>
  <c r="I189" i="29"/>
  <c r="I191" i="29" s="1"/>
  <c r="I55" i="29"/>
  <c r="I38" i="29"/>
  <c r="I182" i="29"/>
  <c r="I199" i="29"/>
  <c r="I179" i="29"/>
  <c r="I121" i="29"/>
  <c r="I122" i="29" s="1"/>
  <c r="I180" i="29"/>
  <c r="I183" i="29"/>
  <c r="I107" i="29"/>
  <c r="I108" i="29" s="1"/>
  <c r="I178" i="29"/>
  <c r="I94" i="29"/>
  <c r="I177" i="29"/>
  <c r="I174" i="29"/>
  <c r="I200" i="29" s="1"/>
  <c r="I89" i="29"/>
  <c r="I175" i="29"/>
  <c r="E239" i="34"/>
  <c r="E248" i="6"/>
  <c r="E240" i="34"/>
  <c r="E249" i="6"/>
  <c r="E244" i="34"/>
  <c r="E253" i="6"/>
  <c r="I167" i="29"/>
  <c r="I168" i="29"/>
  <c r="C30" i="57"/>
  <c r="C28" i="57"/>
  <c r="C27" i="57"/>
  <c r="C24" i="57"/>
  <c r="C25" i="57"/>
  <c r="C26" i="57"/>
  <c r="I109" i="29" l="1"/>
  <c r="I112" i="29" s="1"/>
  <c r="I113" i="29" s="1"/>
  <c r="H99" i="30"/>
  <c r="H204" i="30" s="1"/>
  <c r="H213" i="30" s="1"/>
  <c r="H231" i="30" s="1"/>
  <c r="H108" i="30"/>
  <c r="H117" i="30"/>
  <c r="H294" i="30" s="1"/>
  <c r="I47" i="29"/>
  <c r="I50" i="29" s="1"/>
  <c r="I48" i="29"/>
  <c r="I39" i="29"/>
  <c r="I42" i="29" s="1"/>
  <c r="I40" i="29"/>
  <c r="I49" i="29"/>
  <c r="I41" i="29"/>
  <c r="E261" i="6"/>
  <c r="E252" i="34"/>
  <c r="E247" i="34"/>
  <c r="E256" i="6"/>
  <c r="G101" i="40"/>
  <c r="I170" i="29"/>
  <c r="I169" i="29"/>
  <c r="E258" i="6"/>
  <c r="E249" i="34"/>
  <c r="H97" i="30"/>
  <c r="H202" i="30" s="1"/>
  <c r="H211" i="30" s="1"/>
  <c r="H229" i="30" s="1"/>
  <c r="I185" i="29" a="1"/>
  <c r="I185" i="29" s="1"/>
  <c r="I187" i="29" s="1"/>
  <c r="H106" i="30"/>
  <c r="H115" i="30"/>
  <c r="H292" i="30" s="1"/>
  <c r="H103" i="30"/>
  <c r="H208" i="30" s="1"/>
  <c r="H217" i="30" s="1"/>
  <c r="H235" i="30" s="1"/>
  <c r="H112" i="30"/>
  <c r="H121" i="30"/>
  <c r="H298" i="30" s="1"/>
  <c r="I57" i="29"/>
  <c r="I56" i="29"/>
  <c r="I59" i="29" s="1"/>
  <c r="I58" i="29"/>
  <c r="H104" i="30"/>
  <c r="H209" i="30" s="1"/>
  <c r="H218" i="30" s="1"/>
  <c r="H236" i="30" s="1"/>
  <c r="H122" i="30"/>
  <c r="H299" i="30" s="1"/>
  <c r="H113" i="30"/>
  <c r="F104" i="40"/>
  <c r="F105" i="4"/>
  <c r="F116" i="4"/>
  <c r="F116" i="40" s="1"/>
  <c r="F91" i="4"/>
  <c r="I96" i="29"/>
  <c r="H100" i="30"/>
  <c r="H205" i="30" s="1"/>
  <c r="H214" i="30" s="1"/>
  <c r="H232" i="30" s="1"/>
  <c r="H118" i="30"/>
  <c r="H295" i="30" s="1"/>
  <c r="H109" i="30"/>
  <c r="H90" i="30"/>
  <c r="H150" i="30" s="1"/>
  <c r="H159" i="30" s="1"/>
  <c r="H168" i="30" s="1"/>
  <c r="H177" i="30" s="1"/>
  <c r="H186" i="30" s="1"/>
  <c r="H95" i="30"/>
  <c r="H155" i="30" s="1"/>
  <c r="H164" i="30" s="1"/>
  <c r="H173" i="30" s="1"/>
  <c r="H182" i="30" s="1"/>
  <c r="H191" i="30" s="1"/>
  <c r="H92" i="30"/>
  <c r="H152" i="30" s="1"/>
  <c r="H161" i="30" s="1"/>
  <c r="H170" i="30" s="1"/>
  <c r="H179" i="30" s="1"/>
  <c r="H188" i="30" s="1"/>
  <c r="H89" i="30"/>
  <c r="H149" i="30" s="1"/>
  <c r="H158" i="30" s="1"/>
  <c r="H167" i="30" s="1"/>
  <c r="H176" i="30" s="1"/>
  <c r="H185" i="30" s="1"/>
  <c r="H93" i="30"/>
  <c r="H153" i="30" s="1"/>
  <c r="H162" i="30" s="1"/>
  <c r="H171" i="30" s="1"/>
  <c r="H180" i="30" s="1"/>
  <c r="H189" i="30" s="1"/>
  <c r="H88" i="30"/>
  <c r="H148" i="30" s="1"/>
  <c r="H157" i="30" s="1"/>
  <c r="H166" i="30" s="1"/>
  <c r="H175" i="30" s="1"/>
  <c r="H184" i="30" s="1"/>
  <c r="H91" i="30"/>
  <c r="H151" i="30" s="1"/>
  <c r="H160" i="30" s="1"/>
  <c r="H169" i="30" s="1"/>
  <c r="H178" i="30" s="1"/>
  <c r="H187" i="30" s="1"/>
  <c r="H94" i="30"/>
  <c r="H154" i="30" s="1"/>
  <c r="H163" i="30" s="1"/>
  <c r="H172" i="30" s="1"/>
  <c r="H181" i="30" s="1"/>
  <c r="H190" i="30" s="1"/>
  <c r="E254" i="34"/>
  <c r="E263" i="6"/>
  <c r="E260" i="6"/>
  <c r="E251" i="34"/>
  <c r="E262" i="6"/>
  <c r="E253" i="34"/>
  <c r="E248" i="34"/>
  <c r="E257" i="6"/>
  <c r="H98" i="30"/>
  <c r="H203" i="30" s="1"/>
  <c r="H212" i="30" s="1"/>
  <c r="H230" i="30" s="1"/>
  <c r="H116" i="30"/>
  <c r="H293" i="30" s="1"/>
  <c r="H107" i="30"/>
  <c r="I123" i="29"/>
  <c r="I126" i="29" s="1"/>
  <c r="I127" i="29" s="1"/>
  <c r="H102" i="30"/>
  <c r="H207" i="30" s="1"/>
  <c r="H216" i="30" s="1"/>
  <c r="H234" i="30" s="1"/>
  <c r="H120" i="30"/>
  <c r="H297" i="30" s="1"/>
  <c r="H111" i="30"/>
  <c r="H101" i="30"/>
  <c r="H206" i="30" s="1"/>
  <c r="H215" i="30" s="1"/>
  <c r="H233" i="30" s="1"/>
  <c r="H119" i="30"/>
  <c r="H296" i="30" s="1"/>
  <c r="H110" i="30"/>
  <c r="E250" i="34"/>
  <c r="E259" i="6"/>
  <c r="E62" i="57"/>
  <c r="I43" i="29" l="1"/>
  <c r="I44" i="29" s="1"/>
  <c r="I60" i="29"/>
  <c r="I61" i="29" s="1"/>
  <c r="E266" i="6"/>
  <c r="E257" i="34"/>
  <c r="H199" i="30"/>
  <c r="H194" i="30"/>
  <c r="H239" i="30" s="1"/>
  <c r="H248" i="30" s="1"/>
  <c r="H257" i="30" s="1"/>
  <c r="H266" i="30" s="1"/>
  <c r="H275" i="30" s="1"/>
  <c r="H284" i="30" s="1"/>
  <c r="H302" i="30" s="1"/>
  <c r="H311" i="30" s="1"/>
  <c r="F118" i="4"/>
  <c r="F118" i="40" s="1"/>
  <c r="F105" i="40"/>
  <c r="E267" i="6"/>
  <c r="E258" i="34"/>
  <c r="E270" i="6"/>
  <c r="E261" i="34"/>
  <c r="E260" i="34"/>
  <c r="E269" i="6"/>
  <c r="H196" i="30"/>
  <c r="H241" i="30" s="1"/>
  <c r="H250" i="30" s="1"/>
  <c r="H259" i="30" s="1"/>
  <c r="H268" i="30" s="1"/>
  <c r="H277" i="30" s="1"/>
  <c r="H286" i="30" s="1"/>
  <c r="H304" i="30" s="1"/>
  <c r="H313" i="30" s="1"/>
  <c r="H197" i="30"/>
  <c r="E265" i="6"/>
  <c r="E256" i="34"/>
  <c r="E272" i="6"/>
  <c r="E263" i="34"/>
  <c r="H193" i="30"/>
  <c r="H200" i="30"/>
  <c r="H245" i="30" s="1"/>
  <c r="H254" i="30" s="1"/>
  <c r="H263" i="30" s="1"/>
  <c r="H272" i="30" s="1"/>
  <c r="H281" i="30" s="1"/>
  <c r="H290" i="30" s="1"/>
  <c r="H308" i="30" s="1"/>
  <c r="H317" i="30" s="1"/>
  <c r="F91" i="40"/>
  <c r="F92" i="4"/>
  <c r="H244" i="30"/>
  <c r="H253" i="30" s="1"/>
  <c r="H262" i="30" s="1"/>
  <c r="H271" i="30" s="1"/>
  <c r="H280" i="30" s="1"/>
  <c r="H289" i="30" s="1"/>
  <c r="H307" i="30" s="1"/>
  <c r="H316" i="30" s="1"/>
  <c r="H238" i="30"/>
  <c r="H247" i="30" s="1"/>
  <c r="H256" i="30" s="1"/>
  <c r="H265" i="30" s="1"/>
  <c r="H274" i="30" s="1"/>
  <c r="H283" i="30" s="1"/>
  <c r="H301" i="30" s="1"/>
  <c r="H310" i="30" s="1"/>
  <c r="I51" i="29"/>
  <c r="I52" i="29" s="1"/>
  <c r="J111" i="29"/>
  <c r="I114" i="29"/>
  <c r="E259" i="34"/>
  <c r="E268" i="6"/>
  <c r="H242" i="30"/>
  <c r="H251" i="30" s="1"/>
  <c r="H260" i="30" s="1"/>
  <c r="H269" i="30" s="1"/>
  <c r="H278" i="30" s="1"/>
  <c r="H287" i="30" s="1"/>
  <c r="H305" i="30" s="1"/>
  <c r="H314" i="30" s="1"/>
  <c r="J125" i="29"/>
  <c r="I128" i="29"/>
  <c r="I129" i="29" s="1"/>
  <c r="E271" i="6"/>
  <c r="E262" i="34"/>
  <c r="H198" i="30"/>
  <c r="H243" i="30" s="1"/>
  <c r="H252" i="30" s="1"/>
  <c r="H261" i="30" s="1"/>
  <c r="H270" i="30" s="1"/>
  <c r="H279" i="30" s="1"/>
  <c r="H288" i="30" s="1"/>
  <c r="H306" i="30" s="1"/>
  <c r="H315" i="30" s="1"/>
  <c r="H195" i="30"/>
  <c r="H240" i="30" s="1"/>
  <c r="H249" i="30" s="1"/>
  <c r="H258" i="30" s="1"/>
  <c r="H267" i="30" s="1"/>
  <c r="H276" i="30" s="1"/>
  <c r="H285" i="30" s="1"/>
  <c r="H303" i="30" s="1"/>
  <c r="H312" i="30" s="1"/>
  <c r="I62" i="29"/>
  <c r="I45" i="29"/>
  <c r="I67" i="29" l="1"/>
  <c r="I75" i="29" s="1"/>
  <c r="I210" i="29" s="1"/>
  <c r="I211" i="29" s="1"/>
  <c r="I64" i="29"/>
  <c r="I70" i="29" s="1"/>
  <c r="I98" i="29" s="1"/>
  <c r="I99" i="29" s="1"/>
  <c r="I102" i="29" s="1"/>
  <c r="I103" i="29" s="1"/>
  <c r="J101" i="29" s="1"/>
  <c r="F92" i="40"/>
  <c r="F131" i="4"/>
  <c r="E272" i="34"/>
  <c r="E281" i="6"/>
  <c r="E265" i="34"/>
  <c r="E274" i="6"/>
  <c r="E267" i="34"/>
  <c r="E276" i="6"/>
  <c r="E268" i="34"/>
  <c r="E277" i="6"/>
  <c r="I117" i="29"/>
  <c r="I115" i="29"/>
  <c r="E269" i="34"/>
  <c r="E278" i="6"/>
  <c r="E271" i="34"/>
  <c r="E280" i="6"/>
  <c r="I68" i="29"/>
  <c r="I76" i="29" s="1"/>
  <c r="E270" i="34"/>
  <c r="E279" i="6"/>
  <c r="E266" i="34"/>
  <c r="E275" i="6"/>
  <c r="I119" i="29" l="1"/>
  <c r="I104" i="29"/>
  <c r="E284" i="6"/>
  <c r="E275" i="34"/>
  <c r="E287" i="6"/>
  <c r="E278" i="34"/>
  <c r="E274" i="34"/>
  <c r="E283" i="6"/>
  <c r="F131" i="40"/>
  <c r="F161" i="4"/>
  <c r="I83" i="29"/>
  <c r="I82" i="29"/>
  <c r="I84" i="29"/>
  <c r="I85" i="29"/>
  <c r="E277" i="34"/>
  <c r="E286" i="6"/>
  <c r="E279" i="34"/>
  <c r="E288" i="6"/>
  <c r="E280" i="34"/>
  <c r="E289" i="6"/>
  <c r="E276" i="34"/>
  <c r="E285" i="6"/>
  <c r="E281" i="34"/>
  <c r="E290" i="6"/>
  <c r="I105" i="29"/>
  <c r="I116" i="29"/>
  <c r="E68" i="57"/>
  <c r="E288" i="34" l="1"/>
  <c r="E306" i="6"/>
  <c r="E283" i="34"/>
  <c r="E301" i="6"/>
  <c r="E287" i="34"/>
  <c r="E305" i="6"/>
  <c r="F221" i="4"/>
  <c r="F221" i="40" s="1"/>
  <c r="F161" i="40"/>
  <c r="F162" i="4"/>
  <c r="F162" i="40" s="1"/>
  <c r="E285" i="34"/>
  <c r="E303" i="6"/>
  <c r="I118" i="29"/>
  <c r="E289" i="34"/>
  <c r="E307" i="6"/>
  <c r="E290" i="34"/>
  <c r="E308" i="6"/>
  <c r="E286" i="34"/>
  <c r="E304" i="6"/>
  <c r="I87" i="29"/>
  <c r="E284" i="34"/>
  <c r="E302" i="6"/>
  <c r="I212" i="29" l="1"/>
  <c r="I213" i="29" s="1"/>
  <c r="I88" i="29"/>
  <c r="E308" i="34"/>
  <c r="E317" i="6"/>
  <c r="G164" i="4"/>
  <c r="E305" i="34"/>
  <c r="E314" i="6"/>
  <c r="E304" i="34"/>
  <c r="E313" i="6"/>
  <c r="E303" i="34"/>
  <c r="E312" i="6"/>
  <c r="E306" i="34"/>
  <c r="E315" i="6"/>
  <c r="E302" i="34"/>
  <c r="E311" i="6"/>
  <c r="E307" i="34"/>
  <c r="E316" i="6"/>
  <c r="E301" i="34"/>
  <c r="E310" i="6"/>
  <c r="E316" i="34" l="1"/>
  <c r="E325" i="6"/>
  <c r="E317" i="34"/>
  <c r="E326" i="6"/>
  <c r="E320" i="6"/>
  <c r="E311" i="34"/>
  <c r="E314" i="34"/>
  <c r="E323" i="6"/>
  <c r="E319" i="6"/>
  <c r="E310" i="34"/>
  <c r="E321" i="6"/>
  <c r="E312" i="34"/>
  <c r="I90" i="29"/>
  <c r="I91" i="29" s="1"/>
  <c r="I92" i="29" s="1"/>
  <c r="I131" i="29" s="1"/>
  <c r="I161" i="29" s="1"/>
  <c r="E315" i="34"/>
  <c r="E324" i="6"/>
  <c r="E313" i="34"/>
  <c r="E322" i="6"/>
  <c r="G164" i="40"/>
  <c r="G166" i="4"/>
  <c r="I162" i="29" l="1"/>
  <c r="J164" i="29" s="1"/>
  <c r="I221" i="29"/>
  <c r="E331" i="6"/>
  <c r="E333" i="6"/>
  <c r="E332" i="6"/>
  <c r="E335" i="6"/>
  <c r="E330" i="6"/>
  <c r="E334" i="6"/>
  <c r="G166" i="40"/>
  <c r="G167" i="4"/>
  <c r="G168" i="4"/>
  <c r="G168" i="40" s="1"/>
  <c r="E328" i="6"/>
  <c r="E329" i="6"/>
  <c r="F152" i="57"/>
  <c r="F81" i="57"/>
  <c r="F151" i="57"/>
  <c r="F150" i="57"/>
  <c r="F154" i="57"/>
  <c r="F153" i="57"/>
  <c r="C6" i="57"/>
  <c r="C9" i="57"/>
  <c r="C12" i="57"/>
  <c r="C10" i="57"/>
  <c r="C7" i="57"/>
  <c r="C8" i="57"/>
  <c r="E343" i="6" l="1"/>
  <c r="E342" i="6"/>
  <c r="E337" i="6"/>
  <c r="J172" i="29"/>
  <c r="J166" i="29"/>
  <c r="E344" i="6"/>
  <c r="E338" i="6"/>
  <c r="G169" i="4"/>
  <c r="G167" i="40"/>
  <c r="G170" i="4"/>
  <c r="G170" i="40" s="1"/>
  <c r="E339" i="6"/>
  <c r="E341" i="6"/>
  <c r="E340" i="6"/>
  <c r="I164" i="57"/>
  <c r="I162" i="57"/>
  <c r="I168" i="57"/>
  <c r="I165" i="57"/>
  <c r="I163" i="57"/>
  <c r="I161" i="57"/>
  <c r="I167" i="57"/>
  <c r="J167" i="29" l="1"/>
  <c r="J168" i="29"/>
  <c r="E360" i="6"/>
  <c r="G202" i="4"/>
  <c r="G169" i="40"/>
  <c r="G172" i="4"/>
  <c r="E355" i="6"/>
  <c r="E356" i="6"/>
  <c r="E357" i="6"/>
  <c r="E362" i="6"/>
  <c r="J184" i="29"/>
  <c r="J55" i="29"/>
  <c r="J178" i="29"/>
  <c r="J199" i="29"/>
  <c r="I124" i="30"/>
  <c r="I125" i="30" s="1"/>
  <c r="I127" i="30" s="1"/>
  <c r="J182" i="29"/>
  <c r="J189" i="29"/>
  <c r="J191" i="29" s="1"/>
  <c r="J38" i="29"/>
  <c r="J177" i="29"/>
  <c r="J107" i="29"/>
  <c r="J108" i="29" s="1"/>
  <c r="J181" i="29"/>
  <c r="J180" i="29"/>
  <c r="J94" i="29"/>
  <c r="J183" i="29"/>
  <c r="J121" i="29"/>
  <c r="J122" i="29" s="1"/>
  <c r="J179" i="29"/>
  <c r="J89" i="29"/>
  <c r="J175" i="29"/>
  <c r="J174" i="29"/>
  <c r="J200" i="29" s="1"/>
  <c r="E358" i="6"/>
  <c r="E359" i="6"/>
  <c r="E361" i="6"/>
  <c r="F83" i="57"/>
  <c r="F71" i="57"/>
  <c r="F103" i="57"/>
  <c r="F102" i="57"/>
  <c r="F97" i="57"/>
  <c r="F96" i="57"/>
  <c r="F70" i="57"/>
  <c r="F99" i="57"/>
  <c r="F98" i="57"/>
  <c r="F100" i="57"/>
  <c r="F78" i="57" l="1"/>
  <c r="E370" i="6"/>
  <c r="E368" i="6"/>
  <c r="I99" i="30"/>
  <c r="I204" i="30" s="1"/>
  <c r="I213" i="30" s="1"/>
  <c r="I231" i="30" s="1"/>
  <c r="I117" i="30"/>
  <c r="I294" i="30" s="1"/>
  <c r="I108" i="30"/>
  <c r="J185" i="29" a="1"/>
  <c r="J185" i="29" s="1"/>
  <c r="J187" i="29" s="1"/>
  <c r="I97" i="30"/>
  <c r="I202" i="30" s="1"/>
  <c r="I211" i="30" s="1"/>
  <c r="I229" i="30" s="1"/>
  <c r="I115" i="30"/>
  <c r="I292" i="30" s="1"/>
  <c r="I106" i="30"/>
  <c r="I104" i="30"/>
  <c r="I209" i="30" s="1"/>
  <c r="I218" i="30" s="1"/>
  <c r="I236" i="30" s="1"/>
  <c r="I113" i="30"/>
  <c r="I122" i="30"/>
  <c r="I299" i="30" s="1"/>
  <c r="E369" i="6"/>
  <c r="J123" i="29"/>
  <c r="J126" i="29" s="1"/>
  <c r="J127" i="29" s="1"/>
  <c r="I100" i="30"/>
  <c r="I205" i="30" s="1"/>
  <c r="I214" i="30" s="1"/>
  <c r="I232" i="30" s="1"/>
  <c r="I118" i="30"/>
  <c r="I295" i="30" s="1"/>
  <c r="I109" i="30"/>
  <c r="J48" i="29"/>
  <c r="J47" i="29"/>
  <c r="J50" i="29" s="1"/>
  <c r="J49" i="29"/>
  <c r="J41" i="29"/>
  <c r="J39" i="29"/>
  <c r="J42" i="29" s="1"/>
  <c r="J40" i="29"/>
  <c r="E371" i="6"/>
  <c r="E365" i="6"/>
  <c r="R172" i="4"/>
  <c r="G181" i="4"/>
  <c r="G189" i="4"/>
  <c r="G201" i="4"/>
  <c r="G199" i="4"/>
  <c r="G179" i="4"/>
  <c r="G183" i="4"/>
  <c r="G94" i="4"/>
  <c r="F124" i="6"/>
  <c r="G184" i="4"/>
  <c r="G178" i="4"/>
  <c r="G182" i="4"/>
  <c r="G121" i="4"/>
  <c r="G38" i="4"/>
  <c r="G107" i="4"/>
  <c r="G177" i="4"/>
  <c r="G172" i="40"/>
  <c r="G180" i="4"/>
  <c r="G55" i="4"/>
  <c r="G89" i="4"/>
  <c r="G89" i="40" s="1"/>
  <c r="G175" i="4"/>
  <c r="G175" i="40" s="1"/>
  <c r="G174" i="4"/>
  <c r="I103" i="30"/>
  <c r="I208" i="30" s="1"/>
  <c r="I217" i="30" s="1"/>
  <c r="I235" i="30" s="1"/>
  <c r="I112" i="30"/>
  <c r="I121" i="30"/>
  <c r="I298" i="30" s="1"/>
  <c r="I101" i="30"/>
  <c r="I206" i="30" s="1"/>
  <c r="I215" i="30" s="1"/>
  <c r="I233" i="30" s="1"/>
  <c r="I119" i="30"/>
  <c r="I296" i="30" s="1"/>
  <c r="I110" i="30"/>
  <c r="I91" i="30"/>
  <c r="I151" i="30" s="1"/>
  <c r="I160" i="30" s="1"/>
  <c r="I169" i="30" s="1"/>
  <c r="I178" i="30" s="1"/>
  <c r="I187" i="30" s="1"/>
  <c r="I92" i="30"/>
  <c r="I152" i="30" s="1"/>
  <c r="I161" i="30" s="1"/>
  <c r="I170" i="30" s="1"/>
  <c r="I179" i="30" s="1"/>
  <c r="I188" i="30" s="1"/>
  <c r="I88" i="30"/>
  <c r="I148" i="30" s="1"/>
  <c r="I157" i="30" s="1"/>
  <c r="I166" i="30" s="1"/>
  <c r="I175" i="30" s="1"/>
  <c r="I184" i="30" s="1"/>
  <c r="I95" i="30"/>
  <c r="I155" i="30" s="1"/>
  <c r="I164" i="30" s="1"/>
  <c r="I173" i="30" s="1"/>
  <c r="I182" i="30" s="1"/>
  <c r="I191" i="30" s="1"/>
  <c r="I90" i="30"/>
  <c r="I150" i="30" s="1"/>
  <c r="I159" i="30" s="1"/>
  <c r="I168" i="30" s="1"/>
  <c r="I177" i="30" s="1"/>
  <c r="I186" i="30" s="1"/>
  <c r="I89" i="30"/>
  <c r="I149" i="30" s="1"/>
  <c r="I158" i="30" s="1"/>
  <c r="I167" i="30" s="1"/>
  <c r="I176" i="30" s="1"/>
  <c r="I185" i="30" s="1"/>
  <c r="I94" i="30"/>
  <c r="I154" i="30" s="1"/>
  <c r="I163" i="30" s="1"/>
  <c r="I172" i="30" s="1"/>
  <c r="I181" i="30" s="1"/>
  <c r="I190" i="30" s="1"/>
  <c r="I93" i="30"/>
  <c r="I153" i="30" s="1"/>
  <c r="I162" i="30" s="1"/>
  <c r="I171" i="30" s="1"/>
  <c r="I180" i="30" s="1"/>
  <c r="I189" i="30" s="1"/>
  <c r="I98" i="30"/>
  <c r="I203" i="30" s="1"/>
  <c r="I212" i="30" s="1"/>
  <c r="I230" i="30" s="1"/>
  <c r="I116" i="30"/>
  <c r="I293" i="30" s="1"/>
  <c r="I107" i="30"/>
  <c r="E367" i="6"/>
  <c r="J96" i="29"/>
  <c r="J109" i="29"/>
  <c r="J112" i="29" s="1"/>
  <c r="J113" i="29" s="1"/>
  <c r="I102" i="30"/>
  <c r="I207" i="30" s="1"/>
  <c r="I216" i="30" s="1"/>
  <c r="I234" i="30" s="1"/>
  <c r="I111" i="30"/>
  <c r="I120" i="30"/>
  <c r="I297" i="30" s="1"/>
  <c r="J56" i="29"/>
  <c r="J59" i="29" s="1"/>
  <c r="J57" i="29"/>
  <c r="J58" i="29"/>
  <c r="E366" i="6"/>
  <c r="E364" i="6"/>
  <c r="J169" i="29"/>
  <c r="J170" i="29"/>
  <c r="F136" i="57"/>
  <c r="F82" i="57"/>
  <c r="F135" i="57"/>
  <c r="F137" i="57"/>
  <c r="F134" i="57"/>
  <c r="F133" i="57"/>
  <c r="F79" i="57"/>
  <c r="F80" i="57"/>
  <c r="F107" i="57"/>
  <c r="F108" i="57"/>
  <c r="F110" i="57"/>
  <c r="F109" i="57"/>
  <c r="F106" i="57"/>
  <c r="F178" i="57"/>
  <c r="F176" i="57"/>
  <c r="F181" i="57"/>
  <c r="F179" i="57"/>
  <c r="F177" i="57"/>
  <c r="F175" i="57"/>
  <c r="F182" i="57"/>
  <c r="J43" i="29" l="1"/>
  <c r="J44" i="29" s="1"/>
  <c r="I194" i="30"/>
  <c r="I197" i="30"/>
  <c r="G195" i="40"/>
  <c r="G48" i="4"/>
  <c r="G48" i="40" s="1"/>
  <c r="G38" i="40"/>
  <c r="G47" i="4"/>
  <c r="G39" i="4"/>
  <c r="G40" i="4"/>
  <c r="G49" i="4"/>
  <c r="G49" i="40" s="1"/>
  <c r="G41" i="4"/>
  <c r="G41" i="40" s="1"/>
  <c r="G184" i="40"/>
  <c r="F104" i="6"/>
  <c r="F122" i="6"/>
  <c r="F113" i="6"/>
  <c r="F113" i="34" s="1"/>
  <c r="F99" i="6"/>
  <c r="G179" i="40"/>
  <c r="F117" i="6"/>
  <c r="F108" i="6"/>
  <c r="F108" i="34" s="1"/>
  <c r="G181" i="40"/>
  <c r="F101" i="6"/>
  <c r="F119" i="6"/>
  <c r="F110" i="6"/>
  <c r="F110" i="34" s="1"/>
  <c r="E380" i="6"/>
  <c r="E373" i="6"/>
  <c r="E375" i="6"/>
  <c r="J60" i="29"/>
  <c r="K111" i="29"/>
  <c r="J114" i="29"/>
  <c r="E376" i="6"/>
  <c r="I239" i="30"/>
  <c r="I248" i="30" s="1"/>
  <c r="I257" i="30" s="1"/>
  <c r="I266" i="30" s="1"/>
  <c r="I275" i="30" s="1"/>
  <c r="I284" i="30" s="1"/>
  <c r="I302" i="30" s="1"/>
  <c r="I311" i="30" s="1"/>
  <c r="I195" i="30"/>
  <c r="I240" i="30" s="1"/>
  <c r="I249" i="30" s="1"/>
  <c r="I258" i="30" s="1"/>
  <c r="I267" i="30" s="1"/>
  <c r="I276" i="30" s="1"/>
  <c r="I285" i="30" s="1"/>
  <c r="I303" i="30" s="1"/>
  <c r="I312" i="30" s="1"/>
  <c r="I196" i="30"/>
  <c r="I242" i="30"/>
  <c r="I251" i="30" s="1"/>
  <c r="I260" i="30" s="1"/>
  <c r="I269" i="30" s="1"/>
  <c r="I278" i="30" s="1"/>
  <c r="I287" i="30" s="1"/>
  <c r="I305" i="30" s="1"/>
  <c r="I314" i="30" s="1"/>
  <c r="G185" i="4" a="1"/>
  <c r="G185" i="4" s="1"/>
  <c r="G177" i="40"/>
  <c r="F97" i="6"/>
  <c r="F115" i="6"/>
  <c r="F106" i="6"/>
  <c r="F106" i="34" s="1"/>
  <c r="G121" i="40"/>
  <c r="G122" i="4"/>
  <c r="F125" i="6"/>
  <c r="F124" i="34"/>
  <c r="E378" i="6"/>
  <c r="E377" i="6"/>
  <c r="I198" i="30"/>
  <c r="I243" i="30" s="1"/>
  <c r="I252" i="30" s="1"/>
  <c r="I261" i="30" s="1"/>
  <c r="I270" i="30" s="1"/>
  <c r="I279" i="30" s="1"/>
  <c r="I288" i="30" s="1"/>
  <c r="I306" i="30" s="1"/>
  <c r="I315" i="30" s="1"/>
  <c r="I200" i="30"/>
  <c r="I245" i="30" s="1"/>
  <c r="I254" i="30" s="1"/>
  <c r="I263" i="30" s="1"/>
  <c r="I272" i="30" s="1"/>
  <c r="I281" i="30" s="1"/>
  <c r="I290" i="30" s="1"/>
  <c r="I308" i="30" s="1"/>
  <c r="I317" i="30" s="1"/>
  <c r="G174" i="40"/>
  <c r="G200" i="4"/>
  <c r="G57" i="4"/>
  <c r="G55" i="40"/>
  <c r="G56" i="4"/>
  <c r="G58" i="4"/>
  <c r="G58" i="40" s="1"/>
  <c r="F102" i="6"/>
  <c r="G182" i="40"/>
  <c r="F111" i="6"/>
  <c r="F111" i="34" s="1"/>
  <c r="F120" i="6"/>
  <c r="G94" i="40"/>
  <c r="G96" i="4"/>
  <c r="E374" i="6"/>
  <c r="J45" i="29"/>
  <c r="J51" i="29"/>
  <c r="J52" i="29" s="1"/>
  <c r="I241" i="30"/>
  <c r="I250" i="30" s="1"/>
  <c r="I259" i="30" s="1"/>
  <c r="I268" i="30" s="1"/>
  <c r="I277" i="30" s="1"/>
  <c r="I286" i="30" s="1"/>
  <c r="I304" i="30" s="1"/>
  <c r="I313" i="30" s="1"/>
  <c r="I199" i="30"/>
  <c r="I244" i="30" s="1"/>
  <c r="I253" i="30" s="1"/>
  <c r="I262" i="30" s="1"/>
  <c r="I271" i="30" s="1"/>
  <c r="I280" i="30" s="1"/>
  <c r="I289" i="30" s="1"/>
  <c r="I307" i="30" s="1"/>
  <c r="I316" i="30" s="1"/>
  <c r="I193" i="30"/>
  <c r="I238" i="30" s="1"/>
  <c r="I247" i="30" s="1"/>
  <c r="I256" i="30" s="1"/>
  <c r="I265" i="30" s="1"/>
  <c r="I274" i="30" s="1"/>
  <c r="I283" i="30" s="1"/>
  <c r="I301" i="30" s="1"/>
  <c r="I310" i="30" s="1"/>
  <c r="F100" i="6"/>
  <c r="G180" i="40"/>
  <c r="F109" i="6"/>
  <c r="F109" i="34" s="1"/>
  <c r="F118" i="6"/>
  <c r="G108" i="4"/>
  <c r="G107" i="40"/>
  <c r="G178" i="40"/>
  <c r="F98" i="6"/>
  <c r="F116" i="6"/>
  <c r="F107" i="6"/>
  <c r="F107" i="34" s="1"/>
  <c r="G183" i="40"/>
  <c r="F103" i="6"/>
  <c r="F112" i="6"/>
  <c r="F112" i="34" s="1"/>
  <c r="F121" i="6"/>
  <c r="G189" i="40"/>
  <c r="G191" i="4"/>
  <c r="J128" i="29"/>
  <c r="J129" i="29" s="1"/>
  <c r="K125" i="29"/>
  <c r="E379" i="6"/>
  <c r="F147" i="57"/>
  <c r="F141" i="57"/>
  <c r="F142" i="57"/>
  <c r="F140" i="57"/>
  <c r="F143" i="57"/>
  <c r="F146" i="57"/>
  <c r="F144" i="57"/>
  <c r="F189" i="57"/>
  <c r="F188" i="57"/>
  <c r="F186" i="57"/>
  <c r="F185" i="57"/>
  <c r="F187" i="57"/>
  <c r="F192" i="57"/>
  <c r="F191" i="57"/>
  <c r="F73" i="57"/>
  <c r="F298" i="6" l="1"/>
  <c r="F121" i="34"/>
  <c r="F292" i="6"/>
  <c r="F115" i="34"/>
  <c r="F116" i="34"/>
  <c r="F293" i="6"/>
  <c r="G108" i="40"/>
  <c r="G109" i="4"/>
  <c r="F100" i="34"/>
  <c r="F205" i="6"/>
  <c r="G122" i="40"/>
  <c r="G123" i="4"/>
  <c r="F97" i="34"/>
  <c r="F202" i="6"/>
  <c r="J115" i="29"/>
  <c r="J117" i="29"/>
  <c r="F101" i="34"/>
  <c r="F206" i="6"/>
  <c r="F104" i="34"/>
  <c r="F209" i="6"/>
  <c r="G40" i="40"/>
  <c r="G96" i="40"/>
  <c r="G56" i="40"/>
  <c r="G59" i="4"/>
  <c r="F125" i="34"/>
  <c r="F127" i="6"/>
  <c r="R191" i="4"/>
  <c r="G191" i="40"/>
  <c r="F95" i="6"/>
  <c r="F89" i="6"/>
  <c r="F93" i="6"/>
  <c r="F91" i="6"/>
  <c r="F90" i="6"/>
  <c r="F94" i="6"/>
  <c r="F88" i="6"/>
  <c r="F92" i="6"/>
  <c r="F208" i="6"/>
  <c r="F103" i="34"/>
  <c r="F203" i="6"/>
  <c r="F98" i="34"/>
  <c r="F295" i="6"/>
  <c r="F118" i="34"/>
  <c r="F207" i="6"/>
  <c r="F102" i="34"/>
  <c r="G57" i="40"/>
  <c r="F204" i="6"/>
  <c r="F99" i="34"/>
  <c r="G39" i="40"/>
  <c r="G42" i="4"/>
  <c r="G185" i="40"/>
  <c r="G187" i="4"/>
  <c r="G187" i="40" s="1"/>
  <c r="J61" i="29"/>
  <c r="J67" i="29" s="1"/>
  <c r="J75" i="29" s="1"/>
  <c r="J210" i="29" s="1"/>
  <c r="J211" i="29" s="1"/>
  <c r="J64" i="29"/>
  <c r="J70" i="29" s="1"/>
  <c r="J98" i="29" s="1"/>
  <c r="J99" i="29" s="1"/>
  <c r="J102" i="29" s="1"/>
  <c r="J103" i="29" s="1"/>
  <c r="G47" i="40"/>
  <c r="G50" i="4"/>
  <c r="J62" i="29"/>
  <c r="J68" i="29" s="1"/>
  <c r="J76" i="29" s="1"/>
  <c r="F120" i="34"/>
  <c r="F297" i="6"/>
  <c r="F296" i="6"/>
  <c r="F119" i="34"/>
  <c r="F117" i="34"/>
  <c r="F294" i="6"/>
  <c r="F299" i="6"/>
  <c r="F122" i="34"/>
  <c r="J82" i="29" l="1"/>
  <c r="J83" i="29"/>
  <c r="J84" i="29"/>
  <c r="J85" i="29"/>
  <c r="K101" i="29"/>
  <c r="J104" i="29"/>
  <c r="F299" i="34"/>
  <c r="F213" i="6"/>
  <c r="F204" i="34"/>
  <c r="F216" i="6"/>
  <c r="F207" i="34"/>
  <c r="F203" i="34"/>
  <c r="F212" i="6"/>
  <c r="F88" i="34"/>
  <c r="F148" i="6"/>
  <c r="F93" i="34"/>
  <c r="F153" i="6"/>
  <c r="F218" i="6"/>
  <c r="F209" i="34"/>
  <c r="G123" i="40"/>
  <c r="G126" i="4"/>
  <c r="F214" i="6"/>
  <c r="F205" i="34"/>
  <c r="F292" i="34"/>
  <c r="G50" i="40"/>
  <c r="G51" i="4"/>
  <c r="F154" i="6"/>
  <c r="F94" i="34"/>
  <c r="F149" i="6"/>
  <c r="F89" i="34"/>
  <c r="G59" i="40"/>
  <c r="G60" i="4"/>
  <c r="J119" i="29"/>
  <c r="F293" i="34"/>
  <c r="F295" i="34"/>
  <c r="F217" i="6"/>
  <c r="F208" i="34"/>
  <c r="F150" i="6"/>
  <c r="F90" i="34"/>
  <c r="F95" i="34"/>
  <c r="F155" i="6"/>
  <c r="F215" i="6"/>
  <c r="F206" i="34"/>
  <c r="F211" i="6"/>
  <c r="F202" i="34"/>
  <c r="G112" i="4"/>
  <c r="G109" i="40"/>
  <c r="F297" i="34"/>
  <c r="F296" i="34"/>
  <c r="F294" i="34"/>
  <c r="G42" i="40"/>
  <c r="G43" i="4"/>
  <c r="F152" i="6"/>
  <c r="F92" i="34"/>
  <c r="F151" i="6"/>
  <c r="F91" i="34"/>
  <c r="F127" i="34"/>
  <c r="F298" i="34"/>
  <c r="G43" i="40" l="1"/>
  <c r="G44" i="4"/>
  <c r="F158" i="6"/>
  <c r="F149" i="34"/>
  <c r="F232" i="6"/>
  <c r="F214" i="34"/>
  <c r="F236" i="6"/>
  <c r="F218" i="34"/>
  <c r="F234" i="6"/>
  <c r="F216" i="34"/>
  <c r="G61" i="4"/>
  <c r="G61" i="40" s="1"/>
  <c r="G64" i="4"/>
  <c r="G64" i="40" s="1"/>
  <c r="G60" i="40"/>
  <c r="G62" i="4"/>
  <c r="G62" i="40" s="1"/>
  <c r="G126" i="40"/>
  <c r="G127" i="4"/>
  <c r="F162" i="6"/>
  <c r="F153" i="34"/>
  <c r="F212" i="34"/>
  <c r="F230" i="6"/>
  <c r="G45" i="4"/>
  <c r="F229" i="6"/>
  <c r="F211" i="34"/>
  <c r="F235" i="6"/>
  <c r="F217" i="34"/>
  <c r="F160" i="6"/>
  <c r="F151" i="34"/>
  <c r="G112" i="40"/>
  <c r="G113" i="4"/>
  <c r="F233" i="6"/>
  <c r="F215" i="34"/>
  <c r="F150" i="34"/>
  <c r="F159" i="6"/>
  <c r="F155" i="34"/>
  <c r="F164" i="6"/>
  <c r="F154" i="34"/>
  <c r="F163" i="6"/>
  <c r="F213" i="34"/>
  <c r="F231" i="6"/>
  <c r="J105" i="29"/>
  <c r="J116" i="29"/>
  <c r="F161" i="6"/>
  <c r="F152" i="34"/>
  <c r="G51" i="40"/>
  <c r="G52" i="4"/>
  <c r="F148" i="34"/>
  <c r="F157" i="6"/>
  <c r="J87" i="29"/>
  <c r="F163" i="34" l="1"/>
  <c r="F172" i="6"/>
  <c r="J118" i="29"/>
  <c r="G70" i="4"/>
  <c r="G52" i="40"/>
  <c r="F233" i="34"/>
  <c r="F160" i="34"/>
  <c r="F169" i="6"/>
  <c r="F229" i="34"/>
  <c r="F236" i="34"/>
  <c r="F158" i="34"/>
  <c r="F167" i="6"/>
  <c r="G45" i="40"/>
  <c r="G68" i="4"/>
  <c r="F162" i="34"/>
  <c r="F171" i="6"/>
  <c r="G67" i="4"/>
  <c r="G44" i="40"/>
  <c r="F159" i="34"/>
  <c r="F168" i="6"/>
  <c r="G114" i="4"/>
  <c r="G113" i="40"/>
  <c r="H111" i="4"/>
  <c r="F157" i="34"/>
  <c r="F166" i="6"/>
  <c r="F235" i="34"/>
  <c r="J212" i="29"/>
  <c r="J213" i="29" s="1"/>
  <c r="J88" i="29"/>
  <c r="F161" i="34"/>
  <c r="F170" i="6"/>
  <c r="F231" i="34"/>
  <c r="F164" i="34"/>
  <c r="F173" i="6"/>
  <c r="F230" i="34"/>
  <c r="G127" i="40"/>
  <c r="G128" i="4"/>
  <c r="H125" i="4"/>
  <c r="F234" i="34"/>
  <c r="F232" i="34"/>
  <c r="F126" i="57"/>
  <c r="F130" i="57"/>
  <c r="F127" i="57"/>
  <c r="F129" i="57"/>
  <c r="F125" i="57"/>
  <c r="F124" i="57"/>
  <c r="F123" i="57"/>
  <c r="F120" i="57"/>
  <c r="F117" i="57"/>
  <c r="F116" i="57"/>
  <c r="F119" i="57"/>
  <c r="F113" i="57"/>
  <c r="F115" i="57"/>
  <c r="F114" i="57"/>
  <c r="F173" i="34" l="1"/>
  <c r="F182" i="6"/>
  <c r="J90" i="29"/>
  <c r="J91" i="29" s="1"/>
  <c r="J92" i="29" s="1"/>
  <c r="J131" i="29" s="1"/>
  <c r="J161" i="29" s="1"/>
  <c r="F166" i="34"/>
  <c r="F175" i="6"/>
  <c r="G114" i="40"/>
  <c r="G115" i="4"/>
  <c r="G117" i="4"/>
  <c r="G117" i="40" s="1"/>
  <c r="H206" i="4"/>
  <c r="G67" i="40"/>
  <c r="G75" i="4"/>
  <c r="G98" i="4"/>
  <c r="G70" i="40"/>
  <c r="H125" i="40"/>
  <c r="F171" i="34"/>
  <c r="F180" i="6"/>
  <c r="F176" i="6"/>
  <c r="F167" i="34"/>
  <c r="F179" i="6"/>
  <c r="F170" i="34"/>
  <c r="H111" i="40"/>
  <c r="F181" i="6"/>
  <c r="F172" i="34"/>
  <c r="F177" i="6"/>
  <c r="F168" i="34"/>
  <c r="G129" i="4"/>
  <c r="G129" i="40" s="1"/>
  <c r="G128" i="40"/>
  <c r="G76" i="4"/>
  <c r="G68" i="40"/>
  <c r="F169" i="34"/>
  <c r="F178" i="6"/>
  <c r="F200" i="57"/>
  <c r="G75" i="57"/>
  <c r="G75" i="40" l="1"/>
  <c r="G210" i="4"/>
  <c r="G115" i="40"/>
  <c r="G119" i="4"/>
  <c r="G119" i="40" s="1"/>
  <c r="G76" i="40"/>
  <c r="G83" i="4"/>
  <c r="G82" i="4"/>
  <c r="G85" i="4"/>
  <c r="G84" i="4"/>
  <c r="F176" i="34"/>
  <c r="F185" i="6"/>
  <c r="J221" i="29"/>
  <c r="J162" i="29"/>
  <c r="K164" i="29" s="1"/>
  <c r="F177" i="34"/>
  <c r="F186" i="6"/>
  <c r="F178" i="34"/>
  <c r="F187" i="6"/>
  <c r="F180" i="34"/>
  <c r="F189" i="6"/>
  <c r="F175" i="34"/>
  <c r="F184" i="6"/>
  <c r="F182" i="34"/>
  <c r="F191" i="6"/>
  <c r="F181" i="34"/>
  <c r="F190" i="6"/>
  <c r="F179" i="34"/>
  <c r="F188" i="6"/>
  <c r="G98" i="40"/>
  <c r="G99" i="4"/>
  <c r="G85" i="40" l="1"/>
  <c r="G102" i="4"/>
  <c r="G99" i="40"/>
  <c r="F190" i="34"/>
  <c r="F199" i="6"/>
  <c r="F194" i="6"/>
  <c r="F185" i="34"/>
  <c r="G82" i="40"/>
  <c r="G87" i="4"/>
  <c r="F191" i="34"/>
  <c r="F200" i="6"/>
  <c r="F184" i="34"/>
  <c r="F193" i="6"/>
  <c r="K172" i="29"/>
  <c r="K166" i="29"/>
  <c r="G83" i="40"/>
  <c r="G210" i="40"/>
  <c r="G211" i="4"/>
  <c r="G211" i="40" s="1"/>
  <c r="F189" i="34"/>
  <c r="F198" i="6"/>
  <c r="F186" i="34"/>
  <c r="F195" i="6"/>
  <c r="F187" i="34"/>
  <c r="F196" i="6"/>
  <c r="F188" i="34"/>
  <c r="F197" i="6"/>
  <c r="G84" i="40"/>
  <c r="J164" i="57"/>
  <c r="J163" i="57"/>
  <c r="J161" i="57"/>
  <c r="J165" i="57"/>
  <c r="J162" i="57"/>
  <c r="J168" i="57"/>
  <c r="J167" i="57"/>
  <c r="F200" i="34" l="1"/>
  <c r="F245" i="6"/>
  <c r="F194" i="34"/>
  <c r="F239" i="6"/>
  <c r="F196" i="34"/>
  <c r="F241" i="6"/>
  <c r="F199" i="34"/>
  <c r="F244" i="6"/>
  <c r="G102" i="40"/>
  <c r="G103" i="4"/>
  <c r="K167" i="29"/>
  <c r="K168" i="29"/>
  <c r="F193" i="34"/>
  <c r="F238" i="6"/>
  <c r="F195" i="34"/>
  <c r="F240" i="6"/>
  <c r="F198" i="34"/>
  <c r="F243" i="6"/>
  <c r="F197" i="34"/>
  <c r="F242" i="6"/>
  <c r="K182" i="29"/>
  <c r="K107" i="29"/>
  <c r="K108" i="29" s="1"/>
  <c r="K179" i="29"/>
  <c r="K199" i="29"/>
  <c r="K55" i="29"/>
  <c r="K178" i="29"/>
  <c r="K189" i="29"/>
  <c r="K191" i="29" s="1"/>
  <c r="J124" i="30"/>
  <c r="J125" i="30" s="1"/>
  <c r="J127" i="30" s="1"/>
  <c r="K177" i="29"/>
  <c r="K180" i="29"/>
  <c r="K94" i="29"/>
  <c r="K184" i="29"/>
  <c r="K38" i="29"/>
  <c r="K181" i="29"/>
  <c r="K183" i="29"/>
  <c r="K121" i="29"/>
  <c r="K122" i="29" s="1"/>
  <c r="K89" i="29"/>
  <c r="K174" i="29"/>
  <c r="K200" i="29" s="1"/>
  <c r="K175" i="29"/>
  <c r="G212" i="4"/>
  <c r="G88" i="4"/>
  <c r="G87" i="40"/>
  <c r="F244" i="34" l="1"/>
  <c r="F253" i="6"/>
  <c r="F239" i="34"/>
  <c r="F248" i="6"/>
  <c r="F242" i="34"/>
  <c r="F251" i="6"/>
  <c r="F240" i="34"/>
  <c r="F249" i="6"/>
  <c r="G90" i="4"/>
  <c r="G90" i="40" s="1"/>
  <c r="G88" i="40"/>
  <c r="J101" i="30"/>
  <c r="J206" i="30" s="1"/>
  <c r="J215" i="30" s="1"/>
  <c r="J233" i="30" s="1"/>
  <c r="J110" i="30"/>
  <c r="J119" i="30"/>
  <c r="J296" i="30" s="1"/>
  <c r="J100" i="30"/>
  <c r="J205" i="30" s="1"/>
  <c r="J214" i="30" s="1"/>
  <c r="J232" i="30" s="1"/>
  <c r="J109" i="30"/>
  <c r="J118" i="30"/>
  <c r="J295" i="30" s="1"/>
  <c r="J94" i="30"/>
  <c r="J154" i="30" s="1"/>
  <c r="J163" i="30" s="1"/>
  <c r="J172" i="30" s="1"/>
  <c r="J181" i="30" s="1"/>
  <c r="J190" i="30" s="1"/>
  <c r="J95" i="30"/>
  <c r="J155" i="30" s="1"/>
  <c r="J164" i="30" s="1"/>
  <c r="J173" i="30" s="1"/>
  <c r="J182" i="30" s="1"/>
  <c r="J191" i="30" s="1"/>
  <c r="J88" i="30"/>
  <c r="J148" i="30" s="1"/>
  <c r="J157" i="30" s="1"/>
  <c r="J166" i="30" s="1"/>
  <c r="J175" i="30" s="1"/>
  <c r="J184" i="30" s="1"/>
  <c r="J89" i="30"/>
  <c r="J149" i="30" s="1"/>
  <c r="J158" i="30" s="1"/>
  <c r="J167" i="30" s="1"/>
  <c r="J176" i="30" s="1"/>
  <c r="J185" i="30" s="1"/>
  <c r="J91" i="30"/>
  <c r="J151" i="30" s="1"/>
  <c r="J160" i="30" s="1"/>
  <c r="J169" i="30" s="1"/>
  <c r="J178" i="30" s="1"/>
  <c r="J187" i="30" s="1"/>
  <c r="J93" i="30"/>
  <c r="J153" i="30" s="1"/>
  <c r="J162" i="30" s="1"/>
  <c r="J171" i="30" s="1"/>
  <c r="J180" i="30" s="1"/>
  <c r="J189" i="30" s="1"/>
  <c r="J92" i="30"/>
  <c r="J152" i="30" s="1"/>
  <c r="J161" i="30" s="1"/>
  <c r="J170" i="30" s="1"/>
  <c r="J179" i="30" s="1"/>
  <c r="J188" i="30" s="1"/>
  <c r="J90" i="30"/>
  <c r="J150" i="30" s="1"/>
  <c r="J159" i="30" s="1"/>
  <c r="J168" i="30" s="1"/>
  <c r="J177" i="30" s="1"/>
  <c r="J186" i="30" s="1"/>
  <c r="J99" i="30"/>
  <c r="J204" i="30" s="1"/>
  <c r="J213" i="30" s="1"/>
  <c r="J231" i="30" s="1"/>
  <c r="J108" i="30"/>
  <c r="J117" i="30"/>
  <c r="J294" i="30" s="1"/>
  <c r="K170" i="29"/>
  <c r="K169" i="29"/>
  <c r="K47" i="29"/>
  <c r="K50" i="29" s="1"/>
  <c r="K48" i="29"/>
  <c r="K41" i="29"/>
  <c r="K39" i="29"/>
  <c r="K42" i="29" s="1"/>
  <c r="K49" i="29"/>
  <c r="K40" i="29"/>
  <c r="J98" i="30"/>
  <c r="J203" i="30" s="1"/>
  <c r="J212" i="30" s="1"/>
  <c r="J230" i="30" s="1"/>
  <c r="J107" i="30"/>
  <c r="J116" i="30"/>
  <c r="J293" i="30" s="1"/>
  <c r="K109" i="29"/>
  <c r="K112" i="29" s="1"/>
  <c r="K113" i="29" s="1"/>
  <c r="F243" i="34"/>
  <c r="F252" i="6"/>
  <c r="F238" i="34"/>
  <c r="F247" i="6"/>
  <c r="G103" i="40"/>
  <c r="H101" i="4"/>
  <c r="G104" i="4"/>
  <c r="F241" i="34"/>
  <c r="F250" i="6"/>
  <c r="F245" i="34"/>
  <c r="F254" i="6"/>
  <c r="J103" i="30"/>
  <c r="J208" i="30" s="1"/>
  <c r="J217" i="30" s="1"/>
  <c r="J235" i="30" s="1"/>
  <c r="J112" i="30"/>
  <c r="J121" i="30"/>
  <c r="J298" i="30" s="1"/>
  <c r="K96" i="29"/>
  <c r="G212" i="40"/>
  <c r="K123" i="29"/>
  <c r="K126" i="29" s="1"/>
  <c r="K127" i="29" s="1"/>
  <c r="J104" i="30"/>
  <c r="J209" i="30" s="1"/>
  <c r="J218" i="30" s="1"/>
  <c r="J236" i="30" s="1"/>
  <c r="J113" i="30"/>
  <c r="J122" i="30"/>
  <c r="J299" i="30" s="1"/>
  <c r="K185" i="29" a="1"/>
  <c r="K185" i="29" s="1"/>
  <c r="K187" i="29" s="1"/>
  <c r="J97" i="30"/>
  <c r="J202" i="30" s="1"/>
  <c r="J211" i="30" s="1"/>
  <c r="J229" i="30" s="1"/>
  <c r="J106" i="30"/>
  <c r="J115" i="30"/>
  <c r="J292" i="30" s="1"/>
  <c r="K57" i="29"/>
  <c r="K56" i="29"/>
  <c r="K59" i="29" s="1"/>
  <c r="K58" i="29"/>
  <c r="J102" i="30"/>
  <c r="J207" i="30" s="1"/>
  <c r="J216" i="30" s="1"/>
  <c r="J234" i="30" s="1"/>
  <c r="J111" i="30"/>
  <c r="J120" i="30"/>
  <c r="J297" i="30" s="1"/>
  <c r="G91" i="4" l="1"/>
  <c r="F261" i="6"/>
  <c r="F252" i="34"/>
  <c r="K51" i="29"/>
  <c r="K52" i="29" s="1"/>
  <c r="J198" i="30"/>
  <c r="J200" i="30"/>
  <c r="F249" i="34"/>
  <c r="F258" i="6"/>
  <c r="F248" i="34"/>
  <c r="F257" i="6"/>
  <c r="K60" i="29"/>
  <c r="K62" i="29" s="1"/>
  <c r="J245" i="30"/>
  <c r="J254" i="30" s="1"/>
  <c r="J263" i="30" s="1"/>
  <c r="J272" i="30" s="1"/>
  <c r="J281" i="30" s="1"/>
  <c r="J290" i="30" s="1"/>
  <c r="J308" i="30" s="1"/>
  <c r="J317" i="30" s="1"/>
  <c r="F259" i="6"/>
  <c r="F250" i="34"/>
  <c r="K43" i="29"/>
  <c r="K44" i="29" s="1"/>
  <c r="J240" i="30"/>
  <c r="J249" i="30" s="1"/>
  <c r="J258" i="30" s="1"/>
  <c r="J267" i="30" s="1"/>
  <c r="J276" i="30" s="1"/>
  <c r="J285" i="30" s="1"/>
  <c r="J303" i="30" s="1"/>
  <c r="J312" i="30" s="1"/>
  <c r="J196" i="30"/>
  <c r="J199" i="30"/>
  <c r="J244" i="30" s="1"/>
  <c r="J253" i="30" s="1"/>
  <c r="J262" i="30" s="1"/>
  <c r="J271" i="30" s="1"/>
  <c r="J280" i="30" s="1"/>
  <c r="J289" i="30" s="1"/>
  <c r="J307" i="30" s="1"/>
  <c r="J316" i="30" s="1"/>
  <c r="J241" i="30"/>
  <c r="J250" i="30" s="1"/>
  <c r="J259" i="30" s="1"/>
  <c r="J268" i="30" s="1"/>
  <c r="J277" i="30" s="1"/>
  <c r="J286" i="30" s="1"/>
  <c r="J304" i="30" s="1"/>
  <c r="J313" i="30" s="1"/>
  <c r="G92" i="4"/>
  <c r="G91" i="40"/>
  <c r="H101" i="40"/>
  <c r="K128" i="29"/>
  <c r="K129" i="29" s="1"/>
  <c r="L125" i="29"/>
  <c r="F247" i="34"/>
  <c r="F256" i="6"/>
  <c r="K114" i="29"/>
  <c r="L111" i="29"/>
  <c r="J195" i="30"/>
  <c r="J194" i="30"/>
  <c r="J239" i="30" s="1"/>
  <c r="J248" i="30" s="1"/>
  <c r="J257" i="30" s="1"/>
  <c r="J266" i="30" s="1"/>
  <c r="J275" i="30" s="1"/>
  <c r="J284" i="30" s="1"/>
  <c r="J302" i="30" s="1"/>
  <c r="J311" i="30" s="1"/>
  <c r="F260" i="6"/>
  <c r="F251" i="34"/>
  <c r="F253" i="34"/>
  <c r="F262" i="6"/>
  <c r="J243" i="30"/>
  <c r="J252" i="30" s="1"/>
  <c r="J261" i="30" s="1"/>
  <c r="J270" i="30" s="1"/>
  <c r="J279" i="30" s="1"/>
  <c r="J288" i="30" s="1"/>
  <c r="J306" i="30" s="1"/>
  <c r="J315" i="30" s="1"/>
  <c r="F263" i="6"/>
  <c r="F254" i="34"/>
  <c r="G105" i="4"/>
  <c r="G116" i="4"/>
  <c r="G116" i="40" s="1"/>
  <c r="G104" i="40"/>
  <c r="J197" i="30"/>
  <c r="J242" i="30" s="1"/>
  <c r="J251" i="30" s="1"/>
  <c r="J260" i="30" s="1"/>
  <c r="J269" i="30" s="1"/>
  <c r="J278" i="30" s="1"/>
  <c r="J287" i="30" s="1"/>
  <c r="J305" i="30" s="1"/>
  <c r="J314" i="30" s="1"/>
  <c r="J193" i="30"/>
  <c r="J238" i="30" s="1"/>
  <c r="J247" i="30" s="1"/>
  <c r="J256" i="30" s="1"/>
  <c r="J265" i="30" s="1"/>
  <c r="J274" i="30" s="1"/>
  <c r="J283" i="30" s="1"/>
  <c r="J301" i="30" s="1"/>
  <c r="J310" i="30" s="1"/>
  <c r="F62" i="57"/>
  <c r="K45" i="29" l="1"/>
  <c r="K68" i="29" s="1"/>
  <c r="K76" i="29" s="1"/>
  <c r="K83" i="29" s="1"/>
  <c r="G118" i="4"/>
  <c r="G118" i="40" s="1"/>
  <c r="G105" i="40"/>
  <c r="F267" i="6"/>
  <c r="F258" i="34"/>
  <c r="F263" i="34"/>
  <c r="F272" i="6"/>
  <c r="F260" i="34"/>
  <c r="F269" i="6"/>
  <c r="K115" i="29"/>
  <c r="K117" i="29"/>
  <c r="G131" i="4"/>
  <c r="G92" i="40"/>
  <c r="K61" i="29"/>
  <c r="K67" i="29" s="1"/>
  <c r="K75" i="29" s="1"/>
  <c r="K210" i="29" s="1"/>
  <c r="K211" i="29" s="1"/>
  <c r="K64" i="29"/>
  <c r="K70" i="29" s="1"/>
  <c r="K98" i="29" s="1"/>
  <c r="K99" i="29" s="1"/>
  <c r="K102" i="29" s="1"/>
  <c r="K103" i="29" s="1"/>
  <c r="F262" i="34"/>
  <c r="F271" i="6"/>
  <c r="F256" i="34"/>
  <c r="F265" i="6"/>
  <c r="F259" i="34"/>
  <c r="F268" i="6"/>
  <c r="F266" i="6"/>
  <c r="F257" i="34"/>
  <c r="F261" i="34"/>
  <c r="F270" i="6"/>
  <c r="K85" i="29" l="1"/>
  <c r="K84" i="29"/>
  <c r="K82" i="29"/>
  <c r="K104" i="29"/>
  <c r="L101" i="29"/>
  <c r="F266" i="34"/>
  <c r="F275" i="6"/>
  <c r="K119" i="29"/>
  <c r="F265" i="34"/>
  <c r="F274" i="6"/>
  <c r="F270" i="34"/>
  <c r="F279" i="6"/>
  <c r="F268" i="34"/>
  <c r="F277" i="6"/>
  <c r="F271" i="34"/>
  <c r="F280" i="6"/>
  <c r="F269" i="34"/>
  <c r="F278" i="6"/>
  <c r="G131" i="40"/>
  <c r="G161" i="4"/>
  <c r="F272" i="34"/>
  <c r="F281" i="6"/>
  <c r="F267" i="34"/>
  <c r="F276" i="6"/>
  <c r="F68" i="57"/>
  <c r="K87" i="29" l="1"/>
  <c r="K212" i="29" s="1"/>
  <c r="K213" i="29" s="1"/>
  <c r="F288" i="6"/>
  <c r="F279" i="34"/>
  <c r="F285" i="6"/>
  <c r="F276" i="34"/>
  <c r="G221" i="4"/>
  <c r="G221" i="40" s="1"/>
  <c r="G161" i="40"/>
  <c r="G162" i="4"/>
  <c r="G162" i="40" s="1"/>
  <c r="F287" i="6"/>
  <c r="F278" i="34"/>
  <c r="F277" i="34"/>
  <c r="F286" i="6"/>
  <c r="F283" i="6"/>
  <c r="F274" i="34"/>
  <c r="F284" i="6"/>
  <c r="F275" i="34"/>
  <c r="K88" i="29"/>
  <c r="F290" i="6"/>
  <c r="F281" i="34"/>
  <c r="F289" i="6"/>
  <c r="F280" i="34"/>
  <c r="K105" i="29"/>
  <c r="K116" i="29"/>
  <c r="H164" i="4" l="1"/>
  <c r="H164" i="40" s="1"/>
  <c r="K118" i="29"/>
  <c r="F284" i="34"/>
  <c r="F302" i="6"/>
  <c r="F286" i="34"/>
  <c r="F304" i="6"/>
  <c r="K90" i="29"/>
  <c r="K91" i="29" s="1"/>
  <c r="K92" i="29" s="1"/>
  <c r="K131" i="29" s="1"/>
  <c r="K161" i="29" s="1"/>
  <c r="F287" i="34"/>
  <c r="F305" i="6"/>
  <c r="F283" i="34"/>
  <c r="F301" i="6"/>
  <c r="F289" i="34"/>
  <c r="F307" i="6"/>
  <c r="F290" i="34"/>
  <c r="F308" i="6"/>
  <c r="F285" i="34"/>
  <c r="F303" i="6"/>
  <c r="F288" i="34"/>
  <c r="F306" i="6"/>
  <c r="H166" i="4" l="1"/>
  <c r="H166" i="40" s="1"/>
  <c r="F306" i="34"/>
  <c r="F315" i="6"/>
  <c r="F303" i="34"/>
  <c r="F312" i="6"/>
  <c r="F307" i="34"/>
  <c r="F316" i="6"/>
  <c r="K221" i="29"/>
  <c r="K162" i="29"/>
  <c r="L164" i="29" s="1"/>
  <c r="F302" i="34"/>
  <c r="F311" i="6"/>
  <c r="F301" i="34"/>
  <c r="F310" i="6"/>
  <c r="F308" i="34"/>
  <c r="F317" i="6"/>
  <c r="F305" i="34"/>
  <c r="F314" i="6"/>
  <c r="F304" i="34"/>
  <c r="F313" i="6"/>
  <c r="H168" i="4" l="1"/>
  <c r="H168" i="40" s="1"/>
  <c r="H167" i="4"/>
  <c r="L172" i="29"/>
  <c r="L166" i="29"/>
  <c r="F310" i="34"/>
  <c r="F319" i="6"/>
  <c r="F312" i="34"/>
  <c r="F321" i="6"/>
  <c r="F323" i="6"/>
  <c r="F314" i="34"/>
  <c r="F320" i="6"/>
  <c r="F311" i="34"/>
  <c r="F322" i="6"/>
  <c r="F313" i="34"/>
  <c r="F315" i="34"/>
  <c r="F324" i="6"/>
  <c r="F326" i="6"/>
  <c r="F317" i="34"/>
  <c r="F316" i="34"/>
  <c r="F325" i="6"/>
  <c r="H170" i="4"/>
  <c r="H170" i="40" s="1"/>
  <c r="H167" i="40"/>
  <c r="H169" i="4"/>
  <c r="G150" i="57"/>
  <c r="G152" i="57"/>
  <c r="G154" i="57"/>
  <c r="G81" i="57"/>
  <c r="G151" i="57"/>
  <c r="G153" i="57"/>
  <c r="K165" i="57"/>
  <c r="K163" i="57"/>
  <c r="K167" i="57"/>
  <c r="K161" i="57"/>
  <c r="K164" i="57"/>
  <c r="K162" i="57"/>
  <c r="K168" i="57"/>
  <c r="F334" i="6" l="1"/>
  <c r="F335" i="6"/>
  <c r="F331" i="6"/>
  <c r="F332" i="6"/>
  <c r="L167" i="29"/>
  <c r="L168" i="29"/>
  <c r="H169" i="40"/>
  <c r="H202" i="4"/>
  <c r="H172" i="4"/>
  <c r="L179" i="29"/>
  <c r="L182" i="29"/>
  <c r="L178" i="29"/>
  <c r="L121" i="29"/>
  <c r="L122" i="29" s="1"/>
  <c r="K124" i="30"/>
  <c r="K125" i="30" s="1"/>
  <c r="K127" i="30" s="1"/>
  <c r="L199" i="29"/>
  <c r="L177" i="29"/>
  <c r="L181" i="29"/>
  <c r="L189" i="29"/>
  <c r="L191" i="29" s="1"/>
  <c r="L183" i="29"/>
  <c r="L94" i="29"/>
  <c r="L107" i="29"/>
  <c r="L108" i="29" s="1"/>
  <c r="L55" i="29"/>
  <c r="L180" i="29"/>
  <c r="L38" i="29"/>
  <c r="L184" i="29"/>
  <c r="L89" i="29"/>
  <c r="L175" i="29"/>
  <c r="L174" i="29"/>
  <c r="L200" i="29" s="1"/>
  <c r="F333" i="6"/>
  <c r="F330" i="6"/>
  <c r="F329" i="6"/>
  <c r="F328" i="6"/>
  <c r="G96" i="57"/>
  <c r="G70" i="57"/>
  <c r="G98" i="57"/>
  <c r="G100" i="57"/>
  <c r="G71" i="57"/>
  <c r="G102" i="57"/>
  <c r="G99" i="57"/>
  <c r="G97" i="57"/>
  <c r="G103" i="57"/>
  <c r="G83" i="57"/>
  <c r="G78" i="57" l="1"/>
  <c r="F338" i="6"/>
  <c r="L48" i="29"/>
  <c r="L47" i="29"/>
  <c r="L50" i="29" s="1"/>
  <c r="L51" i="29" s="1"/>
  <c r="L52" i="29" s="1"/>
  <c r="L49" i="29"/>
  <c r="L39" i="29"/>
  <c r="L42" i="29" s="1"/>
  <c r="L43" i="29" s="1"/>
  <c r="L44" i="29" s="1"/>
  <c r="L41" i="29"/>
  <c r="L40" i="29"/>
  <c r="L45" i="29" s="1"/>
  <c r="L96" i="29"/>
  <c r="L185" i="29" a="1"/>
  <c r="L185" i="29" s="1"/>
  <c r="L187" i="29" s="1"/>
  <c r="K97" i="30"/>
  <c r="K202" i="30" s="1"/>
  <c r="K211" i="30" s="1"/>
  <c r="K229" i="30" s="1"/>
  <c r="K106" i="30"/>
  <c r="K115" i="30"/>
  <c r="K292" i="30" s="1"/>
  <c r="K98" i="30"/>
  <c r="K203" i="30" s="1"/>
  <c r="K212" i="30" s="1"/>
  <c r="K230" i="30" s="1"/>
  <c r="K107" i="30"/>
  <c r="K116" i="30"/>
  <c r="K293" i="30" s="1"/>
  <c r="F341" i="6"/>
  <c r="F344" i="6"/>
  <c r="K100" i="30"/>
  <c r="K205" i="30" s="1"/>
  <c r="K214" i="30" s="1"/>
  <c r="K232" i="30" s="1"/>
  <c r="K118" i="30"/>
  <c r="K295" i="30" s="1"/>
  <c r="K109" i="30"/>
  <c r="K103" i="30"/>
  <c r="K208" i="30" s="1"/>
  <c r="K217" i="30" s="1"/>
  <c r="K235" i="30" s="1"/>
  <c r="K121" i="30"/>
  <c r="K298" i="30" s="1"/>
  <c r="K112" i="30"/>
  <c r="K102" i="30"/>
  <c r="K207" i="30" s="1"/>
  <c r="K216" i="30" s="1"/>
  <c r="K234" i="30" s="1"/>
  <c r="K111" i="30"/>
  <c r="K120" i="30"/>
  <c r="K297" i="30" s="1"/>
  <c r="L56" i="29"/>
  <c r="L59" i="29" s="1"/>
  <c r="L60" i="29" s="1"/>
  <c r="L57" i="29"/>
  <c r="L58" i="29"/>
  <c r="K94" i="30"/>
  <c r="K154" i="30" s="1"/>
  <c r="K163" i="30" s="1"/>
  <c r="K172" i="30" s="1"/>
  <c r="K181" i="30" s="1"/>
  <c r="K190" i="30" s="1"/>
  <c r="K88" i="30"/>
  <c r="K148" i="30" s="1"/>
  <c r="K157" i="30" s="1"/>
  <c r="K166" i="30" s="1"/>
  <c r="K175" i="30" s="1"/>
  <c r="K184" i="30" s="1"/>
  <c r="K90" i="30"/>
  <c r="K150" i="30" s="1"/>
  <c r="K159" i="30" s="1"/>
  <c r="K168" i="30" s="1"/>
  <c r="K177" i="30" s="1"/>
  <c r="K186" i="30" s="1"/>
  <c r="K89" i="30"/>
  <c r="K149" i="30" s="1"/>
  <c r="K158" i="30" s="1"/>
  <c r="K167" i="30" s="1"/>
  <c r="K176" i="30" s="1"/>
  <c r="K185" i="30" s="1"/>
  <c r="K92" i="30"/>
  <c r="K152" i="30" s="1"/>
  <c r="K161" i="30" s="1"/>
  <c r="K170" i="30" s="1"/>
  <c r="K179" i="30" s="1"/>
  <c r="K188" i="30" s="1"/>
  <c r="K93" i="30"/>
  <c r="K153" i="30" s="1"/>
  <c r="K162" i="30" s="1"/>
  <c r="K171" i="30" s="1"/>
  <c r="K180" i="30" s="1"/>
  <c r="K189" i="30" s="1"/>
  <c r="K91" i="30"/>
  <c r="K151" i="30" s="1"/>
  <c r="K160" i="30" s="1"/>
  <c r="K169" i="30" s="1"/>
  <c r="K178" i="30" s="1"/>
  <c r="K187" i="30" s="1"/>
  <c r="K95" i="30"/>
  <c r="K155" i="30" s="1"/>
  <c r="K164" i="30" s="1"/>
  <c r="K173" i="30" s="1"/>
  <c r="K182" i="30" s="1"/>
  <c r="K191" i="30" s="1"/>
  <c r="K99" i="30"/>
  <c r="K204" i="30" s="1"/>
  <c r="K213" i="30" s="1"/>
  <c r="K231" i="30" s="1"/>
  <c r="K108" i="30"/>
  <c r="K117" i="30"/>
  <c r="K294" i="30" s="1"/>
  <c r="F340" i="6"/>
  <c r="F343" i="6"/>
  <c r="F342" i="6"/>
  <c r="F337" i="6"/>
  <c r="F339" i="6"/>
  <c r="K104" i="30"/>
  <c r="K209" i="30" s="1"/>
  <c r="K218" i="30" s="1"/>
  <c r="K236" i="30" s="1"/>
  <c r="K122" i="30"/>
  <c r="K299" i="30" s="1"/>
  <c r="K113" i="30"/>
  <c r="L109" i="29"/>
  <c r="L112" i="29" s="1"/>
  <c r="L113" i="29" s="1"/>
  <c r="K101" i="30"/>
  <c r="K206" i="30" s="1"/>
  <c r="K215" i="30" s="1"/>
  <c r="K233" i="30" s="1"/>
  <c r="K119" i="30"/>
  <c r="K296" i="30" s="1"/>
  <c r="K110" i="30"/>
  <c r="L123" i="29"/>
  <c r="L126" i="29" s="1"/>
  <c r="L127" i="29" s="1"/>
  <c r="S172" i="4"/>
  <c r="H189" i="4"/>
  <c r="H179" i="4"/>
  <c r="H172" i="40"/>
  <c r="H184" i="4"/>
  <c r="H121" i="4"/>
  <c r="H178" i="4"/>
  <c r="H107" i="4"/>
  <c r="H183" i="4"/>
  <c r="H94" i="4"/>
  <c r="G124" i="6"/>
  <c r="H201" i="4"/>
  <c r="H38" i="4"/>
  <c r="H177" i="4"/>
  <c r="H182" i="4"/>
  <c r="H199" i="4"/>
  <c r="H181" i="4"/>
  <c r="H55" i="4"/>
  <c r="H180" i="4"/>
  <c r="H89" i="4"/>
  <c r="H89" i="40" s="1"/>
  <c r="H174" i="4"/>
  <c r="H175" i="4"/>
  <c r="H175" i="40" s="1"/>
  <c r="L170" i="29"/>
  <c r="L169" i="29"/>
  <c r="G79" i="57"/>
  <c r="G182" i="57"/>
  <c r="G178" i="57"/>
  <c r="G176" i="57"/>
  <c r="G179" i="57"/>
  <c r="G177" i="57"/>
  <c r="G175" i="57"/>
  <c r="G181" i="57"/>
  <c r="G136" i="57"/>
  <c r="G82" i="57"/>
  <c r="G137" i="57"/>
  <c r="G135" i="57"/>
  <c r="G134" i="57"/>
  <c r="G133" i="57"/>
  <c r="G109" i="57"/>
  <c r="G106" i="57"/>
  <c r="G110" i="57"/>
  <c r="G108" i="57"/>
  <c r="G107" i="57"/>
  <c r="G80" i="57"/>
  <c r="H47" i="4" l="1"/>
  <c r="H48" i="4"/>
  <c r="H48" i="40" s="1"/>
  <c r="H38" i="40"/>
  <c r="H49" i="4"/>
  <c r="H49" i="40" s="1"/>
  <c r="H40" i="4"/>
  <c r="H41" i="4"/>
  <c r="H41" i="40" s="1"/>
  <c r="H39" i="4"/>
  <c r="H183" i="40"/>
  <c r="G103" i="6"/>
  <c r="G121" i="6"/>
  <c r="G112" i="6"/>
  <c r="G112" i="34" s="1"/>
  <c r="G104" i="6"/>
  <c r="H184" i="40"/>
  <c r="G122" i="6"/>
  <c r="G113" i="6"/>
  <c r="G113" i="34" s="1"/>
  <c r="F357" i="6"/>
  <c r="F355" i="6"/>
  <c r="F358" i="6"/>
  <c r="K200" i="30"/>
  <c r="K194" i="30"/>
  <c r="F356" i="6"/>
  <c r="G100" i="6"/>
  <c r="H180" i="40"/>
  <c r="G118" i="6"/>
  <c r="G109" i="6"/>
  <c r="G109" i="34" s="1"/>
  <c r="H107" i="40"/>
  <c r="H108" i="4"/>
  <c r="H195" i="40"/>
  <c r="L128" i="29"/>
  <c r="L129" i="29" s="1"/>
  <c r="M125" i="29"/>
  <c r="H57" i="4"/>
  <c r="H55" i="40"/>
  <c r="H56" i="4"/>
  <c r="H58" i="4"/>
  <c r="H58" i="40" s="1"/>
  <c r="G102" i="6"/>
  <c r="H182" i="40"/>
  <c r="G111" i="6"/>
  <c r="G111" i="34" s="1"/>
  <c r="G120" i="6"/>
  <c r="G124" i="34"/>
  <c r="G125" i="6"/>
  <c r="H178" i="40"/>
  <c r="G98" i="6"/>
  <c r="G107" i="6"/>
  <c r="G107" i="34" s="1"/>
  <c r="G116" i="6"/>
  <c r="G99" i="6"/>
  <c r="H179" i="40"/>
  <c r="G108" i="6"/>
  <c r="G108" i="34" s="1"/>
  <c r="G117" i="6"/>
  <c r="L114" i="29"/>
  <c r="M111" i="29"/>
  <c r="K245" i="30"/>
  <c r="K254" i="30" s="1"/>
  <c r="K263" i="30" s="1"/>
  <c r="K272" i="30" s="1"/>
  <c r="K281" i="30" s="1"/>
  <c r="K290" i="30" s="1"/>
  <c r="K308" i="30" s="1"/>
  <c r="K317" i="30" s="1"/>
  <c r="F361" i="6"/>
  <c r="K196" i="30"/>
  <c r="K241" i="30" s="1"/>
  <c r="K250" i="30" s="1"/>
  <c r="K259" i="30" s="1"/>
  <c r="K268" i="30" s="1"/>
  <c r="K277" i="30" s="1"/>
  <c r="K286" i="30" s="1"/>
  <c r="K304" i="30" s="1"/>
  <c r="K313" i="30" s="1"/>
  <c r="K195" i="30"/>
  <c r="K240" i="30" s="1"/>
  <c r="K249" i="30" s="1"/>
  <c r="K258" i="30" s="1"/>
  <c r="K267" i="30" s="1"/>
  <c r="K276" i="30" s="1"/>
  <c r="K285" i="30" s="1"/>
  <c r="K303" i="30" s="1"/>
  <c r="K312" i="30" s="1"/>
  <c r="F359" i="6"/>
  <c r="K239" i="30"/>
  <c r="K248" i="30" s="1"/>
  <c r="K257" i="30" s="1"/>
  <c r="K266" i="30" s="1"/>
  <c r="K275" i="30" s="1"/>
  <c r="K284" i="30" s="1"/>
  <c r="K302" i="30" s="1"/>
  <c r="K311" i="30" s="1"/>
  <c r="H174" i="40"/>
  <c r="H200" i="4"/>
  <c r="H181" i="40"/>
  <c r="G101" i="6"/>
  <c r="G119" i="6"/>
  <c r="G110" i="6"/>
  <c r="G110" i="34" s="1"/>
  <c r="H177" i="40"/>
  <c r="G97" i="6"/>
  <c r="H185" i="4" a="1"/>
  <c r="H185" i="4" s="1"/>
  <c r="G106" i="6"/>
  <c r="G106" i="34" s="1"/>
  <c r="G115" i="6"/>
  <c r="H94" i="40"/>
  <c r="H96" i="4"/>
  <c r="H122" i="4"/>
  <c r="H121" i="40"/>
  <c r="H189" i="40"/>
  <c r="H191" i="4"/>
  <c r="F360" i="6"/>
  <c r="K198" i="30"/>
  <c r="K243" i="30" s="1"/>
  <c r="K252" i="30" s="1"/>
  <c r="K261" i="30" s="1"/>
  <c r="K270" i="30" s="1"/>
  <c r="K279" i="30" s="1"/>
  <c r="K288" i="30" s="1"/>
  <c r="K306" i="30" s="1"/>
  <c r="K315" i="30" s="1"/>
  <c r="K193" i="30"/>
  <c r="K238" i="30" s="1"/>
  <c r="K247" i="30" s="1"/>
  <c r="K256" i="30" s="1"/>
  <c r="K265" i="30" s="1"/>
  <c r="K274" i="30" s="1"/>
  <c r="K283" i="30" s="1"/>
  <c r="K301" i="30" s="1"/>
  <c r="K310" i="30" s="1"/>
  <c r="L62" i="29"/>
  <c r="L68" i="29" s="1"/>
  <c r="L76" i="29" s="1"/>
  <c r="F362" i="6"/>
  <c r="K197" i="30"/>
  <c r="K242" i="30" s="1"/>
  <c r="K251" i="30" s="1"/>
  <c r="K260" i="30" s="1"/>
  <c r="K269" i="30" s="1"/>
  <c r="K278" i="30" s="1"/>
  <c r="K287" i="30" s="1"/>
  <c r="K305" i="30" s="1"/>
  <c r="K314" i="30" s="1"/>
  <c r="K199" i="30"/>
  <c r="K244" i="30" s="1"/>
  <c r="K253" i="30" s="1"/>
  <c r="K262" i="30" s="1"/>
  <c r="K271" i="30" s="1"/>
  <c r="K280" i="30" s="1"/>
  <c r="K289" i="30" s="1"/>
  <c r="K307" i="30" s="1"/>
  <c r="K316" i="30" s="1"/>
  <c r="L61" i="29"/>
  <c r="L67" i="29" s="1"/>
  <c r="L75" i="29" s="1"/>
  <c r="L210" i="29" s="1"/>
  <c r="L211" i="29" s="1"/>
  <c r="L64" i="29"/>
  <c r="L70" i="29" s="1"/>
  <c r="L98" i="29" s="1"/>
  <c r="L99" i="29" s="1"/>
  <c r="L102" i="29" s="1"/>
  <c r="L103" i="29" s="1"/>
  <c r="G187" i="57"/>
  <c r="G191" i="57"/>
  <c r="G189" i="57"/>
  <c r="G185" i="57"/>
  <c r="G188" i="57"/>
  <c r="G186" i="57"/>
  <c r="G192" i="57"/>
  <c r="G144" i="57"/>
  <c r="G142" i="57"/>
  <c r="G140" i="57"/>
  <c r="G146" i="57"/>
  <c r="G143" i="57"/>
  <c r="G141" i="57"/>
  <c r="G147" i="57"/>
  <c r="G73" i="57"/>
  <c r="M101" i="29" l="1"/>
  <c r="L104" i="29"/>
  <c r="L82" i="29"/>
  <c r="L83" i="29"/>
  <c r="L84" i="29"/>
  <c r="L85" i="29"/>
  <c r="H185" i="40"/>
  <c r="H187" i="4"/>
  <c r="H187" i="40" s="1"/>
  <c r="S191" i="4"/>
  <c r="H191" i="40"/>
  <c r="G93" i="6"/>
  <c r="G90" i="6"/>
  <c r="G91" i="6"/>
  <c r="G89" i="6"/>
  <c r="G95" i="6"/>
  <c r="G88" i="6"/>
  <c r="G92" i="6"/>
  <c r="G94" i="6"/>
  <c r="H96" i="40"/>
  <c r="G117" i="34"/>
  <c r="G294" i="6"/>
  <c r="G293" i="6"/>
  <c r="G116" i="34"/>
  <c r="G125" i="34"/>
  <c r="G127" i="6"/>
  <c r="G127" i="34" s="1"/>
  <c r="G104" i="34"/>
  <c r="G209" i="6"/>
  <c r="G207" i="6"/>
  <c r="G102" i="34"/>
  <c r="H57" i="40"/>
  <c r="G118" i="34"/>
  <c r="G295" i="6"/>
  <c r="F365" i="6"/>
  <c r="F367" i="6"/>
  <c r="F364" i="6"/>
  <c r="H39" i="40"/>
  <c r="H42" i="4"/>
  <c r="G120" i="34"/>
  <c r="G297" i="6"/>
  <c r="H108" i="40"/>
  <c r="H109" i="4"/>
  <c r="G122" i="34"/>
  <c r="G299" i="6"/>
  <c r="G121" i="34"/>
  <c r="G298" i="6"/>
  <c r="G119" i="34"/>
  <c r="G296" i="6"/>
  <c r="F371" i="6"/>
  <c r="F369" i="6"/>
  <c r="G202" i="6"/>
  <c r="G97" i="34"/>
  <c r="G101" i="34"/>
  <c r="G206" i="6"/>
  <c r="G203" i="6"/>
  <c r="G98" i="34"/>
  <c r="H122" i="40"/>
  <c r="H123" i="4"/>
  <c r="G115" i="34"/>
  <c r="G292" i="6"/>
  <c r="F368" i="6"/>
  <c r="F370" i="6"/>
  <c r="L115" i="29"/>
  <c r="L117" i="29"/>
  <c r="G204" i="6"/>
  <c r="G99" i="34"/>
  <c r="H56" i="40"/>
  <c r="H59" i="4"/>
  <c r="G100" i="34"/>
  <c r="G205" i="6"/>
  <c r="F366" i="6"/>
  <c r="G208" i="6"/>
  <c r="G103" i="34"/>
  <c r="H40" i="40"/>
  <c r="H47" i="40"/>
  <c r="H50" i="4"/>
  <c r="L119" i="29" l="1"/>
  <c r="H59" i="40"/>
  <c r="H60" i="4"/>
  <c r="H62" i="4" s="1"/>
  <c r="H62" i="40" s="1"/>
  <c r="F377" i="6"/>
  <c r="H126" i="4"/>
  <c r="H123" i="40"/>
  <c r="G203" i="34"/>
  <c r="G212" i="6"/>
  <c r="F380" i="6"/>
  <c r="G298" i="34"/>
  <c r="H109" i="40"/>
  <c r="H112" i="4"/>
  <c r="G293" i="34"/>
  <c r="G155" i="6"/>
  <c r="G95" i="34"/>
  <c r="G93" i="34"/>
  <c r="G153" i="6"/>
  <c r="G214" i="6"/>
  <c r="G205" i="34"/>
  <c r="G211" i="6"/>
  <c r="G202" i="34"/>
  <c r="H42" i="40"/>
  <c r="H43" i="4"/>
  <c r="F376" i="6"/>
  <c r="G295" i="34"/>
  <c r="G294" i="34"/>
  <c r="G94" i="34"/>
  <c r="G154" i="6"/>
  <c r="G149" i="6"/>
  <c r="G89" i="34"/>
  <c r="L87" i="29"/>
  <c r="H50" i="40"/>
  <c r="H51" i="4"/>
  <c r="G217" i="6"/>
  <c r="G208" i="34"/>
  <c r="F379" i="6"/>
  <c r="G292" i="34"/>
  <c r="G215" i="6"/>
  <c r="G206" i="34"/>
  <c r="F378" i="6"/>
  <c r="G296" i="34"/>
  <c r="G299" i="34"/>
  <c r="G216" i="6"/>
  <c r="G207" i="34"/>
  <c r="G92" i="34"/>
  <c r="G152" i="6"/>
  <c r="G151" i="6"/>
  <c r="G91" i="34"/>
  <c r="L116" i="29"/>
  <c r="L105" i="29"/>
  <c r="F375" i="6"/>
  <c r="G213" i="6"/>
  <c r="G204" i="34"/>
  <c r="G297" i="34"/>
  <c r="F373" i="6"/>
  <c r="F374" i="6"/>
  <c r="G218" i="6"/>
  <c r="G209" i="34"/>
  <c r="G148" i="6"/>
  <c r="G88" i="34"/>
  <c r="G150" i="6"/>
  <c r="G90" i="34"/>
  <c r="L118" i="29" l="1"/>
  <c r="G159" i="6"/>
  <c r="G150" i="34"/>
  <c r="G218" i="34"/>
  <c r="G236" i="6"/>
  <c r="G215" i="34"/>
  <c r="G233" i="6"/>
  <c r="G232" i="6"/>
  <c r="G214" i="34"/>
  <c r="H112" i="40"/>
  <c r="H113" i="4"/>
  <c r="G231" i="6"/>
  <c r="G213" i="34"/>
  <c r="H52" i="4"/>
  <c r="H51" i="40"/>
  <c r="G158" i="6"/>
  <c r="G149" i="34"/>
  <c r="G164" i="6"/>
  <c r="G155" i="34"/>
  <c r="G161" i="6"/>
  <c r="G152" i="34"/>
  <c r="G148" i="34"/>
  <c r="G157" i="6"/>
  <c r="L212" i="29"/>
  <c r="L213" i="29" s="1"/>
  <c r="L88" i="29"/>
  <c r="G154" i="34"/>
  <c r="G163" i="6"/>
  <c r="G229" i="6"/>
  <c r="G211" i="34"/>
  <c r="G162" i="6"/>
  <c r="G153" i="34"/>
  <c r="H126" i="40"/>
  <c r="H127" i="4"/>
  <c r="H64" i="4"/>
  <c r="H64" i="40" s="1"/>
  <c r="H61" i="4"/>
  <c r="H61" i="40" s="1"/>
  <c r="H60" i="40"/>
  <c r="G160" i="6"/>
  <c r="G151" i="34"/>
  <c r="G234" i="6"/>
  <c r="G216" i="34"/>
  <c r="G235" i="6"/>
  <c r="G217" i="34"/>
  <c r="H44" i="4"/>
  <c r="H43" i="40"/>
  <c r="H45" i="4"/>
  <c r="G212" i="34"/>
  <c r="G230" i="6"/>
  <c r="H68" i="4" l="1"/>
  <c r="H45" i="40"/>
  <c r="G235" i="34"/>
  <c r="G162" i="34"/>
  <c r="G171" i="6"/>
  <c r="G157" i="34"/>
  <c r="G166" i="6"/>
  <c r="G158" i="34"/>
  <c r="G167" i="6"/>
  <c r="H70" i="4"/>
  <c r="H52" i="40"/>
  <c r="H113" i="40"/>
  <c r="H114" i="4"/>
  <c r="I111" i="4"/>
  <c r="G236" i="34"/>
  <c r="G233" i="34"/>
  <c r="G160" i="34"/>
  <c r="G169" i="6"/>
  <c r="L90" i="29"/>
  <c r="L91" i="29" s="1"/>
  <c r="L92" i="29" s="1"/>
  <c r="L131" i="29" s="1"/>
  <c r="L161" i="29" s="1"/>
  <c r="H67" i="4"/>
  <c r="H44" i="40"/>
  <c r="G229" i="34"/>
  <c r="G164" i="34"/>
  <c r="G173" i="6"/>
  <c r="G231" i="34"/>
  <c r="H128" i="4"/>
  <c r="I125" i="4"/>
  <c r="H127" i="40"/>
  <c r="G230" i="34"/>
  <c r="G234" i="34"/>
  <c r="G163" i="34"/>
  <c r="G172" i="6"/>
  <c r="G161" i="34"/>
  <c r="G170" i="6"/>
  <c r="G232" i="34"/>
  <c r="G159" i="34"/>
  <c r="G168" i="6"/>
  <c r="G129" i="57"/>
  <c r="G123" i="57"/>
  <c r="G127" i="57"/>
  <c r="G125" i="57"/>
  <c r="G126" i="57"/>
  <c r="G124" i="57"/>
  <c r="G130" i="57"/>
  <c r="G120" i="57"/>
  <c r="G114" i="57"/>
  <c r="G116" i="57"/>
  <c r="G117" i="57"/>
  <c r="G115" i="57"/>
  <c r="G113" i="57"/>
  <c r="G119" i="57"/>
  <c r="G181" i="6" l="1"/>
  <c r="G172" i="34"/>
  <c r="H129" i="4"/>
  <c r="H129" i="40" s="1"/>
  <c r="H128" i="40"/>
  <c r="H67" i="40"/>
  <c r="I206" i="4"/>
  <c r="H75" i="4"/>
  <c r="G175" i="6"/>
  <c r="G166" i="34"/>
  <c r="L221" i="29"/>
  <c r="L162" i="29"/>
  <c r="M164" i="29" s="1"/>
  <c r="H114" i="40"/>
  <c r="H115" i="4"/>
  <c r="H117" i="4"/>
  <c r="H117" i="40" s="1"/>
  <c r="I125" i="40"/>
  <c r="I111" i="40"/>
  <c r="H70" i="40"/>
  <c r="H98" i="4"/>
  <c r="G168" i="34"/>
  <c r="G177" i="6"/>
  <c r="G167" i="34"/>
  <c r="G176" i="6"/>
  <c r="G180" i="6"/>
  <c r="G171" i="34"/>
  <c r="G179" i="6"/>
  <c r="G170" i="34"/>
  <c r="G182" i="6"/>
  <c r="G173" i="34"/>
  <c r="G169" i="34"/>
  <c r="G178" i="6"/>
  <c r="H68" i="40"/>
  <c r="H76" i="4"/>
  <c r="H75" i="57"/>
  <c r="G200" i="57"/>
  <c r="M172" i="29" l="1"/>
  <c r="M166" i="29"/>
  <c r="G177" i="34"/>
  <c r="G186" i="6"/>
  <c r="G182" i="34"/>
  <c r="G191" i="6"/>
  <c r="G179" i="34"/>
  <c r="G188" i="6"/>
  <c r="G175" i="34"/>
  <c r="G184" i="6"/>
  <c r="H210" i="4"/>
  <c r="H75" i="40"/>
  <c r="H115" i="40"/>
  <c r="H119" i="4"/>
  <c r="H119" i="40" s="1"/>
  <c r="H76" i="40"/>
  <c r="H85" i="4"/>
  <c r="H84" i="4"/>
  <c r="H82" i="4"/>
  <c r="H83" i="4"/>
  <c r="G180" i="34"/>
  <c r="G189" i="6"/>
  <c r="G178" i="34"/>
  <c r="G187" i="6"/>
  <c r="G176" i="34"/>
  <c r="G185" i="6"/>
  <c r="H98" i="40"/>
  <c r="H99" i="4"/>
  <c r="G181" i="34"/>
  <c r="G190" i="6"/>
  <c r="L168" i="57"/>
  <c r="L161" i="57"/>
  <c r="L165" i="57"/>
  <c r="L164" i="57"/>
  <c r="L167" i="57"/>
  <c r="L163" i="57"/>
  <c r="L162" i="57"/>
  <c r="H84" i="40" l="1"/>
  <c r="H102" i="4"/>
  <c r="H99" i="40"/>
  <c r="H83" i="40"/>
  <c r="G188" i="34"/>
  <c r="G197" i="6"/>
  <c r="G186" i="34"/>
  <c r="G195" i="6"/>
  <c r="G194" i="6"/>
  <c r="G185" i="34"/>
  <c r="G193" i="6"/>
  <c r="G184" i="34"/>
  <c r="G187" i="34"/>
  <c r="G196" i="6"/>
  <c r="H82" i="40"/>
  <c r="H87" i="4"/>
  <c r="H210" i="40"/>
  <c r="H211" i="4"/>
  <c r="H211" i="40" s="1"/>
  <c r="M167" i="29"/>
  <c r="M168" i="29"/>
  <c r="G199" i="6"/>
  <c r="G190" i="34"/>
  <c r="G198" i="6"/>
  <c r="G189" i="34"/>
  <c r="G200" i="6"/>
  <c r="G191" i="34"/>
  <c r="H85" i="40"/>
  <c r="M183" i="29"/>
  <c r="L124" i="30"/>
  <c r="L125" i="30" s="1"/>
  <c r="L127" i="30" s="1"/>
  <c r="M178" i="29"/>
  <c r="M179" i="29"/>
  <c r="M199" i="29"/>
  <c r="M189" i="29"/>
  <c r="M191" i="29" s="1"/>
  <c r="M55" i="29"/>
  <c r="M107" i="29"/>
  <c r="M108" i="29" s="1"/>
  <c r="M109" i="29" s="1"/>
  <c r="M112" i="29" s="1"/>
  <c r="M113" i="29" s="1"/>
  <c r="M114" i="29" s="1"/>
  <c r="M38" i="29"/>
  <c r="M94" i="29"/>
  <c r="M96" i="29" s="1"/>
  <c r="M182" i="29"/>
  <c r="M177" i="29"/>
  <c r="M180" i="29"/>
  <c r="M184" i="29"/>
  <c r="M121" i="29"/>
  <c r="M122" i="29" s="1"/>
  <c r="M123" i="29" s="1"/>
  <c r="M126" i="29" s="1"/>
  <c r="M127" i="29" s="1"/>
  <c r="M128" i="29" s="1"/>
  <c r="M129" i="29" s="1"/>
  <c r="M181" i="29"/>
  <c r="M89" i="29"/>
  <c r="M174" i="29"/>
  <c r="M200" i="29" s="1"/>
  <c r="M175" i="29"/>
  <c r="M48" i="29" l="1"/>
  <c r="M47" i="29"/>
  <c r="M50" i="29" s="1"/>
  <c r="M40" i="29"/>
  <c r="M49" i="29"/>
  <c r="M39" i="29"/>
  <c r="M42" i="29" s="1"/>
  <c r="M43" i="29" s="1"/>
  <c r="M44" i="29" s="1"/>
  <c r="M41" i="29"/>
  <c r="H87" i="40"/>
  <c r="H212" i="4"/>
  <c r="H88" i="4"/>
  <c r="G196" i="34"/>
  <c r="G241" i="6"/>
  <c r="G193" i="34"/>
  <c r="G238" i="6"/>
  <c r="G195" i="34"/>
  <c r="G240" i="6"/>
  <c r="G197" i="34"/>
  <c r="G242" i="6"/>
  <c r="L101" i="30"/>
  <c r="L206" i="30" s="1"/>
  <c r="L215" i="30" s="1"/>
  <c r="L233" i="30" s="1"/>
  <c r="L110" i="30"/>
  <c r="L119" i="30"/>
  <c r="L296" i="30" s="1"/>
  <c r="L97" i="30"/>
  <c r="L202" i="30" s="1"/>
  <c r="L211" i="30" s="1"/>
  <c r="L229" i="30" s="1"/>
  <c r="M185" i="29" a="1"/>
  <c r="M185" i="29" s="1"/>
  <c r="M187" i="29" s="1"/>
  <c r="L106" i="30"/>
  <c r="L115" i="30"/>
  <c r="L292" i="30" s="1"/>
  <c r="L103" i="30"/>
  <c r="L208" i="30" s="1"/>
  <c r="L217" i="30" s="1"/>
  <c r="L235" i="30" s="1"/>
  <c r="L112" i="30"/>
  <c r="L121" i="30"/>
  <c r="L298" i="30" s="1"/>
  <c r="L102" i="30"/>
  <c r="L207" i="30" s="1"/>
  <c r="L216" i="30" s="1"/>
  <c r="L234" i="30" s="1"/>
  <c r="L120" i="30"/>
  <c r="L297" i="30" s="1"/>
  <c r="L111" i="30"/>
  <c r="M117" i="29"/>
  <c r="M115" i="29"/>
  <c r="L99" i="30"/>
  <c r="L204" i="30" s="1"/>
  <c r="L213" i="30" s="1"/>
  <c r="L231" i="30" s="1"/>
  <c r="L108" i="30"/>
  <c r="L117" i="30"/>
  <c r="L294" i="30" s="1"/>
  <c r="G200" i="34"/>
  <c r="G245" i="6"/>
  <c r="M170" i="29"/>
  <c r="M169" i="29"/>
  <c r="H102" i="40"/>
  <c r="H103" i="4"/>
  <c r="L104" i="30"/>
  <c r="L209" i="30" s="1"/>
  <c r="L218" i="30" s="1"/>
  <c r="L236" i="30" s="1"/>
  <c r="L122" i="30"/>
  <c r="L299" i="30" s="1"/>
  <c r="L113" i="30"/>
  <c r="M57" i="29"/>
  <c r="M56" i="29"/>
  <c r="M59" i="29" s="1"/>
  <c r="M58" i="29"/>
  <c r="L98" i="30"/>
  <c r="L203" i="30" s="1"/>
  <c r="L212" i="30" s="1"/>
  <c r="L230" i="30" s="1"/>
  <c r="L116" i="30"/>
  <c r="L293" i="30" s="1"/>
  <c r="L107" i="30"/>
  <c r="L100" i="30"/>
  <c r="L205" i="30" s="1"/>
  <c r="L214" i="30" s="1"/>
  <c r="L232" i="30" s="1"/>
  <c r="L118" i="30"/>
  <c r="L295" i="30" s="1"/>
  <c r="L109" i="30"/>
  <c r="L94" i="30"/>
  <c r="L154" i="30" s="1"/>
  <c r="L163" i="30" s="1"/>
  <c r="L172" i="30" s="1"/>
  <c r="L181" i="30" s="1"/>
  <c r="L190" i="30" s="1"/>
  <c r="L90" i="30"/>
  <c r="L150" i="30" s="1"/>
  <c r="L159" i="30" s="1"/>
  <c r="L168" i="30" s="1"/>
  <c r="L177" i="30" s="1"/>
  <c r="L186" i="30" s="1"/>
  <c r="L93" i="30"/>
  <c r="L153" i="30" s="1"/>
  <c r="L162" i="30" s="1"/>
  <c r="L171" i="30" s="1"/>
  <c r="L180" i="30" s="1"/>
  <c r="L189" i="30" s="1"/>
  <c r="L91" i="30"/>
  <c r="L151" i="30" s="1"/>
  <c r="L160" i="30" s="1"/>
  <c r="L169" i="30" s="1"/>
  <c r="L178" i="30" s="1"/>
  <c r="L187" i="30" s="1"/>
  <c r="L89" i="30"/>
  <c r="L149" i="30" s="1"/>
  <c r="L158" i="30" s="1"/>
  <c r="L167" i="30" s="1"/>
  <c r="L176" i="30" s="1"/>
  <c r="L185" i="30" s="1"/>
  <c r="L88" i="30"/>
  <c r="L148" i="30" s="1"/>
  <c r="L157" i="30" s="1"/>
  <c r="L166" i="30" s="1"/>
  <c r="L175" i="30" s="1"/>
  <c r="L184" i="30" s="1"/>
  <c r="L92" i="30"/>
  <c r="L152" i="30" s="1"/>
  <c r="L161" i="30" s="1"/>
  <c r="L170" i="30" s="1"/>
  <c r="L179" i="30" s="1"/>
  <c r="L188" i="30" s="1"/>
  <c r="L95" i="30"/>
  <c r="L155" i="30" s="1"/>
  <c r="L164" i="30" s="1"/>
  <c r="L173" i="30" s="1"/>
  <c r="L182" i="30" s="1"/>
  <c r="L191" i="30" s="1"/>
  <c r="G198" i="34"/>
  <c r="G243" i="6"/>
  <c r="G199" i="34"/>
  <c r="G244" i="6"/>
  <c r="G194" i="34"/>
  <c r="G239" i="6"/>
  <c r="M60" i="29" l="1"/>
  <c r="M51" i="29"/>
  <c r="M52" i="29" s="1"/>
  <c r="L200" i="30"/>
  <c r="L245" i="30" s="1"/>
  <c r="L254" i="30" s="1"/>
  <c r="L263" i="30" s="1"/>
  <c r="L272" i="30" s="1"/>
  <c r="L281" i="30" s="1"/>
  <c r="L290" i="30" s="1"/>
  <c r="L308" i="30" s="1"/>
  <c r="L317" i="30" s="1"/>
  <c r="G239" i="34"/>
  <c r="G248" i="6"/>
  <c r="G243" i="34"/>
  <c r="G252" i="6"/>
  <c r="L193" i="30"/>
  <c r="L238" i="30" s="1"/>
  <c r="L247" i="30" s="1"/>
  <c r="L256" i="30" s="1"/>
  <c r="L265" i="30" s="1"/>
  <c r="L274" i="30" s="1"/>
  <c r="L283" i="30" s="1"/>
  <c r="L301" i="30" s="1"/>
  <c r="L310" i="30" s="1"/>
  <c r="L195" i="30"/>
  <c r="M119" i="29"/>
  <c r="H212" i="40"/>
  <c r="L199" i="30"/>
  <c r="L244" i="30" s="1"/>
  <c r="L253" i="30" s="1"/>
  <c r="L262" i="30" s="1"/>
  <c r="L271" i="30" s="1"/>
  <c r="L280" i="30" s="1"/>
  <c r="L289" i="30" s="1"/>
  <c r="L307" i="30" s="1"/>
  <c r="L316" i="30" s="1"/>
  <c r="M64" i="29"/>
  <c r="M61" i="29"/>
  <c r="G240" i="34"/>
  <c r="G249" i="6"/>
  <c r="G241" i="34"/>
  <c r="G250" i="6"/>
  <c r="M45" i="29"/>
  <c r="L194" i="30"/>
  <c r="L239" i="30" s="1"/>
  <c r="L248" i="30" s="1"/>
  <c r="L257" i="30" s="1"/>
  <c r="L266" i="30" s="1"/>
  <c r="L275" i="30" s="1"/>
  <c r="L284" i="30" s="1"/>
  <c r="L302" i="30" s="1"/>
  <c r="L311" i="30" s="1"/>
  <c r="G244" i="34"/>
  <c r="G253" i="6"/>
  <c r="L196" i="30"/>
  <c r="L241" i="30" s="1"/>
  <c r="L250" i="30" s="1"/>
  <c r="L259" i="30" s="1"/>
  <c r="L268" i="30" s="1"/>
  <c r="L277" i="30" s="1"/>
  <c r="L286" i="30" s="1"/>
  <c r="L304" i="30" s="1"/>
  <c r="L313" i="30" s="1"/>
  <c r="M62" i="29"/>
  <c r="M70" i="29"/>
  <c r="M98" i="29" s="1"/>
  <c r="M99" i="29" s="1"/>
  <c r="M102" i="29" s="1"/>
  <c r="M103" i="29" s="1"/>
  <c r="M104" i="29" s="1"/>
  <c r="L197" i="30"/>
  <c r="L242" i="30" s="1"/>
  <c r="L251" i="30" s="1"/>
  <c r="L260" i="30" s="1"/>
  <c r="L269" i="30" s="1"/>
  <c r="L278" i="30" s="1"/>
  <c r="L287" i="30" s="1"/>
  <c r="L305" i="30" s="1"/>
  <c r="L314" i="30" s="1"/>
  <c r="L198" i="30"/>
  <c r="L243" i="30" s="1"/>
  <c r="L252" i="30" s="1"/>
  <c r="L261" i="30" s="1"/>
  <c r="L270" i="30" s="1"/>
  <c r="L279" i="30" s="1"/>
  <c r="L288" i="30" s="1"/>
  <c r="L306" i="30" s="1"/>
  <c r="L315" i="30" s="1"/>
  <c r="I101" i="4"/>
  <c r="H103" i="40"/>
  <c r="H104" i="4"/>
  <c r="G245" i="34"/>
  <c r="G254" i="6"/>
  <c r="L240" i="30"/>
  <c r="L249" i="30" s="1"/>
  <c r="L258" i="30" s="1"/>
  <c r="L267" i="30" s="1"/>
  <c r="L276" i="30" s="1"/>
  <c r="L285" i="30" s="1"/>
  <c r="L303" i="30" s="1"/>
  <c r="L312" i="30" s="1"/>
  <c r="G242" i="34"/>
  <c r="G251" i="6"/>
  <c r="G238" i="34"/>
  <c r="G247" i="6"/>
  <c r="H88" i="40"/>
  <c r="H90" i="4"/>
  <c r="H90" i="40" s="1"/>
  <c r="M67" i="29"/>
  <c r="M75" i="29" s="1"/>
  <c r="M210" i="29" s="1"/>
  <c r="M211" i="29" s="1"/>
  <c r="H91" i="4" l="1"/>
  <c r="C319" i="30" a="1"/>
  <c r="M116" i="29"/>
  <c r="M105" i="29"/>
  <c r="G259" i="6"/>
  <c r="G250" i="34"/>
  <c r="G257" i="6"/>
  <c r="G248" i="34"/>
  <c r="H91" i="40"/>
  <c r="H92" i="4"/>
  <c r="G256" i="6"/>
  <c r="G247" i="34"/>
  <c r="G263" i="6"/>
  <c r="G254" i="34"/>
  <c r="I101" i="40"/>
  <c r="G249" i="34"/>
  <c r="G258" i="6"/>
  <c r="G261" i="6"/>
  <c r="G252" i="34"/>
  <c r="G251" i="34"/>
  <c r="G260" i="6"/>
  <c r="H105" i="4"/>
  <c r="H116" i="4"/>
  <c r="H116" i="40" s="1"/>
  <c r="H104" i="40"/>
  <c r="G253" i="34"/>
  <c r="G262" i="6"/>
  <c r="M68" i="29"/>
  <c r="M76" i="29" s="1"/>
  <c r="G62" i="57"/>
  <c r="G262" i="34" l="1"/>
  <c r="G271" i="6"/>
  <c r="G269" i="6"/>
  <c r="G260" i="34"/>
  <c r="G268" i="6"/>
  <c r="G259" i="34"/>
  <c r="H105" i="40"/>
  <c r="H118" i="4"/>
  <c r="H118" i="40" s="1"/>
  <c r="G263" i="34"/>
  <c r="G272" i="6"/>
  <c r="M82" i="29"/>
  <c r="M84" i="29"/>
  <c r="M83" i="29"/>
  <c r="M85" i="29"/>
  <c r="M118" i="29"/>
  <c r="G265" i="6"/>
  <c r="G256" i="34"/>
  <c r="G266" i="6"/>
  <c r="G257" i="34"/>
  <c r="G261" i="34"/>
  <c r="G270" i="6"/>
  <c r="G267" i="6"/>
  <c r="G258" i="34"/>
  <c r="H131" i="4"/>
  <c r="H92" i="40"/>
  <c r="K323" i="30"/>
  <c r="E325" i="30"/>
  <c r="E325" i="34" s="1"/>
  <c r="D323" i="30"/>
  <c r="D323" i="34" s="1"/>
  <c r="L326" i="30"/>
  <c r="L325" i="30"/>
  <c r="E321" i="30"/>
  <c r="E321" i="34" s="1"/>
  <c r="G320" i="30"/>
  <c r="I326" i="30"/>
  <c r="D325" i="30"/>
  <c r="D325" i="34" s="1"/>
  <c r="I319" i="30"/>
  <c r="G324" i="30"/>
  <c r="F324" i="30"/>
  <c r="F324" i="34" s="1"/>
  <c r="K324" i="30"/>
  <c r="I320" i="30"/>
  <c r="E326" i="30"/>
  <c r="E326" i="34" s="1"/>
  <c r="D320" i="30"/>
  <c r="D320" i="34" s="1"/>
  <c r="E324" i="30"/>
  <c r="E324" i="34" s="1"/>
  <c r="G323" i="30"/>
  <c r="K319" i="30"/>
  <c r="C321" i="30"/>
  <c r="C321" i="34" s="1"/>
  <c r="D321" i="30"/>
  <c r="D321" i="34" s="1"/>
  <c r="L320" i="30"/>
  <c r="J325" i="30"/>
  <c r="G319" i="30"/>
  <c r="F321" i="30"/>
  <c r="F321" i="34" s="1"/>
  <c r="G321" i="30"/>
  <c r="I324" i="30"/>
  <c r="L321" i="30"/>
  <c r="D324" i="30"/>
  <c r="D324" i="34" s="1"/>
  <c r="J320" i="30"/>
  <c r="H326" i="30"/>
  <c r="J319" i="30"/>
  <c r="H322" i="30"/>
  <c r="H324" i="30"/>
  <c r="J326" i="30"/>
  <c r="K322" i="30"/>
  <c r="E322" i="30"/>
  <c r="E322" i="34" s="1"/>
  <c r="C323" i="30"/>
  <c r="C323" i="34" s="1"/>
  <c r="D319" i="30"/>
  <c r="D319" i="34" s="1"/>
  <c r="J321" i="30"/>
  <c r="H320" i="30"/>
  <c r="C325" i="30"/>
  <c r="C325" i="34" s="1"/>
  <c r="C320" i="30"/>
  <c r="C320" i="34" s="1"/>
  <c r="I322" i="30"/>
  <c r="G322" i="30"/>
  <c r="J323" i="30"/>
  <c r="D322" i="30"/>
  <c r="D322" i="34" s="1"/>
  <c r="I323" i="30"/>
  <c r="L319" i="30"/>
  <c r="L324" i="30"/>
  <c r="L322" i="30"/>
  <c r="F319" i="30"/>
  <c r="F319" i="34" s="1"/>
  <c r="D326" i="30"/>
  <c r="D326" i="34" s="1"/>
  <c r="C319" i="30"/>
  <c r="K321" i="30"/>
  <c r="H319" i="30"/>
  <c r="E319" i="30"/>
  <c r="E319" i="34" s="1"/>
  <c r="H321" i="30"/>
  <c r="H325" i="30"/>
  <c r="J324" i="30"/>
  <c r="K325" i="30"/>
  <c r="I321" i="30"/>
  <c r="F323" i="30"/>
  <c r="F323" i="34" s="1"/>
  <c r="G325" i="30"/>
  <c r="C324" i="30"/>
  <c r="C324" i="34" s="1"/>
  <c r="K326" i="30"/>
  <c r="C326" i="30"/>
  <c r="C326" i="34" s="1"/>
  <c r="J322" i="30"/>
  <c r="G326" i="30"/>
  <c r="F325" i="30"/>
  <c r="F325" i="34" s="1"/>
  <c r="F322" i="30"/>
  <c r="F322" i="34" s="1"/>
  <c r="E320" i="30"/>
  <c r="E320" i="34" s="1"/>
  <c r="K320" i="30"/>
  <c r="F320" i="30"/>
  <c r="F320" i="34" s="1"/>
  <c r="F326" i="30"/>
  <c r="F326" i="34" s="1"/>
  <c r="L323" i="30"/>
  <c r="C322" i="30"/>
  <c r="C322" i="34" s="1"/>
  <c r="H323" i="30"/>
  <c r="E323" i="30"/>
  <c r="E323" i="34" s="1"/>
  <c r="I325" i="30"/>
  <c r="H161" i="4" l="1"/>
  <c r="H131" i="40"/>
  <c r="G265" i="34"/>
  <c r="G274" i="6"/>
  <c r="M87" i="29"/>
  <c r="G269" i="34"/>
  <c r="G278" i="6"/>
  <c r="C328" i="30" a="1"/>
  <c r="C319" i="34"/>
  <c r="G267" i="34"/>
  <c r="G276" i="6"/>
  <c r="G266" i="34"/>
  <c r="G275" i="6"/>
  <c r="G272" i="34"/>
  <c r="G281" i="6"/>
  <c r="G271" i="34"/>
  <c r="G280" i="6"/>
  <c r="G270" i="34"/>
  <c r="G279" i="6"/>
  <c r="G268" i="34"/>
  <c r="G277" i="6"/>
  <c r="G68" i="57"/>
  <c r="L332" i="30" l="1"/>
  <c r="E329" i="30"/>
  <c r="E329" i="34" s="1"/>
  <c r="K333" i="30"/>
  <c r="J330" i="30"/>
  <c r="D333" i="30"/>
  <c r="D333" i="34" s="1"/>
  <c r="K329" i="30"/>
  <c r="K330" i="30"/>
  <c r="H329" i="30"/>
  <c r="H335" i="30"/>
  <c r="C329" i="30"/>
  <c r="C329" i="34" s="1"/>
  <c r="K335" i="30"/>
  <c r="F332" i="30"/>
  <c r="F332" i="34" s="1"/>
  <c r="D334" i="30"/>
  <c r="D334" i="34" s="1"/>
  <c r="C328" i="30"/>
  <c r="H328" i="30"/>
  <c r="J332" i="30"/>
  <c r="G335" i="30"/>
  <c r="C334" i="30"/>
  <c r="C334" i="34" s="1"/>
  <c r="I329" i="30"/>
  <c r="F335" i="30"/>
  <c r="F335" i="34" s="1"/>
  <c r="L331" i="30"/>
  <c r="I334" i="30"/>
  <c r="G334" i="30"/>
  <c r="C331" i="30"/>
  <c r="C331" i="34" s="1"/>
  <c r="F329" i="30"/>
  <c r="F329" i="34" s="1"/>
  <c r="G333" i="30"/>
  <c r="G331" i="30"/>
  <c r="L335" i="30"/>
  <c r="E334" i="30"/>
  <c r="E334" i="34" s="1"/>
  <c r="G329" i="30"/>
  <c r="F334" i="30"/>
  <c r="F334" i="34" s="1"/>
  <c r="K332" i="30"/>
  <c r="G330" i="30"/>
  <c r="C330" i="30"/>
  <c r="C330" i="34" s="1"/>
  <c r="I330" i="30"/>
  <c r="E332" i="30"/>
  <c r="E332" i="34" s="1"/>
  <c r="G328" i="30"/>
  <c r="L328" i="30"/>
  <c r="J331" i="30"/>
  <c r="J328" i="30"/>
  <c r="K334" i="30"/>
  <c r="C335" i="30"/>
  <c r="C335" i="34" s="1"/>
  <c r="E331" i="30"/>
  <c r="E331" i="34" s="1"/>
  <c r="D328" i="30"/>
  <c r="D328" i="34" s="1"/>
  <c r="E328" i="30"/>
  <c r="E328" i="34" s="1"/>
  <c r="I328" i="30"/>
  <c r="K331" i="30"/>
  <c r="E330" i="30"/>
  <c r="E330" i="34" s="1"/>
  <c r="F331" i="30"/>
  <c r="F331" i="34" s="1"/>
  <c r="H331" i="30"/>
  <c r="I331" i="30"/>
  <c r="H332" i="30"/>
  <c r="L334" i="30"/>
  <c r="H330" i="30"/>
  <c r="F328" i="30"/>
  <c r="F328" i="34" s="1"/>
  <c r="J333" i="30"/>
  <c r="H333" i="30"/>
  <c r="I332" i="30"/>
  <c r="C333" i="30"/>
  <c r="C333" i="34" s="1"/>
  <c r="L333" i="30"/>
  <c r="G332" i="30"/>
  <c r="C332" i="30"/>
  <c r="C332" i="34" s="1"/>
  <c r="L329" i="30"/>
  <c r="I335" i="30"/>
  <c r="D331" i="30"/>
  <c r="D331" i="34" s="1"/>
  <c r="D329" i="30"/>
  <c r="D329" i="34" s="1"/>
  <c r="F333" i="30"/>
  <c r="F333" i="34" s="1"/>
  <c r="E333" i="30"/>
  <c r="E333" i="34" s="1"/>
  <c r="I333" i="30"/>
  <c r="J335" i="30"/>
  <c r="K328" i="30"/>
  <c r="F330" i="30"/>
  <c r="F330" i="34" s="1"/>
  <c r="D332" i="30"/>
  <c r="D332" i="34" s="1"/>
  <c r="D335" i="30"/>
  <c r="D335" i="34" s="1"/>
  <c r="J329" i="30"/>
  <c r="D330" i="30"/>
  <c r="D330" i="34" s="1"/>
  <c r="L330" i="30"/>
  <c r="E335" i="30"/>
  <c r="E335" i="34" s="1"/>
  <c r="H334" i="30"/>
  <c r="J334" i="30"/>
  <c r="G283" i="6"/>
  <c r="G274" i="34"/>
  <c r="G278" i="34"/>
  <c r="G287" i="6"/>
  <c r="G281" i="34"/>
  <c r="G290" i="6"/>
  <c r="G288" i="6"/>
  <c r="G279" i="34"/>
  <c r="G285" i="6"/>
  <c r="G276" i="34"/>
  <c r="G286" i="6"/>
  <c r="G277" i="34"/>
  <c r="G289" i="6"/>
  <c r="G280" i="34"/>
  <c r="G284" i="6"/>
  <c r="G275" i="34"/>
  <c r="M88" i="29"/>
  <c r="M212" i="29"/>
  <c r="M213" i="29" s="1"/>
  <c r="H162" i="4"/>
  <c r="H162" i="40" s="1"/>
  <c r="H161" i="40"/>
  <c r="H221" i="4"/>
  <c r="H221" i="40" s="1"/>
  <c r="I164" i="4" l="1"/>
  <c r="I164" i="40" s="1"/>
  <c r="G286" i="34"/>
  <c r="G304" i="6"/>
  <c r="G289" i="34"/>
  <c r="G307" i="6"/>
  <c r="G284" i="34"/>
  <c r="G302" i="6"/>
  <c r="G288" i="34"/>
  <c r="G306" i="6"/>
  <c r="G287" i="34"/>
  <c r="G305" i="6"/>
  <c r="G283" i="34"/>
  <c r="G301" i="6"/>
  <c r="C337" i="30" a="1"/>
  <c r="C328" i="34"/>
  <c r="M90" i="29"/>
  <c r="M91" i="29" s="1"/>
  <c r="M92" i="29" s="1"/>
  <c r="M131" i="29" s="1"/>
  <c r="M161" i="29" s="1"/>
  <c r="G285" i="34"/>
  <c r="G303" i="6"/>
  <c r="G290" i="34"/>
  <c r="G308" i="6"/>
  <c r="I166" i="4" l="1"/>
  <c r="I166" i="40" s="1"/>
  <c r="F337" i="30"/>
  <c r="E339" i="30"/>
  <c r="L342" i="30"/>
  <c r="L360" i="30" s="1"/>
  <c r="K344" i="30"/>
  <c r="K362" i="30" s="1"/>
  <c r="D343" i="30"/>
  <c r="I338" i="30"/>
  <c r="I356" i="30" s="1"/>
  <c r="G338" i="30"/>
  <c r="G356" i="30" s="1"/>
  <c r="G342" i="30"/>
  <c r="G360" i="30" s="1"/>
  <c r="C343" i="30"/>
  <c r="I340" i="30"/>
  <c r="I358" i="30" s="1"/>
  <c r="G343" i="30"/>
  <c r="G361" i="30" s="1"/>
  <c r="H339" i="30"/>
  <c r="H357" i="30" s="1"/>
  <c r="J342" i="30"/>
  <c r="J360" i="30" s="1"/>
  <c r="I344" i="30"/>
  <c r="I362" i="30" s="1"/>
  <c r="K338" i="30"/>
  <c r="K356" i="30" s="1"/>
  <c r="E343" i="30"/>
  <c r="D344" i="30"/>
  <c r="G337" i="30"/>
  <c r="G355" i="30" s="1"/>
  <c r="L338" i="30"/>
  <c r="L356" i="30" s="1"/>
  <c r="H337" i="30"/>
  <c r="H355" i="30" s="1"/>
  <c r="F343" i="30"/>
  <c r="D341" i="30"/>
  <c r="C341" i="30"/>
  <c r="G340" i="30"/>
  <c r="G358" i="30" s="1"/>
  <c r="I339" i="30"/>
  <c r="I357" i="30" s="1"/>
  <c r="K342" i="30"/>
  <c r="K360" i="30" s="1"/>
  <c r="K340" i="30"/>
  <c r="K358" i="30" s="1"/>
  <c r="L341" i="30"/>
  <c r="L359" i="30" s="1"/>
  <c r="D338" i="30"/>
  <c r="G339" i="30"/>
  <c r="G357" i="30" s="1"/>
  <c r="F342" i="30"/>
  <c r="C342" i="30"/>
  <c r="F338" i="30"/>
  <c r="L340" i="30"/>
  <c r="L358" i="30" s="1"/>
  <c r="C340" i="30"/>
  <c r="J344" i="30"/>
  <c r="J362" i="30" s="1"/>
  <c r="E342" i="30"/>
  <c r="C344" i="30"/>
  <c r="J340" i="30"/>
  <c r="J358" i="30" s="1"/>
  <c r="D339" i="30"/>
  <c r="G344" i="30"/>
  <c r="G362" i="30" s="1"/>
  <c r="C338" i="30"/>
  <c r="K337" i="30"/>
  <c r="K355" i="30" s="1"/>
  <c r="K341" i="30"/>
  <c r="K359" i="30" s="1"/>
  <c r="D337" i="30"/>
  <c r="K339" i="30"/>
  <c r="K357" i="30" s="1"/>
  <c r="H342" i="30"/>
  <c r="H360" i="30" s="1"/>
  <c r="L344" i="30"/>
  <c r="L362" i="30" s="1"/>
  <c r="F344" i="30"/>
  <c r="L343" i="30"/>
  <c r="L361" i="30" s="1"/>
  <c r="E338" i="30"/>
  <c r="H344" i="30"/>
  <c r="H362" i="30" s="1"/>
  <c r="I341" i="30"/>
  <c r="I359" i="30" s="1"/>
  <c r="L337" i="30"/>
  <c r="L355" i="30" s="1"/>
  <c r="H343" i="30"/>
  <c r="H361" i="30" s="1"/>
  <c r="K343" i="30"/>
  <c r="K361" i="30" s="1"/>
  <c r="I337" i="30"/>
  <c r="I355" i="30" s="1"/>
  <c r="J338" i="30"/>
  <c r="J356" i="30" s="1"/>
  <c r="F340" i="30"/>
  <c r="J339" i="30"/>
  <c r="J357" i="30" s="1"/>
  <c r="C339" i="30"/>
  <c r="H341" i="30"/>
  <c r="H359" i="30" s="1"/>
  <c r="C337" i="30"/>
  <c r="J341" i="30"/>
  <c r="J359" i="30" s="1"/>
  <c r="J343" i="30"/>
  <c r="J361" i="30" s="1"/>
  <c r="J337" i="30"/>
  <c r="J355" i="30" s="1"/>
  <c r="F341" i="30"/>
  <c r="I342" i="30"/>
  <c r="I360" i="30" s="1"/>
  <c r="H340" i="30"/>
  <c r="H358" i="30" s="1"/>
  <c r="E337" i="30"/>
  <c r="E340" i="30"/>
  <c r="G341" i="30"/>
  <c r="G359" i="30" s="1"/>
  <c r="D340" i="30"/>
  <c r="F339" i="30"/>
  <c r="L339" i="30"/>
  <c r="L357" i="30" s="1"/>
  <c r="D342" i="30"/>
  <c r="I343" i="30"/>
  <c r="I361" i="30" s="1"/>
  <c r="H338" i="30"/>
  <c r="H356" i="30" s="1"/>
  <c r="E341" i="30"/>
  <c r="E344" i="30"/>
  <c r="I168" i="4"/>
  <c r="I168" i="40" s="1"/>
  <c r="G308" i="34"/>
  <c r="G317" i="6"/>
  <c r="G301" i="34"/>
  <c r="G310" i="6"/>
  <c r="G306" i="34"/>
  <c r="G315" i="6"/>
  <c r="G307" i="34"/>
  <c r="G316" i="6"/>
  <c r="G303" i="34"/>
  <c r="G312" i="6"/>
  <c r="M221" i="29"/>
  <c r="M162" i="29"/>
  <c r="G305" i="34"/>
  <c r="G314" i="6"/>
  <c r="G302" i="34"/>
  <c r="G311" i="6"/>
  <c r="G304" i="34"/>
  <c r="G313" i="6"/>
  <c r="I167" i="4" l="1"/>
  <c r="G314" i="34"/>
  <c r="G323" i="6"/>
  <c r="G324" i="6"/>
  <c r="G315" i="34"/>
  <c r="E362" i="30"/>
  <c r="E362" i="34" s="1"/>
  <c r="E344" i="34"/>
  <c r="D360" i="30"/>
  <c r="D360" i="34" s="1"/>
  <c r="D342" i="34"/>
  <c r="D357" i="30"/>
  <c r="D357" i="34" s="1"/>
  <c r="D339" i="34"/>
  <c r="C360" i="30"/>
  <c r="C342" i="34"/>
  <c r="E361" i="30"/>
  <c r="E361" i="34" s="1"/>
  <c r="E343" i="34"/>
  <c r="G322" i="6"/>
  <c r="G313" i="34"/>
  <c r="G325" i="6"/>
  <c r="G316" i="34"/>
  <c r="E359" i="30"/>
  <c r="E359" i="34" s="1"/>
  <c r="E341" i="34"/>
  <c r="E358" i="30"/>
  <c r="E358" i="34" s="1"/>
  <c r="E340" i="34"/>
  <c r="F359" i="30"/>
  <c r="F359" i="34" s="1"/>
  <c r="F341" i="34"/>
  <c r="C355" i="30"/>
  <c r="C337" i="34"/>
  <c r="F358" i="30"/>
  <c r="F358" i="34" s="1"/>
  <c r="F340" i="34"/>
  <c r="E356" i="30"/>
  <c r="E356" i="34" s="1"/>
  <c r="E338" i="34"/>
  <c r="C358" i="30"/>
  <c r="C340" i="34"/>
  <c r="F360" i="30"/>
  <c r="F360" i="34" s="1"/>
  <c r="F342" i="34"/>
  <c r="C359" i="30"/>
  <c r="C341" i="34"/>
  <c r="G311" i="34"/>
  <c r="G320" i="6"/>
  <c r="G310" i="34"/>
  <c r="G319" i="6"/>
  <c r="I169" i="4"/>
  <c r="I167" i="40"/>
  <c r="I170" i="4"/>
  <c r="I170" i="40" s="1"/>
  <c r="F357" i="30"/>
  <c r="F357" i="34" s="1"/>
  <c r="F339" i="34"/>
  <c r="E355" i="30"/>
  <c r="E355" i="34" s="1"/>
  <c r="E337" i="34"/>
  <c r="C356" i="30"/>
  <c r="C338" i="34"/>
  <c r="C362" i="30"/>
  <c r="C344" i="34"/>
  <c r="D359" i="30"/>
  <c r="D359" i="34" s="1"/>
  <c r="D341" i="34"/>
  <c r="E357" i="30"/>
  <c r="E357" i="34" s="1"/>
  <c r="E339" i="34"/>
  <c r="G312" i="34"/>
  <c r="G321" i="6"/>
  <c r="G326" i="6"/>
  <c r="G317" i="34"/>
  <c r="D358" i="30"/>
  <c r="D358" i="34" s="1"/>
  <c r="D340" i="34"/>
  <c r="C357" i="30"/>
  <c r="C339" i="34"/>
  <c r="F362" i="30"/>
  <c r="F362" i="34" s="1"/>
  <c r="F344" i="34"/>
  <c r="D355" i="30"/>
  <c r="D355" i="34" s="1"/>
  <c r="D337" i="34"/>
  <c r="E360" i="30"/>
  <c r="E360" i="34" s="1"/>
  <c r="E342" i="34"/>
  <c r="F356" i="30"/>
  <c r="F356" i="34" s="1"/>
  <c r="F338" i="34"/>
  <c r="D356" i="30"/>
  <c r="D356" i="34" s="1"/>
  <c r="D338" i="34"/>
  <c r="F361" i="30"/>
  <c r="F361" i="34" s="1"/>
  <c r="F343" i="34"/>
  <c r="D362" i="30"/>
  <c r="D362" i="34" s="1"/>
  <c r="D344" i="34"/>
  <c r="C361" i="30"/>
  <c r="C343" i="34"/>
  <c r="D361" i="30"/>
  <c r="D361" i="34" s="1"/>
  <c r="D343" i="34"/>
  <c r="F355" i="30"/>
  <c r="F355" i="34" s="1"/>
  <c r="F337" i="34"/>
  <c r="H152" i="57"/>
  <c r="H81" i="57"/>
  <c r="H151" i="57"/>
  <c r="H153" i="57"/>
  <c r="H150" i="57"/>
  <c r="H154" i="57"/>
  <c r="G321" i="34" l="1"/>
  <c r="G330" i="6"/>
  <c r="C365" i="30"/>
  <c r="C356" i="34"/>
  <c r="G319" i="34"/>
  <c r="G328" i="6"/>
  <c r="C368" i="30"/>
  <c r="C359" i="34"/>
  <c r="C367" i="30"/>
  <c r="C358" i="34"/>
  <c r="G322" i="34"/>
  <c r="G331" i="6"/>
  <c r="C369" i="30"/>
  <c r="C360" i="34"/>
  <c r="G324" i="34"/>
  <c r="G333" i="6"/>
  <c r="C366" i="30"/>
  <c r="C357" i="34"/>
  <c r="G326" i="34"/>
  <c r="G335" i="6"/>
  <c r="C371" i="30"/>
  <c r="C362" i="34"/>
  <c r="G320" i="34"/>
  <c r="G329" i="6"/>
  <c r="G323" i="34"/>
  <c r="G332" i="6"/>
  <c r="C370" i="30"/>
  <c r="C361" i="34"/>
  <c r="I202" i="4"/>
  <c r="I169" i="40"/>
  <c r="I172" i="4"/>
  <c r="C364" i="30"/>
  <c r="C355" i="34"/>
  <c r="G325" i="34"/>
  <c r="G334" i="6"/>
  <c r="H83" i="57"/>
  <c r="B16" i="57"/>
  <c r="B19" i="57"/>
  <c r="B15" i="57"/>
  <c r="H70" i="57"/>
  <c r="H98" i="57"/>
  <c r="H97" i="57"/>
  <c r="H100" i="57"/>
  <c r="H99" i="57"/>
  <c r="B17" i="57"/>
  <c r="H71" i="57"/>
  <c r="H102" i="57"/>
  <c r="B18" i="57"/>
  <c r="B21" i="57"/>
  <c r="H96" i="57"/>
  <c r="H103" i="57"/>
  <c r="H78" i="57" l="1"/>
  <c r="T172" i="4"/>
  <c r="I121" i="4"/>
  <c r="I201" i="4"/>
  <c r="H124" i="6"/>
  <c r="I183" i="4"/>
  <c r="I179" i="4"/>
  <c r="I172" i="40"/>
  <c r="I181" i="4"/>
  <c r="I38" i="4"/>
  <c r="I182" i="4"/>
  <c r="I184" i="4"/>
  <c r="I94" i="4"/>
  <c r="I177" i="4"/>
  <c r="I107" i="4"/>
  <c r="I189" i="4"/>
  <c r="I178" i="4"/>
  <c r="I180" i="4"/>
  <c r="I199" i="4"/>
  <c r="I55" i="4"/>
  <c r="I89" i="4"/>
  <c r="I89" i="40" s="1"/>
  <c r="I174" i="4"/>
  <c r="I175" i="4"/>
  <c r="I175" i="40" s="1"/>
  <c r="C379" i="30"/>
  <c r="C379" i="34" s="1"/>
  <c r="C380" i="30"/>
  <c r="C380" i="34" s="1"/>
  <c r="C377" i="30"/>
  <c r="C377" i="34" s="1"/>
  <c r="C374" i="30"/>
  <c r="C374" i="34" s="1"/>
  <c r="C375" i="30"/>
  <c r="C375" i="34" s="1"/>
  <c r="C378" i="30"/>
  <c r="C378" i="34" s="1"/>
  <c r="C376" i="30"/>
  <c r="C376" i="34" s="1"/>
  <c r="D364" i="30"/>
  <c r="D373" i="30"/>
  <c r="D373" i="34" s="1"/>
  <c r="C373" i="30"/>
  <c r="C364" i="34"/>
  <c r="G329" i="34"/>
  <c r="G338" i="6"/>
  <c r="G344" i="6"/>
  <c r="G335" i="34"/>
  <c r="G342" i="6"/>
  <c r="G333" i="34"/>
  <c r="G331" i="34"/>
  <c r="G340" i="6"/>
  <c r="G334" i="34"/>
  <c r="G343" i="6"/>
  <c r="D368" i="30"/>
  <c r="C368" i="34"/>
  <c r="D365" i="30"/>
  <c r="C365" i="34"/>
  <c r="G332" i="34"/>
  <c r="G341" i="6"/>
  <c r="G337" i="6"/>
  <c r="G328" i="34"/>
  <c r="G330" i="34"/>
  <c r="G339" i="6"/>
  <c r="D370" i="30"/>
  <c r="C370" i="34"/>
  <c r="D371" i="30"/>
  <c r="C371" i="34"/>
  <c r="D366" i="30"/>
  <c r="C366" i="34"/>
  <c r="D369" i="30"/>
  <c r="C369" i="34"/>
  <c r="D367" i="30"/>
  <c r="C367" i="34"/>
  <c r="D18" i="57"/>
  <c r="D17" i="57"/>
  <c r="H175" i="57"/>
  <c r="H181" i="57"/>
  <c r="D21" i="57"/>
  <c r="D19" i="57"/>
  <c r="D15" i="57"/>
  <c r="D16" i="57"/>
  <c r="H176" i="57"/>
  <c r="H179" i="57"/>
  <c r="H182" i="57"/>
  <c r="H178" i="57"/>
  <c r="H177" i="57"/>
  <c r="H108" i="57"/>
  <c r="H107" i="57"/>
  <c r="H109" i="57"/>
  <c r="H110" i="57"/>
  <c r="H106" i="57"/>
  <c r="H79" i="57"/>
  <c r="H137" i="57"/>
  <c r="H134" i="57"/>
  <c r="H82" i="57"/>
  <c r="H136" i="57"/>
  <c r="H135" i="57"/>
  <c r="H133" i="57"/>
  <c r="H80" i="57"/>
  <c r="F21" i="57" l="1"/>
  <c r="E367" i="30"/>
  <c r="D367" i="34"/>
  <c r="E366" i="30"/>
  <c r="D366" i="34"/>
  <c r="E370" i="30"/>
  <c r="D370" i="34"/>
  <c r="G341" i="34"/>
  <c r="G359" i="6"/>
  <c r="E368" i="30"/>
  <c r="D368" i="34"/>
  <c r="G344" i="34"/>
  <c r="G362" i="6"/>
  <c r="D377" i="30"/>
  <c r="D377" i="34" s="1"/>
  <c r="E364" i="30"/>
  <c r="D364" i="34"/>
  <c r="I108" i="4"/>
  <c r="I107" i="40"/>
  <c r="I182" i="40"/>
  <c r="H102" i="6"/>
  <c r="H120" i="6"/>
  <c r="H111" i="6"/>
  <c r="H111" i="34" s="1"/>
  <c r="H99" i="6"/>
  <c r="I179" i="40"/>
  <c r="H117" i="6"/>
  <c r="H108" i="6"/>
  <c r="H108" i="34" s="1"/>
  <c r="E371" i="30"/>
  <c r="D371" i="34"/>
  <c r="G337" i="34"/>
  <c r="G355" i="6"/>
  <c r="G342" i="34"/>
  <c r="G360" i="6"/>
  <c r="C373" i="34"/>
  <c r="D376" i="30"/>
  <c r="D376" i="34" s="1"/>
  <c r="D380" i="30"/>
  <c r="D380" i="34" s="1"/>
  <c r="I200" i="4"/>
  <c r="I174" i="40"/>
  <c r="H100" i="6"/>
  <c r="I180" i="40"/>
  <c r="H118" i="6"/>
  <c r="H109" i="6"/>
  <c r="H109" i="34" s="1"/>
  <c r="I177" i="40"/>
  <c r="I185" i="4" a="1"/>
  <c r="I185" i="4" s="1"/>
  <c r="H97" i="6"/>
  <c r="H106" i="6"/>
  <c r="H106" i="34" s="1"/>
  <c r="H115" i="6"/>
  <c r="I48" i="4"/>
  <c r="I48" i="40" s="1"/>
  <c r="I38" i="40"/>
  <c r="I47" i="4"/>
  <c r="I39" i="4"/>
  <c r="I49" i="4"/>
  <c r="I49" i="40" s="1"/>
  <c r="I40" i="4"/>
  <c r="I41" i="4"/>
  <c r="I41" i="40" s="1"/>
  <c r="I121" i="40"/>
  <c r="I122" i="4"/>
  <c r="E365" i="30"/>
  <c r="D365" i="34"/>
  <c r="G343" i="34"/>
  <c r="G361" i="6"/>
  <c r="G338" i="34"/>
  <c r="G356" i="6"/>
  <c r="D375" i="30"/>
  <c r="D375" i="34" s="1"/>
  <c r="D374" i="30"/>
  <c r="D374" i="34" s="1"/>
  <c r="H98" i="6"/>
  <c r="I178" i="40"/>
  <c r="H107" i="6"/>
  <c r="H107" i="34" s="1"/>
  <c r="H116" i="6"/>
  <c r="I94" i="40"/>
  <c r="I96" i="4"/>
  <c r="H101" i="6"/>
  <c r="I181" i="40"/>
  <c r="H110" i="6"/>
  <c r="H110" i="34" s="1"/>
  <c r="H119" i="6"/>
  <c r="I183" i="40"/>
  <c r="H103" i="6"/>
  <c r="H112" i="6"/>
  <c r="H112" i="34" s="1"/>
  <c r="H121" i="6"/>
  <c r="E369" i="30"/>
  <c r="D369" i="34"/>
  <c r="G339" i="34"/>
  <c r="G357" i="6"/>
  <c r="G340" i="34"/>
  <c r="G358" i="6"/>
  <c r="D378" i="30"/>
  <c r="D378" i="34" s="1"/>
  <c r="D379" i="30"/>
  <c r="D379" i="34" s="1"/>
  <c r="I55" i="40"/>
  <c r="I57" i="4"/>
  <c r="I56" i="4"/>
  <c r="I58" i="4"/>
  <c r="I58" i="40" s="1"/>
  <c r="I189" i="40"/>
  <c r="I191" i="4"/>
  <c r="H104" i="6"/>
  <c r="I184" i="40"/>
  <c r="H113" i="6"/>
  <c r="H113" i="34" s="1"/>
  <c r="H122" i="6"/>
  <c r="I195" i="40"/>
  <c r="H124" i="34"/>
  <c r="H125" i="6"/>
  <c r="H146" i="57"/>
  <c r="H144" i="57"/>
  <c r="H143" i="57"/>
  <c r="H141" i="57"/>
  <c r="H142" i="57"/>
  <c r="H140" i="57"/>
  <c r="H147" i="57"/>
  <c r="B26" i="57"/>
  <c r="B30" i="57"/>
  <c r="B27" i="57"/>
  <c r="B28" i="57"/>
  <c r="B24" i="57"/>
  <c r="H73" i="57"/>
  <c r="B25" i="57"/>
  <c r="H191" i="57"/>
  <c r="H189" i="57"/>
  <c r="H185" i="57"/>
  <c r="H188" i="57"/>
  <c r="H192" i="57"/>
  <c r="H187" i="57"/>
  <c r="H186" i="57"/>
  <c r="I39" i="40" l="1"/>
  <c r="I42" i="4"/>
  <c r="H292" i="6"/>
  <c r="H115" i="34"/>
  <c r="H205" i="6"/>
  <c r="H100" i="34"/>
  <c r="F371" i="30"/>
  <c r="E371" i="34"/>
  <c r="E380" i="30"/>
  <c r="E380" i="34" s="1"/>
  <c r="H204" i="6"/>
  <c r="H99" i="34"/>
  <c r="F364" i="30"/>
  <c r="E364" i="34"/>
  <c r="E373" i="30"/>
  <c r="F369" i="30"/>
  <c r="E369" i="34"/>
  <c r="E378" i="30"/>
  <c r="E378" i="34" s="1"/>
  <c r="H206" i="6"/>
  <c r="H101" i="34"/>
  <c r="H116" i="34"/>
  <c r="H293" i="6"/>
  <c r="H102" i="34"/>
  <c r="H207" i="6"/>
  <c r="G357" i="34"/>
  <c r="G366" i="6"/>
  <c r="H296" i="6"/>
  <c r="H119" i="34"/>
  <c r="I96" i="40"/>
  <c r="G356" i="34"/>
  <c r="G365" i="6"/>
  <c r="I47" i="40"/>
  <c r="I50" i="4"/>
  <c r="G355" i="34"/>
  <c r="G364" i="6"/>
  <c r="F368" i="30"/>
  <c r="E368" i="34"/>
  <c r="E377" i="30"/>
  <c r="E377" i="34" s="1"/>
  <c r="F370" i="30"/>
  <c r="E370" i="34"/>
  <c r="E379" i="30"/>
  <c r="E379" i="34" s="1"/>
  <c r="F367" i="30"/>
  <c r="E367" i="34"/>
  <c r="E376" i="30"/>
  <c r="E376" i="34" s="1"/>
  <c r="H127" i="6"/>
  <c r="H127" i="34" s="1"/>
  <c r="H125" i="34"/>
  <c r="G361" i="34"/>
  <c r="G370" i="6"/>
  <c r="I122" i="40"/>
  <c r="I123" i="4"/>
  <c r="I185" i="40"/>
  <c r="I187" i="4"/>
  <c r="I187" i="40" s="1"/>
  <c r="G360" i="34"/>
  <c r="G369" i="6"/>
  <c r="F366" i="30"/>
  <c r="E366" i="34"/>
  <c r="E375" i="30"/>
  <c r="E375" i="34" s="1"/>
  <c r="H298" i="6"/>
  <c r="H121" i="34"/>
  <c r="H209" i="6"/>
  <c r="H104" i="34"/>
  <c r="I56" i="40"/>
  <c r="I59" i="4"/>
  <c r="H122" i="34"/>
  <c r="H299" i="6"/>
  <c r="T191" i="4"/>
  <c r="I191" i="40"/>
  <c r="H92" i="6"/>
  <c r="H88" i="6"/>
  <c r="H93" i="6"/>
  <c r="H90" i="6"/>
  <c r="H94" i="6"/>
  <c r="H89" i="6"/>
  <c r="H95" i="6"/>
  <c r="H91" i="6"/>
  <c r="I57" i="40"/>
  <c r="G358" i="34"/>
  <c r="G367" i="6"/>
  <c r="H208" i="6"/>
  <c r="H103" i="34"/>
  <c r="H203" i="6"/>
  <c r="H98" i="34"/>
  <c r="F365" i="30"/>
  <c r="E365" i="34"/>
  <c r="E374" i="30"/>
  <c r="E374" i="34" s="1"/>
  <c r="I40" i="40"/>
  <c r="H202" i="6"/>
  <c r="H97" i="34"/>
  <c r="H118" i="34"/>
  <c r="H295" i="6"/>
  <c r="H117" i="34"/>
  <c r="H294" i="6"/>
  <c r="H120" i="34"/>
  <c r="H297" i="6"/>
  <c r="I108" i="40"/>
  <c r="I109" i="4"/>
  <c r="G362" i="34"/>
  <c r="G371" i="6"/>
  <c r="G359" i="34"/>
  <c r="G368" i="6"/>
  <c r="D25" i="57"/>
  <c r="D28" i="57"/>
  <c r="D24" i="57"/>
  <c r="D26" i="57"/>
  <c r="D27" i="57"/>
  <c r="D30" i="57"/>
  <c r="F30" i="57" l="1"/>
  <c r="G377" i="6"/>
  <c r="H91" i="34"/>
  <c r="H151" i="6"/>
  <c r="H209" i="34"/>
  <c r="H218" i="6"/>
  <c r="H294" i="34"/>
  <c r="H203" i="34"/>
  <c r="H212" i="6"/>
  <c r="H155" i="6"/>
  <c r="H95" i="34"/>
  <c r="H93" i="34"/>
  <c r="H153" i="6"/>
  <c r="I59" i="40"/>
  <c r="I60" i="4"/>
  <c r="G366" i="30"/>
  <c r="G366" i="34" s="1"/>
  <c r="F366" i="34"/>
  <c r="F375" i="30"/>
  <c r="F375" i="34" s="1"/>
  <c r="G379" i="6"/>
  <c r="G368" i="30"/>
  <c r="G368" i="34" s="1"/>
  <c r="F368" i="34"/>
  <c r="F377" i="30"/>
  <c r="F377" i="34" s="1"/>
  <c r="G364" i="30"/>
  <c r="G364" i="34" s="1"/>
  <c r="F364" i="34"/>
  <c r="F373" i="30"/>
  <c r="F373" i="34" s="1"/>
  <c r="H295" i="34"/>
  <c r="H217" i="6"/>
  <c r="H208" i="34"/>
  <c r="G376" i="6"/>
  <c r="G380" i="6"/>
  <c r="H211" i="6"/>
  <c r="H202" i="34"/>
  <c r="H89" i="34"/>
  <c r="H149" i="6"/>
  <c r="H88" i="34"/>
  <c r="H148" i="6"/>
  <c r="H298" i="34"/>
  <c r="G378" i="6"/>
  <c r="I123" i="40"/>
  <c r="I126" i="4"/>
  <c r="G370" i="30"/>
  <c r="F370" i="34"/>
  <c r="F379" i="30"/>
  <c r="F379" i="34" s="1"/>
  <c r="G373" i="6"/>
  <c r="G374" i="6"/>
  <c r="H216" i="6"/>
  <c r="H207" i="34"/>
  <c r="G369" i="30"/>
  <c r="G369" i="34" s="1"/>
  <c r="F369" i="34"/>
  <c r="F378" i="30"/>
  <c r="F378" i="34" s="1"/>
  <c r="G371" i="30"/>
  <c r="F371" i="34"/>
  <c r="F380" i="30"/>
  <c r="F380" i="34" s="1"/>
  <c r="H292" i="34"/>
  <c r="H297" i="34"/>
  <c r="G365" i="30"/>
  <c r="G365" i="34" s="1"/>
  <c r="F365" i="34"/>
  <c r="F374" i="30"/>
  <c r="F374" i="34" s="1"/>
  <c r="H92" i="34"/>
  <c r="H152" i="6"/>
  <c r="H299" i="34"/>
  <c r="G367" i="30"/>
  <c r="G367" i="34" s="1"/>
  <c r="F367" i="34"/>
  <c r="F376" i="30"/>
  <c r="F376" i="34" s="1"/>
  <c r="H296" i="34"/>
  <c r="H215" i="6"/>
  <c r="H206" i="34"/>
  <c r="E373" i="34"/>
  <c r="H204" i="34"/>
  <c r="H213" i="6"/>
  <c r="I42" i="40"/>
  <c r="I43" i="4"/>
  <c r="H154" i="6"/>
  <c r="H94" i="34"/>
  <c r="I112" i="4"/>
  <c r="I109" i="40"/>
  <c r="H150" i="6"/>
  <c r="H90" i="34"/>
  <c r="I50" i="40"/>
  <c r="I51" i="4"/>
  <c r="G375" i="6"/>
  <c r="H293" i="34"/>
  <c r="H205" i="34"/>
  <c r="H214" i="6"/>
  <c r="H371" i="30" l="1"/>
  <c r="G380" i="30"/>
  <c r="G380" i="34" s="1"/>
  <c r="H158" i="6"/>
  <c r="H149" i="34"/>
  <c r="H364" i="30"/>
  <c r="G373" i="30"/>
  <c r="G373" i="34" s="1"/>
  <c r="H153" i="34"/>
  <c r="H162" i="6"/>
  <c r="H212" i="34"/>
  <c r="H230" i="6"/>
  <c r="H218" i="34"/>
  <c r="H236" i="6"/>
  <c r="I52" i="4"/>
  <c r="I51" i="40"/>
  <c r="H231" i="6"/>
  <c r="H213" i="34"/>
  <c r="H159" i="6"/>
  <c r="H150" i="34"/>
  <c r="H163" i="6"/>
  <c r="H154" i="34"/>
  <c r="H233" i="6"/>
  <c r="H215" i="34"/>
  <c r="H152" i="34"/>
  <c r="H161" i="6"/>
  <c r="H365" i="30"/>
  <c r="G374" i="30"/>
  <c r="G374" i="34" s="1"/>
  <c r="H216" i="34"/>
  <c r="H234" i="6"/>
  <c r="H366" i="30"/>
  <c r="G375" i="30"/>
  <c r="G375" i="34" s="1"/>
  <c r="H367" i="30"/>
  <c r="G376" i="30"/>
  <c r="G376" i="34" s="1"/>
  <c r="H370" i="30"/>
  <c r="G379" i="30"/>
  <c r="G379" i="34" s="1"/>
  <c r="H148" i="34"/>
  <c r="H157" i="6"/>
  <c r="G371" i="34"/>
  <c r="G370" i="34"/>
  <c r="I64" i="4"/>
  <c r="I64" i="40" s="1"/>
  <c r="I61" i="4"/>
  <c r="I61" i="40" s="1"/>
  <c r="I60" i="40"/>
  <c r="I62" i="4"/>
  <c r="I62" i="40" s="1"/>
  <c r="H160" i="6"/>
  <c r="H151" i="34"/>
  <c r="I44" i="4"/>
  <c r="I43" i="40"/>
  <c r="I45" i="4"/>
  <c r="H232" i="6"/>
  <c r="H214" i="34"/>
  <c r="I112" i="40"/>
  <c r="I113" i="4"/>
  <c r="H369" i="30"/>
  <c r="G378" i="30"/>
  <c r="G378" i="34" s="1"/>
  <c r="I126" i="40"/>
  <c r="I127" i="4"/>
  <c r="H229" i="6"/>
  <c r="H211" i="34"/>
  <c r="H235" i="6"/>
  <c r="H217" i="34"/>
  <c r="H368" i="30"/>
  <c r="G377" i="30"/>
  <c r="G377" i="34" s="1"/>
  <c r="H155" i="34"/>
  <c r="H164" i="6"/>
  <c r="H164" i="34" l="1"/>
  <c r="H173" i="6"/>
  <c r="H229" i="34"/>
  <c r="I369" i="30"/>
  <c r="H378" i="30"/>
  <c r="I44" i="40"/>
  <c r="I67" i="4"/>
  <c r="I370" i="30"/>
  <c r="H379" i="30"/>
  <c r="I365" i="30"/>
  <c r="H374" i="30"/>
  <c r="H233" i="34"/>
  <c r="H159" i="34"/>
  <c r="H168" i="6"/>
  <c r="I52" i="40"/>
  <c r="I70" i="4"/>
  <c r="H230" i="34"/>
  <c r="H160" i="34"/>
  <c r="H169" i="6"/>
  <c r="I368" i="30"/>
  <c r="H377" i="30"/>
  <c r="H235" i="34"/>
  <c r="I127" i="40"/>
  <c r="J125" i="4"/>
  <c r="I128" i="4"/>
  <c r="J111" i="4"/>
  <c r="I114" i="4"/>
  <c r="I113" i="40"/>
  <c r="H232" i="34"/>
  <c r="H157" i="34"/>
  <c r="H166" i="6"/>
  <c r="I366" i="30"/>
  <c r="H375" i="30"/>
  <c r="H234" i="34"/>
  <c r="H161" i="34"/>
  <c r="H170" i="6"/>
  <c r="H158" i="34"/>
  <c r="H167" i="6"/>
  <c r="I68" i="4"/>
  <c r="I45" i="40"/>
  <c r="H163" i="34"/>
  <c r="H172" i="6"/>
  <c r="H231" i="34"/>
  <c r="H236" i="34"/>
  <c r="H162" i="34"/>
  <c r="H171" i="6"/>
  <c r="I364" i="30"/>
  <c r="H373" i="30"/>
  <c r="I367" i="30"/>
  <c r="H376" i="30"/>
  <c r="I371" i="30"/>
  <c r="H380" i="30"/>
  <c r="H123" i="57"/>
  <c r="H124" i="57"/>
  <c r="H129" i="57"/>
  <c r="H125" i="57"/>
  <c r="H130" i="57"/>
  <c r="H127" i="57"/>
  <c r="H126" i="57"/>
  <c r="H116" i="57"/>
  <c r="H114" i="57"/>
  <c r="H119" i="57"/>
  <c r="H113" i="57"/>
  <c r="H115" i="57"/>
  <c r="H120" i="57"/>
  <c r="H117" i="57"/>
  <c r="H170" i="34" l="1"/>
  <c r="H179" i="6"/>
  <c r="J371" i="30"/>
  <c r="I380" i="30"/>
  <c r="J364" i="30"/>
  <c r="I373" i="30"/>
  <c r="H177" i="6"/>
  <c r="H168" i="34"/>
  <c r="I67" i="40"/>
  <c r="J206" i="4"/>
  <c r="I75" i="4"/>
  <c r="J367" i="30"/>
  <c r="I376" i="30"/>
  <c r="I68" i="40"/>
  <c r="I76" i="4"/>
  <c r="H166" i="34"/>
  <c r="H175" i="6"/>
  <c r="J125" i="40"/>
  <c r="H180" i="6"/>
  <c r="H171" i="34"/>
  <c r="I117" i="4"/>
  <c r="I117" i="40" s="1"/>
  <c r="I115" i="4"/>
  <c r="I114" i="40"/>
  <c r="J368" i="30"/>
  <c r="I377" i="30"/>
  <c r="J365" i="30"/>
  <c r="I374" i="30"/>
  <c r="H178" i="6"/>
  <c r="H169" i="34"/>
  <c r="I70" i="40"/>
  <c r="I98" i="4"/>
  <c r="H182" i="6"/>
  <c r="H173" i="34"/>
  <c r="J111" i="40"/>
  <c r="H181" i="6"/>
  <c r="H172" i="34"/>
  <c r="H167" i="34"/>
  <c r="H176" i="6"/>
  <c r="J366" i="30"/>
  <c r="I375" i="30"/>
  <c r="I128" i="40"/>
  <c r="I129" i="4"/>
  <c r="I129" i="40" s="1"/>
  <c r="J370" i="30"/>
  <c r="I379" i="30"/>
  <c r="J369" i="30"/>
  <c r="I378" i="30"/>
  <c r="I75" i="57"/>
  <c r="H200" i="57"/>
  <c r="H176" i="34" l="1"/>
  <c r="H185" i="6"/>
  <c r="I98" i="40"/>
  <c r="I99" i="4"/>
  <c r="K369" i="30"/>
  <c r="J378" i="30"/>
  <c r="K365" i="30"/>
  <c r="J374" i="30"/>
  <c r="I115" i="40"/>
  <c r="I119" i="4"/>
  <c r="I119" i="40" s="1"/>
  <c r="I76" i="40"/>
  <c r="I84" i="4"/>
  <c r="I83" i="4"/>
  <c r="I85" i="4"/>
  <c r="I82" i="4"/>
  <c r="I210" i="4"/>
  <c r="I75" i="40"/>
  <c r="H177" i="34"/>
  <c r="H186" i="6"/>
  <c r="K371" i="30"/>
  <c r="J380" i="30"/>
  <c r="H179" i="34"/>
  <c r="H188" i="6"/>
  <c r="K370" i="30"/>
  <c r="J379" i="30"/>
  <c r="K366" i="30"/>
  <c r="J375" i="30"/>
  <c r="H181" i="34"/>
  <c r="H190" i="6"/>
  <c r="H182" i="34"/>
  <c r="H191" i="6"/>
  <c r="H178" i="34"/>
  <c r="H187" i="6"/>
  <c r="K368" i="30"/>
  <c r="J377" i="30"/>
  <c r="H175" i="34"/>
  <c r="H184" i="6"/>
  <c r="K364" i="30"/>
  <c r="J373" i="30"/>
  <c r="H180" i="34"/>
  <c r="H189" i="6"/>
  <c r="K367" i="30"/>
  <c r="J376" i="30"/>
  <c r="H200" i="6" l="1"/>
  <c r="H191" i="34"/>
  <c r="I99" i="40"/>
  <c r="I102" i="4"/>
  <c r="H197" i="6"/>
  <c r="H188" i="34"/>
  <c r="L371" i="30"/>
  <c r="L380" i="30" s="1"/>
  <c r="K380" i="30"/>
  <c r="I210" i="40"/>
  <c r="I211" i="4"/>
  <c r="I211" i="40" s="1"/>
  <c r="I84" i="40"/>
  <c r="L367" i="30"/>
  <c r="L376" i="30" s="1"/>
  <c r="K376" i="30"/>
  <c r="L364" i="30"/>
  <c r="L373" i="30" s="1"/>
  <c r="K373" i="30"/>
  <c r="L368" i="30"/>
  <c r="L377" i="30" s="1"/>
  <c r="K377" i="30"/>
  <c r="L366" i="30"/>
  <c r="L375" i="30" s="1"/>
  <c r="K375" i="30"/>
  <c r="H195" i="6"/>
  <c r="H186" i="34"/>
  <c r="I82" i="40"/>
  <c r="I87" i="4"/>
  <c r="L365" i="30"/>
  <c r="L374" i="30" s="1"/>
  <c r="K374" i="30"/>
  <c r="H189" i="34"/>
  <c r="H198" i="6"/>
  <c r="H193" i="6"/>
  <c r="H184" i="34"/>
  <c r="H196" i="6"/>
  <c r="H187" i="34"/>
  <c r="H190" i="34"/>
  <c r="H199" i="6"/>
  <c r="I85" i="40"/>
  <c r="H194" i="6"/>
  <c r="H185" i="34"/>
  <c r="L370" i="30"/>
  <c r="L379" i="30" s="1"/>
  <c r="K379" i="30"/>
  <c r="I83" i="40"/>
  <c r="L369" i="30"/>
  <c r="L378" i="30" s="1"/>
  <c r="K378" i="30"/>
  <c r="I87" i="40" l="1"/>
  <c r="I88" i="4"/>
  <c r="I212" i="4"/>
  <c r="H195" i="34"/>
  <c r="H240" i="6"/>
  <c r="H196" i="34"/>
  <c r="H241" i="6"/>
  <c r="H198" i="34"/>
  <c r="H243" i="6"/>
  <c r="H194" i="34"/>
  <c r="H239" i="6"/>
  <c r="H199" i="34"/>
  <c r="H244" i="6"/>
  <c r="H193" i="34"/>
  <c r="H238" i="6"/>
  <c r="H197" i="34"/>
  <c r="H242" i="6"/>
  <c r="H200" i="34"/>
  <c r="H245" i="6"/>
  <c r="C382" i="30" a="1"/>
  <c r="I102" i="40"/>
  <c r="I103" i="4"/>
  <c r="K382" i="30" l="1"/>
  <c r="I384" i="30"/>
  <c r="F385" i="30"/>
  <c r="H387" i="30"/>
  <c r="I382" i="30"/>
  <c r="J382" i="30"/>
  <c r="G389" i="30"/>
  <c r="I386" i="30"/>
  <c r="J384" i="30"/>
  <c r="K385" i="30"/>
  <c r="H382" i="30"/>
  <c r="D384" i="30"/>
  <c r="L389" i="30"/>
  <c r="D385" i="30"/>
  <c r="K386" i="30"/>
  <c r="E386" i="30"/>
  <c r="E383" i="30"/>
  <c r="E389" i="30"/>
  <c r="F382" i="30"/>
  <c r="C385" i="30"/>
  <c r="L386" i="30"/>
  <c r="I383" i="30"/>
  <c r="K384" i="30"/>
  <c r="G383" i="30"/>
  <c r="I385" i="30"/>
  <c r="L388" i="30"/>
  <c r="G384" i="30"/>
  <c r="H389" i="30"/>
  <c r="H386" i="30"/>
  <c r="L384" i="30"/>
  <c r="F386" i="30"/>
  <c r="L387" i="30"/>
  <c r="E385" i="30"/>
  <c r="C384" i="30"/>
  <c r="E387" i="30"/>
  <c r="K383" i="30"/>
  <c r="C388" i="30"/>
  <c r="F389" i="30"/>
  <c r="E388" i="30"/>
  <c r="F384" i="30"/>
  <c r="J387" i="30"/>
  <c r="J386" i="30"/>
  <c r="J385" i="30"/>
  <c r="K389" i="30"/>
  <c r="H383" i="30"/>
  <c r="L385" i="30"/>
  <c r="H385" i="30"/>
  <c r="G388" i="30"/>
  <c r="I389" i="30"/>
  <c r="D386" i="30"/>
  <c r="F387" i="30"/>
  <c r="K387" i="30"/>
  <c r="D389" i="30"/>
  <c r="F383" i="30"/>
  <c r="C389" i="30"/>
  <c r="D387" i="30"/>
  <c r="L383" i="30"/>
  <c r="K388" i="30"/>
  <c r="H384" i="30"/>
  <c r="E382" i="30"/>
  <c r="L382" i="30"/>
  <c r="I388" i="30"/>
  <c r="G385" i="30"/>
  <c r="C386" i="30"/>
  <c r="J388" i="30"/>
  <c r="J389" i="30"/>
  <c r="G386" i="30"/>
  <c r="H388" i="30"/>
  <c r="J383" i="30"/>
  <c r="I387" i="30"/>
  <c r="G387" i="30"/>
  <c r="D388" i="30"/>
  <c r="C387" i="30"/>
  <c r="D382" i="30"/>
  <c r="G382" i="30"/>
  <c r="F388" i="30"/>
  <c r="D383" i="30"/>
  <c r="C382" i="30"/>
  <c r="C391" i="30" s="1" a="1"/>
  <c r="E384" i="30"/>
  <c r="C383" i="30"/>
  <c r="H245" i="34"/>
  <c r="H254" i="6"/>
  <c r="H239" i="34"/>
  <c r="H248" i="6"/>
  <c r="H241" i="34"/>
  <c r="H250" i="6"/>
  <c r="I212" i="40"/>
  <c r="H238" i="34"/>
  <c r="H247" i="6"/>
  <c r="I104" i="4"/>
  <c r="J101" i="4"/>
  <c r="I103" i="40"/>
  <c r="I90" i="4"/>
  <c r="I90" i="40" s="1"/>
  <c r="I88" i="40"/>
  <c r="H242" i="34"/>
  <c r="H251" i="6"/>
  <c r="H244" i="34"/>
  <c r="H253" i="6"/>
  <c r="H243" i="34"/>
  <c r="H252" i="6"/>
  <c r="H240" i="34"/>
  <c r="H249" i="6"/>
  <c r="H258" i="6" l="1"/>
  <c r="H249" i="34"/>
  <c r="H257" i="6"/>
  <c r="H248" i="34"/>
  <c r="H261" i="6"/>
  <c r="H252" i="34"/>
  <c r="H262" i="6"/>
  <c r="H253" i="34"/>
  <c r="I91" i="4"/>
  <c r="J101" i="40"/>
  <c r="I105" i="4"/>
  <c r="I104" i="40"/>
  <c r="I116" i="4"/>
  <c r="I116" i="40" s="1"/>
  <c r="H260" i="6"/>
  <c r="H251" i="34"/>
  <c r="H259" i="6"/>
  <c r="H250" i="34"/>
  <c r="G397" i="30"/>
  <c r="G406" i="30" s="1"/>
  <c r="K392" i="30"/>
  <c r="K401" i="30" s="1"/>
  <c r="F398" i="30"/>
  <c r="F407" i="30" s="1"/>
  <c r="C393" i="30"/>
  <c r="C402" i="30" s="1"/>
  <c r="G391" i="30"/>
  <c r="G400" i="30" s="1"/>
  <c r="L398" i="30"/>
  <c r="L407" i="30" s="1"/>
  <c r="I397" i="30"/>
  <c r="I406" i="30" s="1"/>
  <c r="E393" i="30"/>
  <c r="E402" i="30" s="1"/>
  <c r="I395" i="30"/>
  <c r="I404" i="30" s="1"/>
  <c r="D391" i="30"/>
  <c r="D400" i="30" s="1"/>
  <c r="G396" i="30"/>
  <c r="G405" i="30" s="1"/>
  <c r="J391" i="30"/>
  <c r="J400" i="30" s="1"/>
  <c r="J397" i="30"/>
  <c r="J406" i="30" s="1"/>
  <c r="H392" i="30"/>
  <c r="H401" i="30" s="1"/>
  <c r="K391" i="30"/>
  <c r="K400" i="30" s="1"/>
  <c r="I393" i="30"/>
  <c r="I402" i="30" s="1"/>
  <c r="C392" i="30"/>
  <c r="C401" i="30" s="1"/>
  <c r="L393" i="30"/>
  <c r="L402" i="30" s="1"/>
  <c r="G392" i="30"/>
  <c r="G401" i="30" s="1"/>
  <c r="L395" i="30"/>
  <c r="L404" i="30" s="1"/>
  <c r="D394" i="30"/>
  <c r="D403" i="30" s="1"/>
  <c r="K396" i="30"/>
  <c r="K405" i="30" s="1"/>
  <c r="L397" i="30"/>
  <c r="L406" i="30" s="1"/>
  <c r="I396" i="30"/>
  <c r="I405" i="30" s="1"/>
  <c r="D396" i="30"/>
  <c r="D405" i="30" s="1"/>
  <c r="D398" i="30"/>
  <c r="D407" i="30" s="1"/>
  <c r="I394" i="30"/>
  <c r="I403" i="30" s="1"/>
  <c r="F394" i="30"/>
  <c r="F403" i="30" s="1"/>
  <c r="E397" i="30"/>
  <c r="E406" i="30" s="1"/>
  <c r="H395" i="30"/>
  <c r="H404" i="30" s="1"/>
  <c r="I398" i="30"/>
  <c r="I407" i="30" s="1"/>
  <c r="J394" i="30"/>
  <c r="J403" i="30" s="1"/>
  <c r="L392" i="30"/>
  <c r="L401" i="30" s="1"/>
  <c r="G394" i="30"/>
  <c r="G403" i="30" s="1"/>
  <c r="C394" i="30"/>
  <c r="C403" i="30" s="1"/>
  <c r="J392" i="30"/>
  <c r="J401" i="30" s="1"/>
  <c r="K395" i="30"/>
  <c r="K404" i="30" s="1"/>
  <c r="C398" i="30"/>
  <c r="C407" i="30" s="1"/>
  <c r="E391" i="30"/>
  <c r="E400" i="30" s="1"/>
  <c r="D397" i="30"/>
  <c r="D406" i="30" s="1"/>
  <c r="F395" i="30"/>
  <c r="F404" i="30" s="1"/>
  <c r="K394" i="30"/>
  <c r="K403" i="30" s="1"/>
  <c r="F392" i="30"/>
  <c r="F401" i="30" s="1"/>
  <c r="I392" i="30"/>
  <c r="I401" i="30" s="1"/>
  <c r="J396" i="30"/>
  <c r="J405" i="30" s="1"/>
  <c r="H396" i="30"/>
  <c r="H405" i="30" s="1"/>
  <c r="H397" i="30"/>
  <c r="H406" i="30" s="1"/>
  <c r="G393" i="30"/>
  <c r="G402" i="30" s="1"/>
  <c r="E392" i="30"/>
  <c r="E401" i="30" s="1"/>
  <c r="K398" i="30"/>
  <c r="K407" i="30" s="1"/>
  <c r="H393" i="30"/>
  <c r="H402" i="30" s="1"/>
  <c r="L396" i="30"/>
  <c r="L405" i="30" s="1"/>
  <c r="D393" i="30"/>
  <c r="D402" i="30" s="1"/>
  <c r="F397" i="30"/>
  <c r="F406" i="30" s="1"/>
  <c r="C397" i="30"/>
  <c r="C406" i="30" s="1"/>
  <c r="G395" i="30"/>
  <c r="G404" i="30" s="1"/>
  <c r="C391" i="30"/>
  <c r="G398" i="30"/>
  <c r="G407" i="30" s="1"/>
  <c r="I391" i="30"/>
  <c r="I400" i="30" s="1"/>
  <c r="H391" i="30"/>
  <c r="H400" i="30" s="1"/>
  <c r="D392" i="30"/>
  <c r="D401" i="30" s="1"/>
  <c r="C395" i="30"/>
  <c r="C404" i="30" s="1"/>
  <c r="H394" i="30"/>
  <c r="H403" i="30" s="1"/>
  <c r="L394" i="30"/>
  <c r="L403" i="30" s="1"/>
  <c r="E394" i="30"/>
  <c r="E403" i="30" s="1"/>
  <c r="K393" i="30"/>
  <c r="K402" i="30" s="1"/>
  <c r="C396" i="30"/>
  <c r="C405" i="30" s="1"/>
  <c r="L391" i="30"/>
  <c r="L400" i="30" s="1"/>
  <c r="J395" i="30"/>
  <c r="J404" i="30" s="1"/>
  <c r="E398" i="30"/>
  <c r="E407" i="30" s="1"/>
  <c r="J398" i="30"/>
  <c r="J407" i="30" s="1"/>
  <c r="E396" i="30"/>
  <c r="E405" i="30" s="1"/>
  <c r="F391" i="30"/>
  <c r="F400" i="30" s="1"/>
  <c r="F393" i="30"/>
  <c r="F402" i="30" s="1"/>
  <c r="J393" i="30"/>
  <c r="J402" i="30" s="1"/>
  <c r="F396" i="30"/>
  <c r="F405" i="30" s="1"/>
  <c r="H398" i="30"/>
  <c r="H407" i="30" s="1"/>
  <c r="E395" i="30"/>
  <c r="E404" i="30" s="1"/>
  <c r="D395" i="30"/>
  <c r="D404" i="30" s="1"/>
  <c r="K397" i="30"/>
  <c r="K406" i="30" s="1"/>
  <c r="H247" i="34"/>
  <c r="H256" i="6"/>
  <c r="H263" i="6"/>
  <c r="H254" i="34"/>
  <c r="H62" i="57"/>
  <c r="H265" i="6" l="1"/>
  <c r="H256" i="34"/>
  <c r="I118" i="4"/>
  <c r="I118" i="40" s="1"/>
  <c r="I105" i="40"/>
  <c r="H272" i="6"/>
  <c r="H263" i="34"/>
  <c r="H262" i="34"/>
  <c r="H271" i="6"/>
  <c r="H266" i="6"/>
  <c r="H257" i="34"/>
  <c r="C400" i="30"/>
  <c r="C409" i="30" a="1"/>
  <c r="H269" i="6"/>
  <c r="H260" i="34"/>
  <c r="H259" i="34"/>
  <c r="H268" i="6"/>
  <c r="I92" i="4"/>
  <c r="I91" i="40"/>
  <c r="H270" i="6"/>
  <c r="H261" i="34"/>
  <c r="H267" i="6"/>
  <c r="H258" i="34"/>
  <c r="F416" i="30" l="1"/>
  <c r="E415" i="30"/>
  <c r="I414" i="30"/>
  <c r="E411" i="30"/>
  <c r="D416" i="30"/>
  <c r="I409" i="30"/>
  <c r="H409" i="30"/>
  <c r="K409" i="30"/>
  <c r="L412" i="30"/>
  <c r="G411" i="30"/>
  <c r="J416" i="30"/>
  <c r="C416" i="30"/>
  <c r="G416" i="30"/>
  <c r="D415" i="30"/>
  <c r="H411" i="30"/>
  <c r="E410" i="30"/>
  <c r="D410" i="30"/>
  <c r="J412" i="30"/>
  <c r="I412" i="30"/>
  <c r="H410" i="30"/>
  <c r="J409" i="30"/>
  <c r="C410" i="30"/>
  <c r="L413" i="30"/>
  <c r="L415" i="30"/>
  <c r="J413" i="30"/>
  <c r="C415" i="30"/>
  <c r="K414" i="30"/>
  <c r="E412" i="30"/>
  <c r="H414" i="30"/>
  <c r="C411" i="30"/>
  <c r="G414" i="30"/>
  <c r="K416" i="30"/>
  <c r="I411" i="30"/>
  <c r="F412" i="30"/>
  <c r="D414" i="30"/>
  <c r="K412" i="30"/>
  <c r="J410" i="30"/>
  <c r="I410" i="30"/>
  <c r="G415" i="30"/>
  <c r="E416" i="30"/>
  <c r="C414" i="30"/>
  <c r="L414" i="30"/>
  <c r="D413" i="30"/>
  <c r="F413" i="30"/>
  <c r="G409" i="30"/>
  <c r="F415" i="30"/>
  <c r="F414" i="30"/>
  <c r="I416" i="30"/>
  <c r="C409" i="30"/>
  <c r="F411" i="30"/>
  <c r="H412" i="30"/>
  <c r="L411" i="30"/>
  <c r="H413" i="30"/>
  <c r="D409" i="30"/>
  <c r="J415" i="30"/>
  <c r="K410" i="30"/>
  <c r="F409" i="30"/>
  <c r="J411" i="30"/>
  <c r="C413" i="30"/>
  <c r="G410" i="30"/>
  <c r="K411" i="30"/>
  <c r="I413" i="30"/>
  <c r="K413" i="30"/>
  <c r="L410" i="30"/>
  <c r="K415" i="30"/>
  <c r="E413" i="30"/>
  <c r="C412" i="30"/>
  <c r="I415" i="30"/>
  <c r="G412" i="30"/>
  <c r="E409" i="30"/>
  <c r="L409" i="30"/>
  <c r="H415" i="30"/>
  <c r="J414" i="30"/>
  <c r="L416" i="30"/>
  <c r="G413" i="30"/>
  <c r="F410" i="30"/>
  <c r="H416" i="30"/>
  <c r="D411" i="30"/>
  <c r="E414" i="30"/>
  <c r="D412" i="30"/>
  <c r="H271" i="34"/>
  <c r="H280" i="6"/>
  <c r="H270" i="34"/>
  <c r="H279" i="6"/>
  <c r="H268" i="34"/>
  <c r="H277" i="6"/>
  <c r="H267" i="34"/>
  <c r="H276" i="6"/>
  <c r="I131" i="4"/>
  <c r="I92" i="40"/>
  <c r="H269" i="34"/>
  <c r="H278" i="6"/>
  <c r="H266" i="34"/>
  <c r="H275" i="6"/>
  <c r="H272" i="34"/>
  <c r="H281" i="6"/>
  <c r="H265" i="34"/>
  <c r="H274" i="6"/>
  <c r="L417" i="30" l="1"/>
  <c r="H284" i="6"/>
  <c r="H275" i="34"/>
  <c r="H290" i="6"/>
  <c r="H281" i="34"/>
  <c r="H287" i="6"/>
  <c r="H278" i="34"/>
  <c r="H276" i="34"/>
  <c r="H285" i="6"/>
  <c r="H279" i="34"/>
  <c r="H288" i="6"/>
  <c r="K417" i="30"/>
  <c r="H417" i="30"/>
  <c r="H274" i="34"/>
  <c r="H283" i="6"/>
  <c r="H277" i="34"/>
  <c r="H286" i="6"/>
  <c r="H289" i="6"/>
  <c r="H280" i="34"/>
  <c r="E417" i="30"/>
  <c r="D417" i="30"/>
  <c r="I417" i="30"/>
  <c r="I161" i="4"/>
  <c r="I131" i="40"/>
  <c r="F417" i="30"/>
  <c r="C419" i="30" a="1"/>
  <c r="C417" i="30"/>
  <c r="G417" i="30"/>
  <c r="J417" i="30"/>
  <c r="H68" i="57"/>
  <c r="B15" i="9" l="1" a="1"/>
  <c r="H15" i="9" s="1"/>
  <c r="H289" i="34"/>
  <c r="H307" i="6"/>
  <c r="H283" i="34"/>
  <c r="H301" i="6"/>
  <c r="H285" i="34"/>
  <c r="H303" i="6"/>
  <c r="H286" i="34"/>
  <c r="H304" i="6"/>
  <c r="H287" i="34"/>
  <c r="H305" i="6"/>
  <c r="I162" i="4"/>
  <c r="I162" i="40" s="1"/>
  <c r="I221" i="4"/>
  <c r="I161" i="40"/>
  <c r="J164" i="4"/>
  <c r="H288" i="34"/>
  <c r="H306" i="6"/>
  <c r="K424" i="30"/>
  <c r="E422" i="30"/>
  <c r="G424" i="30"/>
  <c r="D423" i="30"/>
  <c r="L424" i="30"/>
  <c r="F419" i="30"/>
  <c r="C422" i="30"/>
  <c r="H421" i="30"/>
  <c r="I425" i="30"/>
  <c r="G423" i="30"/>
  <c r="H420" i="30"/>
  <c r="I421" i="30"/>
  <c r="D420" i="30"/>
  <c r="J426" i="30"/>
  <c r="F423" i="30"/>
  <c r="G421" i="30"/>
  <c r="H419" i="30"/>
  <c r="I420" i="30"/>
  <c r="C423" i="30"/>
  <c r="J419" i="30"/>
  <c r="H422" i="30"/>
  <c r="K425" i="30"/>
  <c r="D419" i="30"/>
  <c r="D421" i="30"/>
  <c r="F424" i="30"/>
  <c r="K421" i="30"/>
  <c r="H426" i="30"/>
  <c r="J423" i="30"/>
  <c r="C425" i="30"/>
  <c r="C424" i="30"/>
  <c r="H423" i="30"/>
  <c r="E421" i="30"/>
  <c r="L420" i="30"/>
  <c r="D422" i="30"/>
  <c r="F425" i="30"/>
  <c r="H425" i="30"/>
  <c r="E426" i="30"/>
  <c r="H424" i="30"/>
  <c r="J424" i="30"/>
  <c r="I426" i="30"/>
  <c r="D426" i="30"/>
  <c r="E425" i="30"/>
  <c r="I419" i="30"/>
  <c r="K420" i="30"/>
  <c r="J421" i="30"/>
  <c r="E420" i="30"/>
  <c r="L425" i="30"/>
  <c r="J420" i="30"/>
  <c r="J422" i="30"/>
  <c r="G420" i="30"/>
  <c r="F420" i="30"/>
  <c r="I422" i="30"/>
  <c r="C421" i="30"/>
  <c r="C419" i="30"/>
  <c r="K422" i="30"/>
  <c r="L421" i="30"/>
  <c r="L422" i="30"/>
  <c r="D425" i="30"/>
  <c r="I424" i="30"/>
  <c r="F421" i="30"/>
  <c r="F422" i="30"/>
  <c r="C426" i="30"/>
  <c r="L423" i="30"/>
  <c r="E419" i="30"/>
  <c r="K426" i="30"/>
  <c r="L419" i="30"/>
  <c r="K423" i="30"/>
  <c r="E423" i="30"/>
  <c r="F426" i="30"/>
  <c r="I423" i="30"/>
  <c r="L426" i="30"/>
  <c r="G425" i="30"/>
  <c r="E424" i="30"/>
  <c r="G426" i="30"/>
  <c r="D424" i="30"/>
  <c r="J425" i="30"/>
  <c r="K419" i="30"/>
  <c r="G419" i="30"/>
  <c r="C420" i="30"/>
  <c r="G422" i="30"/>
  <c r="H290" i="34"/>
  <c r="H308" i="6"/>
  <c r="H284" i="34"/>
  <c r="H302" i="6"/>
  <c r="B9" i="57"/>
  <c r="B8" i="57"/>
  <c r="B12" i="57"/>
  <c r="B10" i="57"/>
  <c r="B6" i="57"/>
  <c r="B7" i="57"/>
  <c r="F15" i="9" l="1"/>
  <c r="K15" i="9"/>
  <c r="E15" i="9"/>
  <c r="G15" i="9"/>
  <c r="C15" i="9"/>
  <c r="D15" i="9"/>
  <c r="J15" i="9"/>
  <c r="I15" i="9"/>
  <c r="B15" i="9"/>
  <c r="J164" i="40"/>
  <c r="J166" i="4"/>
  <c r="H305" i="34"/>
  <c r="H314" i="6"/>
  <c r="H303" i="34"/>
  <c r="H312" i="6"/>
  <c r="H307" i="34"/>
  <c r="H316" i="6"/>
  <c r="H308" i="34"/>
  <c r="H317" i="6"/>
  <c r="G427" i="30"/>
  <c r="L427" i="30"/>
  <c r="C427" i="30"/>
  <c r="C429" i="30" a="1"/>
  <c r="F427" i="30"/>
  <c r="K427" i="30"/>
  <c r="H427" i="30"/>
  <c r="H302" i="34"/>
  <c r="H311" i="6"/>
  <c r="J427" i="30"/>
  <c r="I221" i="40"/>
  <c r="H304" i="34"/>
  <c r="H313" i="6"/>
  <c r="H301" i="34"/>
  <c r="H310" i="6"/>
  <c r="E427" i="30"/>
  <c r="H306" i="34"/>
  <c r="H315" i="6"/>
  <c r="I427" i="30"/>
  <c r="D427" i="30"/>
  <c r="D6" i="57"/>
  <c r="D10" i="57"/>
  <c r="D7" i="57"/>
  <c r="D8" i="57"/>
  <c r="D9" i="57"/>
  <c r="D12" i="57"/>
  <c r="F12" i="57" l="1"/>
  <c r="H313" i="34"/>
  <c r="H322" i="6"/>
  <c r="H320" i="6"/>
  <c r="H311" i="34"/>
  <c r="J431" i="30"/>
  <c r="L433" i="30"/>
  <c r="L430" i="30"/>
  <c r="K429" i="30"/>
  <c r="J436" i="30"/>
  <c r="D436" i="30"/>
  <c r="I436" i="30"/>
  <c r="F432" i="30"/>
  <c r="F435" i="30"/>
  <c r="G431" i="30"/>
  <c r="J434" i="30"/>
  <c r="E430" i="30"/>
  <c r="I435" i="30"/>
  <c r="H436" i="30"/>
  <c r="L435" i="30"/>
  <c r="D430" i="30"/>
  <c r="E434" i="30"/>
  <c r="I429" i="30"/>
  <c r="F434" i="30"/>
  <c r="J433" i="30"/>
  <c r="D429" i="30"/>
  <c r="I434" i="30"/>
  <c r="I431" i="30"/>
  <c r="E431" i="30"/>
  <c r="F430" i="30"/>
  <c r="L436" i="30"/>
  <c r="G430" i="30"/>
  <c r="E435" i="30"/>
  <c r="K436" i="30"/>
  <c r="D432" i="30"/>
  <c r="L431" i="30"/>
  <c r="C432" i="30"/>
  <c r="E429" i="30"/>
  <c r="J429" i="30"/>
  <c r="F429" i="30"/>
  <c r="K433" i="30"/>
  <c r="C436" i="30"/>
  <c r="K431" i="30"/>
  <c r="C435" i="30"/>
  <c r="C430" i="30"/>
  <c r="H429" i="30"/>
  <c r="G432" i="30"/>
  <c r="J435" i="30"/>
  <c r="F431" i="30"/>
  <c r="D434" i="30"/>
  <c r="C431" i="30"/>
  <c r="K434" i="30"/>
  <c r="D431" i="30"/>
  <c r="L429" i="30"/>
  <c r="H430" i="30"/>
  <c r="L432" i="30"/>
  <c r="F433" i="30"/>
  <c r="G433" i="30"/>
  <c r="J430" i="30"/>
  <c r="G434" i="30"/>
  <c r="K430" i="30"/>
  <c r="F436" i="30"/>
  <c r="C429" i="30"/>
  <c r="H432" i="30"/>
  <c r="H431" i="30"/>
  <c r="I430" i="30"/>
  <c r="D433" i="30"/>
  <c r="G429" i="30"/>
  <c r="G436" i="30"/>
  <c r="L434" i="30"/>
  <c r="G435" i="30"/>
  <c r="H435" i="30"/>
  <c r="E436" i="30"/>
  <c r="H433" i="30"/>
  <c r="C433" i="30"/>
  <c r="I433" i="30"/>
  <c r="C434" i="30"/>
  <c r="H434" i="30"/>
  <c r="K435" i="30"/>
  <c r="D435" i="30"/>
  <c r="E432" i="30"/>
  <c r="K432" i="30"/>
  <c r="J432" i="30"/>
  <c r="E433" i="30"/>
  <c r="I432" i="30"/>
  <c r="H312" i="34"/>
  <c r="H321" i="6"/>
  <c r="J166" i="40"/>
  <c r="J167" i="4"/>
  <c r="J168" i="4"/>
  <c r="J168" i="40" s="1"/>
  <c r="H317" i="34"/>
  <c r="H326" i="6"/>
  <c r="H319" i="6"/>
  <c r="H310" i="34"/>
  <c r="B17" i="9" a="1"/>
  <c r="H315" i="34"/>
  <c r="H324" i="6"/>
  <c r="H325" i="6"/>
  <c r="H316" i="34"/>
  <c r="H314" i="34"/>
  <c r="H323" i="6"/>
  <c r="I152" i="57"/>
  <c r="I81" i="57"/>
  <c r="I154" i="57"/>
  <c r="I150" i="57"/>
  <c r="I153" i="57"/>
  <c r="I151" i="57"/>
  <c r="M433" i="30" l="1"/>
  <c r="M431" i="30"/>
  <c r="H326" i="34"/>
  <c r="H335" i="6"/>
  <c r="G437" i="30"/>
  <c r="F19" i="9" s="1"/>
  <c r="M435" i="30"/>
  <c r="F437" i="30"/>
  <c r="E19" i="9" s="1"/>
  <c r="H320" i="34"/>
  <c r="H329" i="6"/>
  <c r="H321" i="34"/>
  <c r="H330" i="6"/>
  <c r="C437" i="30"/>
  <c r="B19" i="9" s="1"/>
  <c r="M429" i="30"/>
  <c r="J437" i="30"/>
  <c r="I19" i="9" s="1"/>
  <c r="I437" i="30"/>
  <c r="H19" i="9" s="1"/>
  <c r="H322" i="34"/>
  <c r="H331" i="6"/>
  <c r="L437" i="30"/>
  <c r="K19" i="9" s="1"/>
  <c r="H437" i="30"/>
  <c r="G19" i="9" s="1"/>
  <c r="M436" i="30"/>
  <c r="E437" i="30"/>
  <c r="D19" i="9" s="1"/>
  <c r="D437" i="30"/>
  <c r="C19" i="9" s="1"/>
  <c r="I17" i="9"/>
  <c r="J17" i="9"/>
  <c r="C17" i="9"/>
  <c r="E17" i="9"/>
  <c r="H17" i="9"/>
  <c r="D17" i="9"/>
  <c r="K17" i="9"/>
  <c r="B17" i="9"/>
  <c r="F17" i="9"/>
  <c r="G17" i="9"/>
  <c r="H325" i="34"/>
  <c r="H334" i="6"/>
  <c r="H323" i="34"/>
  <c r="H332" i="6"/>
  <c r="H324" i="34"/>
  <c r="H333" i="6"/>
  <c r="H319" i="34"/>
  <c r="H328" i="6"/>
  <c r="J167" i="40"/>
  <c r="J169" i="4"/>
  <c r="J170" i="4"/>
  <c r="J170" i="40" s="1"/>
  <c r="M434" i="30"/>
  <c r="M430" i="30"/>
  <c r="M432" i="30"/>
  <c r="K437" i="30"/>
  <c r="J19" i="9" s="1"/>
  <c r="J202" i="4" l="1"/>
  <c r="J169" i="40"/>
  <c r="J172" i="4"/>
  <c r="H333" i="34"/>
  <c r="H342" i="6"/>
  <c r="H343" i="6"/>
  <c r="H334" i="34"/>
  <c r="H331" i="34"/>
  <c r="H340" i="6"/>
  <c r="M437" i="30"/>
  <c r="M438" i="30" s="1"/>
  <c r="H329" i="34"/>
  <c r="H338" i="6"/>
  <c r="H328" i="34"/>
  <c r="H337" i="6"/>
  <c r="H341" i="6"/>
  <c r="H332" i="34"/>
  <c r="L19" i="9"/>
  <c r="H344" i="6"/>
  <c r="H335" i="34"/>
  <c r="H330" i="34"/>
  <c r="H339" i="6"/>
  <c r="I83" i="57"/>
  <c r="I71" i="57"/>
  <c r="I99" i="57"/>
  <c r="I103" i="57"/>
  <c r="I70" i="57"/>
  <c r="I97" i="57"/>
  <c r="I100" i="57"/>
  <c r="I98" i="57"/>
  <c r="I96" i="57"/>
  <c r="I102" i="57"/>
  <c r="I78" i="57" l="1"/>
  <c r="H338" i="34"/>
  <c r="H356" i="6"/>
  <c r="H339" i="34"/>
  <c r="H357" i="6"/>
  <c r="H344" i="34"/>
  <c r="H362" i="6"/>
  <c r="H341" i="34"/>
  <c r="H359" i="6"/>
  <c r="U172" i="4"/>
  <c r="J178" i="4"/>
  <c r="J183" i="4"/>
  <c r="J199" i="4"/>
  <c r="J172" i="40"/>
  <c r="J179" i="4"/>
  <c r="J94" i="4"/>
  <c r="J189" i="4"/>
  <c r="J121" i="4"/>
  <c r="J182" i="4"/>
  <c r="J55" i="4"/>
  <c r="I124" i="6"/>
  <c r="J184" i="4"/>
  <c r="J201" i="4"/>
  <c r="J180" i="4"/>
  <c r="J181" i="4"/>
  <c r="J38" i="4"/>
  <c r="J107" i="4"/>
  <c r="J177" i="4"/>
  <c r="J89" i="4"/>
  <c r="J89" i="40" s="1"/>
  <c r="J174" i="4"/>
  <c r="J175" i="4"/>
  <c r="J175" i="40" s="1"/>
  <c r="H340" i="34"/>
  <c r="H358" i="6"/>
  <c r="H343" i="34"/>
  <c r="H361" i="6"/>
  <c r="H337" i="34"/>
  <c r="H355" i="6"/>
  <c r="L20" i="9"/>
  <c r="L23" i="9" s="1"/>
  <c r="M442" i="30"/>
  <c r="H342" i="34"/>
  <c r="H360" i="6"/>
  <c r="I80" i="57"/>
  <c r="I177" i="57"/>
  <c r="I175" i="57"/>
  <c r="I181" i="57"/>
  <c r="I179" i="57"/>
  <c r="I178" i="57"/>
  <c r="I176" i="57"/>
  <c r="I182" i="57"/>
  <c r="I135" i="57"/>
  <c r="I82" i="57"/>
  <c r="I133" i="57"/>
  <c r="I137" i="57"/>
  <c r="I136" i="57"/>
  <c r="I134" i="57"/>
  <c r="I108" i="57"/>
  <c r="I110" i="57"/>
  <c r="I109" i="57"/>
  <c r="I107" i="57"/>
  <c r="I106" i="57"/>
  <c r="C35" i="57"/>
  <c r="C34" i="57"/>
  <c r="C36" i="57"/>
  <c r="C39" i="57"/>
  <c r="C37" i="57"/>
  <c r="C33" i="57"/>
  <c r="I79" i="57"/>
  <c r="H361" i="34" l="1"/>
  <c r="H370" i="6"/>
  <c r="J174" i="40"/>
  <c r="J200" i="4"/>
  <c r="J107" i="40"/>
  <c r="J108" i="4"/>
  <c r="I100" i="6"/>
  <c r="J180" i="40"/>
  <c r="I109" i="6"/>
  <c r="I109" i="34" s="1"/>
  <c r="I118" i="6"/>
  <c r="J56" i="4"/>
  <c r="J57" i="4"/>
  <c r="J55" i="40"/>
  <c r="J58" i="4"/>
  <c r="J58" i="40" s="1"/>
  <c r="J94" i="40"/>
  <c r="J96" i="4"/>
  <c r="I103" i="6"/>
  <c r="J183" i="40"/>
  <c r="I121" i="6"/>
  <c r="I112" i="6"/>
  <c r="I112" i="34" s="1"/>
  <c r="H360" i="34"/>
  <c r="H369" i="6"/>
  <c r="H355" i="34"/>
  <c r="H364" i="6"/>
  <c r="H358" i="34"/>
  <c r="H367" i="6"/>
  <c r="J47" i="4"/>
  <c r="J48" i="4"/>
  <c r="J48" i="40" s="1"/>
  <c r="J38" i="40"/>
  <c r="J40" i="4"/>
  <c r="J39" i="4"/>
  <c r="J49" i="4"/>
  <c r="J49" i="40" s="1"/>
  <c r="J41" i="4"/>
  <c r="J41" i="40" s="1"/>
  <c r="J182" i="40"/>
  <c r="I102" i="6"/>
  <c r="I120" i="6"/>
  <c r="I111" i="6"/>
  <c r="I111" i="34" s="1"/>
  <c r="I99" i="6"/>
  <c r="J179" i="40"/>
  <c r="I108" i="6"/>
  <c r="I108" i="34" s="1"/>
  <c r="I117" i="6"/>
  <c r="J178" i="40"/>
  <c r="I98" i="6"/>
  <c r="I116" i="6"/>
  <c r="I107" i="6"/>
  <c r="I107" i="34" s="1"/>
  <c r="H362" i="34"/>
  <c r="H371" i="6"/>
  <c r="H356" i="34"/>
  <c r="H365" i="6"/>
  <c r="I101" i="6"/>
  <c r="J181" i="40"/>
  <c r="I119" i="6"/>
  <c r="I110" i="6"/>
  <c r="I110" i="34" s="1"/>
  <c r="I104" i="6"/>
  <c r="J184" i="40"/>
  <c r="I113" i="6"/>
  <c r="I113" i="34" s="1"/>
  <c r="I122" i="6"/>
  <c r="J122" i="4"/>
  <c r="J121" i="40"/>
  <c r="J195" i="40"/>
  <c r="I97" i="6"/>
  <c r="J177" i="40"/>
  <c r="J185" i="4" a="1"/>
  <c r="J185" i="4" s="1"/>
  <c r="I106" i="6"/>
  <c r="I106" i="34" s="1"/>
  <c r="I115" i="6"/>
  <c r="I124" i="34"/>
  <c r="I125" i="6"/>
  <c r="J189" i="40"/>
  <c r="J191" i="4"/>
  <c r="H359" i="34"/>
  <c r="H368" i="6"/>
  <c r="H357" i="34"/>
  <c r="H366" i="6"/>
  <c r="I73" i="57"/>
  <c r="I143" i="57"/>
  <c r="I147" i="57"/>
  <c r="I141" i="57"/>
  <c r="I144" i="57"/>
  <c r="I142" i="57"/>
  <c r="I140" i="57"/>
  <c r="I146" i="57"/>
  <c r="I192" i="57"/>
  <c r="I186" i="57"/>
  <c r="I188" i="57"/>
  <c r="I189" i="57"/>
  <c r="I187" i="57"/>
  <c r="I185" i="57"/>
  <c r="I191" i="57"/>
  <c r="I115" i="34" l="1"/>
  <c r="I292" i="6"/>
  <c r="I97" i="34"/>
  <c r="I202" i="6"/>
  <c r="I116" i="34"/>
  <c r="I293" i="6"/>
  <c r="J185" i="40"/>
  <c r="J187" i="4"/>
  <c r="J187" i="40" s="1"/>
  <c r="H371" i="34"/>
  <c r="H380" i="6"/>
  <c r="H380" i="34" s="1"/>
  <c r="I203" i="6"/>
  <c r="I98" i="34"/>
  <c r="I207" i="6"/>
  <c r="I102" i="34"/>
  <c r="J47" i="40"/>
  <c r="J50" i="4"/>
  <c r="I121" i="34"/>
  <c r="I298" i="6"/>
  <c r="J57" i="40"/>
  <c r="H366" i="34"/>
  <c r="H375" i="6"/>
  <c r="H375" i="34" s="1"/>
  <c r="H365" i="34"/>
  <c r="H374" i="6"/>
  <c r="H374" i="34" s="1"/>
  <c r="H364" i="34"/>
  <c r="H373" i="6"/>
  <c r="H368" i="34"/>
  <c r="H377" i="6"/>
  <c r="H377" i="34" s="1"/>
  <c r="I125" i="34"/>
  <c r="I127" i="6"/>
  <c r="I127" i="34" s="1"/>
  <c r="J39" i="40"/>
  <c r="J42" i="4"/>
  <c r="J122" i="40"/>
  <c r="J123" i="4"/>
  <c r="I209" i="6"/>
  <c r="I104" i="34"/>
  <c r="I206" i="6"/>
  <c r="I101" i="34"/>
  <c r="I99" i="34"/>
  <c r="I204" i="6"/>
  <c r="J40" i="40"/>
  <c r="H367" i="34"/>
  <c r="H376" i="6"/>
  <c r="H376" i="34" s="1"/>
  <c r="H369" i="34"/>
  <c r="H378" i="6"/>
  <c r="H378" i="34" s="1"/>
  <c r="J56" i="40"/>
  <c r="J59" i="4"/>
  <c r="I205" i="6"/>
  <c r="I100" i="34"/>
  <c r="I122" i="34"/>
  <c r="I299" i="6"/>
  <c r="I294" i="6"/>
  <c r="I117" i="34"/>
  <c r="I103" i="34"/>
  <c r="I208" i="6"/>
  <c r="I118" i="34"/>
  <c r="I295" i="6"/>
  <c r="J108" i="40"/>
  <c r="J109" i="4"/>
  <c r="H370" i="34"/>
  <c r="H379" i="6"/>
  <c r="H379" i="34" s="1"/>
  <c r="U191" i="4"/>
  <c r="J191" i="40"/>
  <c r="I90" i="6"/>
  <c r="I92" i="6"/>
  <c r="I95" i="6"/>
  <c r="I91" i="6"/>
  <c r="I89" i="6"/>
  <c r="I94" i="6"/>
  <c r="I88" i="6"/>
  <c r="I93" i="6"/>
  <c r="I296" i="6"/>
  <c r="I119" i="34"/>
  <c r="I297" i="6"/>
  <c r="I120" i="34"/>
  <c r="J96" i="40"/>
  <c r="I150" i="6" l="1"/>
  <c r="I90" i="34"/>
  <c r="I208" i="34"/>
  <c r="I217" i="6"/>
  <c r="I299" i="34"/>
  <c r="J59" i="40"/>
  <c r="J60" i="4"/>
  <c r="J62" i="4" s="1"/>
  <c r="J62" i="40" s="1"/>
  <c r="J123" i="40"/>
  <c r="J126" i="4"/>
  <c r="I212" i="6"/>
  <c r="I203" i="34"/>
  <c r="I202" i="34"/>
  <c r="I211" i="6"/>
  <c r="I296" i="34"/>
  <c r="I91" i="34"/>
  <c r="I151" i="6"/>
  <c r="I206" i="34"/>
  <c r="I215" i="6"/>
  <c r="I298" i="34"/>
  <c r="I153" i="6"/>
  <c r="I93" i="34"/>
  <c r="I88" i="34"/>
  <c r="I148" i="6"/>
  <c r="I155" i="6"/>
  <c r="I95" i="34"/>
  <c r="I295" i="34"/>
  <c r="I213" i="6"/>
  <c r="I204" i="34"/>
  <c r="H373" i="34"/>
  <c r="I207" i="34"/>
  <c r="I216" i="6"/>
  <c r="I293" i="34"/>
  <c r="I292" i="34"/>
  <c r="I149" i="6"/>
  <c r="I89" i="34"/>
  <c r="I297" i="34"/>
  <c r="I94" i="34"/>
  <c r="I154" i="6"/>
  <c r="I92" i="34"/>
  <c r="I152" i="6"/>
  <c r="J112" i="4"/>
  <c r="J109" i="40"/>
  <c r="I294" i="34"/>
  <c r="I205" i="34"/>
  <c r="I214" i="6"/>
  <c r="I218" i="6"/>
  <c r="I209" i="34"/>
  <c r="J42" i="40"/>
  <c r="J43" i="4"/>
  <c r="J50" i="40"/>
  <c r="J51" i="4"/>
  <c r="J52" i="4" l="1"/>
  <c r="J51" i="40"/>
  <c r="I232" i="6"/>
  <c r="I214" i="34"/>
  <c r="I163" i="6"/>
  <c r="I154" i="34"/>
  <c r="I157" i="6"/>
  <c r="I148" i="34"/>
  <c r="I160" i="6"/>
  <c r="I151" i="34"/>
  <c r="I229" i="6"/>
  <c r="I211" i="34"/>
  <c r="J112" i="40"/>
  <c r="J113" i="4"/>
  <c r="I158" i="6"/>
  <c r="I149" i="34"/>
  <c r="J44" i="4"/>
  <c r="J43" i="40"/>
  <c r="I216" i="34"/>
  <c r="I234" i="6"/>
  <c r="I236" i="6"/>
  <c r="I218" i="34"/>
  <c r="I161" i="6"/>
  <c r="I152" i="34"/>
  <c r="I231" i="6"/>
  <c r="I213" i="34"/>
  <c r="I233" i="6"/>
  <c r="I215" i="34"/>
  <c r="J126" i="40"/>
  <c r="J127" i="4"/>
  <c r="I155" i="34"/>
  <c r="I164" i="6"/>
  <c r="I162" i="6"/>
  <c r="I153" i="34"/>
  <c r="I230" i="6"/>
  <c r="I212" i="34"/>
  <c r="I150" i="34"/>
  <c r="I159" i="6"/>
  <c r="J61" i="4"/>
  <c r="J61" i="40" s="1"/>
  <c r="J60" i="40"/>
  <c r="J64" i="4"/>
  <c r="J64" i="40" s="1"/>
  <c r="I235" i="6"/>
  <c r="I217" i="34"/>
  <c r="J45" i="4"/>
  <c r="J45" i="40" l="1"/>
  <c r="J68" i="4"/>
  <c r="I164" i="34"/>
  <c r="I173" i="6"/>
  <c r="I234" i="34"/>
  <c r="I231" i="34"/>
  <c r="J67" i="4"/>
  <c r="J44" i="40"/>
  <c r="I229" i="34"/>
  <c r="I157" i="34"/>
  <c r="I166" i="6"/>
  <c r="I232" i="34"/>
  <c r="I162" i="34"/>
  <c r="I171" i="6"/>
  <c r="I236" i="34"/>
  <c r="I160" i="34"/>
  <c r="I169" i="6"/>
  <c r="I163" i="34"/>
  <c r="I172" i="6"/>
  <c r="I230" i="34"/>
  <c r="I233" i="34"/>
  <c r="I161" i="34"/>
  <c r="I170" i="6"/>
  <c r="I158" i="34"/>
  <c r="I167" i="6"/>
  <c r="I235" i="34"/>
  <c r="I159" i="34"/>
  <c r="I168" i="6"/>
  <c r="J127" i="40"/>
  <c r="K125" i="4"/>
  <c r="J128" i="4"/>
  <c r="K111" i="4"/>
  <c r="J114" i="4"/>
  <c r="J113" i="40"/>
  <c r="J52" i="40"/>
  <c r="J70" i="4"/>
  <c r="I113" i="57"/>
  <c r="I115" i="57"/>
  <c r="I117" i="57"/>
  <c r="I119" i="57"/>
  <c r="I116" i="57"/>
  <c r="I114" i="57"/>
  <c r="I120" i="57"/>
  <c r="I126" i="57"/>
  <c r="I130" i="57"/>
  <c r="I124" i="57"/>
  <c r="I127" i="57"/>
  <c r="I125" i="57"/>
  <c r="I123" i="57"/>
  <c r="I129" i="57"/>
  <c r="I173" i="34" l="1"/>
  <c r="I182" i="6"/>
  <c r="I177" i="6"/>
  <c r="I168" i="34"/>
  <c r="J128" i="40"/>
  <c r="J129" i="4"/>
  <c r="J129" i="40" s="1"/>
  <c r="J70" i="40"/>
  <c r="J98" i="4"/>
  <c r="K111" i="40"/>
  <c r="I172" i="34"/>
  <c r="I181" i="6"/>
  <c r="K125" i="40"/>
  <c r="I169" i="34"/>
  <c r="I178" i="6"/>
  <c r="I175" i="6"/>
  <c r="I166" i="34"/>
  <c r="J76" i="4"/>
  <c r="J68" i="40"/>
  <c r="I176" i="6"/>
  <c r="I167" i="34"/>
  <c r="I179" i="6"/>
  <c r="I170" i="34"/>
  <c r="I180" i="6"/>
  <c r="I171" i="34"/>
  <c r="J114" i="40"/>
  <c r="J115" i="4"/>
  <c r="J117" i="4"/>
  <c r="J117" i="40" s="1"/>
  <c r="J67" i="40"/>
  <c r="K206" i="4"/>
  <c r="J75" i="4"/>
  <c r="J75" i="57"/>
  <c r="I200" i="57"/>
  <c r="J210" i="4" l="1"/>
  <c r="J75" i="40"/>
  <c r="J119" i="4"/>
  <c r="J119" i="40" s="1"/>
  <c r="J115" i="40"/>
  <c r="I178" i="34"/>
  <c r="I187" i="6"/>
  <c r="I181" i="34"/>
  <c r="I190" i="6"/>
  <c r="J98" i="40"/>
  <c r="J99" i="4"/>
  <c r="I179" i="34"/>
  <c r="I188" i="6"/>
  <c r="J76" i="40"/>
  <c r="J84" i="4"/>
  <c r="J82" i="4"/>
  <c r="J83" i="4"/>
  <c r="J85" i="4"/>
  <c r="I177" i="34"/>
  <c r="I186" i="6"/>
  <c r="I182" i="34"/>
  <c r="I191" i="6"/>
  <c r="I180" i="34"/>
  <c r="I189" i="6"/>
  <c r="I176" i="34"/>
  <c r="I185" i="6"/>
  <c r="I175" i="34"/>
  <c r="I184" i="6"/>
  <c r="I184" i="34" l="1"/>
  <c r="I193" i="6"/>
  <c r="I198" i="6"/>
  <c r="I189" i="34"/>
  <c r="I186" i="34"/>
  <c r="I195" i="6"/>
  <c r="J82" i="40"/>
  <c r="J87" i="4"/>
  <c r="J84" i="40"/>
  <c r="J102" i="4"/>
  <c r="J99" i="40"/>
  <c r="I187" i="34"/>
  <c r="I196" i="6"/>
  <c r="I185" i="34"/>
  <c r="I194" i="6"/>
  <c r="J85" i="40"/>
  <c r="I200" i="6"/>
  <c r="I191" i="34"/>
  <c r="J83" i="40"/>
  <c r="I197" i="6"/>
  <c r="I188" i="34"/>
  <c r="I190" i="34"/>
  <c r="I199" i="6"/>
  <c r="J210" i="40"/>
  <c r="J211" i="4"/>
  <c r="J211" i="40" s="1"/>
  <c r="J212" i="4" l="1"/>
  <c r="J212" i="40" s="1"/>
  <c r="J87" i="40"/>
  <c r="J88" i="4"/>
  <c r="I198" i="34"/>
  <c r="I243" i="6"/>
  <c r="I199" i="34"/>
  <c r="I244" i="6"/>
  <c r="I196" i="34"/>
  <c r="I241" i="6"/>
  <c r="J102" i="40"/>
  <c r="J103" i="4"/>
  <c r="I193" i="34"/>
  <c r="I238" i="6"/>
  <c r="I197" i="34"/>
  <c r="I242" i="6"/>
  <c r="I200" i="34"/>
  <c r="I245" i="6"/>
  <c r="I194" i="34"/>
  <c r="I239" i="6"/>
  <c r="I195" i="34"/>
  <c r="I240" i="6"/>
  <c r="I238" i="34" l="1"/>
  <c r="I247" i="6"/>
  <c r="I242" i="34"/>
  <c r="I251" i="6"/>
  <c r="K101" i="4"/>
  <c r="J104" i="4"/>
  <c r="J103" i="40"/>
  <c r="J88" i="40"/>
  <c r="J90" i="4"/>
  <c r="J90" i="40" s="1"/>
  <c r="J91" i="4"/>
  <c r="I244" i="34"/>
  <c r="I253" i="6"/>
  <c r="I239" i="34"/>
  <c r="I248" i="6"/>
  <c r="I240" i="34"/>
  <c r="I249" i="6"/>
  <c r="I245" i="34"/>
  <c r="I254" i="6"/>
  <c r="I241" i="34"/>
  <c r="I250" i="6"/>
  <c r="I243" i="34"/>
  <c r="I252" i="6"/>
  <c r="I62" i="57"/>
  <c r="I249" i="34" l="1"/>
  <c r="I258" i="6"/>
  <c r="I251" i="34"/>
  <c r="I260" i="6"/>
  <c r="I250" i="34"/>
  <c r="I259" i="6"/>
  <c r="I253" i="34"/>
  <c r="I262" i="6"/>
  <c r="I263" i="6"/>
  <c r="I254" i="34"/>
  <c r="I256" i="6"/>
  <c r="I247" i="34"/>
  <c r="I252" i="34"/>
  <c r="I261" i="6"/>
  <c r="I248" i="34"/>
  <c r="I257" i="6"/>
  <c r="J91" i="40"/>
  <c r="J92" i="4"/>
  <c r="J105" i="4"/>
  <c r="J116" i="4"/>
  <c r="J116" i="40" s="1"/>
  <c r="J104" i="40"/>
  <c r="K101" i="40"/>
  <c r="I262" i="34" l="1"/>
  <c r="I271" i="6"/>
  <c r="I260" i="34"/>
  <c r="I269" i="6"/>
  <c r="I266" i="6"/>
  <c r="I257" i="34"/>
  <c r="J105" i="40"/>
  <c r="J118" i="4"/>
  <c r="J118" i="40" s="1"/>
  <c r="I256" i="34"/>
  <c r="I265" i="6"/>
  <c r="J92" i="40"/>
  <c r="I268" i="6"/>
  <c r="I259" i="34"/>
  <c r="I267" i="6"/>
  <c r="I258" i="34"/>
  <c r="I270" i="6"/>
  <c r="I261" i="34"/>
  <c r="I263" i="34"/>
  <c r="I272" i="6"/>
  <c r="J131" i="4" l="1"/>
  <c r="J161" i="4" s="1"/>
  <c r="I272" i="34"/>
  <c r="I281" i="6"/>
  <c r="I269" i="34"/>
  <c r="I278" i="6"/>
  <c r="I267" i="34"/>
  <c r="I276" i="6"/>
  <c r="I271" i="34"/>
  <c r="I280" i="6"/>
  <c r="I265" i="34"/>
  <c r="I274" i="6"/>
  <c r="I270" i="34"/>
  <c r="I279" i="6"/>
  <c r="I268" i="34"/>
  <c r="I277" i="6"/>
  <c r="I266" i="34"/>
  <c r="I275" i="6"/>
  <c r="I68" i="57"/>
  <c r="J131" i="40" l="1"/>
  <c r="I284" i="6"/>
  <c r="I275" i="34"/>
  <c r="I286" i="6"/>
  <c r="I277" i="34"/>
  <c r="I283" i="6"/>
  <c r="I274" i="34"/>
  <c r="I280" i="34"/>
  <c r="I289" i="6"/>
  <c r="I287" i="6"/>
  <c r="I278" i="34"/>
  <c r="I276" i="34"/>
  <c r="I285" i="6"/>
  <c r="I290" i="6"/>
  <c r="I281" i="34"/>
  <c r="I279" i="34"/>
  <c r="I288" i="6"/>
  <c r="J221" i="4"/>
  <c r="J221" i="40" s="1"/>
  <c r="J162" i="4"/>
  <c r="J162" i="40" s="1"/>
  <c r="J161" i="40"/>
  <c r="K164" i="4" l="1"/>
  <c r="K164" i="40" s="1"/>
  <c r="I286" i="34"/>
  <c r="I304" i="6"/>
  <c r="I288" i="34"/>
  <c r="I306" i="6"/>
  <c r="I290" i="34"/>
  <c r="I308" i="6"/>
  <c r="I289" i="34"/>
  <c r="I307" i="6"/>
  <c r="I283" i="34"/>
  <c r="I301" i="6"/>
  <c r="I287" i="34"/>
  <c r="I305" i="6"/>
  <c r="I284" i="34"/>
  <c r="I302" i="6"/>
  <c r="I285" i="34"/>
  <c r="I303" i="6"/>
  <c r="K166" i="4" l="1"/>
  <c r="K168" i="4" s="1"/>
  <c r="K168" i="40" s="1"/>
  <c r="I302" i="34"/>
  <c r="I311" i="6"/>
  <c r="I306" i="34"/>
  <c r="I315" i="6"/>
  <c r="I303" i="34"/>
  <c r="I312" i="6"/>
  <c r="I305" i="34"/>
  <c r="I314" i="6"/>
  <c r="I307" i="34"/>
  <c r="I316" i="6"/>
  <c r="I301" i="34"/>
  <c r="I310" i="6"/>
  <c r="I308" i="34"/>
  <c r="I317" i="6"/>
  <c r="I304" i="34"/>
  <c r="I313" i="6"/>
  <c r="K167" i="4" l="1"/>
  <c r="K166" i="40"/>
  <c r="I326" i="6"/>
  <c r="I317" i="34"/>
  <c r="I312" i="34"/>
  <c r="I321" i="6"/>
  <c r="K169" i="4"/>
  <c r="K170" i="4"/>
  <c r="K170" i="40" s="1"/>
  <c r="K167" i="40"/>
  <c r="I310" i="34"/>
  <c r="I319" i="6"/>
  <c r="I324" i="6"/>
  <c r="I315" i="34"/>
  <c r="I314" i="34"/>
  <c r="I323" i="6"/>
  <c r="I311" i="34"/>
  <c r="I320" i="6"/>
  <c r="I313" i="34"/>
  <c r="I322" i="6"/>
  <c r="I325" i="6"/>
  <c r="I316" i="34"/>
  <c r="J151" i="57"/>
  <c r="J152" i="57"/>
  <c r="J153" i="57"/>
  <c r="J154" i="57"/>
  <c r="J150" i="57"/>
  <c r="J81" i="57"/>
  <c r="I320" i="34" l="1"/>
  <c r="I329" i="6"/>
  <c r="I325" i="34"/>
  <c r="I334" i="6"/>
  <c r="I321" i="34"/>
  <c r="I330" i="6"/>
  <c r="I324" i="34"/>
  <c r="I333" i="6"/>
  <c r="I322" i="34"/>
  <c r="I331" i="6"/>
  <c r="I323" i="34"/>
  <c r="I332" i="6"/>
  <c r="I319" i="34"/>
  <c r="I328" i="6"/>
  <c r="K202" i="4"/>
  <c r="K169" i="40"/>
  <c r="K172" i="4"/>
  <c r="I326" i="34"/>
  <c r="I335" i="6"/>
  <c r="J103" i="57"/>
  <c r="J71" i="57"/>
  <c r="J102" i="57"/>
  <c r="J100" i="57"/>
  <c r="J70" i="57"/>
  <c r="J97" i="57"/>
  <c r="J96" i="57"/>
  <c r="J99" i="57"/>
  <c r="J98" i="57"/>
  <c r="J83" i="57"/>
  <c r="J78" i="57" l="1"/>
  <c r="I332" i="34"/>
  <c r="I341" i="6"/>
  <c r="I333" i="34"/>
  <c r="I342" i="6"/>
  <c r="I343" i="6"/>
  <c r="I334" i="34"/>
  <c r="I335" i="34"/>
  <c r="I344" i="6"/>
  <c r="I328" i="34"/>
  <c r="I337" i="6"/>
  <c r="I331" i="34"/>
  <c r="I340" i="6"/>
  <c r="I339" i="6"/>
  <c r="I330" i="34"/>
  <c r="I338" i="6"/>
  <c r="I329" i="34"/>
  <c r="V172" i="4"/>
  <c r="K189" i="4"/>
  <c r="K184" i="4"/>
  <c r="K201" i="4"/>
  <c r="K107" i="4"/>
  <c r="K177" i="4"/>
  <c r="K38" i="4"/>
  <c r="K172" i="40"/>
  <c r="J124" i="6"/>
  <c r="K94" i="4"/>
  <c r="K182" i="4"/>
  <c r="K199" i="4"/>
  <c r="K121" i="4"/>
  <c r="K183" i="4"/>
  <c r="K178" i="4"/>
  <c r="K181" i="4"/>
  <c r="K180" i="4"/>
  <c r="K55" i="4"/>
  <c r="K179" i="4"/>
  <c r="K175" i="4"/>
  <c r="K175" i="40" s="1"/>
  <c r="K174" i="4"/>
  <c r="K89" i="4"/>
  <c r="K89" i="40" s="1"/>
  <c r="J137" i="57"/>
  <c r="J134" i="57"/>
  <c r="J82" i="57"/>
  <c r="J135" i="57"/>
  <c r="J133" i="57"/>
  <c r="J136" i="57"/>
  <c r="J179" i="57"/>
  <c r="J178" i="57"/>
  <c r="J177" i="57"/>
  <c r="J175" i="57"/>
  <c r="J182" i="57"/>
  <c r="J176" i="57"/>
  <c r="J181" i="57"/>
  <c r="J80" i="57"/>
  <c r="J110" i="57"/>
  <c r="J109" i="57"/>
  <c r="J106" i="57"/>
  <c r="J108" i="57"/>
  <c r="J107" i="57"/>
  <c r="J79" i="57"/>
  <c r="K174" i="40" l="1"/>
  <c r="K200" i="4"/>
  <c r="K57" i="4"/>
  <c r="K56" i="4"/>
  <c r="K55" i="40"/>
  <c r="K58" i="4"/>
  <c r="K58" i="40" s="1"/>
  <c r="J98" i="6"/>
  <c r="K178" i="40"/>
  <c r="J116" i="6"/>
  <c r="J107" i="6"/>
  <c r="J107" i="34" s="1"/>
  <c r="J102" i="6"/>
  <c r="K182" i="40"/>
  <c r="J111" i="6"/>
  <c r="J111" i="34" s="1"/>
  <c r="J120" i="6"/>
  <c r="K38" i="40"/>
  <c r="K47" i="4"/>
  <c r="K48" i="4"/>
  <c r="K48" i="40" s="1"/>
  <c r="K39" i="4"/>
  <c r="K40" i="4"/>
  <c r="K49" i="4"/>
  <c r="K49" i="40" s="1"/>
  <c r="K41" i="4"/>
  <c r="K41" i="40" s="1"/>
  <c r="K184" i="40"/>
  <c r="J104" i="6"/>
  <c r="J113" i="6"/>
  <c r="J113" i="34" s="1"/>
  <c r="J122" i="6"/>
  <c r="I339" i="34"/>
  <c r="I357" i="6"/>
  <c r="I344" i="34"/>
  <c r="I362" i="6"/>
  <c r="I343" i="34"/>
  <c r="I361" i="6"/>
  <c r="K180" i="40"/>
  <c r="J100" i="6"/>
  <c r="J118" i="6"/>
  <c r="J109" i="6"/>
  <c r="J109" i="34" s="1"/>
  <c r="J103" i="6"/>
  <c r="K183" i="40"/>
  <c r="J121" i="6"/>
  <c r="J112" i="6"/>
  <c r="J112" i="34" s="1"/>
  <c r="K94" i="40"/>
  <c r="K96" i="4"/>
  <c r="K177" i="40"/>
  <c r="K185" i="4" a="1"/>
  <c r="K185" i="4" s="1"/>
  <c r="J97" i="6"/>
  <c r="J115" i="6"/>
  <c r="J106" i="6"/>
  <c r="J106" i="34" s="1"/>
  <c r="K189" i="40"/>
  <c r="K191" i="4"/>
  <c r="I338" i="34"/>
  <c r="I356" i="6"/>
  <c r="I337" i="34"/>
  <c r="I355" i="6"/>
  <c r="I341" i="34"/>
  <c r="I359" i="6"/>
  <c r="K122" i="4"/>
  <c r="K121" i="40"/>
  <c r="K108" i="4"/>
  <c r="K107" i="40"/>
  <c r="I340" i="34"/>
  <c r="I358" i="6"/>
  <c r="I342" i="34"/>
  <c r="I360" i="6"/>
  <c r="J101" i="6"/>
  <c r="K181" i="40"/>
  <c r="J110" i="6"/>
  <c r="J110" i="34" s="1"/>
  <c r="J119" i="6"/>
  <c r="J125" i="6"/>
  <c r="J124" i="34"/>
  <c r="J99" i="6"/>
  <c r="K179" i="40"/>
  <c r="J108" i="6"/>
  <c r="J108" i="34" s="1"/>
  <c r="J117" i="6"/>
  <c r="K195" i="40"/>
  <c r="J73" i="57"/>
  <c r="J141" i="57"/>
  <c r="J140" i="57"/>
  <c r="J146" i="57"/>
  <c r="J144" i="57"/>
  <c r="J147" i="57"/>
  <c r="J143" i="57"/>
  <c r="J142" i="57"/>
  <c r="J187" i="57"/>
  <c r="J185" i="57"/>
  <c r="J186" i="57"/>
  <c r="J192" i="57"/>
  <c r="J188" i="57"/>
  <c r="J191" i="57"/>
  <c r="J189" i="57"/>
  <c r="J99" i="34" l="1"/>
  <c r="J204" i="6"/>
  <c r="J125" i="34"/>
  <c r="J127" i="6"/>
  <c r="J127" i="34" s="1"/>
  <c r="J101" i="34"/>
  <c r="J206" i="6"/>
  <c r="K122" i="40"/>
  <c r="K123" i="4"/>
  <c r="K185" i="40"/>
  <c r="K187" i="4"/>
  <c r="K187" i="40" s="1"/>
  <c r="J103" i="34"/>
  <c r="J208" i="6"/>
  <c r="K47" i="40"/>
  <c r="K50" i="4"/>
  <c r="K56" i="40"/>
  <c r="K59" i="4"/>
  <c r="J119" i="34"/>
  <c r="J296" i="6"/>
  <c r="I360" i="34"/>
  <c r="I369" i="6"/>
  <c r="I359" i="34"/>
  <c r="I368" i="6"/>
  <c r="I356" i="34"/>
  <c r="I365" i="6"/>
  <c r="I361" i="34"/>
  <c r="I370" i="6"/>
  <c r="I357" i="34"/>
  <c r="I366" i="6"/>
  <c r="J209" i="6"/>
  <c r="J104" i="34"/>
  <c r="K40" i="40"/>
  <c r="J102" i="34"/>
  <c r="J207" i="6"/>
  <c r="J203" i="6"/>
  <c r="J98" i="34"/>
  <c r="K57" i="40"/>
  <c r="J297" i="6"/>
  <c r="J120" i="34"/>
  <c r="K108" i="40"/>
  <c r="K109" i="4"/>
  <c r="J115" i="34"/>
  <c r="J292" i="6"/>
  <c r="K96" i="40"/>
  <c r="J298" i="6"/>
  <c r="J121" i="34"/>
  <c r="J295" i="6"/>
  <c r="J118" i="34"/>
  <c r="K39" i="40"/>
  <c r="K42" i="4"/>
  <c r="J117" i="34"/>
  <c r="J294" i="6"/>
  <c r="I358" i="34"/>
  <c r="I367" i="6"/>
  <c r="I355" i="34"/>
  <c r="I364" i="6"/>
  <c r="V191" i="4"/>
  <c r="K191" i="40"/>
  <c r="J92" i="6"/>
  <c r="J88" i="6"/>
  <c r="J90" i="6"/>
  <c r="J94" i="6"/>
  <c r="J95" i="6"/>
  <c r="J89" i="6"/>
  <c r="J93" i="6"/>
  <c r="J91" i="6"/>
  <c r="J97" i="34"/>
  <c r="J202" i="6"/>
  <c r="J205" i="6"/>
  <c r="J100" i="34"/>
  <c r="I362" i="34"/>
  <c r="I371" i="6"/>
  <c r="J299" i="6"/>
  <c r="J122" i="34"/>
  <c r="J293" i="6"/>
  <c r="J116" i="34"/>
  <c r="J95" i="34" l="1"/>
  <c r="J155" i="6"/>
  <c r="J294" i="34"/>
  <c r="K109" i="40"/>
  <c r="K112" i="4"/>
  <c r="J297" i="34"/>
  <c r="J91" i="34"/>
  <c r="J151" i="6"/>
  <c r="I370" i="34"/>
  <c r="I379" i="6"/>
  <c r="I379" i="34" s="1"/>
  <c r="J296" i="34"/>
  <c r="K50" i="40"/>
  <c r="K51" i="4"/>
  <c r="J299" i="34"/>
  <c r="J205" i="34"/>
  <c r="J214" i="6"/>
  <c r="J153" i="6"/>
  <c r="J93" i="34"/>
  <c r="J150" i="6"/>
  <c r="J90" i="34"/>
  <c r="I367" i="34"/>
  <c r="I376" i="6"/>
  <c r="I376" i="34" s="1"/>
  <c r="K42" i="40"/>
  <c r="K43" i="4"/>
  <c r="K45" i="4" s="1"/>
  <c r="J292" i="34"/>
  <c r="J209" i="34"/>
  <c r="J218" i="6"/>
  <c r="J215" i="6"/>
  <c r="J206" i="34"/>
  <c r="J213" i="6"/>
  <c r="J204" i="34"/>
  <c r="J293" i="34"/>
  <c r="J152" i="6"/>
  <c r="J92" i="34"/>
  <c r="I364" i="34"/>
  <c r="I373" i="6"/>
  <c r="I373" i="34" s="1"/>
  <c r="J212" i="6"/>
  <c r="J203" i="34"/>
  <c r="J154" i="6"/>
  <c r="J94" i="34"/>
  <c r="J295" i="34"/>
  <c r="J207" i="34"/>
  <c r="J216" i="6"/>
  <c r="I368" i="34"/>
  <c r="I377" i="6"/>
  <c r="I377" i="34" s="1"/>
  <c r="I371" i="34"/>
  <c r="I380" i="6"/>
  <c r="I380" i="34" s="1"/>
  <c r="J211" i="6"/>
  <c r="J202" i="34"/>
  <c r="J149" i="6"/>
  <c r="J89" i="34"/>
  <c r="J88" i="34"/>
  <c r="J148" i="6"/>
  <c r="J298" i="34"/>
  <c r="I366" i="34"/>
  <c r="I375" i="6"/>
  <c r="I375" i="34" s="1"/>
  <c r="I365" i="34"/>
  <c r="I374" i="6"/>
  <c r="I374" i="34" s="1"/>
  <c r="I369" i="34"/>
  <c r="I378" i="6"/>
  <c r="I378" i="34" s="1"/>
  <c r="K59" i="40"/>
  <c r="K60" i="4"/>
  <c r="J217" i="6"/>
  <c r="J208" i="34"/>
  <c r="K123" i="40"/>
  <c r="K126" i="4"/>
  <c r="J154" i="34" l="1"/>
  <c r="J163" i="6"/>
  <c r="K64" i="4"/>
  <c r="K64" i="40" s="1"/>
  <c r="K60" i="40"/>
  <c r="K61" i="4"/>
  <c r="K61" i="40" s="1"/>
  <c r="K62" i="4"/>
  <c r="K62" i="40" s="1"/>
  <c r="J233" i="6"/>
  <c r="J215" i="34"/>
  <c r="K45" i="40"/>
  <c r="J211" i="34"/>
  <c r="J229" i="6"/>
  <c r="J150" i="34"/>
  <c r="J159" i="6"/>
  <c r="K126" i="40"/>
  <c r="K127" i="4"/>
  <c r="J149" i="34"/>
  <c r="J158" i="6"/>
  <c r="J212" i="34"/>
  <c r="J230" i="6"/>
  <c r="J218" i="34"/>
  <c r="J236" i="6"/>
  <c r="K43" i="40"/>
  <c r="K44" i="4"/>
  <c r="J162" i="6"/>
  <c r="J153" i="34"/>
  <c r="J160" i="6"/>
  <c r="J151" i="34"/>
  <c r="K112" i="40"/>
  <c r="K113" i="4"/>
  <c r="J155" i="34"/>
  <c r="J164" i="6"/>
  <c r="J235" i="6"/>
  <c r="J217" i="34"/>
  <c r="J148" i="34"/>
  <c r="J157" i="6"/>
  <c r="J216" i="34"/>
  <c r="J234" i="6"/>
  <c r="J161" i="6"/>
  <c r="J152" i="34"/>
  <c r="J213" i="34"/>
  <c r="J231" i="6"/>
  <c r="J214" i="34"/>
  <c r="J232" i="6"/>
  <c r="K52" i="4"/>
  <c r="K51" i="40"/>
  <c r="J232" i="34" l="1"/>
  <c r="J157" i="34"/>
  <c r="J166" i="6"/>
  <c r="J164" i="34"/>
  <c r="J173" i="6"/>
  <c r="K67" i="4"/>
  <c r="K44" i="40"/>
  <c r="J230" i="34"/>
  <c r="K127" i="40"/>
  <c r="L125" i="4"/>
  <c r="K128" i="4"/>
  <c r="J229" i="34"/>
  <c r="J161" i="34"/>
  <c r="J170" i="6"/>
  <c r="J160" i="34"/>
  <c r="J169" i="6"/>
  <c r="J233" i="34"/>
  <c r="J234" i="34"/>
  <c r="J163" i="34"/>
  <c r="J172" i="6"/>
  <c r="J231" i="34"/>
  <c r="K113" i="40"/>
  <c r="K114" i="4"/>
  <c r="L111" i="4"/>
  <c r="J236" i="34"/>
  <c r="J158" i="34"/>
  <c r="J167" i="6"/>
  <c r="J159" i="34"/>
  <c r="J168" i="6"/>
  <c r="K52" i="40"/>
  <c r="K70" i="4"/>
  <c r="J235" i="34"/>
  <c r="J162" i="34"/>
  <c r="J171" i="6"/>
  <c r="K68" i="4"/>
  <c r="J123" i="57"/>
  <c r="J125" i="57"/>
  <c r="J127" i="57"/>
  <c r="J124" i="57"/>
  <c r="J126" i="57"/>
  <c r="J130" i="57"/>
  <c r="J129" i="57"/>
  <c r="J116" i="57"/>
  <c r="J119" i="57"/>
  <c r="J115" i="57"/>
  <c r="J117" i="57"/>
  <c r="J114" i="57"/>
  <c r="J113" i="57"/>
  <c r="J120" i="57"/>
  <c r="J168" i="34" l="1"/>
  <c r="J177" i="6"/>
  <c r="J166" i="34"/>
  <c r="J175" i="6"/>
  <c r="K68" i="40"/>
  <c r="K76" i="4"/>
  <c r="J178" i="6"/>
  <c r="J169" i="34"/>
  <c r="L206" i="4"/>
  <c r="K67" i="40"/>
  <c r="K75" i="4"/>
  <c r="J171" i="34"/>
  <c r="J180" i="6"/>
  <c r="K98" i="4"/>
  <c r="K70" i="40"/>
  <c r="J176" i="6"/>
  <c r="J167" i="34"/>
  <c r="L111" i="40"/>
  <c r="J173" i="34"/>
  <c r="J182" i="6"/>
  <c r="L125" i="40"/>
  <c r="K114" i="40"/>
  <c r="K117" i="4"/>
  <c r="K117" i="40" s="1"/>
  <c r="K115" i="4"/>
  <c r="J181" i="6"/>
  <c r="J172" i="34"/>
  <c r="J170" i="34"/>
  <c r="J179" i="6"/>
  <c r="K129" i="4"/>
  <c r="K129" i="40" s="1"/>
  <c r="K128" i="40"/>
  <c r="J200" i="57"/>
  <c r="K75" i="57"/>
  <c r="J179" i="34" l="1"/>
  <c r="J188" i="6"/>
  <c r="J176" i="34"/>
  <c r="J185" i="6"/>
  <c r="J175" i="34"/>
  <c r="J184" i="6"/>
  <c r="J181" i="34"/>
  <c r="J190" i="6"/>
  <c r="K210" i="4"/>
  <c r="K75" i="40"/>
  <c r="J178" i="34"/>
  <c r="J187" i="6"/>
  <c r="K115" i="40"/>
  <c r="K119" i="4"/>
  <c r="K119" i="40" s="1"/>
  <c r="K98" i="40"/>
  <c r="K99" i="4"/>
  <c r="K76" i="40"/>
  <c r="K83" i="4"/>
  <c r="K84" i="4"/>
  <c r="K82" i="4"/>
  <c r="K85" i="4"/>
  <c r="J177" i="34"/>
  <c r="J186" i="6"/>
  <c r="J182" i="34"/>
  <c r="J191" i="6"/>
  <c r="J180" i="34"/>
  <c r="J189" i="6"/>
  <c r="K82" i="40" l="1"/>
  <c r="K87" i="4"/>
  <c r="K99" i="40"/>
  <c r="K102" i="4"/>
  <c r="J187" i="34"/>
  <c r="J196" i="6"/>
  <c r="J199" i="6"/>
  <c r="J190" i="34"/>
  <c r="J185" i="34"/>
  <c r="J194" i="6"/>
  <c r="J198" i="6"/>
  <c r="J189" i="34"/>
  <c r="J186" i="34"/>
  <c r="J195" i="6"/>
  <c r="K84" i="40"/>
  <c r="K83" i="40"/>
  <c r="J184" i="34"/>
  <c r="J193" i="6"/>
  <c r="J197" i="6"/>
  <c r="J188" i="34"/>
  <c r="J191" i="34"/>
  <c r="J200" i="6"/>
  <c r="K85" i="40"/>
  <c r="K211" i="4"/>
  <c r="K211" i="40" s="1"/>
  <c r="K210" i="40"/>
  <c r="J200" i="34" l="1"/>
  <c r="J245" i="6"/>
  <c r="J197" i="34"/>
  <c r="J242" i="6"/>
  <c r="J196" i="34"/>
  <c r="J241" i="6"/>
  <c r="J193" i="34"/>
  <c r="J238" i="6"/>
  <c r="J195" i="34"/>
  <c r="J240" i="6"/>
  <c r="J198" i="34"/>
  <c r="J243" i="6"/>
  <c r="K212" i="4"/>
  <c r="K212" i="40" s="1"/>
  <c r="K87" i="40"/>
  <c r="K88" i="4"/>
  <c r="J194" i="34"/>
  <c r="J239" i="6"/>
  <c r="J199" i="34"/>
  <c r="J244" i="6"/>
  <c r="K102" i="40"/>
  <c r="K103" i="4"/>
  <c r="J243" i="34" l="1"/>
  <c r="J252" i="6"/>
  <c r="J238" i="34"/>
  <c r="J247" i="6"/>
  <c r="J242" i="34"/>
  <c r="J251" i="6"/>
  <c r="K88" i="40"/>
  <c r="K90" i="4"/>
  <c r="K90" i="40" s="1"/>
  <c r="J241" i="34"/>
  <c r="J250" i="6"/>
  <c r="J245" i="34"/>
  <c r="J254" i="6"/>
  <c r="J244" i="34"/>
  <c r="J253" i="6"/>
  <c r="J240" i="34"/>
  <c r="J249" i="6"/>
  <c r="K104" i="4"/>
  <c r="L101" i="4"/>
  <c r="K103" i="40"/>
  <c r="J239" i="34"/>
  <c r="J248" i="6"/>
  <c r="J257" i="6" l="1"/>
  <c r="J248" i="34"/>
  <c r="K116" i="4"/>
  <c r="K116" i="40" s="1"/>
  <c r="K105" i="4"/>
  <c r="K104" i="40"/>
  <c r="J247" i="34"/>
  <c r="J256" i="6"/>
  <c r="L101" i="40"/>
  <c r="J253" i="34"/>
  <c r="J262" i="6"/>
  <c r="J259" i="6"/>
  <c r="J250" i="34"/>
  <c r="J260" i="6"/>
  <c r="J251" i="34"/>
  <c r="J261" i="6"/>
  <c r="J252" i="34"/>
  <c r="J258" i="6"/>
  <c r="J249" i="34"/>
  <c r="J263" i="6"/>
  <c r="J254" i="34"/>
  <c r="K91" i="4"/>
  <c r="J62" i="57"/>
  <c r="J261" i="34" l="1"/>
  <c r="J270" i="6"/>
  <c r="J268" i="6"/>
  <c r="J259" i="34"/>
  <c r="K105" i="40"/>
  <c r="K118" i="4"/>
  <c r="K118" i="40" s="1"/>
  <c r="J272" i="6"/>
  <c r="J263" i="34"/>
  <c r="J265" i="6"/>
  <c r="J256" i="34"/>
  <c r="J262" i="34"/>
  <c r="J271" i="6"/>
  <c r="K92" i="4"/>
  <c r="K91" i="40"/>
  <c r="J269" i="6"/>
  <c r="J260" i="34"/>
  <c r="J258" i="34"/>
  <c r="J267" i="6"/>
  <c r="J257" i="34"/>
  <c r="J266" i="6"/>
  <c r="J267" i="34" l="1"/>
  <c r="J276" i="6"/>
  <c r="J266" i="34"/>
  <c r="J275" i="6"/>
  <c r="J271" i="34"/>
  <c r="J280" i="6"/>
  <c r="J269" i="34"/>
  <c r="J278" i="6"/>
  <c r="J272" i="34"/>
  <c r="J281" i="6"/>
  <c r="J268" i="34"/>
  <c r="J277" i="6"/>
  <c r="J270" i="34"/>
  <c r="J279" i="6"/>
  <c r="K131" i="4"/>
  <c r="K92" i="40"/>
  <c r="J265" i="34"/>
  <c r="J274" i="6"/>
  <c r="J277" i="34" l="1"/>
  <c r="J286" i="6"/>
  <c r="J287" i="6"/>
  <c r="J278" i="34"/>
  <c r="J275" i="34"/>
  <c r="J284" i="6"/>
  <c r="K131" i="40"/>
  <c r="K161" i="4"/>
  <c r="J274" i="34"/>
  <c r="J283" i="6"/>
  <c r="J285" i="6"/>
  <c r="J276" i="34"/>
  <c r="J279" i="34"/>
  <c r="J288" i="6"/>
  <c r="J290" i="6"/>
  <c r="J281" i="34"/>
  <c r="J280" i="34"/>
  <c r="J289" i="6"/>
  <c r="J68" i="57"/>
  <c r="J288" i="34" l="1"/>
  <c r="J306" i="6"/>
  <c r="J287" i="34"/>
  <c r="J305" i="6"/>
  <c r="J285" i="34"/>
  <c r="J303" i="6"/>
  <c r="K221" i="4"/>
  <c r="K221" i="40" s="1"/>
  <c r="K162" i="4"/>
  <c r="K162" i="40" s="1"/>
  <c r="K161" i="40"/>
  <c r="J286" i="34"/>
  <c r="J304" i="6"/>
  <c r="J289" i="34"/>
  <c r="J307" i="6"/>
  <c r="J283" i="34"/>
  <c r="J301" i="6"/>
  <c r="J290" i="34"/>
  <c r="J308" i="6"/>
  <c r="J284" i="34"/>
  <c r="J302" i="6"/>
  <c r="L164" i="4" l="1"/>
  <c r="L164" i="40" s="1"/>
  <c r="J304" i="34"/>
  <c r="J313" i="6"/>
  <c r="J305" i="34"/>
  <c r="J314" i="6"/>
  <c r="J302" i="34"/>
  <c r="J311" i="6"/>
  <c r="J301" i="34"/>
  <c r="J310" i="6"/>
  <c r="J308" i="34"/>
  <c r="J317" i="6"/>
  <c r="J307" i="34"/>
  <c r="J316" i="6"/>
  <c r="J306" i="34"/>
  <c r="J315" i="6"/>
  <c r="J303" i="34"/>
  <c r="J312" i="6"/>
  <c r="L166" i="4" l="1"/>
  <c r="L166" i="40" s="1"/>
  <c r="J310" i="34"/>
  <c r="J319" i="6"/>
  <c r="J323" i="6"/>
  <c r="J314" i="34"/>
  <c r="J325" i="6"/>
  <c r="J316" i="34"/>
  <c r="J312" i="34"/>
  <c r="J321" i="6"/>
  <c r="J317" i="34"/>
  <c r="J326" i="6"/>
  <c r="J313" i="34"/>
  <c r="J322" i="6"/>
  <c r="J324" i="6"/>
  <c r="J315" i="34"/>
  <c r="J311" i="34"/>
  <c r="J320" i="6"/>
  <c r="L168" i="4" l="1"/>
  <c r="L168" i="40" s="1"/>
  <c r="L167" i="4"/>
  <c r="J320" i="34"/>
  <c r="J329" i="6"/>
  <c r="J322" i="34"/>
  <c r="J331" i="6"/>
  <c r="J321" i="34"/>
  <c r="J330" i="6"/>
  <c r="J323" i="34"/>
  <c r="J332" i="6"/>
  <c r="J326" i="34"/>
  <c r="J335" i="6"/>
  <c r="J319" i="34"/>
  <c r="J328" i="6"/>
  <c r="L167" i="40"/>
  <c r="L170" i="4"/>
  <c r="L170" i="40" s="1"/>
  <c r="L169" i="4"/>
  <c r="J324" i="34"/>
  <c r="J333" i="6"/>
  <c r="J325" i="34"/>
  <c r="J334" i="6"/>
  <c r="K150" i="57"/>
  <c r="K152" i="57"/>
  <c r="K154" i="57"/>
  <c r="K153" i="57"/>
  <c r="K151" i="57"/>
  <c r="K81" i="57"/>
  <c r="J337" i="6" l="1"/>
  <c r="J328" i="34"/>
  <c r="J341" i="6"/>
  <c r="J332" i="34"/>
  <c r="J340" i="6"/>
  <c r="J331" i="34"/>
  <c r="L169" i="40"/>
  <c r="L202" i="4"/>
  <c r="L172" i="4"/>
  <c r="J343" i="6"/>
  <c r="J334" i="34"/>
  <c r="J344" i="6"/>
  <c r="J335" i="34"/>
  <c r="J338" i="6"/>
  <c r="J329" i="34"/>
  <c r="J339" i="6"/>
  <c r="J330" i="34"/>
  <c r="J333" i="34"/>
  <c r="J342" i="6"/>
  <c r="K83" i="57"/>
  <c r="K70" i="57"/>
  <c r="K102" i="57"/>
  <c r="K96" i="57"/>
  <c r="K98" i="57"/>
  <c r="K71" i="57"/>
  <c r="K100" i="57"/>
  <c r="K99" i="57"/>
  <c r="K97" i="57"/>
  <c r="K103" i="57"/>
  <c r="K78" i="57" l="1"/>
  <c r="W172" i="4"/>
  <c r="K124" i="6"/>
  <c r="L38" i="4"/>
  <c r="L55" i="4"/>
  <c r="L121" i="4"/>
  <c r="L189" i="4"/>
  <c r="L181" i="4"/>
  <c r="L107" i="4"/>
  <c r="L182" i="4"/>
  <c r="L199" i="4"/>
  <c r="L180" i="4"/>
  <c r="L184" i="4"/>
  <c r="L179" i="4"/>
  <c r="L172" i="40"/>
  <c r="L178" i="4"/>
  <c r="L183" i="4"/>
  <c r="L177" i="4"/>
  <c r="L94" i="4"/>
  <c r="L201" i="4"/>
  <c r="L89" i="4"/>
  <c r="L89" i="40" s="1"/>
  <c r="L174" i="4"/>
  <c r="L175" i="4"/>
  <c r="L175" i="40" s="1"/>
  <c r="J341" i="34"/>
  <c r="J359" i="6"/>
  <c r="J344" i="34"/>
  <c r="J362" i="6"/>
  <c r="J338" i="34"/>
  <c r="J356" i="6"/>
  <c r="J340" i="34"/>
  <c r="J358" i="6"/>
  <c r="J342" i="34"/>
  <c r="J360" i="6"/>
  <c r="J339" i="34"/>
  <c r="J357" i="6"/>
  <c r="J343" i="34"/>
  <c r="J361" i="6"/>
  <c r="J337" i="34"/>
  <c r="J355" i="6"/>
  <c r="K136" i="57"/>
  <c r="K82" i="57"/>
  <c r="K134" i="57"/>
  <c r="K137" i="57"/>
  <c r="K135" i="57"/>
  <c r="K133" i="57"/>
  <c r="K80" i="57"/>
  <c r="K106" i="57"/>
  <c r="K107" i="57"/>
  <c r="K109" i="57"/>
  <c r="K110" i="57"/>
  <c r="K108" i="57"/>
  <c r="K176" i="57"/>
  <c r="K178" i="57"/>
  <c r="K182" i="57"/>
  <c r="K179" i="57"/>
  <c r="K177" i="57"/>
  <c r="K175" i="57"/>
  <c r="K181" i="57"/>
  <c r="K79" i="57"/>
  <c r="L178" i="40" l="1"/>
  <c r="K98" i="6"/>
  <c r="K107" i="6"/>
  <c r="K107" i="34" s="1"/>
  <c r="K116" i="6"/>
  <c r="L174" i="40"/>
  <c r="L200" i="4"/>
  <c r="L94" i="40"/>
  <c r="L96" i="4"/>
  <c r="L195" i="40"/>
  <c r="L180" i="40"/>
  <c r="K100" i="6"/>
  <c r="K109" i="6"/>
  <c r="K109" i="34" s="1"/>
  <c r="K118" i="6"/>
  <c r="K101" i="6"/>
  <c r="L181" i="40"/>
  <c r="K110" i="6"/>
  <c r="K110" i="34" s="1"/>
  <c r="K119" i="6"/>
  <c r="L47" i="4"/>
  <c r="L38" i="40"/>
  <c r="L48" i="4"/>
  <c r="L48" i="40" s="1"/>
  <c r="L39" i="4"/>
  <c r="L40" i="4"/>
  <c r="L49" i="4"/>
  <c r="L49" i="40" s="1"/>
  <c r="L41" i="4"/>
  <c r="L41" i="40" s="1"/>
  <c r="L184" i="40"/>
  <c r="K104" i="6"/>
  <c r="K113" i="6"/>
  <c r="K113" i="34" s="1"/>
  <c r="K122" i="6"/>
  <c r="L108" i="4"/>
  <c r="L107" i="40"/>
  <c r="J361" i="34"/>
  <c r="J370" i="6"/>
  <c r="J360" i="34"/>
  <c r="J369" i="6"/>
  <c r="J356" i="34"/>
  <c r="J365" i="6"/>
  <c r="J359" i="34"/>
  <c r="J368" i="6"/>
  <c r="L177" i="40"/>
  <c r="K97" i="6"/>
  <c r="L185" i="4" a="1"/>
  <c r="L185" i="4" s="1"/>
  <c r="K115" i="6"/>
  <c r="K106" i="6"/>
  <c r="K106" i="34" s="1"/>
  <c r="L189" i="40"/>
  <c r="L191" i="4"/>
  <c r="K125" i="6"/>
  <c r="K124" i="34"/>
  <c r="J355" i="34"/>
  <c r="J364" i="6"/>
  <c r="K103" i="6"/>
  <c r="L183" i="40"/>
  <c r="K112" i="6"/>
  <c r="K112" i="34" s="1"/>
  <c r="K121" i="6"/>
  <c r="L179" i="40"/>
  <c r="K99" i="6"/>
  <c r="K117" i="6"/>
  <c r="K108" i="6"/>
  <c r="K108" i="34" s="1"/>
  <c r="L182" i="40"/>
  <c r="K102" i="6"/>
  <c r="K111" i="6"/>
  <c r="K111" i="34" s="1"/>
  <c r="K120" i="6"/>
  <c r="L121" i="40"/>
  <c r="L122" i="4"/>
  <c r="J357" i="34"/>
  <c r="J366" i="6"/>
  <c r="J358" i="34"/>
  <c r="J367" i="6"/>
  <c r="J362" i="34"/>
  <c r="J371" i="6"/>
  <c r="L56" i="4"/>
  <c r="L55" i="40"/>
  <c r="L57" i="4"/>
  <c r="L58" i="4"/>
  <c r="L58" i="40" s="1"/>
  <c r="K142" i="57"/>
  <c r="K140" i="57"/>
  <c r="K146" i="57"/>
  <c r="K144" i="57"/>
  <c r="K143" i="57"/>
  <c r="K141" i="57"/>
  <c r="K147" i="57"/>
  <c r="K189" i="57"/>
  <c r="K187" i="57"/>
  <c r="K185" i="57"/>
  <c r="K191" i="57"/>
  <c r="K188" i="57"/>
  <c r="K186" i="57"/>
  <c r="K192" i="57"/>
  <c r="K73" i="57"/>
  <c r="J371" i="34" l="1"/>
  <c r="J380" i="6"/>
  <c r="J380" i="34" s="1"/>
  <c r="K100" i="34"/>
  <c r="K205" i="6"/>
  <c r="K116" i="34"/>
  <c r="K293" i="6"/>
  <c r="J366" i="34"/>
  <c r="J375" i="6"/>
  <c r="J375" i="34" s="1"/>
  <c r="L57" i="40"/>
  <c r="K117" i="34"/>
  <c r="K294" i="6"/>
  <c r="J367" i="34"/>
  <c r="J376" i="6"/>
  <c r="J376" i="34" s="1"/>
  <c r="L122" i="40"/>
  <c r="L123" i="4"/>
  <c r="K207" i="6"/>
  <c r="K102" i="34"/>
  <c r="K99" i="34"/>
  <c r="K204" i="6"/>
  <c r="L56" i="40"/>
  <c r="L59" i="4"/>
  <c r="K208" i="6"/>
  <c r="K103" i="34"/>
  <c r="K125" i="34"/>
  <c r="K127" i="6"/>
  <c r="K127" i="34" s="1"/>
  <c r="K115" i="34"/>
  <c r="K292" i="6"/>
  <c r="J368" i="34"/>
  <c r="J377" i="6"/>
  <c r="J377" i="34" s="1"/>
  <c r="J369" i="34"/>
  <c r="J378" i="6"/>
  <c r="J378" i="34" s="1"/>
  <c r="K104" i="34"/>
  <c r="K209" i="6"/>
  <c r="L40" i="40"/>
  <c r="L47" i="40"/>
  <c r="L50" i="4"/>
  <c r="K206" i="6"/>
  <c r="K101" i="34"/>
  <c r="K121" i="34"/>
  <c r="K298" i="6"/>
  <c r="J364" i="34"/>
  <c r="J373" i="6"/>
  <c r="J373" i="34" s="1"/>
  <c r="W191" i="4"/>
  <c r="L191" i="40"/>
  <c r="K88" i="6"/>
  <c r="K95" i="6"/>
  <c r="K90" i="6"/>
  <c r="K89" i="6"/>
  <c r="K92" i="6"/>
  <c r="K93" i="6"/>
  <c r="K94" i="6"/>
  <c r="K91" i="6"/>
  <c r="L185" i="40"/>
  <c r="L187" i="4"/>
  <c r="L187" i="40" s="1"/>
  <c r="L108" i="40"/>
  <c r="L109" i="4"/>
  <c r="L39" i="40"/>
  <c r="L42" i="4"/>
  <c r="K296" i="6"/>
  <c r="K119" i="34"/>
  <c r="K118" i="34"/>
  <c r="K295" i="6"/>
  <c r="K98" i="34"/>
  <c r="K203" i="6"/>
  <c r="K120" i="34"/>
  <c r="K297" i="6"/>
  <c r="K202" i="6"/>
  <c r="K97" i="34"/>
  <c r="J365" i="34"/>
  <c r="J374" i="6"/>
  <c r="J374" i="34" s="1"/>
  <c r="J370" i="34"/>
  <c r="J379" i="6"/>
  <c r="J379" i="34" s="1"/>
  <c r="K299" i="6"/>
  <c r="K122" i="34"/>
  <c r="L96" i="40"/>
  <c r="K203" i="34" l="1"/>
  <c r="K212" i="6"/>
  <c r="L112" i="4"/>
  <c r="L109" i="40"/>
  <c r="K297" i="34"/>
  <c r="K295" i="34"/>
  <c r="K153" i="6"/>
  <c r="K93" i="34"/>
  <c r="K95" i="34"/>
  <c r="K155" i="6"/>
  <c r="K298" i="34"/>
  <c r="L50" i="40"/>
  <c r="L51" i="4"/>
  <c r="K218" i="6"/>
  <c r="K209" i="34"/>
  <c r="K292" i="34"/>
  <c r="K213" i="6"/>
  <c r="K204" i="34"/>
  <c r="L126" i="4"/>
  <c r="L123" i="40"/>
  <c r="K88" i="34"/>
  <c r="K148" i="6"/>
  <c r="K208" i="34"/>
  <c r="K217" i="6"/>
  <c r="K293" i="34"/>
  <c r="K296" i="34"/>
  <c r="K89" i="34"/>
  <c r="K149" i="6"/>
  <c r="L59" i="40"/>
  <c r="L60" i="4"/>
  <c r="K294" i="34"/>
  <c r="K92" i="34"/>
  <c r="K152" i="6"/>
  <c r="K299" i="34"/>
  <c r="K211" i="6"/>
  <c r="K202" i="34"/>
  <c r="K151" i="6"/>
  <c r="K91" i="34"/>
  <c r="L42" i="40"/>
  <c r="L43" i="4"/>
  <c r="K154" i="6"/>
  <c r="K94" i="34"/>
  <c r="K90" i="34"/>
  <c r="K150" i="6"/>
  <c r="K206" i="34"/>
  <c r="K215" i="6"/>
  <c r="K216" i="6"/>
  <c r="K207" i="34"/>
  <c r="K214" i="6"/>
  <c r="K205" i="34"/>
  <c r="L61" i="4" l="1"/>
  <c r="L61" i="40" s="1"/>
  <c r="L60" i="40"/>
  <c r="L64" i="4"/>
  <c r="L64" i="40" s="1"/>
  <c r="K217" i="34"/>
  <c r="K235" i="6"/>
  <c r="K212" i="34"/>
  <c r="K230" i="6"/>
  <c r="L44" i="4"/>
  <c r="L43" i="40"/>
  <c r="K161" i="6"/>
  <c r="K152" i="34"/>
  <c r="K211" i="34"/>
  <c r="K229" i="6"/>
  <c r="K213" i="34"/>
  <c r="K231" i="6"/>
  <c r="K236" i="6"/>
  <c r="K218" i="34"/>
  <c r="K162" i="6"/>
  <c r="K153" i="34"/>
  <c r="L52" i="4"/>
  <c r="L51" i="40"/>
  <c r="K164" i="6"/>
  <c r="K155" i="34"/>
  <c r="L62" i="4"/>
  <c r="L62" i="40" s="1"/>
  <c r="K216" i="34"/>
  <c r="K234" i="6"/>
  <c r="K150" i="34"/>
  <c r="K159" i="6"/>
  <c r="K232" i="6"/>
  <c r="K214" i="34"/>
  <c r="K233" i="6"/>
  <c r="K215" i="34"/>
  <c r="K149" i="34"/>
  <c r="K158" i="6"/>
  <c r="K157" i="6"/>
  <c r="K148" i="34"/>
  <c r="K154" i="34"/>
  <c r="K163" i="6"/>
  <c r="K151" i="34"/>
  <c r="K160" i="6"/>
  <c r="L126" i="40"/>
  <c r="L127" i="4"/>
  <c r="L112" i="40"/>
  <c r="L113" i="4"/>
  <c r="L45" i="4"/>
  <c r="L52" i="40" l="1"/>
  <c r="L70" i="4"/>
  <c r="K236" i="34"/>
  <c r="L44" i="40"/>
  <c r="L67" i="4"/>
  <c r="L113" i="40"/>
  <c r="L114" i="4"/>
  <c r="M111" i="4"/>
  <c r="K157" i="34"/>
  <c r="K166" i="6"/>
  <c r="K233" i="34"/>
  <c r="K231" i="34"/>
  <c r="K230" i="34"/>
  <c r="K160" i="34"/>
  <c r="K169" i="6"/>
  <c r="K159" i="34"/>
  <c r="K168" i="6"/>
  <c r="L127" i="40"/>
  <c r="L128" i="4"/>
  <c r="M125" i="4"/>
  <c r="K163" i="34"/>
  <c r="K172" i="6"/>
  <c r="K158" i="34"/>
  <c r="K167" i="6"/>
  <c r="K234" i="34"/>
  <c r="K164" i="34"/>
  <c r="K173" i="6"/>
  <c r="K162" i="34"/>
  <c r="K171" i="6"/>
  <c r="K161" i="34"/>
  <c r="K170" i="6"/>
  <c r="L45" i="40"/>
  <c r="L68" i="4"/>
  <c r="K232" i="34"/>
  <c r="K229" i="34"/>
  <c r="K235" i="34"/>
  <c r="K127" i="57"/>
  <c r="K125" i="57"/>
  <c r="K129" i="57"/>
  <c r="K123" i="57"/>
  <c r="K126" i="57"/>
  <c r="K124" i="57"/>
  <c r="K130" i="57"/>
  <c r="K120" i="57"/>
  <c r="K116" i="57"/>
  <c r="K114" i="57"/>
  <c r="K117" i="57"/>
  <c r="K115" i="57"/>
  <c r="K113" i="57"/>
  <c r="K119" i="57"/>
  <c r="K182" i="6" l="1"/>
  <c r="K173" i="34"/>
  <c r="K167" i="34"/>
  <c r="K176" i="6"/>
  <c r="M125" i="40"/>
  <c r="L117" i="4"/>
  <c r="L117" i="40" s="1"/>
  <c r="L114" i="40"/>
  <c r="L115" i="4"/>
  <c r="K178" i="6"/>
  <c r="K169" i="34"/>
  <c r="K175" i="6"/>
  <c r="K166" i="34"/>
  <c r="K179" i="6"/>
  <c r="K170" i="34"/>
  <c r="L128" i="40"/>
  <c r="L129" i="4"/>
  <c r="L129" i="40" s="1"/>
  <c r="L76" i="4"/>
  <c r="L68" i="40"/>
  <c r="K181" i="6"/>
  <c r="K172" i="34"/>
  <c r="L67" i="40"/>
  <c r="M206" i="4"/>
  <c r="L75" i="4"/>
  <c r="L98" i="4"/>
  <c r="L70" i="40"/>
  <c r="K180" i="6"/>
  <c r="K171" i="34"/>
  <c r="K177" i="6"/>
  <c r="K168" i="34"/>
  <c r="M111" i="40"/>
  <c r="L75" i="57"/>
  <c r="K200" i="57"/>
  <c r="L98" i="40" l="1"/>
  <c r="L99" i="4"/>
  <c r="L210" i="4"/>
  <c r="L75" i="40"/>
  <c r="K181" i="34"/>
  <c r="K190" i="6"/>
  <c r="K175" i="34"/>
  <c r="K184" i="6"/>
  <c r="K176" i="34"/>
  <c r="K185" i="6"/>
  <c r="K180" i="34"/>
  <c r="K189" i="6"/>
  <c r="L76" i="40"/>
  <c r="L82" i="4"/>
  <c r="L84" i="4"/>
  <c r="L85" i="4"/>
  <c r="L83" i="4"/>
  <c r="K179" i="34"/>
  <c r="K188" i="6"/>
  <c r="K178" i="34"/>
  <c r="K187" i="6"/>
  <c r="K177" i="34"/>
  <c r="K186" i="6"/>
  <c r="L119" i="4"/>
  <c r="L119" i="40" s="1"/>
  <c r="L115" i="40"/>
  <c r="K182" i="34"/>
  <c r="K191" i="6"/>
  <c r="K191" i="34" l="1"/>
  <c r="K200" i="6"/>
  <c r="K188" i="34"/>
  <c r="K197" i="6"/>
  <c r="L84" i="40"/>
  <c r="L211" i="4"/>
  <c r="L211" i="40" s="1"/>
  <c r="L210" i="40"/>
  <c r="K195" i="6"/>
  <c r="K186" i="34"/>
  <c r="L82" i="40"/>
  <c r="L87" i="4"/>
  <c r="K185" i="34"/>
  <c r="K194" i="6"/>
  <c r="K199" i="6"/>
  <c r="K190" i="34"/>
  <c r="L99" i="40"/>
  <c r="L102" i="4"/>
  <c r="K196" i="6"/>
  <c r="K187" i="34"/>
  <c r="L83" i="40"/>
  <c r="L85" i="40"/>
  <c r="K198" i="6"/>
  <c r="K189" i="34"/>
  <c r="K193" i="6"/>
  <c r="K184" i="34"/>
  <c r="L102" i="40" l="1"/>
  <c r="L103" i="4"/>
  <c r="L212" i="4"/>
  <c r="L212" i="40" s="1"/>
  <c r="L87" i="40"/>
  <c r="L88" i="4"/>
  <c r="K194" i="34"/>
  <c r="K239" i="6"/>
  <c r="K195" i="34"/>
  <c r="K240" i="6"/>
  <c r="K200" i="34"/>
  <c r="K245" i="6"/>
  <c r="K198" i="34"/>
  <c r="K243" i="6"/>
  <c r="K197" i="34"/>
  <c r="K242" i="6"/>
  <c r="K193" i="34"/>
  <c r="K238" i="6"/>
  <c r="K196" i="34"/>
  <c r="K241" i="6"/>
  <c r="K199" i="34"/>
  <c r="K244" i="6"/>
  <c r="K243" i="34" l="1"/>
  <c r="K252" i="6"/>
  <c r="K242" i="34"/>
  <c r="K251" i="6"/>
  <c r="K239" i="34"/>
  <c r="K248" i="6"/>
  <c r="K245" i="34"/>
  <c r="K254" i="6"/>
  <c r="L103" i="40"/>
  <c r="L104" i="4"/>
  <c r="M101" i="4"/>
  <c r="K241" i="34"/>
  <c r="K250" i="6"/>
  <c r="K244" i="34"/>
  <c r="K253" i="6"/>
  <c r="K238" i="34"/>
  <c r="K247" i="6"/>
  <c r="K240" i="34"/>
  <c r="K249" i="6"/>
  <c r="L90" i="4"/>
  <c r="L90" i="40" s="1"/>
  <c r="L88" i="40"/>
  <c r="L91" i="4" l="1"/>
  <c r="K254" i="34"/>
  <c r="K263" i="6"/>
  <c r="K251" i="34"/>
  <c r="K260" i="6"/>
  <c r="K258" i="6"/>
  <c r="K249" i="34"/>
  <c r="K262" i="6"/>
  <c r="K253" i="34"/>
  <c r="M101" i="40"/>
  <c r="L116" i="4"/>
  <c r="L116" i="40" s="1"/>
  <c r="L105" i="4"/>
  <c r="L104" i="40"/>
  <c r="K248" i="34"/>
  <c r="K257" i="6"/>
  <c r="K261" i="6"/>
  <c r="K252" i="34"/>
  <c r="L91" i="40"/>
  <c r="L92" i="4"/>
  <c r="K247" i="34"/>
  <c r="K256" i="6"/>
  <c r="K259" i="6"/>
  <c r="K250" i="34"/>
  <c r="K62" i="57"/>
  <c r="K270" i="6" l="1"/>
  <c r="K261" i="34"/>
  <c r="L105" i="40"/>
  <c r="L118" i="4"/>
  <c r="L118" i="40" s="1"/>
  <c r="K260" i="34"/>
  <c r="K269" i="6"/>
  <c r="K257" i="34"/>
  <c r="K266" i="6"/>
  <c r="K271" i="6"/>
  <c r="K262" i="34"/>
  <c r="K268" i="6"/>
  <c r="K259" i="34"/>
  <c r="K272" i="6"/>
  <c r="K263" i="34"/>
  <c r="L92" i="40"/>
  <c r="L131" i="4"/>
  <c r="K265" i="6"/>
  <c r="K256" i="34"/>
  <c r="K258" i="34"/>
  <c r="K267" i="6"/>
  <c r="K266" i="34" l="1"/>
  <c r="K275" i="6"/>
  <c r="K267" i="34"/>
  <c r="K276" i="6"/>
  <c r="K269" i="34"/>
  <c r="K278" i="6"/>
  <c r="L161" i="4"/>
  <c r="L131" i="40"/>
  <c r="K268" i="34"/>
  <c r="K277" i="6"/>
  <c r="K265" i="34"/>
  <c r="K274" i="6"/>
  <c r="K272" i="34"/>
  <c r="K281" i="6"/>
  <c r="K271" i="34"/>
  <c r="K280" i="6"/>
  <c r="K270" i="34"/>
  <c r="K279" i="6"/>
  <c r="K68" i="57"/>
  <c r="K289" i="6" l="1"/>
  <c r="K280" i="34"/>
  <c r="K283" i="6"/>
  <c r="K274" i="34"/>
  <c r="K276" i="34"/>
  <c r="K285" i="6"/>
  <c r="K281" i="34"/>
  <c r="K290" i="6"/>
  <c r="K284" i="6"/>
  <c r="K275" i="34"/>
  <c r="L221" i="4"/>
  <c r="L221" i="40" s="1"/>
  <c r="L161" i="40"/>
  <c r="L162" i="4"/>
  <c r="L162" i="40" s="1"/>
  <c r="K279" i="34"/>
  <c r="K288" i="6"/>
  <c r="K286" i="6"/>
  <c r="K277" i="34"/>
  <c r="K278" i="34"/>
  <c r="K287" i="6"/>
  <c r="M164" i="4" l="1"/>
  <c r="M164" i="40" s="1"/>
  <c r="K287" i="34"/>
  <c r="K305" i="6"/>
  <c r="K290" i="34"/>
  <c r="K308" i="6"/>
  <c r="K285" i="34"/>
  <c r="K303" i="6"/>
  <c r="K283" i="34"/>
  <c r="K301" i="6"/>
  <c r="K288" i="34"/>
  <c r="K306" i="6"/>
  <c r="K284" i="34"/>
  <c r="K302" i="6"/>
  <c r="K286" i="34"/>
  <c r="K304" i="6"/>
  <c r="K289" i="34"/>
  <c r="K307" i="6"/>
  <c r="M166" i="4" l="1"/>
  <c r="M168" i="4" s="1"/>
  <c r="M168" i="40" s="1"/>
  <c r="K307" i="34"/>
  <c r="K316" i="6"/>
  <c r="K306" i="34"/>
  <c r="K315" i="6"/>
  <c r="K301" i="34"/>
  <c r="K310" i="6"/>
  <c r="K308" i="34"/>
  <c r="K317" i="6"/>
  <c r="K304" i="34"/>
  <c r="K313" i="6"/>
  <c r="K305" i="34"/>
  <c r="K314" i="6"/>
  <c r="K302" i="34"/>
  <c r="K311" i="6"/>
  <c r="K303" i="34"/>
  <c r="K312" i="6"/>
  <c r="M167" i="4" l="1"/>
  <c r="M166" i="40"/>
  <c r="M169" i="4"/>
  <c r="M167" i="40"/>
  <c r="M170" i="4"/>
  <c r="M170" i="40" s="1"/>
  <c r="K317" i="34"/>
  <c r="K326" i="6"/>
  <c r="K324" i="6"/>
  <c r="K315" i="34"/>
  <c r="K321" i="6"/>
  <c r="K312" i="34"/>
  <c r="K314" i="34"/>
  <c r="K323" i="6"/>
  <c r="K319" i="6"/>
  <c r="K310" i="34"/>
  <c r="K325" i="6"/>
  <c r="K316" i="34"/>
  <c r="K322" i="6"/>
  <c r="K313" i="34"/>
  <c r="K320" i="6"/>
  <c r="K311" i="34"/>
  <c r="L154" i="57"/>
  <c r="L153" i="57"/>
  <c r="L150" i="57"/>
  <c r="L151" i="57"/>
  <c r="L152" i="57"/>
  <c r="L81" i="57"/>
  <c r="K323" i="34" l="1"/>
  <c r="K332" i="6"/>
  <c r="K320" i="34"/>
  <c r="K329" i="6"/>
  <c r="K322" i="34"/>
  <c r="K331" i="6"/>
  <c r="K319" i="34"/>
  <c r="K328" i="6"/>
  <c r="K321" i="34"/>
  <c r="K330" i="6"/>
  <c r="K325" i="34"/>
  <c r="K334" i="6"/>
  <c r="K324" i="34"/>
  <c r="K333" i="6"/>
  <c r="K326" i="34"/>
  <c r="K335" i="6"/>
  <c r="M202" i="4"/>
  <c r="M169" i="40"/>
  <c r="M172" i="4"/>
  <c r="L83" i="57"/>
  <c r="L103" i="57"/>
  <c r="L70" i="57"/>
  <c r="L97" i="57"/>
  <c r="L96" i="57"/>
  <c r="L98" i="57"/>
  <c r="L71" i="57"/>
  <c r="L100" i="57"/>
  <c r="L99" i="57"/>
  <c r="L102" i="57"/>
  <c r="O71" i="57" l="1"/>
  <c r="L78" i="57"/>
  <c r="O70" i="57"/>
  <c r="K344" i="6"/>
  <c r="K335" i="34"/>
  <c r="K343" i="6"/>
  <c r="K334" i="34"/>
  <c r="K328" i="34"/>
  <c r="K337" i="6"/>
  <c r="K338" i="6"/>
  <c r="K329" i="34"/>
  <c r="K333" i="34"/>
  <c r="K342" i="6"/>
  <c r="K330" i="34"/>
  <c r="K339" i="6"/>
  <c r="K340" i="6"/>
  <c r="K331" i="34"/>
  <c r="K332" i="34"/>
  <c r="K341" i="6"/>
  <c r="X172" i="4"/>
  <c r="L124" i="6"/>
  <c r="M94" i="4"/>
  <c r="M189" i="4"/>
  <c r="M55" i="4"/>
  <c r="M179" i="4"/>
  <c r="M178" i="4"/>
  <c r="M177" i="4"/>
  <c r="M183" i="4"/>
  <c r="M180" i="4"/>
  <c r="M201" i="4"/>
  <c r="M199" i="4"/>
  <c r="M121" i="4"/>
  <c r="M172" i="40"/>
  <c r="M182" i="4"/>
  <c r="M184" i="4"/>
  <c r="M181" i="4"/>
  <c r="M107" i="4"/>
  <c r="M38" i="4"/>
  <c r="M174" i="4"/>
  <c r="M175" i="4"/>
  <c r="M175" i="40" s="1"/>
  <c r="M89" i="4"/>
  <c r="M89" i="40" s="1"/>
  <c r="L177" i="57"/>
  <c r="L179" i="57"/>
  <c r="L178" i="57"/>
  <c r="L182" i="57"/>
  <c r="L181" i="57"/>
  <c r="L176" i="57"/>
  <c r="L175" i="57"/>
  <c r="L137" i="57"/>
  <c r="L82" i="57"/>
  <c r="L136" i="57"/>
  <c r="L135" i="57"/>
  <c r="L134" i="57"/>
  <c r="L133" i="57"/>
  <c r="L80" i="57"/>
  <c r="L107" i="57"/>
  <c r="L109" i="57"/>
  <c r="L108" i="57"/>
  <c r="L110" i="57"/>
  <c r="L106" i="57"/>
  <c r="L79" i="57"/>
  <c r="M184" i="40" l="1"/>
  <c r="L104" i="6"/>
  <c r="L122" i="6"/>
  <c r="L113" i="6"/>
  <c r="L113" i="34" s="1"/>
  <c r="M56" i="4"/>
  <c r="M55" i="40"/>
  <c r="M57" i="4"/>
  <c r="M58" i="4"/>
  <c r="M58" i="40" s="1"/>
  <c r="K337" i="34"/>
  <c r="K355" i="6"/>
  <c r="K344" i="34"/>
  <c r="K362" i="6"/>
  <c r="M200" i="4"/>
  <c r="M174" i="40"/>
  <c r="M122" i="4"/>
  <c r="M121" i="40"/>
  <c r="M183" i="40"/>
  <c r="L103" i="6"/>
  <c r="L112" i="6"/>
  <c r="L112" i="34" s="1"/>
  <c r="L121" i="6"/>
  <c r="M48" i="4"/>
  <c r="M48" i="40" s="1"/>
  <c r="M38" i="40"/>
  <c r="M47" i="4"/>
  <c r="M41" i="4"/>
  <c r="M41" i="40" s="1"/>
  <c r="M39" i="4"/>
  <c r="M40" i="4"/>
  <c r="M49" i="4"/>
  <c r="M49" i="40" s="1"/>
  <c r="L102" i="6"/>
  <c r="M182" i="40"/>
  <c r="L120" i="6"/>
  <c r="L111" i="6"/>
  <c r="L111" i="34" s="1"/>
  <c r="M177" i="40"/>
  <c r="L97" i="6"/>
  <c r="M185" i="4" a="1"/>
  <c r="M185" i="4" s="1"/>
  <c r="L106" i="6"/>
  <c r="L106" i="34" s="1"/>
  <c r="L115" i="6"/>
  <c r="M189" i="40"/>
  <c r="M191" i="4"/>
  <c r="K341" i="34"/>
  <c r="K359" i="6"/>
  <c r="K343" i="34"/>
  <c r="K361" i="6"/>
  <c r="M107" i="40"/>
  <c r="M108" i="4"/>
  <c r="M178" i="40"/>
  <c r="L98" i="6"/>
  <c r="L116" i="6"/>
  <c r="L107" i="6"/>
  <c r="L107" i="34" s="1"/>
  <c r="M94" i="40"/>
  <c r="M96" i="4"/>
  <c r="K340" i="34"/>
  <c r="K358" i="6"/>
  <c r="K342" i="34"/>
  <c r="K360" i="6"/>
  <c r="M181" i="40"/>
  <c r="L101" i="6"/>
  <c r="L110" i="6"/>
  <c r="L110" i="34" s="1"/>
  <c r="L119" i="6"/>
  <c r="M195" i="40"/>
  <c r="M180" i="40"/>
  <c r="L100" i="6"/>
  <c r="L109" i="6"/>
  <c r="L109" i="34" s="1"/>
  <c r="L118" i="6"/>
  <c r="L99" i="6"/>
  <c r="M179" i="40"/>
  <c r="L108" i="6"/>
  <c r="L108" i="34" s="1"/>
  <c r="L117" i="6"/>
  <c r="L124" i="34"/>
  <c r="L125" i="6"/>
  <c r="K339" i="34"/>
  <c r="K357" i="6"/>
  <c r="K338" i="34"/>
  <c r="K356" i="6"/>
  <c r="L142" i="57"/>
  <c r="L144" i="57"/>
  <c r="L140" i="57"/>
  <c r="L143" i="57"/>
  <c r="L147" i="57"/>
  <c r="L141" i="57"/>
  <c r="L146" i="57"/>
  <c r="L191" i="57"/>
  <c r="L189" i="57"/>
  <c r="L188" i="57"/>
  <c r="L186" i="57"/>
  <c r="L187" i="57"/>
  <c r="L185" i="57"/>
  <c r="L192" i="57"/>
  <c r="L73" i="57"/>
  <c r="M108" i="40" l="1"/>
  <c r="M109" i="4"/>
  <c r="K359" i="34"/>
  <c r="K368" i="6"/>
  <c r="L115" i="34"/>
  <c r="L292" i="6"/>
  <c r="L207" i="6"/>
  <c r="L102" i="34"/>
  <c r="L121" i="34"/>
  <c r="L298" i="6"/>
  <c r="K362" i="34"/>
  <c r="K371" i="6"/>
  <c r="L99" i="34"/>
  <c r="L204" i="6"/>
  <c r="L101" i="34"/>
  <c r="L206" i="6"/>
  <c r="K358" i="34"/>
  <c r="K367" i="6"/>
  <c r="K357" i="34"/>
  <c r="K366" i="6"/>
  <c r="L293" i="6"/>
  <c r="L116" i="34"/>
  <c r="M47" i="40"/>
  <c r="M50" i="4"/>
  <c r="M122" i="40"/>
  <c r="M123" i="4"/>
  <c r="M57" i="40"/>
  <c r="L299" i="6"/>
  <c r="L122" i="34"/>
  <c r="L117" i="34"/>
  <c r="L294" i="6"/>
  <c r="M96" i="40"/>
  <c r="K361" i="34"/>
  <c r="K370" i="6"/>
  <c r="X191" i="4"/>
  <c r="M191" i="40"/>
  <c r="L93" i="6"/>
  <c r="L92" i="6"/>
  <c r="L95" i="6"/>
  <c r="L89" i="6"/>
  <c r="L94" i="6"/>
  <c r="L90" i="6"/>
  <c r="L88" i="6"/>
  <c r="L91" i="6"/>
  <c r="M185" i="40"/>
  <c r="M187" i="4"/>
  <c r="M187" i="40" s="1"/>
  <c r="L120" i="34"/>
  <c r="L297" i="6"/>
  <c r="M40" i="40"/>
  <c r="L208" i="6"/>
  <c r="L103" i="34"/>
  <c r="K355" i="34"/>
  <c r="K364" i="6"/>
  <c r="L104" i="34"/>
  <c r="L209" i="6"/>
  <c r="L118" i="34"/>
  <c r="L295" i="6"/>
  <c r="L296" i="6"/>
  <c r="L119" i="34"/>
  <c r="K360" i="34"/>
  <c r="K369" i="6"/>
  <c r="L203" i="6"/>
  <c r="L98" i="34"/>
  <c r="K356" i="34"/>
  <c r="K365" i="6"/>
  <c r="L127" i="6"/>
  <c r="L127" i="34" s="1"/>
  <c r="L125" i="34"/>
  <c r="L205" i="6"/>
  <c r="L100" i="34"/>
  <c r="L202" i="6"/>
  <c r="L97" i="34"/>
  <c r="M39" i="40"/>
  <c r="M42" i="4"/>
  <c r="M56" i="40"/>
  <c r="M59" i="4"/>
  <c r="K365" i="34" l="1"/>
  <c r="K374" i="6"/>
  <c r="K374" i="34" s="1"/>
  <c r="L295" i="34"/>
  <c r="K364" i="34"/>
  <c r="K373" i="6"/>
  <c r="K373" i="34" s="1"/>
  <c r="L90" i="34"/>
  <c r="L150" i="6"/>
  <c r="L152" i="6"/>
  <c r="L92" i="34"/>
  <c r="K370" i="34"/>
  <c r="K379" i="6"/>
  <c r="K379" i="34" s="1"/>
  <c r="L294" i="34"/>
  <c r="M50" i="40"/>
  <c r="M51" i="4"/>
  <c r="K366" i="34"/>
  <c r="K375" i="6"/>
  <c r="K375" i="34" s="1"/>
  <c r="L206" i="34"/>
  <c r="L215" i="6"/>
  <c r="K371" i="34"/>
  <c r="K380" i="6"/>
  <c r="K380" i="34" s="1"/>
  <c r="K368" i="34"/>
  <c r="K377" i="6"/>
  <c r="K377" i="34" s="1"/>
  <c r="K369" i="34"/>
  <c r="K378" i="6"/>
  <c r="K378" i="34" s="1"/>
  <c r="L214" i="6"/>
  <c r="L205" i="34"/>
  <c r="L94" i="34"/>
  <c r="L154" i="6"/>
  <c r="L93" i="34"/>
  <c r="L153" i="6"/>
  <c r="L207" i="34"/>
  <c r="L216" i="6"/>
  <c r="M59" i="40"/>
  <c r="M60" i="4"/>
  <c r="L218" i="6"/>
  <c r="L209" i="34"/>
  <c r="L297" i="34"/>
  <c r="L151" i="6"/>
  <c r="L91" i="34"/>
  <c r="L89" i="34"/>
  <c r="L149" i="6"/>
  <c r="M126" i="4"/>
  <c r="M123" i="40"/>
  <c r="K367" i="34"/>
  <c r="K376" i="6"/>
  <c r="K376" i="34" s="1"/>
  <c r="L204" i="34"/>
  <c r="L213" i="6"/>
  <c r="L298" i="34"/>
  <c r="L292" i="34"/>
  <c r="M112" i="4"/>
  <c r="M109" i="40"/>
  <c r="M42" i="40"/>
  <c r="M43" i="4"/>
  <c r="L202" i="34"/>
  <c r="L211" i="6"/>
  <c r="L212" i="6"/>
  <c r="L203" i="34"/>
  <c r="L296" i="34"/>
  <c r="L208" i="34"/>
  <c r="L217" i="6"/>
  <c r="L148" i="6"/>
  <c r="L88" i="34"/>
  <c r="L155" i="6"/>
  <c r="L95" i="34"/>
  <c r="L299" i="34"/>
  <c r="L293" i="34"/>
  <c r="M51" i="40" l="1"/>
  <c r="M52" i="4"/>
  <c r="L217" i="34"/>
  <c r="L235" i="6"/>
  <c r="L150" i="34"/>
  <c r="L159" i="6"/>
  <c r="M112" i="40"/>
  <c r="M113" i="4"/>
  <c r="L149" i="34"/>
  <c r="L158" i="6"/>
  <c r="M44" i="4"/>
  <c r="M43" i="40"/>
  <c r="L231" i="6"/>
  <c r="L213" i="34"/>
  <c r="L232" i="6"/>
  <c r="L214" i="34"/>
  <c r="L155" i="34"/>
  <c r="L164" i="6"/>
  <c r="L212" i="34"/>
  <c r="L230" i="6"/>
  <c r="L234" i="6"/>
  <c r="L216" i="34"/>
  <c r="L154" i="34"/>
  <c r="L163" i="6"/>
  <c r="M60" i="40"/>
  <c r="M64" i="4"/>
  <c r="M64" i="40" s="1"/>
  <c r="M61" i="4"/>
  <c r="M61" i="40" s="1"/>
  <c r="L162" i="6"/>
  <c r="L153" i="34"/>
  <c r="L211" i="34"/>
  <c r="L229" i="6"/>
  <c r="M126" i="40"/>
  <c r="M127" i="4"/>
  <c r="L151" i="34"/>
  <c r="L160" i="6"/>
  <c r="L218" i="34"/>
  <c r="L236" i="6"/>
  <c r="L233" i="6"/>
  <c r="L215" i="34"/>
  <c r="M45" i="4"/>
  <c r="L148" i="34"/>
  <c r="L157" i="6"/>
  <c r="L161" i="6"/>
  <c r="L152" i="34"/>
  <c r="M62" i="4"/>
  <c r="M62" i="40" s="1"/>
  <c r="M68" i="4" l="1"/>
  <c r="M45" i="40"/>
  <c r="L162" i="34"/>
  <c r="L171" i="6"/>
  <c r="L163" i="34"/>
  <c r="L172" i="6"/>
  <c r="L230" i="34"/>
  <c r="M114" i="4"/>
  <c r="M113" i="40"/>
  <c r="L235" i="34"/>
  <c r="L161" i="34"/>
  <c r="L170" i="6"/>
  <c r="L160" i="34"/>
  <c r="L169" i="6"/>
  <c r="L229" i="34"/>
  <c r="L232" i="34"/>
  <c r="M44" i="40"/>
  <c r="M67" i="4"/>
  <c r="L157" i="34"/>
  <c r="L166" i="6"/>
  <c r="L233" i="34"/>
  <c r="L164" i="34"/>
  <c r="L173" i="6"/>
  <c r="L158" i="34"/>
  <c r="L167" i="6"/>
  <c r="L159" i="34"/>
  <c r="L168" i="6"/>
  <c r="M52" i="40"/>
  <c r="M70" i="4"/>
  <c r="L236" i="34"/>
  <c r="M128" i="4"/>
  <c r="M127" i="40"/>
  <c r="L234" i="34"/>
  <c r="L231" i="34"/>
  <c r="L127" i="57"/>
  <c r="L130" i="57"/>
  <c r="L126" i="57"/>
  <c r="L129" i="57"/>
  <c r="L123" i="57"/>
  <c r="L125" i="57"/>
  <c r="L124" i="57"/>
  <c r="L117" i="57"/>
  <c r="L113" i="57"/>
  <c r="L120" i="57"/>
  <c r="L114" i="57"/>
  <c r="L119" i="57"/>
  <c r="L116" i="57"/>
  <c r="L115" i="57"/>
  <c r="L175" i="6" l="1"/>
  <c r="L166" i="34"/>
  <c r="L171" i="34"/>
  <c r="L180" i="6"/>
  <c r="L173" i="34"/>
  <c r="L182" i="6"/>
  <c r="L169" i="34"/>
  <c r="L178" i="6"/>
  <c r="L167" i="34"/>
  <c r="L176" i="6"/>
  <c r="M67" i="40"/>
  <c r="M75" i="4"/>
  <c r="L172" i="34"/>
  <c r="L181" i="6"/>
  <c r="L177" i="6"/>
  <c r="L168" i="34"/>
  <c r="M70" i="40"/>
  <c r="M98" i="4"/>
  <c r="L179" i="6"/>
  <c r="L170" i="34"/>
  <c r="M129" i="4"/>
  <c r="M129" i="40" s="1"/>
  <c r="M128" i="40"/>
  <c r="M115" i="4"/>
  <c r="M117" i="4"/>
  <c r="M117" i="40" s="1"/>
  <c r="M114" i="40"/>
  <c r="M68" i="40"/>
  <c r="M76" i="4"/>
  <c r="L200" i="57"/>
  <c r="M75" i="40" l="1"/>
  <c r="M210" i="4"/>
  <c r="L178" i="34"/>
  <c r="L187" i="6"/>
  <c r="L180" i="34"/>
  <c r="L189" i="6"/>
  <c r="M76" i="40"/>
  <c r="M83" i="4"/>
  <c r="M83" i="40" s="1"/>
  <c r="M85" i="4"/>
  <c r="M85" i="40" s="1"/>
  <c r="M82" i="4"/>
  <c r="M84" i="4"/>
  <c r="M84" i="40" s="1"/>
  <c r="L179" i="34"/>
  <c r="L188" i="6"/>
  <c r="L177" i="34"/>
  <c r="L186" i="6"/>
  <c r="M98" i="40"/>
  <c r="M99" i="4"/>
  <c r="L181" i="34"/>
  <c r="L190" i="6"/>
  <c r="L176" i="34"/>
  <c r="L185" i="6"/>
  <c r="L182" i="34"/>
  <c r="L191" i="6"/>
  <c r="M115" i="40"/>
  <c r="M119" i="4"/>
  <c r="M119" i="40" s="1"/>
  <c r="L175" i="34"/>
  <c r="L184" i="6"/>
  <c r="L200" i="6" l="1"/>
  <c r="L191" i="34"/>
  <c r="L187" i="34"/>
  <c r="L196" i="6"/>
  <c r="L195" i="6"/>
  <c r="L186" i="34"/>
  <c r="L185" i="34"/>
  <c r="L194" i="6"/>
  <c r="M99" i="40"/>
  <c r="M102" i="4"/>
  <c r="M82" i="40"/>
  <c r="M87" i="4"/>
  <c r="L198" i="6"/>
  <c r="L189" i="34"/>
  <c r="M211" i="4"/>
  <c r="M211" i="40" s="1"/>
  <c r="M210" i="40"/>
  <c r="L193" i="6"/>
  <c r="L184" i="34"/>
  <c r="L199" i="6"/>
  <c r="L190" i="34"/>
  <c r="L188" i="34"/>
  <c r="L197" i="6"/>
  <c r="M87" i="40" l="1"/>
  <c r="M212" i="4"/>
  <c r="M88" i="4"/>
  <c r="L194" i="34"/>
  <c r="L239" i="6"/>
  <c r="L195" i="34"/>
  <c r="L240" i="6"/>
  <c r="L198" i="34"/>
  <c r="L243" i="6"/>
  <c r="L193" i="34"/>
  <c r="L238" i="6"/>
  <c r="M102" i="40"/>
  <c r="M103" i="4"/>
  <c r="L197" i="34"/>
  <c r="L242" i="6"/>
  <c r="L199" i="34"/>
  <c r="L244" i="6"/>
  <c r="L196" i="34"/>
  <c r="L241" i="6"/>
  <c r="L200" i="34"/>
  <c r="L245" i="6"/>
  <c r="L241" i="34" l="1"/>
  <c r="L250" i="6"/>
  <c r="L242" i="34"/>
  <c r="L251" i="6"/>
  <c r="L238" i="34"/>
  <c r="L247" i="6"/>
  <c r="L240" i="34"/>
  <c r="L249" i="6"/>
  <c r="M90" i="4"/>
  <c r="M90" i="40" s="1"/>
  <c r="M91" i="4"/>
  <c r="M88" i="40"/>
  <c r="M212" i="40"/>
  <c r="E213" i="4" a="1"/>
  <c r="L245" i="34"/>
  <c r="L254" i="6"/>
  <c r="L244" i="34"/>
  <c r="L253" i="6"/>
  <c r="M104" i="4"/>
  <c r="M103" i="40"/>
  <c r="L243" i="34"/>
  <c r="L252" i="6"/>
  <c r="L239" i="34"/>
  <c r="L248" i="6"/>
  <c r="L62" i="57"/>
  <c r="L248" i="34" l="1"/>
  <c r="L257" i="6"/>
  <c r="L263" i="6"/>
  <c r="L254" i="34"/>
  <c r="L260" i="6"/>
  <c r="L251" i="34"/>
  <c r="M104" i="40"/>
  <c r="M105" i="4"/>
  <c r="M116" i="4"/>
  <c r="M116" i="40" s="1"/>
  <c r="M91" i="40"/>
  <c r="M92" i="4"/>
  <c r="L247" i="34"/>
  <c r="L256" i="6"/>
  <c r="L250" i="34"/>
  <c r="L259" i="6"/>
  <c r="L258" i="6"/>
  <c r="L249" i="34"/>
  <c r="L261" i="6"/>
  <c r="L252" i="34"/>
  <c r="L262" i="6"/>
  <c r="L253" i="34"/>
  <c r="I213" i="4"/>
  <c r="I213" i="40" s="1"/>
  <c r="J213" i="4"/>
  <c r="J213" i="40" s="1"/>
  <c r="E213" i="4"/>
  <c r="G213" i="4"/>
  <c r="G213" i="40" s="1"/>
  <c r="L213" i="4"/>
  <c r="L213" i="40" s="1"/>
  <c r="F213" i="4"/>
  <c r="F213" i="40" s="1"/>
  <c r="K213" i="4"/>
  <c r="K213" i="40" s="1"/>
  <c r="M213" i="4"/>
  <c r="M213" i="40" s="1"/>
  <c r="H213" i="4"/>
  <c r="H213" i="40" s="1"/>
  <c r="F199" i="57"/>
  <c r="L199" i="57"/>
  <c r="H199" i="57"/>
  <c r="K199" i="57"/>
  <c r="G199" i="57"/>
  <c r="I199" i="57"/>
  <c r="E199" i="57"/>
  <c r="J199" i="57"/>
  <c r="K218" i="40" l="1"/>
  <c r="E213" i="40"/>
  <c r="D213" i="4"/>
  <c r="D213" i="40" s="1"/>
  <c r="L258" i="34"/>
  <c r="L267" i="6"/>
  <c r="M118" i="4"/>
  <c r="M118" i="40" s="1"/>
  <c r="M105" i="40"/>
  <c r="F218" i="40"/>
  <c r="J218" i="40"/>
  <c r="L268" i="6"/>
  <c r="L259" i="34"/>
  <c r="M92" i="40"/>
  <c r="L272" i="6"/>
  <c r="L263" i="34"/>
  <c r="L270" i="6"/>
  <c r="L261" i="34"/>
  <c r="L257" i="34"/>
  <c r="L266" i="6"/>
  <c r="L262" i="34"/>
  <c r="L271" i="6"/>
  <c r="H218" i="40"/>
  <c r="L218" i="40"/>
  <c r="I218" i="40"/>
  <c r="M218" i="40"/>
  <c r="G218" i="40"/>
  <c r="L256" i="34"/>
  <c r="L265" i="6"/>
  <c r="L269" i="6"/>
  <c r="L260" i="34"/>
  <c r="J201" i="57"/>
  <c r="I201" i="57"/>
  <c r="L201" i="57"/>
  <c r="G201" i="57"/>
  <c r="D199" i="57"/>
  <c r="F201" i="57"/>
  <c r="C199" i="57"/>
  <c r="K201" i="57"/>
  <c r="E201" i="57"/>
  <c r="H201" i="57"/>
  <c r="L265" i="34" l="1"/>
  <c r="L274" i="6"/>
  <c r="L270" i="34"/>
  <c r="L279" i="6"/>
  <c r="M131" i="4"/>
  <c r="D218" i="40"/>
  <c r="L266" i="34"/>
  <c r="L275" i="6"/>
  <c r="E218" i="40"/>
  <c r="L272" i="34"/>
  <c r="L281" i="6"/>
  <c r="L268" i="34"/>
  <c r="L277" i="6"/>
  <c r="L269" i="34"/>
  <c r="L278" i="6"/>
  <c r="L271" i="34"/>
  <c r="L280" i="6"/>
  <c r="L267" i="34"/>
  <c r="L276" i="6"/>
  <c r="D201" i="57"/>
  <c r="C201" i="57"/>
  <c r="L278" i="34" l="1"/>
  <c r="L287" i="6"/>
  <c r="L275" i="34"/>
  <c r="L284" i="6"/>
  <c r="L288" i="6"/>
  <c r="L279" i="34"/>
  <c r="L281" i="34"/>
  <c r="L290" i="6"/>
  <c r="L276" i="34"/>
  <c r="L285" i="6"/>
  <c r="L283" i="6"/>
  <c r="L274" i="34"/>
  <c r="L289" i="6"/>
  <c r="L280" i="34"/>
  <c r="L286" i="6"/>
  <c r="L277" i="34"/>
  <c r="M131" i="40"/>
  <c r="M161" i="4"/>
  <c r="L68" i="57"/>
  <c r="L283" i="34" l="1"/>
  <c r="L301" i="6"/>
  <c r="L290" i="34"/>
  <c r="L308" i="6"/>
  <c r="L289" i="34"/>
  <c r="L307" i="6"/>
  <c r="L288" i="34"/>
  <c r="L306" i="6"/>
  <c r="L287" i="34"/>
  <c r="L305" i="6"/>
  <c r="M161" i="40"/>
  <c r="M221" i="4"/>
  <c r="M221" i="40" s="1"/>
  <c r="M162" i="4"/>
  <c r="M162" i="40" s="1"/>
  <c r="L286" i="34"/>
  <c r="L304" i="6"/>
  <c r="L285" i="34"/>
  <c r="L303" i="6"/>
  <c r="L284" i="34"/>
  <c r="L302" i="6"/>
  <c r="L306" i="34" l="1"/>
  <c r="L315" i="6"/>
  <c r="L308" i="34"/>
  <c r="L317" i="6"/>
  <c r="L302" i="34"/>
  <c r="L311" i="6"/>
  <c r="L304" i="34"/>
  <c r="L313" i="6"/>
  <c r="L305" i="34"/>
  <c r="L314" i="6"/>
  <c r="L307" i="34"/>
  <c r="L316" i="6"/>
  <c r="L301" i="34"/>
  <c r="L310" i="6"/>
  <c r="L303" i="34"/>
  <c r="L312" i="6"/>
  <c r="L325" i="6" l="1"/>
  <c r="L316" i="34"/>
  <c r="L317" i="34"/>
  <c r="L326" i="6"/>
  <c r="L321" i="6"/>
  <c r="L312" i="34"/>
  <c r="L322" i="6"/>
  <c r="L313" i="34"/>
  <c r="L319" i="6"/>
  <c r="L310" i="34"/>
  <c r="L324" i="6"/>
  <c r="L315" i="34"/>
  <c r="L314" i="34"/>
  <c r="L323" i="6"/>
  <c r="L320" i="6"/>
  <c r="L311" i="34"/>
  <c r="L326" i="34" l="1"/>
  <c r="L335" i="6"/>
  <c r="L324" i="34"/>
  <c r="L333" i="6"/>
  <c r="L320" i="34"/>
  <c r="L329" i="6"/>
  <c r="L322" i="34"/>
  <c r="L331" i="6"/>
  <c r="L323" i="34"/>
  <c r="L332" i="6"/>
  <c r="L319" i="34"/>
  <c r="L328" i="6"/>
  <c r="L321" i="34"/>
  <c r="L330" i="6"/>
  <c r="L325" i="34"/>
  <c r="L334" i="6"/>
  <c r="L337" i="6" l="1"/>
  <c r="L328" i="34"/>
  <c r="L340" i="6"/>
  <c r="L331" i="34"/>
  <c r="L333" i="34"/>
  <c r="L342" i="6"/>
  <c r="L343" i="6"/>
  <c r="L334" i="34"/>
  <c r="L330" i="34"/>
  <c r="L339" i="6"/>
  <c r="L332" i="34"/>
  <c r="L341" i="6"/>
  <c r="L338" i="6"/>
  <c r="L329" i="34"/>
  <c r="L344" i="6"/>
  <c r="L335" i="34"/>
  <c r="L338" i="34" l="1"/>
  <c r="L356" i="6"/>
  <c r="L340" i="34"/>
  <c r="L358" i="6"/>
  <c r="L342" i="34"/>
  <c r="L360" i="6"/>
  <c r="L344" i="34"/>
  <c r="L362" i="6"/>
  <c r="L343" i="34"/>
  <c r="L361" i="6"/>
  <c r="L341" i="34"/>
  <c r="L359" i="6"/>
  <c r="L339" i="34"/>
  <c r="L357" i="6"/>
  <c r="L337" i="34"/>
  <c r="L355" i="6"/>
  <c r="L355" i="34" l="1"/>
  <c r="L364" i="6"/>
  <c r="L362" i="34"/>
  <c r="L371" i="6"/>
  <c r="L358" i="34"/>
  <c r="L367" i="6"/>
  <c r="L359" i="34"/>
  <c r="L368" i="6"/>
  <c r="L361" i="34"/>
  <c r="L370" i="6"/>
  <c r="L356" i="34"/>
  <c r="L365" i="6"/>
  <c r="L357" i="34"/>
  <c r="L366" i="6"/>
  <c r="L360" i="34"/>
  <c r="L369" i="6"/>
  <c r="L365" i="34" l="1"/>
  <c r="L374" i="6"/>
  <c r="L374" i="34" s="1"/>
  <c r="L368" i="34"/>
  <c r="L377" i="6"/>
  <c r="L377" i="34" s="1"/>
  <c r="L371" i="34"/>
  <c r="L380" i="6"/>
  <c r="L369" i="34"/>
  <c r="L378" i="6"/>
  <c r="L378" i="34" s="1"/>
  <c r="L366" i="34"/>
  <c r="L375" i="6"/>
  <c r="L375" i="34" s="1"/>
  <c r="L364" i="34"/>
  <c r="L373" i="6"/>
  <c r="L373" i="34" s="1"/>
  <c r="L370" i="34"/>
  <c r="L379" i="6"/>
  <c r="L379" i="34" s="1"/>
  <c r="L367" i="34"/>
  <c r="L376" i="6"/>
  <c r="L376" i="34" s="1"/>
  <c r="L380" i="34" l="1"/>
  <c r="C382" i="6" a="1"/>
  <c r="D388" i="6" l="1"/>
  <c r="I389" i="6"/>
  <c r="I383" i="6"/>
  <c r="F384" i="6"/>
  <c r="L388" i="6"/>
  <c r="F382" i="6"/>
  <c r="J387" i="6"/>
  <c r="G382" i="6"/>
  <c r="G389" i="6"/>
  <c r="K384" i="6"/>
  <c r="G383" i="6"/>
  <c r="E383" i="6"/>
  <c r="F389" i="6"/>
  <c r="J389" i="6"/>
  <c r="J386" i="6"/>
  <c r="J383" i="6"/>
  <c r="C388" i="6"/>
  <c r="G388" i="6"/>
  <c r="E389" i="6"/>
  <c r="L383" i="6"/>
  <c r="K383" i="6"/>
  <c r="G384" i="6"/>
  <c r="H389" i="6"/>
  <c r="D384" i="6"/>
  <c r="I385" i="6"/>
  <c r="L389" i="6"/>
  <c r="J384" i="6"/>
  <c r="L382" i="6"/>
  <c r="C384" i="6"/>
  <c r="K385" i="6"/>
  <c r="I387" i="6"/>
  <c r="C389" i="6"/>
  <c r="J388" i="6"/>
  <c r="C387" i="6"/>
  <c r="G387" i="6"/>
  <c r="E382" i="6"/>
  <c r="I384" i="6"/>
  <c r="F386" i="6"/>
  <c r="K388" i="6"/>
  <c r="C385" i="6"/>
  <c r="H385" i="6"/>
  <c r="L386" i="6"/>
  <c r="L385" i="6"/>
  <c r="H384" i="6"/>
  <c r="D382" i="6"/>
  <c r="C383" i="6"/>
  <c r="C382" i="6"/>
  <c r="C386" i="6"/>
  <c r="G386" i="6"/>
  <c r="E387" i="6"/>
  <c r="J385" i="6"/>
  <c r="F388" i="6"/>
  <c r="K386" i="6"/>
  <c r="D385" i="6"/>
  <c r="J382" i="6"/>
  <c r="E388" i="6"/>
  <c r="H386" i="6"/>
  <c r="H387" i="6"/>
  <c r="D387" i="6"/>
  <c r="H382" i="6"/>
  <c r="L384" i="6"/>
  <c r="F383" i="6"/>
  <c r="H388" i="6"/>
  <c r="G385" i="6"/>
  <c r="D389" i="6"/>
  <c r="F385" i="6"/>
  <c r="D383" i="6"/>
  <c r="K389" i="6"/>
  <c r="K382" i="6"/>
  <c r="E386" i="6"/>
  <c r="H383" i="6"/>
  <c r="E385" i="6"/>
  <c r="L387" i="6"/>
  <c r="I382" i="6"/>
  <c r="I386" i="6"/>
  <c r="K387" i="6"/>
  <c r="I388" i="6"/>
  <c r="E384" i="6"/>
  <c r="F387" i="6"/>
  <c r="D386" i="6"/>
  <c r="D386" i="34" l="1"/>
  <c r="D395" i="6"/>
  <c r="D395" i="34" s="1"/>
  <c r="E385" i="34"/>
  <c r="E394" i="6"/>
  <c r="E394" i="34" s="1"/>
  <c r="G385" i="34"/>
  <c r="G394" i="6"/>
  <c r="G394" i="34" s="1"/>
  <c r="F388" i="34"/>
  <c r="F397" i="6"/>
  <c r="F397" i="34" s="1"/>
  <c r="C386" i="34"/>
  <c r="C395" i="6"/>
  <c r="C395" i="34" s="1"/>
  <c r="H384" i="34"/>
  <c r="H393" i="6"/>
  <c r="H393" i="34" s="1"/>
  <c r="C385" i="34"/>
  <c r="C394" i="6"/>
  <c r="C394" i="34" s="1"/>
  <c r="E382" i="34"/>
  <c r="E391" i="6"/>
  <c r="E391" i="34" s="1"/>
  <c r="C389" i="34"/>
  <c r="C398" i="6"/>
  <c r="C398" i="34" s="1"/>
  <c r="L382" i="34"/>
  <c r="L391" i="6"/>
  <c r="L391" i="34" s="1"/>
  <c r="D384" i="34"/>
  <c r="D393" i="6"/>
  <c r="D393" i="34" s="1"/>
  <c r="L383" i="34"/>
  <c r="L392" i="6"/>
  <c r="L392" i="34" s="1"/>
  <c r="J383" i="34"/>
  <c r="J392" i="6"/>
  <c r="J392" i="34" s="1"/>
  <c r="E383" i="34"/>
  <c r="E392" i="6"/>
  <c r="E392" i="34" s="1"/>
  <c r="G382" i="34"/>
  <c r="G391" i="6"/>
  <c r="G391" i="34" s="1"/>
  <c r="F384" i="34"/>
  <c r="F393" i="6"/>
  <c r="F393" i="34" s="1"/>
  <c r="K387" i="34"/>
  <c r="K396" i="6"/>
  <c r="K396" i="34" s="1"/>
  <c r="K389" i="34"/>
  <c r="K398" i="6"/>
  <c r="K398" i="34" s="1"/>
  <c r="H382" i="34"/>
  <c r="H391" i="6"/>
  <c r="H391" i="34" s="1"/>
  <c r="F387" i="34"/>
  <c r="F396" i="6"/>
  <c r="F396" i="34" s="1"/>
  <c r="H383" i="34"/>
  <c r="H392" i="6"/>
  <c r="H392" i="34" s="1"/>
  <c r="D387" i="34"/>
  <c r="D396" i="6"/>
  <c r="D396" i="34" s="1"/>
  <c r="F386" i="34"/>
  <c r="F395" i="6"/>
  <c r="F395" i="34" s="1"/>
  <c r="E388" i="34"/>
  <c r="E397" i="6"/>
  <c r="E397" i="34" s="1"/>
  <c r="I386" i="34"/>
  <c r="I395" i="6"/>
  <c r="I395" i="34" s="1"/>
  <c r="D383" i="34"/>
  <c r="D392" i="6"/>
  <c r="D392" i="34" s="1"/>
  <c r="H388" i="34"/>
  <c r="H397" i="6"/>
  <c r="H397" i="34" s="1"/>
  <c r="J382" i="34"/>
  <c r="J391" i="6"/>
  <c r="J391" i="34" s="1"/>
  <c r="J385" i="34"/>
  <c r="J394" i="6"/>
  <c r="J394" i="34" s="1"/>
  <c r="C382" i="34"/>
  <c r="C391" i="6"/>
  <c r="L385" i="34"/>
  <c r="L394" i="6"/>
  <c r="L394" i="34" s="1"/>
  <c r="K388" i="34"/>
  <c r="K397" i="6"/>
  <c r="K397" i="34" s="1"/>
  <c r="G387" i="34"/>
  <c r="G396" i="6"/>
  <c r="G396" i="34" s="1"/>
  <c r="I387" i="34"/>
  <c r="I396" i="6"/>
  <c r="I396" i="34" s="1"/>
  <c r="J384" i="34"/>
  <c r="J393" i="6"/>
  <c r="J393" i="34" s="1"/>
  <c r="H389" i="34"/>
  <c r="H398" i="6"/>
  <c r="H398" i="34" s="1"/>
  <c r="E389" i="34"/>
  <c r="E398" i="6"/>
  <c r="E398" i="34" s="1"/>
  <c r="J386" i="34"/>
  <c r="J395" i="6"/>
  <c r="J395" i="34" s="1"/>
  <c r="G383" i="34"/>
  <c r="G392" i="6"/>
  <c r="G392" i="34" s="1"/>
  <c r="J387" i="34"/>
  <c r="J396" i="6"/>
  <c r="J396" i="34" s="1"/>
  <c r="I383" i="34"/>
  <c r="I392" i="6"/>
  <c r="I392" i="34" s="1"/>
  <c r="E384" i="34"/>
  <c r="E393" i="6"/>
  <c r="E393" i="34" s="1"/>
  <c r="I382" i="34"/>
  <c r="I391" i="6"/>
  <c r="I391" i="34" s="1"/>
  <c r="E386" i="34"/>
  <c r="E395" i="6"/>
  <c r="E395" i="34" s="1"/>
  <c r="F385" i="34"/>
  <c r="F394" i="6"/>
  <c r="F394" i="34" s="1"/>
  <c r="F383" i="34"/>
  <c r="F392" i="6"/>
  <c r="F392" i="34" s="1"/>
  <c r="H387" i="34"/>
  <c r="H396" i="6"/>
  <c r="H396" i="34" s="1"/>
  <c r="D385" i="34"/>
  <c r="D394" i="6"/>
  <c r="D394" i="34" s="1"/>
  <c r="E387" i="34"/>
  <c r="E396" i="6"/>
  <c r="E396" i="34" s="1"/>
  <c r="C383" i="34"/>
  <c r="C392" i="6"/>
  <c r="C392" i="34" s="1"/>
  <c r="L386" i="34"/>
  <c r="L395" i="6"/>
  <c r="L395" i="34" s="1"/>
  <c r="C387" i="34"/>
  <c r="C396" i="6"/>
  <c r="C396" i="34" s="1"/>
  <c r="K385" i="34"/>
  <c r="K394" i="6"/>
  <c r="K394" i="34" s="1"/>
  <c r="L389" i="34"/>
  <c r="L398" i="6"/>
  <c r="L398" i="34" s="1"/>
  <c r="G384" i="34"/>
  <c r="G393" i="6"/>
  <c r="G393" i="34" s="1"/>
  <c r="G388" i="34"/>
  <c r="G397" i="6"/>
  <c r="G397" i="34" s="1"/>
  <c r="J389" i="34"/>
  <c r="J398" i="6"/>
  <c r="J398" i="34" s="1"/>
  <c r="K384" i="34"/>
  <c r="K393" i="6"/>
  <c r="K393" i="34" s="1"/>
  <c r="F382" i="34"/>
  <c r="F391" i="6"/>
  <c r="F391" i="34" s="1"/>
  <c r="I389" i="34"/>
  <c r="I398" i="6"/>
  <c r="I398" i="34" s="1"/>
  <c r="I388" i="34"/>
  <c r="I397" i="6"/>
  <c r="I397" i="34" s="1"/>
  <c r="L387" i="34"/>
  <c r="L396" i="6"/>
  <c r="L396" i="34" s="1"/>
  <c r="K382" i="34"/>
  <c r="K391" i="6"/>
  <c r="K391" i="34" s="1"/>
  <c r="D389" i="34"/>
  <c r="D398" i="6"/>
  <c r="D398" i="34" s="1"/>
  <c r="L384" i="34"/>
  <c r="L393" i="6"/>
  <c r="L393" i="34" s="1"/>
  <c r="H386" i="34"/>
  <c r="H395" i="6"/>
  <c r="H395" i="34" s="1"/>
  <c r="K386" i="34"/>
  <c r="K395" i="6"/>
  <c r="K395" i="34" s="1"/>
  <c r="G386" i="34"/>
  <c r="G395" i="6"/>
  <c r="G395" i="34" s="1"/>
  <c r="D382" i="34"/>
  <c r="D391" i="6"/>
  <c r="D391" i="34" s="1"/>
  <c r="H385" i="34"/>
  <c r="H394" i="6"/>
  <c r="H394" i="34" s="1"/>
  <c r="I384" i="34"/>
  <c r="I393" i="6"/>
  <c r="I393" i="34" s="1"/>
  <c r="J388" i="34"/>
  <c r="J397" i="6"/>
  <c r="J397" i="34" s="1"/>
  <c r="C384" i="34"/>
  <c r="C393" i="6"/>
  <c r="C393" i="34" s="1"/>
  <c r="I385" i="34"/>
  <c r="I394" i="6"/>
  <c r="I394" i="34" s="1"/>
  <c r="K383" i="34"/>
  <c r="K392" i="6"/>
  <c r="K392" i="34" s="1"/>
  <c r="C388" i="34"/>
  <c r="C397" i="6"/>
  <c r="C397" i="34" s="1"/>
  <c r="F389" i="34"/>
  <c r="F398" i="6"/>
  <c r="F398" i="34" s="1"/>
  <c r="G389" i="34"/>
  <c r="G398" i="6"/>
  <c r="G398" i="34" s="1"/>
  <c r="L388" i="34"/>
  <c r="L397" i="6"/>
  <c r="L397" i="34" s="1"/>
  <c r="D388" i="34"/>
  <c r="D397" i="6"/>
  <c r="D397" i="34" s="1"/>
  <c r="C400" i="6" l="1" a="1"/>
  <c r="C391" i="34"/>
  <c r="C409" i="6" a="1"/>
  <c r="H410" i="6" l="1"/>
  <c r="H410" i="34" s="1"/>
  <c r="D416" i="6"/>
  <c r="D416" i="34" s="1"/>
  <c r="D409" i="6"/>
  <c r="F415" i="6"/>
  <c r="F415" i="34" s="1"/>
  <c r="J415" i="6"/>
  <c r="J415" i="34" s="1"/>
  <c r="H415" i="6"/>
  <c r="H415" i="34" s="1"/>
  <c r="E414" i="6"/>
  <c r="E414" i="34" s="1"/>
  <c r="E416" i="6"/>
  <c r="E416" i="34" s="1"/>
  <c r="L416" i="6"/>
  <c r="L416" i="34" s="1"/>
  <c r="H414" i="6"/>
  <c r="H414" i="34" s="1"/>
  <c r="J412" i="6"/>
  <c r="J412" i="34" s="1"/>
  <c r="C412" i="6"/>
  <c r="C412" i="34" s="1"/>
  <c r="F413" i="6"/>
  <c r="F413" i="34" s="1"/>
  <c r="H416" i="6"/>
  <c r="H416" i="34" s="1"/>
  <c r="J414" i="6"/>
  <c r="J414" i="34" s="1"/>
  <c r="C409" i="6"/>
  <c r="C415" i="6"/>
  <c r="C415" i="34" s="1"/>
  <c r="E411" i="6"/>
  <c r="E411" i="34" s="1"/>
  <c r="K412" i="6"/>
  <c r="K412" i="34" s="1"/>
  <c r="H413" i="6"/>
  <c r="H413" i="34" s="1"/>
  <c r="K414" i="6"/>
  <c r="K414" i="34" s="1"/>
  <c r="F412" i="6"/>
  <c r="F412" i="34" s="1"/>
  <c r="F416" i="6"/>
  <c r="F416" i="34" s="1"/>
  <c r="K415" i="6"/>
  <c r="K415" i="34" s="1"/>
  <c r="G415" i="6"/>
  <c r="G415" i="34" s="1"/>
  <c r="F414" i="6"/>
  <c r="F414" i="34" s="1"/>
  <c r="K416" i="6"/>
  <c r="K416" i="34" s="1"/>
  <c r="E412" i="6"/>
  <c r="E412" i="34" s="1"/>
  <c r="L412" i="6"/>
  <c r="L412" i="34" s="1"/>
  <c r="I413" i="6"/>
  <c r="I413" i="34" s="1"/>
  <c r="I410" i="6"/>
  <c r="I410" i="34" s="1"/>
  <c r="F410" i="6"/>
  <c r="F410" i="34" s="1"/>
  <c r="E413" i="6"/>
  <c r="E413" i="34" s="1"/>
  <c r="H412" i="6"/>
  <c r="H412" i="34" s="1"/>
  <c r="K410" i="6"/>
  <c r="K410" i="34" s="1"/>
  <c r="I412" i="6"/>
  <c r="I412" i="34" s="1"/>
  <c r="J409" i="6"/>
  <c r="C416" i="6"/>
  <c r="C416" i="34" s="1"/>
  <c r="J410" i="6"/>
  <c r="J410" i="34" s="1"/>
  <c r="I409" i="6"/>
  <c r="C410" i="6"/>
  <c r="C410" i="34" s="1"/>
  <c r="G414" i="6"/>
  <c r="G414" i="34" s="1"/>
  <c r="H411" i="6"/>
  <c r="H411" i="34" s="1"/>
  <c r="G410" i="6"/>
  <c r="G410" i="34" s="1"/>
  <c r="D410" i="6"/>
  <c r="D410" i="34" s="1"/>
  <c r="H409" i="6"/>
  <c r="F411" i="6"/>
  <c r="F411" i="34" s="1"/>
  <c r="E409" i="6"/>
  <c r="D413" i="6"/>
  <c r="D413" i="34" s="1"/>
  <c r="G413" i="6"/>
  <c r="G413" i="34" s="1"/>
  <c r="D414" i="6"/>
  <c r="D414" i="34" s="1"/>
  <c r="G412" i="6"/>
  <c r="G412" i="34" s="1"/>
  <c r="D411" i="6"/>
  <c r="D411" i="34" s="1"/>
  <c r="I414" i="6"/>
  <c r="I414" i="34" s="1"/>
  <c r="D415" i="6"/>
  <c r="D415" i="34" s="1"/>
  <c r="K409" i="6"/>
  <c r="I415" i="6"/>
  <c r="I415" i="34" s="1"/>
  <c r="G416" i="6"/>
  <c r="G416" i="34" s="1"/>
  <c r="C413" i="6"/>
  <c r="C413" i="34" s="1"/>
  <c r="K413" i="6"/>
  <c r="K413" i="34" s="1"/>
  <c r="C414" i="6"/>
  <c r="C414" i="34" s="1"/>
  <c r="L410" i="6"/>
  <c r="L410" i="34" s="1"/>
  <c r="J411" i="6"/>
  <c r="J411" i="34" s="1"/>
  <c r="G411" i="6"/>
  <c r="G411" i="34" s="1"/>
  <c r="J413" i="6"/>
  <c r="J413" i="34" s="1"/>
  <c r="K411" i="6"/>
  <c r="K411" i="34" s="1"/>
  <c r="J416" i="6"/>
  <c r="J416" i="34" s="1"/>
  <c r="I416" i="6"/>
  <c r="I416" i="34" s="1"/>
  <c r="L409" i="6"/>
  <c r="D412" i="6"/>
  <c r="D412" i="34" s="1"/>
  <c r="G409" i="6"/>
  <c r="L415" i="6"/>
  <c r="L415" i="34" s="1"/>
  <c r="L414" i="6"/>
  <c r="L414" i="34" s="1"/>
  <c r="C411" i="6"/>
  <c r="C411" i="34" s="1"/>
  <c r="E415" i="6"/>
  <c r="E415" i="34" s="1"/>
  <c r="L411" i="6"/>
  <c r="L411" i="34" s="1"/>
  <c r="I411" i="6"/>
  <c r="I411" i="34" s="1"/>
  <c r="E410" i="6"/>
  <c r="E410" i="34" s="1"/>
  <c r="F409" i="6"/>
  <c r="L413" i="6"/>
  <c r="L413" i="34" s="1"/>
  <c r="F402" i="6"/>
  <c r="F402" i="34" s="1"/>
  <c r="D400" i="6"/>
  <c r="D400" i="34" s="1"/>
  <c r="E404" i="6"/>
  <c r="E404" i="34" s="1"/>
  <c r="G404" i="6"/>
  <c r="G404" i="34" s="1"/>
  <c r="H400" i="6"/>
  <c r="H400" i="34" s="1"/>
  <c r="I401" i="6"/>
  <c r="I401" i="34" s="1"/>
  <c r="G401" i="6"/>
  <c r="G401" i="34" s="1"/>
  <c r="K400" i="6"/>
  <c r="K400" i="34" s="1"/>
  <c r="H402" i="6"/>
  <c r="H402" i="34" s="1"/>
  <c r="D404" i="6"/>
  <c r="D404" i="34" s="1"/>
  <c r="J404" i="6"/>
  <c r="J404" i="34" s="1"/>
  <c r="E402" i="6"/>
  <c r="E402" i="34" s="1"/>
  <c r="E401" i="6"/>
  <c r="E401" i="34" s="1"/>
  <c r="E400" i="6"/>
  <c r="E400" i="34" s="1"/>
  <c r="C400" i="6"/>
  <c r="C400" i="34" s="1"/>
  <c r="H407" i="6"/>
  <c r="H407" i="34" s="1"/>
  <c r="G400" i="6"/>
  <c r="G400" i="34" s="1"/>
  <c r="K405" i="6"/>
  <c r="K405" i="34" s="1"/>
  <c r="K407" i="6"/>
  <c r="K407" i="34" s="1"/>
  <c r="L407" i="6"/>
  <c r="L407" i="34" s="1"/>
  <c r="D401" i="6"/>
  <c r="D401" i="34" s="1"/>
  <c r="J401" i="6"/>
  <c r="J401" i="34" s="1"/>
  <c r="J406" i="6"/>
  <c r="J406" i="34" s="1"/>
  <c r="J407" i="6"/>
  <c r="J407" i="34" s="1"/>
  <c r="I405" i="6"/>
  <c r="I405" i="34" s="1"/>
  <c r="L403" i="6"/>
  <c r="L403" i="34" s="1"/>
  <c r="G405" i="6"/>
  <c r="G405" i="34" s="1"/>
  <c r="D407" i="6"/>
  <c r="D407" i="34" s="1"/>
  <c r="K401" i="6"/>
  <c r="K401" i="34" s="1"/>
  <c r="G406" i="6"/>
  <c r="G406" i="34" s="1"/>
  <c r="F404" i="6"/>
  <c r="F404" i="34" s="1"/>
  <c r="K406" i="6"/>
  <c r="K406" i="34" s="1"/>
  <c r="F406" i="6"/>
  <c r="F406" i="34" s="1"/>
  <c r="H405" i="6"/>
  <c r="H405" i="34" s="1"/>
  <c r="C407" i="6"/>
  <c r="C407" i="34" s="1"/>
  <c r="J403" i="6"/>
  <c r="J403" i="34" s="1"/>
  <c r="I407" i="6"/>
  <c r="I407" i="34" s="1"/>
  <c r="C401" i="6"/>
  <c r="C401" i="34" s="1"/>
  <c r="E407" i="6"/>
  <c r="E407" i="34" s="1"/>
  <c r="J405" i="6"/>
  <c r="J405" i="34" s="1"/>
  <c r="D403" i="6"/>
  <c r="D403" i="34" s="1"/>
  <c r="L401" i="6"/>
  <c r="L401" i="34" s="1"/>
  <c r="E405" i="6"/>
  <c r="E405" i="34" s="1"/>
  <c r="I406" i="6"/>
  <c r="I406" i="34" s="1"/>
  <c r="H401" i="6"/>
  <c r="H401" i="34" s="1"/>
  <c r="G403" i="6"/>
  <c r="G403" i="34" s="1"/>
  <c r="D406" i="6"/>
  <c r="D406" i="34" s="1"/>
  <c r="C405" i="6"/>
  <c r="C405" i="34" s="1"/>
  <c r="F407" i="6"/>
  <c r="F407" i="34" s="1"/>
  <c r="G402" i="6"/>
  <c r="G402" i="34" s="1"/>
  <c r="K404" i="6"/>
  <c r="K404" i="34" s="1"/>
  <c r="K402" i="6"/>
  <c r="K402" i="34" s="1"/>
  <c r="D405" i="6"/>
  <c r="D405" i="34" s="1"/>
  <c r="C406" i="6"/>
  <c r="C406" i="34" s="1"/>
  <c r="I404" i="6"/>
  <c r="I404" i="34" s="1"/>
  <c r="L404" i="6"/>
  <c r="L404" i="34" s="1"/>
  <c r="L405" i="6"/>
  <c r="L405" i="34" s="1"/>
  <c r="F403" i="6"/>
  <c r="F403" i="34" s="1"/>
  <c r="I403" i="6"/>
  <c r="I403" i="34" s="1"/>
  <c r="C402" i="6"/>
  <c r="C402" i="34" s="1"/>
  <c r="I402" i="6"/>
  <c r="I402" i="34" s="1"/>
  <c r="K403" i="6"/>
  <c r="K403" i="34" s="1"/>
  <c r="I400" i="6"/>
  <c r="I400" i="34" s="1"/>
  <c r="L402" i="6"/>
  <c r="L402" i="34" s="1"/>
  <c r="C403" i="6"/>
  <c r="C403" i="34" s="1"/>
  <c r="E406" i="6"/>
  <c r="E406" i="34" s="1"/>
  <c r="J402" i="6"/>
  <c r="J402" i="34" s="1"/>
  <c r="E403" i="6"/>
  <c r="E403" i="34" s="1"/>
  <c r="J400" i="6"/>
  <c r="J400" i="34" s="1"/>
  <c r="F405" i="6"/>
  <c r="F405" i="34" s="1"/>
  <c r="L400" i="6"/>
  <c r="L400" i="34" s="1"/>
  <c r="F401" i="6"/>
  <c r="F401" i="34" s="1"/>
  <c r="H403" i="6"/>
  <c r="H403" i="34" s="1"/>
  <c r="H406" i="6"/>
  <c r="H406" i="34" s="1"/>
  <c r="F400" i="6"/>
  <c r="F400" i="34" s="1"/>
  <c r="L406" i="6"/>
  <c r="L406" i="34" s="1"/>
  <c r="C404" i="6"/>
  <c r="C404" i="34" s="1"/>
  <c r="H404" i="6"/>
  <c r="H404" i="34" s="1"/>
  <c r="D402" i="6"/>
  <c r="D402" i="34" s="1"/>
  <c r="G407" i="6"/>
  <c r="G407" i="34" s="1"/>
  <c r="K417" i="6" l="1"/>
  <c r="K409" i="34"/>
  <c r="E417" i="6"/>
  <c r="E409" i="34"/>
  <c r="I417" i="6"/>
  <c r="I409" i="34"/>
  <c r="C417" i="6"/>
  <c r="C419" i="6" a="1"/>
  <c r="C409" i="34"/>
  <c r="F417" i="6"/>
  <c r="F409" i="34"/>
  <c r="G417" i="6"/>
  <c r="G409" i="34"/>
  <c r="D417" i="6"/>
  <c r="D409" i="34"/>
  <c r="H417" i="6"/>
  <c r="H409" i="34"/>
  <c r="L417" i="6"/>
  <c r="L409" i="34"/>
  <c r="J417" i="6"/>
  <c r="J409" i="34"/>
  <c r="F4" i="9" l="1"/>
  <c r="G417" i="34"/>
  <c r="F26" i="9" s="1"/>
  <c r="D425" i="6"/>
  <c r="D425" i="34" s="1"/>
  <c r="F425" i="6"/>
  <c r="F425" i="34" s="1"/>
  <c r="C425" i="6"/>
  <c r="C425" i="34" s="1"/>
  <c r="L421" i="6"/>
  <c r="L421" i="34" s="1"/>
  <c r="G420" i="6"/>
  <c r="G420" i="34" s="1"/>
  <c r="K424" i="6"/>
  <c r="K424" i="34" s="1"/>
  <c r="E425" i="6"/>
  <c r="E425" i="34" s="1"/>
  <c r="L422" i="6"/>
  <c r="L422" i="34" s="1"/>
  <c r="I423" i="6"/>
  <c r="I423" i="34" s="1"/>
  <c r="E424" i="6"/>
  <c r="E424" i="34" s="1"/>
  <c r="J425" i="6"/>
  <c r="J425" i="34" s="1"/>
  <c r="F424" i="6"/>
  <c r="F424" i="34" s="1"/>
  <c r="H423" i="6"/>
  <c r="H423" i="34" s="1"/>
  <c r="L424" i="6"/>
  <c r="L424" i="34" s="1"/>
  <c r="H421" i="6"/>
  <c r="H421" i="34" s="1"/>
  <c r="I421" i="6"/>
  <c r="I421" i="34" s="1"/>
  <c r="H425" i="6"/>
  <c r="H425" i="34" s="1"/>
  <c r="E423" i="6"/>
  <c r="E423" i="34" s="1"/>
  <c r="F420" i="6"/>
  <c r="F420" i="34" s="1"/>
  <c r="D426" i="6"/>
  <c r="D426" i="34" s="1"/>
  <c r="L423" i="6"/>
  <c r="L423" i="34" s="1"/>
  <c r="D422" i="6"/>
  <c r="D422" i="34" s="1"/>
  <c r="C424" i="6"/>
  <c r="C424" i="34" s="1"/>
  <c r="K425" i="6"/>
  <c r="K425" i="34" s="1"/>
  <c r="H420" i="6"/>
  <c r="H420" i="34" s="1"/>
  <c r="K421" i="6"/>
  <c r="K421" i="34" s="1"/>
  <c r="E419" i="6"/>
  <c r="I422" i="6"/>
  <c r="I422" i="34" s="1"/>
  <c r="G423" i="6"/>
  <c r="G423" i="34" s="1"/>
  <c r="H422" i="6"/>
  <c r="H422" i="34" s="1"/>
  <c r="F419" i="6"/>
  <c r="L426" i="6"/>
  <c r="L426" i="34" s="1"/>
  <c r="D423" i="6"/>
  <c r="D423" i="34" s="1"/>
  <c r="J426" i="6"/>
  <c r="J426" i="34" s="1"/>
  <c r="J422" i="6"/>
  <c r="J422" i="34" s="1"/>
  <c r="G424" i="6"/>
  <c r="G424" i="34" s="1"/>
  <c r="C421" i="6"/>
  <c r="C421" i="34" s="1"/>
  <c r="L425" i="6"/>
  <c r="L425" i="34" s="1"/>
  <c r="E426" i="6"/>
  <c r="E426" i="34" s="1"/>
  <c r="G421" i="6"/>
  <c r="G421" i="34" s="1"/>
  <c r="J420" i="6"/>
  <c r="J420" i="34" s="1"/>
  <c r="G419" i="6"/>
  <c r="L420" i="6"/>
  <c r="L420" i="34" s="1"/>
  <c r="J424" i="6"/>
  <c r="J424" i="34" s="1"/>
  <c r="C420" i="6"/>
  <c r="C420" i="34" s="1"/>
  <c r="K422" i="6"/>
  <c r="K422" i="34" s="1"/>
  <c r="K420" i="6"/>
  <c r="K420" i="34" s="1"/>
  <c r="C419" i="6"/>
  <c r="E420" i="6"/>
  <c r="E420" i="34" s="1"/>
  <c r="F422" i="6"/>
  <c r="F422" i="34" s="1"/>
  <c r="L419" i="6"/>
  <c r="G425" i="6"/>
  <c r="G425" i="34" s="1"/>
  <c r="K423" i="6"/>
  <c r="K423" i="34" s="1"/>
  <c r="I426" i="6"/>
  <c r="I426" i="34" s="1"/>
  <c r="D421" i="6"/>
  <c r="D421" i="34" s="1"/>
  <c r="E422" i="6"/>
  <c r="E422" i="34" s="1"/>
  <c r="H419" i="6"/>
  <c r="C423" i="6"/>
  <c r="C423" i="34" s="1"/>
  <c r="H424" i="6"/>
  <c r="H424" i="34" s="1"/>
  <c r="I424" i="6"/>
  <c r="I424" i="34" s="1"/>
  <c r="K426" i="6"/>
  <c r="K426" i="34" s="1"/>
  <c r="D424" i="6"/>
  <c r="D424" i="34" s="1"/>
  <c r="D419" i="6"/>
  <c r="I425" i="6"/>
  <c r="I425" i="34" s="1"/>
  <c r="K419" i="6"/>
  <c r="G422" i="6"/>
  <c r="G422" i="34" s="1"/>
  <c r="F426" i="6"/>
  <c r="F426" i="34" s="1"/>
  <c r="J421" i="6"/>
  <c r="J421" i="34" s="1"/>
  <c r="I420" i="6"/>
  <c r="I420" i="34" s="1"/>
  <c r="C422" i="6"/>
  <c r="C422" i="34" s="1"/>
  <c r="H426" i="6"/>
  <c r="H426" i="34" s="1"/>
  <c r="I419" i="6"/>
  <c r="D420" i="6"/>
  <c r="D420" i="34" s="1"/>
  <c r="C426" i="6"/>
  <c r="C426" i="34" s="1"/>
  <c r="J419" i="6"/>
  <c r="E421" i="6"/>
  <c r="E421" i="34" s="1"/>
  <c r="G426" i="6"/>
  <c r="G426" i="34" s="1"/>
  <c r="F423" i="6"/>
  <c r="F423" i="34" s="1"/>
  <c r="F421" i="6"/>
  <c r="F421" i="34" s="1"/>
  <c r="J423" i="6"/>
  <c r="J423" i="34" s="1"/>
  <c r="G4" i="9"/>
  <c r="H417" i="34"/>
  <c r="G26" i="9" s="1"/>
  <c r="C417" i="34"/>
  <c r="B26" i="9" s="1"/>
  <c r="B4" i="9"/>
  <c r="E417" i="34"/>
  <c r="D26" i="9" s="1"/>
  <c r="D4" i="9"/>
  <c r="I4" i="9"/>
  <c r="J417" i="34"/>
  <c r="I26" i="9" s="1"/>
  <c r="D417" i="34"/>
  <c r="C26" i="9" s="1"/>
  <c r="C4" i="9"/>
  <c r="E4" i="9"/>
  <c r="F417" i="34"/>
  <c r="E26" i="9" s="1"/>
  <c r="K4" i="9"/>
  <c r="L417" i="34"/>
  <c r="K26" i="9" s="1"/>
  <c r="H4" i="9"/>
  <c r="I417" i="34"/>
  <c r="H26" i="9" s="1"/>
  <c r="K417" i="34"/>
  <c r="J26" i="9" s="1"/>
  <c r="J4" i="9"/>
  <c r="G419" i="34" l="1"/>
  <c r="G427" i="6"/>
  <c r="K419" i="34"/>
  <c r="K427" i="6"/>
  <c r="H419" i="34"/>
  <c r="H427" i="6"/>
  <c r="I427" i="6"/>
  <c r="I419" i="34"/>
  <c r="C419" i="34"/>
  <c r="C427" i="6"/>
  <c r="C429" i="6" a="1"/>
  <c r="J427" i="6"/>
  <c r="J419" i="34"/>
  <c r="D419" i="34"/>
  <c r="D427" i="6"/>
  <c r="L419" i="34"/>
  <c r="L427" i="6"/>
  <c r="F427" i="6"/>
  <c r="F419" i="34"/>
  <c r="E427" i="6"/>
  <c r="E419" i="34"/>
  <c r="J427" i="34" l="1"/>
  <c r="I28" i="9" s="1"/>
  <c r="I6" i="9"/>
  <c r="K427" i="34"/>
  <c r="J28" i="9" s="1"/>
  <c r="J6" i="9"/>
  <c r="L429" i="6"/>
  <c r="D429" i="6"/>
  <c r="H430" i="6"/>
  <c r="H430" i="34" s="1"/>
  <c r="E434" i="6"/>
  <c r="E434" i="34" s="1"/>
  <c r="I436" i="6"/>
  <c r="I436" i="34" s="1"/>
  <c r="G429" i="6"/>
  <c r="J434" i="6"/>
  <c r="J434" i="34" s="1"/>
  <c r="C429" i="6"/>
  <c r="C435" i="6"/>
  <c r="K432" i="6"/>
  <c r="K432" i="34" s="1"/>
  <c r="H434" i="6"/>
  <c r="H434" i="34" s="1"/>
  <c r="G432" i="6"/>
  <c r="G432" i="34" s="1"/>
  <c r="D434" i="6"/>
  <c r="D434" i="34" s="1"/>
  <c r="E431" i="6"/>
  <c r="E431" i="34" s="1"/>
  <c r="D433" i="6"/>
  <c r="D433" i="34" s="1"/>
  <c r="J431" i="6"/>
  <c r="J431" i="34" s="1"/>
  <c r="K433" i="6"/>
  <c r="K433" i="34" s="1"/>
  <c r="I430" i="6"/>
  <c r="I430" i="34" s="1"/>
  <c r="J432" i="6"/>
  <c r="J432" i="34" s="1"/>
  <c r="J429" i="6"/>
  <c r="F434" i="6"/>
  <c r="F434" i="34" s="1"/>
  <c r="J430" i="6"/>
  <c r="J430" i="34" s="1"/>
  <c r="F433" i="6"/>
  <c r="F433" i="34" s="1"/>
  <c r="G431" i="6"/>
  <c r="G431" i="34" s="1"/>
  <c r="C434" i="6"/>
  <c r="L431" i="6"/>
  <c r="L431" i="34" s="1"/>
  <c r="L436" i="6"/>
  <c r="L436" i="34" s="1"/>
  <c r="H432" i="6"/>
  <c r="H432" i="34" s="1"/>
  <c r="F436" i="6"/>
  <c r="F436" i="34" s="1"/>
  <c r="G435" i="6"/>
  <c r="G435" i="34" s="1"/>
  <c r="F435" i="6"/>
  <c r="F435" i="34" s="1"/>
  <c r="E429" i="6"/>
  <c r="G434" i="6"/>
  <c r="G434" i="34" s="1"/>
  <c r="C430" i="6"/>
  <c r="C431" i="6"/>
  <c r="C436" i="6"/>
  <c r="E430" i="6"/>
  <c r="E430" i="34" s="1"/>
  <c r="D431" i="6"/>
  <c r="D431" i="34" s="1"/>
  <c r="I431" i="6"/>
  <c r="I431" i="34" s="1"/>
  <c r="L430" i="6"/>
  <c r="L430" i="34" s="1"/>
  <c r="I434" i="6"/>
  <c r="I434" i="34" s="1"/>
  <c r="G430" i="6"/>
  <c r="G430" i="34" s="1"/>
  <c r="H436" i="6"/>
  <c r="H436" i="34" s="1"/>
  <c r="E436" i="6"/>
  <c r="E436" i="34" s="1"/>
  <c r="K429" i="6"/>
  <c r="F430" i="6"/>
  <c r="F430" i="34" s="1"/>
  <c r="L435" i="6"/>
  <c r="L435" i="34" s="1"/>
  <c r="D436" i="6"/>
  <c r="D436" i="34" s="1"/>
  <c r="F432" i="6"/>
  <c r="F432" i="34" s="1"/>
  <c r="J435" i="6"/>
  <c r="J435" i="34" s="1"/>
  <c r="L434" i="6"/>
  <c r="L434" i="34" s="1"/>
  <c r="I435" i="6"/>
  <c r="I435" i="34" s="1"/>
  <c r="K431" i="6"/>
  <c r="K431" i="34" s="1"/>
  <c r="G436" i="6"/>
  <c r="G436" i="34" s="1"/>
  <c r="H429" i="6"/>
  <c r="D430" i="6"/>
  <c r="D430" i="34" s="1"/>
  <c r="K435" i="6"/>
  <c r="K435" i="34" s="1"/>
  <c r="L433" i="6"/>
  <c r="L433" i="34" s="1"/>
  <c r="H433" i="6"/>
  <c r="H433" i="34" s="1"/>
  <c r="E435" i="6"/>
  <c r="E435" i="34" s="1"/>
  <c r="C432" i="6"/>
  <c r="K430" i="6"/>
  <c r="K430" i="34" s="1"/>
  <c r="I433" i="6"/>
  <c r="I433" i="34" s="1"/>
  <c r="D435" i="6"/>
  <c r="D435" i="34" s="1"/>
  <c r="E433" i="6"/>
  <c r="E433" i="34" s="1"/>
  <c r="I432" i="6"/>
  <c r="I432" i="34" s="1"/>
  <c r="J436" i="6"/>
  <c r="J436" i="34" s="1"/>
  <c r="K434" i="6"/>
  <c r="K434" i="34" s="1"/>
  <c r="L432" i="6"/>
  <c r="L432" i="34" s="1"/>
  <c r="H435" i="6"/>
  <c r="H435" i="34" s="1"/>
  <c r="D432" i="6"/>
  <c r="D432" i="34" s="1"/>
  <c r="J433" i="6"/>
  <c r="J433" i="34" s="1"/>
  <c r="F431" i="6"/>
  <c r="F431" i="34" s="1"/>
  <c r="G433" i="6"/>
  <c r="G433" i="34" s="1"/>
  <c r="I429" i="6"/>
  <c r="E432" i="6"/>
  <c r="E432" i="34" s="1"/>
  <c r="H431" i="6"/>
  <c r="H431" i="34" s="1"/>
  <c r="C433" i="6"/>
  <c r="F429" i="6"/>
  <c r="K436" i="6"/>
  <c r="K436" i="34" s="1"/>
  <c r="G427" i="34"/>
  <c r="F28" i="9" s="1"/>
  <c r="F6" i="9"/>
  <c r="E427" i="34"/>
  <c r="D28" i="9" s="1"/>
  <c r="D6" i="9"/>
  <c r="C6" i="9"/>
  <c r="D427" i="34"/>
  <c r="C28" i="9" s="1"/>
  <c r="I427" i="34"/>
  <c r="H28" i="9" s="1"/>
  <c r="H6" i="9"/>
  <c r="F427" i="34"/>
  <c r="E28" i="9" s="1"/>
  <c r="E6" i="9"/>
  <c r="C427" i="34"/>
  <c r="B28" i="9" s="1"/>
  <c r="B6" i="9"/>
  <c r="H427" i="34"/>
  <c r="G28" i="9" s="1"/>
  <c r="G6" i="9"/>
  <c r="K6" i="9"/>
  <c r="L427" i="34"/>
  <c r="K28" i="9" s="1"/>
  <c r="M436" i="6" l="1"/>
  <c r="M436" i="34" s="1"/>
  <c r="C436" i="34"/>
  <c r="E437" i="6"/>
  <c r="E437" i="34" s="1"/>
  <c r="E429" i="34"/>
  <c r="J437" i="6"/>
  <c r="J437" i="34" s="1"/>
  <c r="J429" i="34"/>
  <c r="C437" i="6"/>
  <c r="M429" i="6"/>
  <c r="C429" i="34"/>
  <c r="F437" i="6"/>
  <c r="F437" i="34" s="1"/>
  <c r="F429" i="34"/>
  <c r="I437" i="6"/>
  <c r="I437" i="34" s="1"/>
  <c r="I429" i="34"/>
  <c r="H437" i="6"/>
  <c r="H437" i="34" s="1"/>
  <c r="H429" i="34"/>
  <c r="C431" i="34"/>
  <c r="M431" i="6"/>
  <c r="M431" i="34" s="1"/>
  <c r="M433" i="6"/>
  <c r="M433" i="34" s="1"/>
  <c r="C433" i="34"/>
  <c r="C430" i="34"/>
  <c r="M430" i="6"/>
  <c r="M430" i="34" s="1"/>
  <c r="G437" i="6"/>
  <c r="G437" i="34" s="1"/>
  <c r="G429" i="34"/>
  <c r="D437" i="6"/>
  <c r="D437" i="34" s="1"/>
  <c r="D429" i="34"/>
  <c r="M432" i="6"/>
  <c r="M432" i="34" s="1"/>
  <c r="C432" i="34"/>
  <c r="K437" i="6"/>
  <c r="K437" i="34" s="1"/>
  <c r="K429" i="34"/>
  <c r="C434" i="34"/>
  <c r="M434" i="6"/>
  <c r="M434" i="34" s="1"/>
  <c r="M435" i="6"/>
  <c r="M435" i="34" s="1"/>
  <c r="C435" i="34"/>
  <c r="L437" i="6"/>
  <c r="L437" i="34" s="1"/>
  <c r="L429" i="34"/>
  <c r="M429" i="34" l="1"/>
  <c r="M437" i="6"/>
  <c r="B8" i="9" a="1"/>
  <c r="C437" i="34"/>
  <c r="B30" i="9" s="1" a="1"/>
  <c r="B30" i="9" l="1"/>
  <c r="H30" i="9"/>
  <c r="I30" i="9"/>
  <c r="E30" i="9"/>
  <c r="D30" i="9"/>
  <c r="K30" i="9"/>
  <c r="F30" i="9"/>
  <c r="C30" i="9"/>
  <c r="J30" i="9"/>
  <c r="G30" i="9"/>
  <c r="G8" i="9"/>
  <c r="C8" i="9"/>
  <c r="B8" i="9"/>
  <c r="F8" i="9"/>
  <c r="K8" i="9"/>
  <c r="D8" i="9"/>
  <c r="H8" i="9"/>
  <c r="I8" i="9"/>
  <c r="E8" i="9"/>
  <c r="J8" i="9"/>
  <c r="M437" i="34"/>
  <c r="M438" i="6"/>
  <c r="L9" i="9" l="1"/>
  <c r="L12" i="9" s="1"/>
  <c r="M438" i="34"/>
  <c r="L31" i="9" s="1"/>
  <c r="L36" i="9" s="1"/>
  <c r="M442" i="6"/>
  <c r="M442" i="34" s="1"/>
  <c r="L8" i="9"/>
  <c r="L30" i="9"/>
  <c r="B33" i="57"/>
  <c r="B37" i="57"/>
  <c r="B34" i="57"/>
  <c r="B35" i="57"/>
  <c r="B36" i="57"/>
  <c r="B39" i="57"/>
  <c r="L34" i="9" l="1"/>
  <c r="D35" i="57"/>
  <c r="D39" i="57"/>
  <c r="D41" i="57"/>
  <c r="D36" i="57"/>
  <c r="D40" i="57"/>
  <c r="D37" i="57"/>
  <c r="D33" i="57"/>
  <c r="D34" i="57"/>
  <c r="F39" i="57" l="1"/>
  <c r="D42" i="57"/>
  <c r="L39" i="9"/>
</calcChain>
</file>

<file path=xl/comments1.xml><?xml version="1.0" encoding="utf-8"?>
<comments xmlns="http://schemas.openxmlformats.org/spreadsheetml/2006/main">
  <authors>
    <author>hopec</author>
    <author>Chris Hope</author>
    <author>Yumashev, Dmitry</author>
  </authors>
  <commentList>
    <comment ref="A4" authorId="0" shapeId="0">
      <text>
        <r>
          <rPr>
            <b/>
            <sz val="8"/>
            <color indexed="81"/>
            <rFont val="Tahoma"/>
            <family val="2"/>
          </rPr>
          <t>hopec:</t>
        </r>
        <r>
          <rPr>
            <sz val="8"/>
            <color indexed="81"/>
            <rFont val="Tahoma"/>
            <family val="2"/>
          </rPr>
          <t xml:space="preserve">
Only analysis years before the last will work.</t>
        </r>
      </text>
    </comment>
    <comment ref="A11" authorId="1" shapeId="0">
      <text>
        <r>
          <rPr>
            <b/>
            <sz val="8"/>
            <color indexed="81"/>
            <rFont val="Tahoma"/>
            <family val="2"/>
          </rPr>
          <t>Chris Hope:</t>
        </r>
        <r>
          <rPr>
            <sz val="8"/>
            <color indexed="81"/>
            <rFont val="Tahoma"/>
            <family val="2"/>
          </rPr>
          <t xml:space="preserve">
Absolute value of EMUC. Used in equity weights</t>
        </r>
      </text>
    </comment>
    <comment ref="E12" authorId="0" shapeId="0">
      <text>
        <r>
          <rPr>
            <b/>
            <sz val="8"/>
            <color indexed="81"/>
            <rFont val="Tahoma"/>
            <family val="2"/>
          </rPr>
          <t>hopec:</t>
        </r>
        <r>
          <rPr>
            <sz val="8"/>
            <color indexed="81"/>
            <rFont val="Tahoma"/>
            <family val="2"/>
          </rPr>
          <t xml:space="preserve">
PFCs, HFC and SF6. Sometimes known as High GWP gases.</t>
        </r>
      </text>
    </comment>
    <comment ref="B13" authorId="1" shapeId="0">
      <text>
        <r>
          <rPr>
            <b/>
            <sz val="8"/>
            <color indexed="81"/>
            <rFont val="Tahoma"/>
            <family val="2"/>
          </rPr>
          <t>Chris Hope:</t>
        </r>
        <r>
          <rPr>
            <sz val="8"/>
            <color indexed="81"/>
            <rFont val="Tahoma"/>
            <family val="2"/>
          </rPr>
          <t xml:space="preserve">
As in PAGE2002.
IPCC TAR WGI, p358.
</t>
        </r>
      </text>
    </comment>
    <comment ref="C13" authorId="1" shapeId="0">
      <text>
        <r>
          <rPr>
            <b/>
            <sz val="8"/>
            <color indexed="81"/>
            <rFont val="Tahoma"/>
            <family val="2"/>
          </rPr>
          <t>Chris Hope:</t>
        </r>
        <r>
          <rPr>
            <sz val="8"/>
            <color indexed="81"/>
            <rFont val="Tahoma"/>
            <family val="2"/>
          </rPr>
          <t xml:space="preserve">
As in PAGE2002.
IPCC TAR WGI, p358.
</t>
        </r>
      </text>
    </comment>
    <comment ref="D13" authorId="1" shapeId="0">
      <text>
        <r>
          <rPr>
            <b/>
            <sz val="8"/>
            <color indexed="81"/>
            <rFont val="Tahoma"/>
            <family val="2"/>
          </rPr>
          <t>Chris Hope:</t>
        </r>
        <r>
          <rPr>
            <sz val="8"/>
            <color indexed="81"/>
            <rFont val="Tahoma"/>
            <family val="2"/>
          </rPr>
          <t xml:space="preserve">
IPCC TAR WGI, p358.</t>
        </r>
      </text>
    </comment>
    <comment ref="E13" authorId="1" shapeId="0">
      <text>
        <r>
          <rPr>
            <b/>
            <sz val="8"/>
            <color indexed="81"/>
            <rFont val="Tahoma"/>
            <family val="2"/>
          </rPr>
          <t>Chris Hope:</t>
        </r>
        <r>
          <rPr>
            <sz val="8"/>
            <color indexed="81"/>
            <rFont val="Tahoma"/>
            <family val="2"/>
          </rPr>
          <t xml:space="preserve">
Not naturally occuring. IPCC TAR WGI, p358.</t>
        </r>
      </text>
    </comment>
    <comment ref="B14" authorId="1" shapeId="0">
      <text>
        <r>
          <rPr>
            <b/>
            <sz val="8"/>
            <color indexed="81"/>
            <rFont val="Tahoma"/>
            <family val="2"/>
          </rPr>
          <t>Chris Hope:</t>
        </r>
        <r>
          <rPr>
            <sz val="8"/>
            <color indexed="81"/>
            <rFont val="Tahoma"/>
            <family val="2"/>
          </rPr>
          <t xml:space="preserve">
As in PAGE2002.</t>
        </r>
      </text>
    </comment>
    <comment ref="C14" authorId="1" shapeId="0">
      <text>
        <r>
          <rPr>
            <b/>
            <sz val="8"/>
            <color indexed="81"/>
            <rFont val="Tahoma"/>
            <family val="2"/>
          </rPr>
          <t xml:space="preserve">Chris Hope:
</t>
        </r>
        <r>
          <rPr>
            <sz val="8"/>
            <color indexed="81"/>
            <rFont val="Tahoma"/>
            <family val="2"/>
          </rPr>
          <t xml:space="preserve">As in PAGE2002,
IPCC TAR WGI, p250.
</t>
        </r>
      </text>
    </comment>
    <comment ref="D14" authorId="1" shapeId="0">
      <text>
        <r>
          <rPr>
            <b/>
            <sz val="8"/>
            <color indexed="81"/>
            <rFont val="Tahoma"/>
            <family val="2"/>
          </rPr>
          <t>Chris Hope:</t>
        </r>
        <r>
          <rPr>
            <sz val="8"/>
            <color indexed="81"/>
            <rFont val="Tahoma"/>
            <family val="2"/>
          </rPr>
          <t xml:space="preserve">
Emissions are for N2O, so same molecular weight as CO2.</t>
        </r>
      </text>
    </comment>
    <comment ref="E14" authorId="1" shapeId="0">
      <text>
        <r>
          <rPr>
            <b/>
            <sz val="8"/>
            <color indexed="81"/>
            <rFont val="Tahoma"/>
            <family val="2"/>
          </rPr>
          <t>Chris Hope:</t>
        </r>
        <r>
          <rPr>
            <sz val="8"/>
            <color indexed="81"/>
            <rFont val="Tahoma"/>
            <family val="2"/>
          </rPr>
          <t xml:space="preserve">
Assume 5 times the density, 20000 GWP approx. 
IPCC TAR WGI p388-389.
Gives the right ball-park results for 2100 in A2 scenario.</t>
        </r>
      </text>
    </comment>
    <comment ref="A15" authorId="1" shapeId="0">
      <text>
        <r>
          <rPr>
            <b/>
            <sz val="8"/>
            <color indexed="81"/>
            <rFont val="Tahoma"/>
            <family val="2"/>
          </rPr>
          <t>Chris Hope:</t>
        </r>
        <r>
          <rPr>
            <sz val="8"/>
            <color indexed="81"/>
            <rFont val="Tahoma"/>
            <family val="2"/>
          </rPr>
          <t xml:space="preserve">
FSLOPE</t>
        </r>
      </text>
    </comment>
    <comment ref="B15" authorId="1" shapeId="0">
      <text>
        <r>
          <rPr>
            <b/>
            <sz val="8"/>
            <color indexed="81"/>
            <rFont val="Tahoma"/>
            <family val="2"/>
          </rPr>
          <t>Chris Hope:</t>
        </r>
        <r>
          <rPr>
            <sz val="8"/>
            <color indexed="81"/>
            <rFont val="Tahoma"/>
            <family val="2"/>
          </rPr>
          <t xml:space="preserve">
To match MAGICC TCR results from Andrews and Allen, 2008
</t>
        </r>
      </text>
    </comment>
    <comment ref="C15" authorId="1" shapeId="0">
      <text>
        <r>
          <rPr>
            <b/>
            <sz val="8"/>
            <color indexed="81"/>
            <rFont val="Tahoma"/>
            <family val="2"/>
          </rPr>
          <t>Chris Hope:</t>
        </r>
        <r>
          <rPr>
            <sz val="8"/>
            <color indexed="81"/>
            <rFont val="Tahoma"/>
            <family val="2"/>
          </rPr>
          <t xml:space="preserve">
As in PAGE2002.
Gives a good simulation of scenario A2 in IPCC TAR WGI, p818 augmented by indirect effects. </t>
        </r>
      </text>
    </comment>
    <comment ref="D15" authorId="1" shapeId="0">
      <text>
        <r>
          <rPr>
            <b/>
            <sz val="8"/>
            <color indexed="81"/>
            <rFont val="Tahoma"/>
            <family val="2"/>
          </rPr>
          <t>Chris Hope:</t>
        </r>
        <r>
          <rPr>
            <sz val="8"/>
            <color indexed="81"/>
            <rFont val="Tahoma"/>
            <family val="2"/>
          </rPr>
          <t xml:space="preserve">
IPCC TAR WGI, p358.</t>
        </r>
      </text>
    </comment>
    <comment ref="E15" authorId="1" shapeId="0">
      <text>
        <r>
          <rPr>
            <b/>
            <sz val="8"/>
            <color indexed="81"/>
            <rFont val="Tahoma"/>
            <family val="2"/>
          </rPr>
          <t>Chris Hope:</t>
        </r>
        <r>
          <rPr>
            <sz val="8"/>
            <color indexed="81"/>
            <rFont val="Tahoma"/>
            <family val="2"/>
          </rPr>
          <t xml:space="preserve">
IPCC TAR WGI, p389. Rough average of the species.</t>
        </r>
      </text>
    </comment>
    <comment ref="C16" authorId="1" shapeId="0">
      <text>
        <r>
          <rPr>
            <b/>
            <sz val="8"/>
            <color indexed="81"/>
            <rFont val="Tahoma"/>
            <family val="2"/>
          </rPr>
          <t>Chris Hope:</t>
        </r>
        <r>
          <rPr>
            <sz val="8"/>
            <color indexed="81"/>
            <rFont val="Tahoma"/>
            <family val="2"/>
          </rPr>
          <t xml:space="preserve">
Not temperature dependent</t>
        </r>
      </text>
    </comment>
    <comment ref="D16" authorId="1" shapeId="0">
      <text>
        <r>
          <rPr>
            <b/>
            <sz val="8"/>
            <color indexed="81"/>
            <rFont val="Tahoma"/>
            <family val="2"/>
          </rPr>
          <t>Chris Hope:</t>
        </r>
        <r>
          <rPr>
            <sz val="8"/>
            <color indexed="81"/>
            <rFont val="Tahoma"/>
            <family val="2"/>
          </rPr>
          <t xml:space="preserve">
Not temperature dependent</t>
        </r>
      </text>
    </comment>
    <comment ref="E16" authorId="1" shapeId="0">
      <text>
        <r>
          <rPr>
            <b/>
            <sz val="8"/>
            <color indexed="81"/>
            <rFont val="Tahoma"/>
            <family val="2"/>
          </rPr>
          <t>Chris Hope:</t>
        </r>
        <r>
          <rPr>
            <sz val="8"/>
            <color indexed="81"/>
            <rFont val="Tahoma"/>
            <family val="2"/>
          </rPr>
          <t xml:space="preserve">
Not temperature dependent</t>
        </r>
      </text>
    </comment>
    <comment ref="C17" authorId="1" shapeId="0">
      <text>
        <r>
          <rPr>
            <b/>
            <sz val="8"/>
            <color indexed="81"/>
            <rFont val="Tahoma"/>
            <family val="2"/>
          </rPr>
          <t>Chris Hope:</t>
        </r>
        <r>
          <rPr>
            <sz val="8"/>
            <color indexed="81"/>
            <rFont val="Tahoma"/>
            <family val="2"/>
          </rPr>
          <t xml:space="preserve">
All emissions get into atmosphere</t>
        </r>
      </text>
    </comment>
    <comment ref="D17" authorId="1" shapeId="0">
      <text>
        <r>
          <rPr>
            <b/>
            <sz val="8"/>
            <color indexed="81"/>
            <rFont val="Tahoma"/>
            <family val="2"/>
          </rPr>
          <t>Chris Hope:</t>
        </r>
        <r>
          <rPr>
            <sz val="8"/>
            <color indexed="81"/>
            <rFont val="Tahoma"/>
            <family val="2"/>
          </rPr>
          <t xml:space="preserve">
All emissions get into atmosphere</t>
        </r>
      </text>
    </comment>
    <comment ref="E17" authorId="1" shapeId="0">
      <text>
        <r>
          <rPr>
            <b/>
            <sz val="8"/>
            <color indexed="81"/>
            <rFont val="Tahoma"/>
            <family val="2"/>
          </rPr>
          <t>Chris Hope:</t>
        </r>
        <r>
          <rPr>
            <sz val="8"/>
            <color indexed="81"/>
            <rFont val="Tahoma"/>
            <family val="2"/>
          </rPr>
          <t xml:space="preserve">
All emissions get into atmosphere</t>
        </r>
      </text>
    </comment>
    <comment ref="A18" authorId="1" shapeId="0">
      <text>
        <r>
          <rPr>
            <b/>
            <sz val="8"/>
            <color indexed="81"/>
            <rFont val="Tahoma"/>
            <family val="2"/>
          </rPr>
          <t>Chris Hope:</t>
        </r>
        <r>
          <rPr>
            <sz val="8"/>
            <color indexed="81"/>
            <rFont val="Tahoma"/>
            <family val="2"/>
          </rPr>
          <t xml:space="preserve">
Characterisic time of atmospheric residence.</t>
        </r>
      </text>
    </comment>
    <comment ref="C18" authorId="1" shapeId="0">
      <text>
        <r>
          <rPr>
            <b/>
            <sz val="8"/>
            <color indexed="81"/>
            <rFont val="Tahoma"/>
            <family val="2"/>
          </rPr>
          <t>Chris Hope:</t>
        </r>
        <r>
          <rPr>
            <sz val="8"/>
            <color indexed="81"/>
            <rFont val="Tahoma"/>
            <family val="2"/>
          </rPr>
          <t xml:space="preserve">
As in PAGE2002.
IPCC TAR WGI, p247 gives 12 years, but this gives too high concentrations in A2 marker scenario.
</t>
        </r>
      </text>
    </comment>
    <comment ref="D18" authorId="1" shapeId="0">
      <text>
        <r>
          <rPr>
            <b/>
            <sz val="8"/>
            <color indexed="81"/>
            <rFont val="Tahoma"/>
            <family val="2"/>
          </rPr>
          <t>Chris Hope:</t>
        </r>
        <r>
          <rPr>
            <sz val="8"/>
            <color indexed="81"/>
            <rFont val="Tahoma"/>
            <family val="2"/>
          </rPr>
          <t xml:space="preserve">
IPCC TAR WGI, p389</t>
        </r>
      </text>
    </comment>
    <comment ref="E18" authorId="1" shapeId="0">
      <text>
        <r>
          <rPr>
            <b/>
            <sz val="8"/>
            <color indexed="81"/>
            <rFont val="Tahoma"/>
            <family val="2"/>
          </rPr>
          <t>Chris Hope:</t>
        </r>
        <r>
          <rPr>
            <sz val="8"/>
            <color indexed="81"/>
            <rFont val="Tahoma"/>
            <family val="2"/>
          </rPr>
          <t xml:space="preserve">
IPCC TAR WGI, p389. Rough average of the species.</t>
        </r>
      </text>
    </comment>
    <comment ref="B19" authorId="2" shapeId="0">
      <text>
        <r>
          <rPr>
            <b/>
            <sz val="9"/>
            <color indexed="81"/>
            <rFont val="Tahoma"/>
            <family val="2"/>
          </rPr>
          <t>Yumashev, Dmitry:</t>
        </r>
        <r>
          <rPr>
            <sz val="9"/>
            <color indexed="81"/>
            <rFont val="Tahoma"/>
            <family val="2"/>
          </rPr>
          <t xml:space="preserve">
Annual means for NOAA and SCRIPPS data: https://www.co2.earth/monthly-co2</t>
        </r>
      </text>
    </comment>
    <comment ref="C19" authorId="1" shapeId="0">
      <text>
        <r>
          <rPr>
            <b/>
            <sz val="8"/>
            <color indexed="81"/>
            <rFont val="Tahoma"/>
            <family val="2"/>
          </rPr>
          <t>Chris Hope:</t>
        </r>
        <r>
          <rPr>
            <sz val="8"/>
            <color indexed="81"/>
            <rFont val="Tahoma"/>
            <family val="2"/>
          </rPr>
          <t xml:space="preserve">
https://www.ipcc.ch/pdf/assessment-report/ar5/wg1/WGIAR5_SPM_brochure_en.pdf
</t>
        </r>
      </text>
    </comment>
    <comment ref="D19" authorId="1" shapeId="0">
      <text>
        <r>
          <rPr>
            <b/>
            <sz val="8"/>
            <color indexed="81"/>
            <rFont val="Tahoma"/>
            <family val="2"/>
          </rPr>
          <t>Chris Hope:</t>
        </r>
        <r>
          <rPr>
            <sz val="8"/>
            <color indexed="81"/>
            <rFont val="Tahoma"/>
            <family val="2"/>
          </rPr>
          <t xml:space="preserve">
https://www.ipcc.ch/pdf/assessment-report/ar5/wg1/WGIAR5_SPM_brochure_en.pdf
</t>
        </r>
      </text>
    </comment>
    <comment ref="E19" authorId="1" shapeId="0">
      <text>
        <r>
          <rPr>
            <b/>
            <sz val="8"/>
            <color indexed="81"/>
            <rFont val="Tahoma"/>
            <family val="2"/>
          </rPr>
          <t>Chris Hope:</t>
        </r>
        <r>
          <rPr>
            <sz val="8"/>
            <color indexed="81"/>
            <rFont val="Tahoma"/>
            <family val="2"/>
          </rPr>
          <t xml:space="preserve">
IPCC TAR WGI, p244.</t>
        </r>
      </text>
    </comment>
    <comment ref="B20" authorId="2" shapeId="0">
      <text>
        <r>
          <rPr>
            <b/>
            <sz val="9"/>
            <color indexed="81"/>
            <rFont val="Tahoma"/>
            <family val="2"/>
          </rPr>
          <t>Yumashev, Dmitry:</t>
        </r>
        <r>
          <rPr>
            <sz val="9"/>
            <color indexed="81"/>
            <rFont val="Tahoma"/>
            <family val="2"/>
          </rPr>
          <t xml:space="preserve">
http://www.metoffice.gov.uk/research/news/2016/the-global-carbon-budget-2016</t>
        </r>
      </text>
    </comment>
    <comment ref="B21" authorId="1" shapeId="0">
      <text>
        <r>
          <rPr>
            <b/>
            <sz val="8"/>
            <color indexed="81"/>
            <rFont val="Tahoma"/>
            <family val="2"/>
          </rPr>
          <t>Chris Hope:</t>
        </r>
        <r>
          <rPr>
            <sz val="8"/>
            <color indexed="81"/>
            <rFont val="Tahoma"/>
            <family val="2"/>
          </rPr>
          <t xml:space="preserve">
From IPCC AR5 WG1 SPM5</t>
        </r>
      </text>
    </comment>
    <comment ref="C21" authorId="1" shapeId="0">
      <text>
        <r>
          <rPr>
            <b/>
            <sz val="8"/>
            <color indexed="81"/>
            <rFont val="Tahoma"/>
            <family val="2"/>
          </rPr>
          <t>Chris Hope:</t>
        </r>
        <r>
          <rPr>
            <sz val="8"/>
            <color indexed="81"/>
            <rFont val="Tahoma"/>
            <family val="2"/>
          </rPr>
          <t xml:space="preserve">
From IPCC AR5 WG1 SPM5. Concentration based forcing only.</t>
        </r>
      </text>
    </comment>
    <comment ref="D21" authorId="1" shapeId="0">
      <text>
        <r>
          <rPr>
            <b/>
            <sz val="8"/>
            <color indexed="81"/>
            <rFont val="Tahoma"/>
            <family val="2"/>
          </rPr>
          <t>Chris Hope:</t>
        </r>
        <r>
          <rPr>
            <sz val="8"/>
            <color indexed="81"/>
            <rFont val="Tahoma"/>
            <family val="2"/>
          </rPr>
          <t xml:space="preserve">
From IPCC AR5 WG1 SPM5</t>
        </r>
      </text>
    </comment>
    <comment ref="E21" authorId="1" shapeId="0">
      <text>
        <r>
          <rPr>
            <b/>
            <sz val="8"/>
            <color indexed="81"/>
            <rFont val="Tahoma"/>
            <family val="2"/>
          </rPr>
          <t>Chris Hope:</t>
        </r>
        <r>
          <rPr>
            <sz val="8"/>
            <color indexed="81"/>
            <rFont val="Tahoma"/>
            <family val="2"/>
          </rPr>
          <t xml:space="preserve">
IPCC TAR WGI p819-821. A1B marker scenario interpolated for 2008.</t>
        </r>
      </text>
    </comment>
    <comment ref="B23" authorId="1" shapeId="0">
      <text>
        <r>
          <rPr>
            <b/>
            <sz val="8"/>
            <color indexed="81"/>
            <rFont val="Tahoma"/>
            <family val="2"/>
          </rPr>
          <t>Chris Hope:</t>
        </r>
        <r>
          <rPr>
            <sz val="8"/>
            <color indexed="81"/>
            <rFont val="Tahoma"/>
            <family val="2"/>
          </rPr>
          <t xml:space="preserve">
Base year from SRES A1B scenario Trop O3, BC Aerosols, OC aerosols, CFCs and HCFCs</t>
        </r>
      </text>
    </comment>
    <comment ref="C25" authorId="1" shapeId="0">
      <text>
        <r>
          <rPr>
            <b/>
            <sz val="8"/>
            <color indexed="81"/>
            <rFont val="Tahoma"/>
            <family val="2"/>
          </rPr>
          <t>Chris Hope:</t>
        </r>
        <r>
          <rPr>
            <sz val="8"/>
            <color indexed="81"/>
            <rFont val="Tahoma"/>
            <family val="2"/>
          </rPr>
          <t xml:space="preserve">
EU now EU27. EE reduced by same amount. LA now includes Antarctica. All others unchanged from from PAGE2002.
</t>
        </r>
      </text>
    </comment>
    <comment ref="D25" authorId="1" shapeId="0">
      <text>
        <r>
          <rPr>
            <b/>
            <sz val="8"/>
            <color indexed="81"/>
            <rFont val="Tahoma"/>
            <family val="2"/>
          </rPr>
          <t>Chris Hope:</t>
        </r>
        <r>
          <rPr>
            <sz val="8"/>
            <color indexed="81"/>
            <rFont val="Tahoma"/>
            <family val="2"/>
          </rPr>
          <t xml:space="preserve">
SSP2 from Nigel Arnell 27JA15
DY: Updated from $2005 to $2015 by multiplying by 1.2, US GDP deflator from the US Bureau of Economic Analysis as tabulated at http://www.multpl.com/gdp-deflator/table
</t>
        </r>
      </text>
    </comment>
    <comment ref="E25" authorId="1" shapeId="0">
      <text>
        <r>
          <rPr>
            <b/>
            <sz val="8"/>
            <color indexed="81"/>
            <rFont val="Tahoma"/>
            <family val="2"/>
          </rPr>
          <t>Chris Hope:</t>
        </r>
        <r>
          <rPr>
            <sz val="8"/>
            <color indexed="81"/>
            <rFont val="Tahoma"/>
            <family val="2"/>
          </rPr>
          <t xml:space="preserve">
SSP2 from Nigel Arnell 27JA15
</t>
        </r>
      </text>
    </comment>
    <comment ref="F25" authorId="2" shapeId="0">
      <text>
        <r>
          <rPr>
            <b/>
            <sz val="9"/>
            <color indexed="81"/>
            <rFont val="Tahoma"/>
            <family val="2"/>
          </rPr>
          <t>Yumashev, Dmitry:</t>
        </r>
        <r>
          <rPr>
            <sz val="9"/>
            <color indexed="81"/>
            <rFont val="Tahoma"/>
            <family val="2"/>
          </rPr>
          <t xml:space="preserve">
From Jimena Alvarez dissertation; average between RCP4.5 and RCP8.5 interpolated between 2010 and 2020.</t>
        </r>
      </text>
    </comment>
    <comment ref="G25" authorId="2" shapeId="0">
      <text>
        <r>
          <rPr>
            <b/>
            <sz val="9"/>
            <color indexed="81"/>
            <rFont val="Tahoma"/>
            <family val="2"/>
          </rPr>
          <t>Yumashev, Dmitry:</t>
        </r>
        <r>
          <rPr>
            <sz val="9"/>
            <color indexed="81"/>
            <rFont val="Tahoma"/>
            <family val="2"/>
          </rPr>
          <t xml:space="preserve">
From Jimena Alvarez dissertation; average between RCP4.5 and RCP8.5 interpolated between 2010 and 2020.</t>
        </r>
      </text>
    </comment>
    <comment ref="H25" authorId="2" shapeId="0">
      <text>
        <r>
          <rPr>
            <b/>
            <sz val="9"/>
            <color indexed="81"/>
            <rFont val="Tahoma"/>
            <family val="2"/>
          </rPr>
          <t>Yumashev, Dmitry:</t>
        </r>
        <r>
          <rPr>
            <sz val="9"/>
            <color indexed="81"/>
            <rFont val="Tahoma"/>
            <family val="2"/>
          </rPr>
          <t xml:space="preserve">
From Jimena Alvarez dissertation; average between RCP4.5 and RCP8.5 interpolated between 2010 and 2020.</t>
        </r>
      </text>
    </comment>
    <comment ref="I25" authorId="2" shapeId="0">
      <text>
        <r>
          <rPr>
            <b/>
            <sz val="9"/>
            <color indexed="81"/>
            <rFont val="Tahoma"/>
            <family val="2"/>
          </rPr>
          <t>Yumashev, Dmitry:</t>
        </r>
        <r>
          <rPr>
            <sz val="9"/>
            <color indexed="81"/>
            <rFont val="Tahoma"/>
            <family val="2"/>
          </rPr>
          <t xml:space="preserve">
From Jimena Alvarez dissertation; average between RCP4.5 and RCP8.5 interpolated between 2010 and 2020.</t>
        </r>
      </text>
    </comment>
    <comment ref="J25" authorId="2" shapeId="0">
      <text>
        <r>
          <rPr>
            <b/>
            <sz val="9"/>
            <color indexed="81"/>
            <rFont val="Tahoma"/>
            <family val="2"/>
          </rPr>
          <t>Yumashev, Dmitry:</t>
        </r>
        <r>
          <rPr>
            <sz val="9"/>
            <color indexed="81"/>
            <rFont val="Tahoma"/>
            <family val="2"/>
          </rPr>
          <t xml:space="preserve">
Average between RCP4.5 and RCP8.5 calculated in 2015 using Arctic-ready PAGE09</t>
        </r>
      </text>
    </comment>
    <comment ref="K25" authorId="1" shapeId="0">
      <text>
        <r>
          <rPr>
            <b/>
            <sz val="8"/>
            <color indexed="81"/>
            <rFont val="Tahoma"/>
            <family val="2"/>
          </rPr>
          <t>Chris Hope:</t>
        </r>
        <r>
          <rPr>
            <sz val="8"/>
            <color indexed="81"/>
            <rFont val="Tahoma"/>
            <family val="2"/>
          </rPr>
          <t xml:space="preserve">
As in PAGE2002.
Middle of range from IPCC TAR WGI, volcanoes and oceans, p296,averaged across the globe. Confirmed by implied range of 25 - 36 TgS for natural emissions in AR4 WG1, ch2, p160</t>
        </r>
      </text>
    </comment>
    <comment ref="L25" authorId="2" shapeId="0">
      <text>
        <r>
          <rPr>
            <b/>
            <sz val="9"/>
            <color indexed="81"/>
            <rFont val="Tahoma"/>
            <family val="2"/>
          </rPr>
          <t>Yumashev, Dmitry:</t>
        </r>
        <r>
          <rPr>
            <sz val="9"/>
            <color indexed="81"/>
            <rFont val="Tahoma"/>
            <family val="2"/>
          </rPr>
          <t xml:space="preserve">
Based on the CMIP5 amplification factor defined in 'Library data' and global mean temperature rise from IPCC AR5</t>
        </r>
      </text>
    </comment>
    <comment ref="A33" authorId="0" shapeId="0">
      <text>
        <r>
          <rPr>
            <b/>
            <sz val="8"/>
            <color indexed="81"/>
            <rFont val="Tahoma"/>
            <family val="2"/>
          </rPr>
          <t>hopec:</t>
        </r>
        <r>
          <rPr>
            <sz val="8"/>
            <color indexed="81"/>
            <rFont val="Tahoma"/>
            <family val="2"/>
          </rPr>
          <t xml:space="preserve">
includes Antarctica</t>
        </r>
      </text>
    </comment>
    <comment ref="F34" authorId="2" shapeId="0">
      <text>
        <r>
          <rPr>
            <b/>
            <sz val="9"/>
            <color indexed="81"/>
            <rFont val="Tahoma"/>
            <family val="2"/>
          </rPr>
          <t>Yumashev, Dmitry:</t>
        </r>
        <r>
          <rPr>
            <sz val="9"/>
            <color indexed="81"/>
            <rFont val="Tahoma"/>
            <family val="2"/>
          </rPr>
          <t xml:space="preserve">
Matches closely with the central 2015 estimates of 9.9 GtC fossil fuels + 1.3 GtC land use from https://www.metoffice.gov.uk/research/news/2016/the-global-carbon-budget-2016</t>
        </r>
      </text>
    </comment>
    <comment ref="I115" authorId="0" shapeId="0">
      <text>
        <r>
          <rPr>
            <b/>
            <sz val="8"/>
            <color indexed="81"/>
            <rFont val="Tahoma"/>
            <family val="2"/>
          </rPr>
          <t>hopec:</t>
        </r>
        <r>
          <rPr>
            <sz val="8"/>
            <color indexed="81"/>
            <rFont val="Tahoma"/>
            <family val="2"/>
          </rPr>
          <t xml:space="preserve">
Assumed small. Upper end of range from FUND in Warren et al, 2007.</t>
        </r>
      </text>
    </comment>
    <comment ref="I116" authorId="0" shapeId="0">
      <text>
        <r>
          <rPr>
            <b/>
            <sz val="8"/>
            <color indexed="81"/>
            <rFont val="Tahoma"/>
            <family val="2"/>
          </rPr>
          <t xml:space="preserve">hopec:
</t>
        </r>
        <r>
          <rPr>
            <sz val="8"/>
            <color indexed="81"/>
            <rFont val="Tahoma"/>
            <family val="2"/>
          </rPr>
          <t>http://ipcc-wg2.gov/AR5/images/uploads/WGIIAR5-Chap10_FGDall.pdf</t>
        </r>
        <r>
          <rPr>
            <b/>
            <sz val="8"/>
            <color indexed="81"/>
            <rFont val="Tahoma"/>
            <family val="2"/>
          </rPr>
          <t xml:space="preserve">
</t>
        </r>
        <r>
          <rPr>
            <sz val="8"/>
            <color indexed="81"/>
            <rFont val="Tahoma"/>
            <family val="2"/>
          </rPr>
          <t>Slightly broadened from range in PAGE09, which had range from Mastrandrea and FUND in Warren et al, 2007, assuming half of impacts are sea level, one-quarter economic, and one quarter non-economic. Mean total is about 2% of GDP.</t>
        </r>
      </text>
    </comment>
    <comment ref="I117" authorId="0" shapeId="0">
      <text>
        <r>
          <rPr>
            <b/>
            <sz val="8"/>
            <color indexed="81"/>
            <rFont val="Tahoma"/>
            <family val="2"/>
          </rPr>
          <t>hopec:</t>
        </r>
        <r>
          <rPr>
            <sz val="8"/>
            <color indexed="81"/>
            <rFont val="Tahoma"/>
            <family val="2"/>
          </rPr>
          <t xml:space="preserve">
From CCC and Ackerman et al.</t>
        </r>
      </text>
    </comment>
    <comment ref="I118" authorId="0" shapeId="0">
      <text>
        <r>
          <rPr>
            <b/>
            <sz val="8"/>
            <color indexed="81"/>
            <rFont val="Tahoma"/>
            <family val="2"/>
          </rPr>
          <t>hopec:</t>
        </r>
        <r>
          <rPr>
            <sz val="8"/>
            <color indexed="81"/>
            <rFont val="Tahoma"/>
            <family val="2"/>
          </rPr>
          <t xml:space="preserve">
Assume a bit less sensitive than sea level</t>
        </r>
      </text>
    </comment>
    <comment ref="I124" authorId="0" shapeId="0">
      <text>
        <r>
          <rPr>
            <b/>
            <sz val="8"/>
            <color indexed="81"/>
            <rFont val="Tahoma"/>
            <family val="2"/>
          </rPr>
          <t>hopec:</t>
        </r>
        <r>
          <rPr>
            <sz val="8"/>
            <color indexed="81"/>
            <rFont val="Tahoma"/>
            <family val="2"/>
          </rPr>
          <t xml:space="preserve">
Assume a bit less sensitive than sea level</t>
        </r>
      </text>
    </comment>
    <comment ref="A151" authorId="1" shapeId="0">
      <text>
        <r>
          <rPr>
            <b/>
            <sz val="8"/>
            <color indexed="81"/>
            <rFont val="Tahoma"/>
            <family val="2"/>
          </rPr>
          <t>Chris Hope:</t>
        </r>
        <r>
          <rPr>
            <sz val="8"/>
            <color indexed="81"/>
            <rFont val="Tahoma"/>
            <family val="2"/>
          </rPr>
          <t xml:space="preserve">
SSP2 from Nigel Arnell 27JA15
</t>
        </r>
      </text>
    </comment>
    <comment ref="A161" authorId="1" shapeId="0">
      <text>
        <r>
          <rPr>
            <b/>
            <sz val="8"/>
            <color indexed="81"/>
            <rFont val="Tahoma"/>
            <family val="2"/>
          </rPr>
          <t>Chris Hope:</t>
        </r>
        <r>
          <rPr>
            <sz val="8"/>
            <color indexed="81"/>
            <rFont val="Tahoma"/>
            <family val="2"/>
          </rPr>
          <t xml:space="preserve">
Consumption discount rates for costs.  Only used if equity switch for costs is set to zero.
Discount rates are ptp + elasticity of utility*per capita growth rates.</t>
        </r>
      </text>
    </comment>
    <comment ref="A184" authorId="1" shapeId="0">
      <text>
        <r>
          <rPr>
            <b/>
            <sz val="8"/>
            <color indexed="81"/>
            <rFont val="Tahoma"/>
            <family val="2"/>
          </rPr>
          <t>Chris Hope:</t>
        </r>
        <r>
          <rPr>
            <sz val="8"/>
            <color indexed="81"/>
            <rFont val="Tahoma"/>
            <family val="2"/>
          </rPr>
          <t xml:space="preserve">
SSP2 from Nigel Arnell 27JA15
</t>
        </r>
      </text>
    </comment>
    <comment ref="A194" authorId="1" shapeId="0">
      <text>
        <r>
          <rPr>
            <b/>
            <sz val="8"/>
            <color indexed="81"/>
            <rFont val="Tahoma"/>
            <family val="2"/>
          </rPr>
          <t>Chris Hope:</t>
        </r>
        <r>
          <rPr>
            <sz val="8"/>
            <color indexed="81"/>
            <rFont val="Tahoma"/>
            <family val="2"/>
          </rPr>
          <t xml:space="preserve">
Consumption discount rates for costs.  Only used if equity switch for costs is set to zero.
Discount rates are ptp + elasticity of utility*per capita growth rates.</t>
        </r>
      </text>
    </comment>
    <comment ref="A481" authorId="1" shapeId="0">
      <text>
        <r>
          <rPr>
            <b/>
            <sz val="8"/>
            <color indexed="81"/>
            <rFont val="Tahoma"/>
            <family val="2"/>
          </rPr>
          <t>Chris Hope:</t>
        </r>
        <r>
          <rPr>
            <sz val="8"/>
            <color indexed="81"/>
            <rFont val="Tahoma"/>
            <family val="2"/>
          </rPr>
          <t xml:space="preserve">
Sames as 2016r5low
Scaled from SRES A1B scenario using values supplied by Laila Gohar.</t>
        </r>
      </text>
    </comment>
    <comment ref="A531" authorId="1" shapeId="0">
      <text>
        <r>
          <rPr>
            <b/>
            <sz val="8"/>
            <color indexed="81"/>
            <rFont val="Tahoma"/>
            <family val="2"/>
          </rPr>
          <t>Chris Hope:</t>
        </r>
        <r>
          <rPr>
            <sz val="8"/>
            <color indexed="81"/>
            <rFont val="Tahoma"/>
            <family val="2"/>
          </rPr>
          <t xml:space="preserve">
Scaled from SRES A1B scenario using values supplied by Laila Gohar.</t>
        </r>
      </text>
    </comment>
    <comment ref="A581" authorId="1" shapeId="0">
      <text>
        <r>
          <rPr>
            <b/>
            <sz val="8"/>
            <color indexed="81"/>
            <rFont val="Tahoma"/>
            <family val="2"/>
          </rPr>
          <t>Chris Hope:</t>
        </r>
        <r>
          <rPr>
            <sz val="8"/>
            <color indexed="81"/>
            <rFont val="Tahoma"/>
            <family val="2"/>
          </rPr>
          <t xml:space="preserve">
From SRES A1B scenario Trop O3, BC Aerosols, OC aerosols, CFCs and HCFCs</t>
        </r>
      </text>
    </comment>
  </commentList>
</comments>
</file>

<file path=xl/comments2.xml><?xml version="1.0" encoding="utf-8"?>
<comments xmlns="http://schemas.openxmlformats.org/spreadsheetml/2006/main">
  <authors>
    <author>Yumashev, Dmitry</author>
    <author>Chris Hope</author>
    <author>hopec</author>
    <author>Windows User</author>
  </authors>
  <commentList>
    <comment ref="G4"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5"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6"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7"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8"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9" authorId="0" shapeId="0">
      <text>
        <r>
          <rPr>
            <b/>
            <sz val="9"/>
            <color indexed="81"/>
            <rFont val="Tahoma"/>
            <family val="2"/>
          </rPr>
          <t>Yumashev, Dmitry:</t>
        </r>
        <r>
          <rPr>
            <sz val="9"/>
            <color indexed="81"/>
            <rFont val="Tahoma"/>
            <family val="2"/>
          </rPr>
          <t xml:space="preserve">
4 terms fitting (with 
3 exponentials) of the multi-model CO2 pulse response simulations from Joos et al. (2013)</t>
        </r>
      </text>
    </comment>
    <comment ref="G10" authorId="0" shapeId="0">
      <text>
        <r>
          <rPr>
            <b/>
            <sz val="9"/>
            <color indexed="81"/>
            <rFont val="Tahoma"/>
            <family val="2"/>
          </rPr>
          <t xml:space="preserve">Yumashev, Dmitry:
</t>
        </r>
        <r>
          <rPr>
            <sz val="9"/>
            <color indexed="81"/>
            <rFont val="Tahoma"/>
            <family val="2"/>
          </rPr>
          <t>Downscaled significantly from PAGE09 to provide a better match for the MC-mean RF in 2100 under RCP2.6, 4.5 and 8.5 with a new CO2 cycle</t>
        </r>
      </text>
    </comment>
    <comment ref="G11" authorId="0" shapeId="0">
      <text>
        <r>
          <rPr>
            <b/>
            <sz val="9"/>
            <color indexed="81"/>
            <rFont val="Tahoma"/>
            <family val="2"/>
          </rPr>
          <t>Yumashev, Dmitry:</t>
        </r>
        <r>
          <rPr>
            <sz val="9"/>
            <color indexed="81"/>
            <rFont val="Tahoma"/>
            <family val="2"/>
          </rPr>
          <t xml:space="preserve">
Downscaled from PAGE09</t>
        </r>
      </text>
    </comment>
    <comment ref="G13" authorId="1" shapeId="0">
      <text>
        <r>
          <rPr>
            <b/>
            <sz val="8"/>
            <color indexed="81"/>
            <rFont val="Tahoma"/>
            <family val="2"/>
          </rPr>
          <t>Chris Hope:</t>
        </r>
        <r>
          <rPr>
            <sz val="8"/>
            <color indexed="81"/>
            <rFont val="Tahoma"/>
            <family val="2"/>
          </rPr>
          <t xml:space="preserve">
IPCC TAR WGI, p8-9.
Changed units from PAGE2002, but the same effect.</t>
        </r>
      </text>
    </comment>
    <comment ref="G14" authorId="1" shapeId="0">
      <text>
        <r>
          <rPr>
            <b/>
            <sz val="8"/>
            <color indexed="81"/>
            <rFont val="Tahoma"/>
            <family val="2"/>
          </rPr>
          <t>Chris Hope:</t>
        </r>
        <r>
          <rPr>
            <sz val="8"/>
            <color indexed="81"/>
            <rFont val="Tahoma"/>
            <family val="2"/>
          </rPr>
          <t xml:space="preserve">
To match base year global mean forcing of 0 to -1.3 W/m2, with a most likely value of -0.5 W/m2 from IPCC AR5 WG1 SPM5</t>
        </r>
      </text>
    </comment>
    <comment ref="G15" authorId="2" shapeId="0">
      <text>
        <r>
          <rPr>
            <b/>
            <sz val="8"/>
            <color indexed="81"/>
            <rFont val="Tahoma"/>
            <family val="2"/>
          </rPr>
          <t>hopec:</t>
        </r>
        <r>
          <rPr>
            <sz val="8"/>
            <color indexed="81"/>
            <rFont val="Tahoma"/>
            <family val="2"/>
          </rPr>
          <t xml:space="preserve">
From IPCC AR5 WGI fig SPM3</t>
        </r>
      </text>
    </comment>
    <comment ref="G16" authorId="2" shapeId="0">
      <text>
        <r>
          <rPr>
            <b/>
            <sz val="8"/>
            <color indexed="81"/>
            <rFont val="Tahoma"/>
            <family val="2"/>
          </rPr>
          <t>hopec:</t>
        </r>
        <r>
          <rPr>
            <sz val="8"/>
            <color indexed="81"/>
            <rFont val="Tahoma"/>
            <family val="2"/>
          </rPr>
          <t xml:space="preserve">
Consistent with Grinsted et al, 2009.</t>
        </r>
      </text>
    </comment>
    <comment ref="G17" authorId="2" shapeId="0">
      <text>
        <r>
          <rPr>
            <b/>
            <sz val="8"/>
            <color indexed="81"/>
            <rFont val="Tahoma"/>
            <family val="2"/>
          </rPr>
          <t>hopec:</t>
        </r>
        <r>
          <rPr>
            <sz val="8"/>
            <color indexed="81"/>
            <rFont val="Tahoma"/>
            <family val="2"/>
          </rPr>
          <t xml:space="preserve">
Consistent with Grinsted et al, 2009.</t>
        </r>
      </text>
    </comment>
    <comment ref="G18" authorId="2" shapeId="0">
      <text>
        <r>
          <rPr>
            <b/>
            <sz val="8"/>
            <color indexed="81"/>
            <rFont val="Tahoma"/>
            <family val="2"/>
          </rPr>
          <t>hopec:</t>
        </r>
        <r>
          <rPr>
            <sz val="8"/>
            <color indexed="81"/>
            <rFont val="Tahoma"/>
            <family val="2"/>
          </rPr>
          <t xml:space="preserve">
Consistent with Grinsted et al, 2009.</t>
        </r>
      </text>
    </comment>
    <comment ref="G20" authorId="2" shapeId="0">
      <text>
        <r>
          <rPr>
            <b/>
            <sz val="8"/>
            <color indexed="81"/>
            <rFont val="Tahoma"/>
            <family val="2"/>
          </rPr>
          <t>hopec:</t>
        </r>
        <r>
          <rPr>
            <sz val="8"/>
            <color indexed="81"/>
            <rFont val="Tahoma"/>
            <family val="2"/>
          </rPr>
          <t xml:space="preserve">
Adapted slightly from IPCC 4AR WGI p749, to make SENS compatible with current thinking.</t>
        </r>
      </text>
    </comment>
    <comment ref="G21" authorId="1" shapeId="0">
      <text>
        <r>
          <rPr>
            <b/>
            <sz val="8"/>
            <color indexed="81"/>
            <rFont val="Tahoma"/>
            <family val="2"/>
          </rPr>
          <t>Chris Hope:</t>
        </r>
        <r>
          <rPr>
            <sz val="8"/>
            <color indexed="81"/>
            <rFont val="Tahoma"/>
            <family val="2"/>
          </rPr>
          <t xml:space="preserve">
Reduced from PAGE09, to make SENS distribution compatible with current thinking.</t>
        </r>
      </text>
    </comment>
    <comment ref="B22" authorId="3" shapeId="0">
      <text>
        <r>
          <rPr>
            <b/>
            <sz val="9"/>
            <color indexed="81"/>
            <rFont val="Tahoma"/>
            <family val="2"/>
          </rPr>
          <t>Windows User:</t>
        </r>
        <r>
          <rPr>
            <sz val="9"/>
            <color indexed="81"/>
            <rFont val="Tahoma"/>
            <family val="2"/>
          </rPr>
          <t xml:space="preserve">
Calculated from TCR and FRT</t>
        </r>
      </text>
    </comment>
    <comment ref="G24"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5"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6"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7"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8"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29"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30"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31" authorId="0" shapeId="0">
      <text>
        <r>
          <rPr>
            <b/>
            <sz val="9"/>
            <color indexed="81"/>
            <rFont val="Tahoma"/>
            <family val="2"/>
          </rPr>
          <t>Yumashev, Dmitry:</t>
        </r>
        <r>
          <rPr>
            <sz val="9"/>
            <color indexed="81"/>
            <rFont val="Tahoma"/>
            <family val="2"/>
          </rPr>
          <t xml:space="preserve">
Based on CMIP5 data, ERA-INTERIM re-analysis and historic temperature record; computed by Fernando Iglesias-Suarez</t>
        </r>
      </text>
    </comment>
    <comment ref="G58" authorId="1" shapeId="0">
      <text>
        <r>
          <rPr>
            <b/>
            <sz val="8"/>
            <color indexed="81"/>
            <rFont val="Tahoma"/>
            <family val="2"/>
          </rPr>
          <t>Chris Hope:</t>
        </r>
        <r>
          <rPr>
            <sz val="8"/>
            <color indexed="81"/>
            <rFont val="Tahoma"/>
            <family val="2"/>
          </rPr>
          <t xml:space="preserve">
Fromhttps://www.ipcc.ch/pdf/assessment-report/ar5/wg1/WG1AR5_TS_FINAL.pdf</t>
        </r>
      </text>
    </comment>
    <comment ref="G59" authorId="1" shapeId="0">
      <text>
        <r>
          <rPr>
            <b/>
            <sz val="8"/>
            <color indexed="81"/>
            <rFont val="Tahoma"/>
            <family val="2"/>
          </rPr>
          <t>Chris Hope:</t>
        </r>
        <r>
          <rPr>
            <sz val="8"/>
            <color indexed="81"/>
            <rFont val="Tahoma"/>
            <family val="2"/>
          </rPr>
          <t xml:space="preserve">
From Ackerman et al</t>
        </r>
      </text>
    </comment>
    <comment ref="G63" authorId="2" shapeId="0">
      <text>
        <r>
          <rPr>
            <b/>
            <sz val="8"/>
            <color indexed="81"/>
            <rFont val="Tahoma"/>
            <family val="2"/>
          </rPr>
          <t>hopec:</t>
        </r>
        <r>
          <rPr>
            <sz val="8"/>
            <color indexed="81"/>
            <rFont val="Tahoma"/>
            <family val="2"/>
          </rPr>
          <t xml:space="preserve">
From Nicholls et al simulated in SL rise impacts.xls</t>
        </r>
      </text>
    </comment>
    <comment ref="G64" authorId="2" shapeId="0">
      <text>
        <r>
          <rPr>
            <b/>
            <sz val="8"/>
            <color indexed="81"/>
            <rFont val="Tahoma"/>
            <family val="2"/>
          </rPr>
          <t>hopec:</t>
        </r>
        <r>
          <rPr>
            <sz val="8"/>
            <color indexed="81"/>
            <rFont val="Tahoma"/>
            <family val="2"/>
          </rPr>
          <t xml:space="preserve">
Approximate best guess for a doubling of CO2 concentration.</t>
        </r>
      </text>
    </comment>
    <comment ref="G66" authorId="2" shapeId="0">
      <text>
        <r>
          <rPr>
            <b/>
            <sz val="8"/>
            <color indexed="81"/>
            <rFont val="Tahoma"/>
            <family val="2"/>
          </rPr>
          <t>hopec:</t>
        </r>
        <r>
          <rPr>
            <sz val="8"/>
            <color indexed="81"/>
            <rFont val="Tahoma"/>
            <family val="2"/>
          </rPr>
          <t xml:space="preserve">
From Nicholls et al simulated in SL rise impacts.xls</t>
        </r>
      </text>
    </comment>
    <comment ref="G67" authorId="2" shapeId="0">
      <text>
        <r>
          <rPr>
            <b/>
            <sz val="8"/>
            <color indexed="81"/>
            <rFont val="Tahoma"/>
            <family val="2"/>
          </rPr>
          <t>hopec:</t>
        </r>
        <r>
          <rPr>
            <sz val="8"/>
            <color indexed="81"/>
            <rFont val="Tahoma"/>
            <family val="2"/>
          </rPr>
          <t xml:space="preserve">
From Nicholls et al simulated in SL rise impacts.xls</t>
        </r>
      </text>
    </comment>
    <comment ref="G68" authorId="2" shapeId="0">
      <text>
        <r>
          <rPr>
            <b/>
            <sz val="8"/>
            <color indexed="81"/>
            <rFont val="Tahoma"/>
            <family val="2"/>
          </rPr>
          <t>hopec:</t>
        </r>
        <r>
          <rPr>
            <sz val="8"/>
            <color indexed="81"/>
            <rFont val="Tahoma"/>
            <family val="2"/>
          </rPr>
          <t xml:space="preserve">
From Nicholls et al simulated in SL rise impacts.xls</t>
        </r>
      </text>
    </comment>
    <comment ref="G69" authorId="2" shapeId="0">
      <text>
        <r>
          <rPr>
            <b/>
            <sz val="8"/>
            <color indexed="81"/>
            <rFont val="Tahoma"/>
            <family val="2"/>
          </rPr>
          <t>hopec:</t>
        </r>
        <r>
          <rPr>
            <sz val="8"/>
            <color indexed="81"/>
            <rFont val="Tahoma"/>
            <family val="2"/>
          </rPr>
          <t xml:space="preserve">
From Nicholls et al simulated in SL rise impacts.xls</t>
        </r>
      </text>
    </comment>
    <comment ref="G79" authorId="2" shapeId="0">
      <text>
        <r>
          <rPr>
            <b/>
            <sz val="8"/>
            <color indexed="81"/>
            <rFont val="Tahoma"/>
            <family val="2"/>
          </rPr>
          <t>hopec:</t>
        </r>
        <r>
          <rPr>
            <sz val="8"/>
            <color indexed="81"/>
            <rFont val="Tahoma"/>
            <family val="2"/>
          </rPr>
          <t xml:space="preserve">
Possibility of small benefit from health.</t>
        </r>
      </text>
    </comment>
    <comment ref="G80" authorId="2" shapeId="0">
      <text>
        <r>
          <rPr>
            <b/>
            <sz val="8"/>
            <color indexed="81"/>
            <rFont val="Tahoma"/>
            <family val="2"/>
          </rPr>
          <t xml:space="preserve">hopec:
</t>
        </r>
        <r>
          <rPr>
            <sz val="8"/>
            <color indexed="81"/>
            <rFont val="Tahoma"/>
            <family val="2"/>
          </rPr>
          <t>http://ipcc-wg2.gov/AR5/images/uploads/WGIIAR5-Chap10_FGDall.pdf</t>
        </r>
        <r>
          <rPr>
            <b/>
            <sz val="8"/>
            <color indexed="81"/>
            <rFont val="Tahoma"/>
            <family val="2"/>
          </rPr>
          <t xml:space="preserve">
</t>
        </r>
        <r>
          <rPr>
            <sz val="8"/>
            <color indexed="81"/>
            <rFont val="Tahoma"/>
            <family val="2"/>
          </rPr>
          <t>Slightly broadened from range in PAGE09, which had range from Mastrandrea and FUND in Warren et al, 2007, assuming half of impacts are sea level, one-quarter economic, and one quarter non-economic. Mean total is about 2% of GDP.</t>
        </r>
      </text>
    </comment>
    <comment ref="G81" authorId="2" shapeId="0">
      <text>
        <r>
          <rPr>
            <b/>
            <sz val="8"/>
            <color indexed="81"/>
            <rFont val="Tahoma"/>
            <family val="2"/>
          </rPr>
          <t>hopec:</t>
        </r>
        <r>
          <rPr>
            <sz val="8"/>
            <color indexed="81"/>
            <rFont val="Tahoma"/>
            <family val="2"/>
          </rPr>
          <t xml:space="preserve">
From CCC and Ackerman et al.</t>
        </r>
      </text>
    </comment>
    <comment ref="G82" authorId="2" shapeId="0">
      <text>
        <r>
          <rPr>
            <b/>
            <sz val="8"/>
            <color indexed="81"/>
            <rFont val="Tahoma"/>
            <family val="2"/>
          </rPr>
          <t>hopec:</t>
        </r>
        <r>
          <rPr>
            <sz val="8"/>
            <color indexed="81"/>
            <rFont val="Tahoma"/>
            <family val="2"/>
          </rPr>
          <t xml:space="preserve">
WTP for ecosystems higher at higher GDP/cap. Assume mirror image of economic.</t>
        </r>
      </text>
    </comment>
    <comment ref="G83" authorId="0" shapeId="0">
      <text>
        <r>
          <rPr>
            <b/>
            <sz val="9"/>
            <color indexed="81"/>
            <rFont val="Tahoma"/>
            <family val="2"/>
          </rPr>
          <t>Yumashev, Dmitry:</t>
        </r>
        <r>
          <rPr>
            <sz val="9"/>
            <color indexed="81"/>
            <rFont val="Tahoma"/>
            <family val="2"/>
          </rPr>
          <t xml:space="preserve">
Downscaled following introduction of fat-tail distributions in SLR </t>
        </r>
      </text>
    </comment>
    <comment ref="G84" authorId="2" shapeId="0">
      <text>
        <r>
          <rPr>
            <b/>
            <sz val="8"/>
            <color indexed="81"/>
            <rFont val="Tahoma"/>
            <family val="2"/>
          </rPr>
          <t>hopec:</t>
        </r>
        <r>
          <rPr>
            <sz val="8"/>
            <color indexed="81"/>
            <rFont val="Tahoma"/>
            <family val="2"/>
          </rPr>
          <t xml:space="preserve">
Assumed same as economic impacts.</t>
        </r>
      </text>
    </comment>
    <comment ref="G85" authorId="0" shapeId="0">
      <text>
        <r>
          <rPr>
            <b/>
            <sz val="9"/>
            <color indexed="81"/>
            <rFont val="Tahoma"/>
            <family val="2"/>
          </rPr>
          <t>Yumashev, Dmitry:</t>
        </r>
        <r>
          <rPr>
            <sz val="9"/>
            <color indexed="81"/>
            <rFont val="Tahoma"/>
            <family val="2"/>
          </rPr>
          <t xml:space="preserve">
Downscaled following introduction of fat-tail distributions in SLR. Updated on 29/08/2017</t>
        </r>
      </text>
    </comment>
    <comment ref="G86" authorId="0" shapeId="0">
      <text>
        <r>
          <rPr>
            <b/>
            <sz val="9"/>
            <color indexed="81"/>
            <rFont val="Tahoma"/>
            <family val="2"/>
          </rPr>
          <t>Yumashev, Dmitry:</t>
        </r>
        <r>
          <rPr>
            <sz val="9"/>
            <color indexed="81"/>
            <rFont val="Tahoma"/>
            <family val="2"/>
          </rPr>
          <t xml:space="preserve">
Reduced compared to PAGE09, with the upper limit of the order of the estimated US GDP loss at the height of the Great Depression in 1933</t>
        </r>
      </text>
    </comment>
    <comment ref="G87" authorId="2" shapeId="0">
      <text>
        <r>
          <rPr>
            <b/>
            <sz val="8"/>
            <color indexed="81"/>
            <rFont val="Tahoma"/>
            <family val="2"/>
          </rPr>
          <t>hopec:</t>
        </r>
        <r>
          <rPr>
            <sz val="8"/>
            <color indexed="81"/>
            <rFont val="Tahoma"/>
            <family val="2"/>
          </rPr>
          <t xml:space="preserve">
From Weitzman, which has 100 to 1000 times per capita annual consumption. </t>
        </r>
      </text>
    </comment>
    <comment ref="G89" authorId="2" shapeId="0">
      <text>
        <r>
          <rPr>
            <b/>
            <sz val="8"/>
            <color indexed="81"/>
            <rFont val="Tahoma"/>
            <family val="2"/>
          </rPr>
          <t>hopec:</t>
        </r>
        <r>
          <rPr>
            <sz val="8"/>
            <color indexed="81"/>
            <rFont val="Tahoma"/>
            <family val="2"/>
          </rPr>
          <t xml:space="preserve">
From Nicholls et al simulated in SL rise impacts.xls decreased slightly for other impacts than sea level.</t>
        </r>
      </text>
    </comment>
    <comment ref="G90" authorId="2" shapeId="0">
      <text>
        <r>
          <rPr>
            <b/>
            <sz val="8"/>
            <color indexed="81"/>
            <rFont val="Tahoma"/>
            <family val="2"/>
          </rPr>
          <t>hopec:</t>
        </r>
        <r>
          <rPr>
            <sz val="8"/>
            <color indexed="81"/>
            <rFont val="Tahoma"/>
            <family val="2"/>
          </rPr>
          <t xml:space="preserve">
From Nicholls et al simulated in SL rise impacts.xls</t>
        </r>
      </text>
    </comment>
    <comment ref="G91" authorId="2" shapeId="0">
      <text>
        <r>
          <rPr>
            <b/>
            <sz val="8"/>
            <color indexed="81"/>
            <rFont val="Tahoma"/>
            <family val="2"/>
          </rPr>
          <t>hopec:</t>
        </r>
        <r>
          <rPr>
            <sz val="8"/>
            <color indexed="81"/>
            <rFont val="Tahoma"/>
            <family val="2"/>
          </rPr>
          <t xml:space="preserve">
From Nicholls et al simulated in SL rise impacts.xls</t>
        </r>
      </text>
    </comment>
    <comment ref="G92" authorId="2" shapeId="0">
      <text>
        <r>
          <rPr>
            <b/>
            <sz val="8"/>
            <color indexed="81"/>
            <rFont val="Tahoma"/>
            <family val="2"/>
          </rPr>
          <t>hopec:</t>
        </r>
        <r>
          <rPr>
            <sz val="8"/>
            <color indexed="81"/>
            <rFont val="Tahoma"/>
            <family val="2"/>
          </rPr>
          <t xml:space="preserve">
From Nicholls et al simulated in SL rise impacts.xls</t>
        </r>
      </text>
    </comment>
    <comment ref="G93" authorId="2" shapeId="0">
      <text>
        <r>
          <rPr>
            <b/>
            <sz val="8"/>
            <color indexed="81"/>
            <rFont val="Tahoma"/>
            <family val="2"/>
          </rPr>
          <t>hopec:</t>
        </r>
        <r>
          <rPr>
            <sz val="8"/>
            <color indexed="81"/>
            <rFont val="Tahoma"/>
            <family val="2"/>
          </rPr>
          <t xml:space="preserve">
From Nicholls et al simulated in SL rise impacts.xls increased to allow for high existing temp.</t>
        </r>
      </text>
    </comment>
    <comment ref="G94" authorId="2" shapeId="0">
      <text>
        <r>
          <rPr>
            <b/>
            <sz val="8"/>
            <color indexed="81"/>
            <rFont val="Tahoma"/>
            <family val="2"/>
          </rPr>
          <t>hopec:</t>
        </r>
        <r>
          <rPr>
            <sz val="8"/>
            <color indexed="81"/>
            <rFont val="Tahoma"/>
            <family val="2"/>
          </rPr>
          <t xml:space="preserve">
From Nicholls et al simulated in SL rise impacts.xls increased for other impacts than sea level.</t>
        </r>
      </text>
    </comment>
    <comment ref="G95" authorId="2" shapeId="0">
      <text>
        <r>
          <rPr>
            <b/>
            <sz val="8"/>
            <color indexed="81"/>
            <rFont val="Tahoma"/>
            <family val="2"/>
          </rPr>
          <t>hopec:</t>
        </r>
        <r>
          <rPr>
            <sz val="8"/>
            <color indexed="81"/>
            <rFont val="Tahoma"/>
            <family val="2"/>
          </rPr>
          <t xml:space="preserve">
From Nicholls et al simulated in SL rise impacts.xls</t>
        </r>
      </text>
    </comment>
    <comment ref="G115" authorId="2" shapeId="0">
      <text>
        <r>
          <rPr>
            <b/>
            <sz val="8"/>
            <color indexed="81"/>
            <rFont val="Tahoma"/>
            <family val="2"/>
          </rPr>
          <t>hopec:</t>
        </r>
        <r>
          <rPr>
            <sz val="8"/>
            <color indexed="81"/>
            <rFont val="Tahoma"/>
            <family val="2"/>
          </rPr>
          <t xml:space="preserve">
Calibrated to coastal costs in IIED report.</t>
        </r>
      </text>
    </comment>
    <comment ref="G116" authorId="2" shapeId="0">
      <text>
        <r>
          <rPr>
            <b/>
            <sz val="8"/>
            <color indexed="81"/>
            <rFont val="Tahoma"/>
            <family val="2"/>
          </rPr>
          <t>hopec:</t>
        </r>
        <r>
          <rPr>
            <sz val="8"/>
            <color indexed="81"/>
            <rFont val="Tahoma"/>
            <family val="2"/>
          </rPr>
          <t xml:space="preserve">
Calibrated to coastal costs in IIED report.</t>
        </r>
      </text>
    </comment>
    <comment ref="G117" authorId="2" shapeId="0">
      <text>
        <r>
          <rPr>
            <b/>
            <sz val="8"/>
            <color indexed="81"/>
            <rFont val="Tahoma"/>
            <family val="2"/>
          </rPr>
          <t>hopec:</t>
        </r>
        <r>
          <rPr>
            <sz val="8"/>
            <color indexed="81"/>
            <rFont val="Tahoma"/>
            <family val="2"/>
          </rPr>
          <t xml:space="preserve">
Calibrated to give total costs of about $100 - $300 bn per year by 2030 as in IIED report.</t>
        </r>
      </text>
    </comment>
    <comment ref="G118" authorId="2" shapeId="0">
      <text>
        <r>
          <rPr>
            <b/>
            <sz val="8"/>
            <color indexed="81"/>
            <rFont val="Tahoma"/>
            <family val="2"/>
          </rPr>
          <t>hopec:</t>
        </r>
        <r>
          <rPr>
            <sz val="8"/>
            <color indexed="81"/>
            <rFont val="Tahoma"/>
            <family val="2"/>
          </rPr>
          <t xml:space="preserve">
Calibrated to give total costs of about $100 - $300 bn per year by 2030 as in IIED report.</t>
        </r>
      </text>
    </comment>
    <comment ref="G119" authorId="2" shapeId="0">
      <text>
        <r>
          <rPr>
            <b/>
            <sz val="8"/>
            <color indexed="81"/>
            <rFont val="Tahoma"/>
            <family val="2"/>
          </rPr>
          <t>hopec:</t>
        </r>
        <r>
          <rPr>
            <sz val="8"/>
            <color indexed="81"/>
            <rFont val="Tahoma"/>
            <family val="2"/>
          </rPr>
          <t xml:space="preserve">
Calibrated to ecosystem costs in IIED report.</t>
        </r>
      </text>
    </comment>
    <comment ref="G120" authorId="2" shapeId="0">
      <text>
        <r>
          <rPr>
            <b/>
            <sz val="8"/>
            <color indexed="81"/>
            <rFont val="Tahoma"/>
            <family val="2"/>
          </rPr>
          <t>hopec:</t>
        </r>
        <r>
          <rPr>
            <sz val="8"/>
            <color indexed="81"/>
            <rFont val="Tahoma"/>
            <family val="2"/>
          </rPr>
          <t xml:space="preserve">
Calibrated to ecosystem costs in IIED report.</t>
        </r>
      </text>
    </comment>
    <comment ref="G121" authorId="2" shapeId="0">
      <text>
        <r>
          <rPr>
            <b/>
            <sz val="8"/>
            <color indexed="81"/>
            <rFont val="Tahoma"/>
            <family val="2"/>
          </rPr>
          <t>hopec:</t>
        </r>
        <r>
          <rPr>
            <sz val="8"/>
            <color indexed="81"/>
            <rFont val="Tahoma"/>
            <family val="2"/>
          </rPr>
          <t xml:space="preserve">
All regional weights assumed the same as impact weights.</t>
        </r>
      </text>
    </comment>
    <comment ref="G131"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32" authorId="0" shapeId="0">
      <text>
        <r>
          <rPr>
            <b/>
            <sz val="9"/>
            <color indexed="81"/>
            <rFont val="Tahoma"/>
            <family val="2"/>
          </rPr>
          <t>Yumashev, Dmitry:</t>
        </r>
        <r>
          <rPr>
            <sz val="9"/>
            <color indexed="81"/>
            <rFont val="Tahoma"/>
            <family val="2"/>
          </rPr>
          <t xml:space="preserve">
Updated by Chris Hope on 11/05/2017</t>
        </r>
      </text>
    </comment>
    <comment ref="G133" authorId="0" shapeId="0">
      <text>
        <r>
          <rPr>
            <b/>
            <sz val="9"/>
            <color indexed="81"/>
            <rFont val="Tahoma"/>
            <family val="2"/>
          </rPr>
          <t>Yumashev, Dmitry:</t>
        </r>
        <r>
          <rPr>
            <sz val="9"/>
            <color indexed="81"/>
            <rFont val="Tahoma"/>
            <family val="2"/>
          </rPr>
          <t xml:space="preserve">
Updated by Chris Hope on 11/05/2017</t>
        </r>
      </text>
    </comment>
    <comment ref="G134" authorId="0" shapeId="0">
      <text>
        <r>
          <rPr>
            <b/>
            <sz val="9"/>
            <color indexed="81"/>
            <rFont val="Tahoma"/>
            <family val="2"/>
          </rPr>
          <t>Yumashev, Dmitry:</t>
        </r>
        <r>
          <rPr>
            <sz val="9"/>
            <color indexed="81"/>
            <rFont val="Tahoma"/>
            <family val="2"/>
          </rPr>
          <t xml:space="preserve">
Updated by Chris Hope on 11/05/2017</t>
        </r>
      </text>
    </comment>
    <comment ref="G135" authorId="0" shapeId="0">
      <text>
        <r>
          <rPr>
            <b/>
            <sz val="9"/>
            <color indexed="81"/>
            <rFont val="Tahoma"/>
            <family val="2"/>
          </rPr>
          <t>Yumashev, Dmitry:</t>
        </r>
        <r>
          <rPr>
            <sz val="9"/>
            <color indexed="81"/>
            <rFont val="Tahoma"/>
            <family val="2"/>
          </rPr>
          <t xml:space="preserve">
Updated by Chris Hope on 11/05/2017</t>
        </r>
      </text>
    </comment>
    <comment ref="G138"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45" authorId="0" shapeId="0">
      <text>
        <r>
          <rPr>
            <b/>
            <sz val="9"/>
            <color indexed="81"/>
            <rFont val="Tahoma"/>
            <family val="2"/>
          </rPr>
          <t>Yumashev, Dmitry:</t>
        </r>
        <r>
          <rPr>
            <sz val="9"/>
            <color indexed="81"/>
            <rFont val="Tahoma"/>
            <family val="2"/>
          </rPr>
          <t xml:space="preserve">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r>
      </text>
    </comment>
    <comment ref="G152" authorId="0" shapeId="0">
      <text>
        <r>
          <rPr>
            <b/>
            <sz val="9"/>
            <color indexed="81"/>
            <rFont val="Tahoma"/>
            <family val="2"/>
          </rPr>
          <t>Yumashev, Dmitry:</t>
        </r>
        <r>
          <rPr>
            <sz val="9"/>
            <color indexed="81"/>
            <rFont val="Tahoma"/>
            <family val="2"/>
          </rPr>
          <t xml:space="preserve"> This category of GHG has multiple components with no clear direction of change from RCP8.5 to RCP6.0 in 2100, so significant changes in both directions are possible. See the RCP Database, https://tntcat.iiasa.ac.at/RcpDb/dsd?Action=htmlpage&amp;page=compare  </t>
        </r>
      </text>
    </comment>
    <comment ref="G183" authorId="2" shapeId="0">
      <text>
        <r>
          <rPr>
            <b/>
            <sz val="8"/>
            <color indexed="81"/>
            <rFont val="Tahoma"/>
            <family val="2"/>
          </rPr>
          <t>hopec:</t>
        </r>
        <r>
          <rPr>
            <sz val="8"/>
            <color indexed="81"/>
            <rFont val="Tahoma"/>
            <family val="2"/>
          </rPr>
          <t xml:space="preserve">
Assumed to reduce as free cutbacks are taken up.</t>
        </r>
      </text>
    </comment>
    <comment ref="G185" authorId="2" shapeId="0">
      <text>
        <r>
          <rPr>
            <b/>
            <sz val="8"/>
            <color indexed="81"/>
            <rFont val="Tahoma"/>
            <family val="2"/>
          </rPr>
          <t>hopec:</t>
        </r>
        <r>
          <rPr>
            <sz val="8"/>
            <color indexed="81"/>
            <rFont val="Tahoma"/>
            <family val="2"/>
          </rPr>
          <t xml:space="preserve">
Assumed to reduce as free cutbacks are taken up.</t>
        </r>
      </text>
    </comment>
    <comment ref="G187" authorId="2" shapeId="0">
      <text>
        <r>
          <rPr>
            <b/>
            <sz val="8"/>
            <color indexed="81"/>
            <rFont val="Tahoma"/>
            <family val="2"/>
          </rPr>
          <t>hopec:</t>
        </r>
        <r>
          <rPr>
            <sz val="8"/>
            <color indexed="81"/>
            <rFont val="Tahoma"/>
            <family val="2"/>
          </rPr>
          <t xml:space="preserve">
Eventually becomes possible to cutback more than 100% of emissions with reforestation etc.</t>
        </r>
      </text>
    </comment>
    <comment ref="B189" authorId="2" shapeId="0">
      <text>
        <r>
          <rPr>
            <b/>
            <sz val="8"/>
            <color indexed="81"/>
            <rFont val="Tahoma"/>
            <family val="2"/>
          </rPr>
          <t>hopec:</t>
        </r>
        <r>
          <rPr>
            <sz val="8"/>
            <color indexed="81"/>
            <rFont val="Tahoma"/>
            <family val="2"/>
          </rPr>
          <t xml:space="preserve">
Must be strictly greater than zero and less than 1. OK to have zero as the lower bound and 1 as the upper bound.</t>
        </r>
      </text>
    </comment>
    <comment ref="B190" authorId="2" shapeId="0">
      <text>
        <r>
          <rPr>
            <b/>
            <sz val="8"/>
            <color indexed="81"/>
            <rFont val="Tahoma"/>
            <family val="2"/>
          </rPr>
          <t>hopec:</t>
        </r>
        <r>
          <rPr>
            <sz val="8"/>
            <color indexed="81"/>
            <rFont val="Tahoma"/>
            <family val="2"/>
          </rPr>
          <t xml:space="preserve">
Must be strictly greater than zero and less than 1. OK to have zero as the lower bound and 1 as the upper bound.</t>
        </r>
      </text>
    </comment>
    <comment ref="G190" authorId="2" shapeId="0">
      <text>
        <r>
          <rPr>
            <b/>
            <sz val="8"/>
            <color indexed="81"/>
            <rFont val="Tahoma"/>
            <family val="2"/>
          </rPr>
          <t>hopec:</t>
        </r>
        <r>
          <rPr>
            <sz val="8"/>
            <color indexed="81"/>
            <rFont val="Tahoma"/>
            <family val="2"/>
          </rPr>
          <t xml:space="preserve">
Upper end of range from GLOCAF.</t>
        </r>
      </text>
    </comment>
    <comment ref="B192" authorId="3" shapeId="0">
      <text>
        <r>
          <rPr>
            <sz val="8"/>
            <color indexed="81"/>
            <rFont val="Tahoma"/>
            <family val="2"/>
          </rPr>
          <t>Proportional drop in costs for a doubling of experience</t>
        </r>
      </text>
    </comment>
    <comment ref="G192" authorId="2" shapeId="0">
      <text>
        <r>
          <rPr>
            <b/>
            <sz val="8"/>
            <color indexed="81"/>
            <rFont val="Tahoma"/>
            <family val="2"/>
          </rPr>
          <t>hopec:</t>
        </r>
        <r>
          <rPr>
            <sz val="8"/>
            <color indexed="81"/>
            <rFont val="Tahoma"/>
            <family val="2"/>
          </rPr>
          <t xml:space="preserve">
Consistent with other energy sector learning rates.</t>
        </r>
      </text>
    </comment>
    <comment ref="G194" authorId="0" shapeId="0">
      <text>
        <r>
          <rPr>
            <b/>
            <sz val="9"/>
            <color indexed="81"/>
            <rFont val="Tahoma"/>
            <family val="2"/>
          </rPr>
          <t>Yumashev, Dmitry:</t>
        </r>
        <r>
          <rPr>
            <sz val="9"/>
            <color indexed="81"/>
            <rFont val="Tahoma"/>
            <family val="2"/>
          </rPr>
          <t xml:space="preserve">
Values adjusted to give the annual rates consistent with autonomous energy efficiency improvements in global industry (IEA 2012). We use the range of annual rates of 0.4 to 0.6%/year, with mod of 0.5%/year. </t>
        </r>
      </text>
    </comment>
    <comment ref="G196" authorId="2" shapeId="0">
      <text>
        <r>
          <rPr>
            <b/>
            <sz val="8"/>
            <color indexed="81"/>
            <rFont val="Tahoma"/>
            <family val="2"/>
          </rPr>
          <t>hopec:</t>
        </r>
        <r>
          <rPr>
            <sz val="8"/>
            <color indexed="81"/>
            <rFont val="Tahoma"/>
            <family val="2"/>
          </rPr>
          <t xml:space="preserve">
All costs are fully equity weighted.</t>
        </r>
      </text>
    </comment>
  </commentList>
</comments>
</file>

<file path=xl/comments3.xml><?xml version="1.0" encoding="utf-8"?>
<comments xmlns="http://schemas.openxmlformats.org/spreadsheetml/2006/main">
  <authors>
    <author>hopec</author>
  </authors>
  <commentList>
    <comment ref="F56" authorId="0" shapeId="0">
      <text>
        <r>
          <rPr>
            <b/>
            <sz val="8"/>
            <color indexed="81"/>
            <rFont val="Tahoma"/>
            <family val="2"/>
          </rPr>
          <t>hopec:</t>
        </r>
        <r>
          <rPr>
            <sz val="8"/>
            <color indexed="81"/>
            <rFont val="Tahoma"/>
            <family val="2"/>
          </rPr>
          <t xml:space="preserve">
Aggressive adaptation reduces impacts to low levels, as in Nicholls.</t>
        </r>
      </text>
    </comment>
  </commentList>
</comments>
</file>

<file path=xl/comments4.xml><?xml version="1.0" encoding="utf-8"?>
<comments xmlns="http://schemas.openxmlformats.org/spreadsheetml/2006/main">
  <authors>
    <author>hopec</author>
  </authors>
  <commentList>
    <comment ref="L2" authorId="0" shapeId="0">
      <text>
        <r>
          <rPr>
            <b/>
            <sz val="8"/>
            <color indexed="81"/>
            <rFont val="Tahoma"/>
            <family val="2"/>
          </rPr>
          <t>hopec:</t>
        </r>
        <r>
          <rPr>
            <sz val="8"/>
            <color indexed="81"/>
            <rFont val="Tahoma"/>
            <family val="2"/>
          </rPr>
          <t xml:space="preserve">
Cannot calculate for final analysis year</t>
        </r>
      </text>
    </comment>
  </commentList>
</comments>
</file>

<file path=xl/comments5.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5"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62"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C82" authorId="0" shapeId="0">
      <text>
        <r>
          <rPr>
            <b/>
            <sz val="9"/>
            <color indexed="81"/>
            <rFont val="Tahoma"/>
            <family val="2"/>
          </rPr>
          <t>Yumashev, Dmitry:</t>
        </r>
        <r>
          <rPr>
            <sz val="9"/>
            <color indexed="81"/>
            <rFont val="Tahoma"/>
            <family val="2"/>
          </rPr>
          <t xml:space="preserve">
Fixed input</t>
        </r>
      </text>
    </comment>
    <comment ref="C83" authorId="0" shapeId="0">
      <text>
        <r>
          <rPr>
            <b/>
            <sz val="9"/>
            <color indexed="81"/>
            <rFont val="Tahoma"/>
            <family val="2"/>
          </rPr>
          <t>Yumashev, Dmitry:</t>
        </r>
        <r>
          <rPr>
            <sz val="9"/>
            <color indexed="81"/>
            <rFont val="Tahoma"/>
            <family val="2"/>
          </rPr>
          <t xml:space="preserve">
Fixed input</t>
        </r>
      </text>
    </comment>
    <comment ref="C84" authorId="0" shapeId="0">
      <text>
        <r>
          <rPr>
            <b/>
            <sz val="9"/>
            <color indexed="81"/>
            <rFont val="Tahoma"/>
            <family val="2"/>
          </rPr>
          <t>Yumashev, Dmitry:</t>
        </r>
        <r>
          <rPr>
            <sz val="9"/>
            <color indexed="81"/>
            <rFont val="Tahoma"/>
            <family val="2"/>
          </rPr>
          <t xml:space="preserve">
Fixed input</t>
        </r>
      </text>
    </comment>
    <comment ref="C85" authorId="0" shapeId="0">
      <text>
        <r>
          <rPr>
            <b/>
            <sz val="9"/>
            <color indexed="81"/>
            <rFont val="Tahoma"/>
            <family val="2"/>
          </rPr>
          <t>Yumashev, Dmitry:</t>
        </r>
        <r>
          <rPr>
            <sz val="9"/>
            <color indexed="81"/>
            <rFont val="Tahoma"/>
            <family val="2"/>
          </rPr>
          <t xml:space="preserve">
Fixed input</t>
        </r>
      </text>
    </comment>
    <comment ref="A89"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94"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07"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1"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29" authorId="2" shapeId="0">
      <text>
        <r>
          <rPr>
            <b/>
            <sz val="8"/>
            <color indexed="81"/>
            <rFont val="Tahoma"/>
            <family val="2"/>
          </rPr>
          <t>Chris Hope:</t>
        </r>
        <r>
          <rPr>
            <sz val="8"/>
            <color indexed="81"/>
            <rFont val="Tahoma"/>
            <family val="2"/>
          </rPr>
          <t xml:space="preserve">
Assumed linear in concentration</t>
        </r>
      </text>
    </comment>
    <comment ref="B141"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t>
        </r>
      </text>
    </comment>
    <comment ref="A142" authorId="0" shapeId="0">
      <text>
        <r>
          <rPr>
            <b/>
            <sz val="9"/>
            <color indexed="81"/>
            <rFont val="Tahoma"/>
            <family val="2"/>
          </rPr>
          <t>Yumashev, Dmitry:</t>
        </r>
        <r>
          <rPr>
            <sz val="9"/>
            <color indexed="81"/>
            <rFont val="Tahoma"/>
            <family val="2"/>
          </rPr>
          <t xml:space="preserve">
With an additional cap on the argument of the logarithm in case anthropogenic sulphate fluxes become negative</t>
        </r>
      </text>
    </comment>
    <comment ref="B150"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C168" authorId="0" shapeId="0">
      <text>
        <r>
          <rPr>
            <b/>
            <sz val="9"/>
            <color indexed="81"/>
            <rFont val="Tahoma"/>
            <family val="2"/>
          </rPr>
          <t>Yumashev, Dmitry:</t>
        </r>
        <r>
          <rPr>
            <sz val="9"/>
            <color indexed="81"/>
            <rFont val="Tahoma"/>
            <family val="2"/>
          </rPr>
          <t xml:space="preserve">
Fixed input</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A177" authorId="0" shapeId="0">
      <text>
        <r>
          <rPr>
            <b/>
            <sz val="9"/>
            <color indexed="81"/>
            <rFont val="Tahoma"/>
            <family val="2"/>
          </rPr>
          <t>Yumashev, Dmitry:</t>
        </r>
        <r>
          <rPr>
            <sz val="9"/>
            <color indexed="81"/>
            <rFont val="Tahoma"/>
            <family val="2"/>
          </rPr>
          <t xml:space="preserve">
Scaled from global mean temperature using CMIP5 regional amplification factors</t>
        </r>
      </text>
    </comment>
    <comment ref="A185"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6.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5" authorId="0" shapeId="0">
      <text>
        <r>
          <rPr>
            <b/>
            <sz val="9"/>
            <color indexed="81"/>
            <rFont val="Tahoma"/>
            <family val="2"/>
          </rPr>
          <t>Yumashev, Dmitry:</t>
        </r>
        <r>
          <rPr>
            <sz val="9"/>
            <color indexed="81"/>
            <rFont val="Tahoma"/>
            <family val="2"/>
          </rPr>
          <t xml:space="preserve">
Yumashev, Dmitry:
Use the original ODE for dC/dt. Then multiply by 44/12</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89"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94"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07"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1" authorId="0" shapeId="0">
      <text>
        <r>
          <rPr>
            <b/>
            <sz val="9"/>
            <color indexed="81"/>
            <rFont val="Tahoma"/>
            <family val="2"/>
          </rPr>
          <t>Yumashev, Dmitry:</t>
        </r>
        <r>
          <rPr>
            <sz val="9"/>
            <color indexed="81"/>
            <rFont val="Tahoma"/>
            <family val="2"/>
          </rPr>
          <t xml:space="preserve">
Evaluated using global temperature from the current time step</t>
        </r>
      </text>
    </comment>
    <comment ref="A129" authorId="2" shapeId="0">
      <text>
        <r>
          <rPr>
            <b/>
            <sz val="8"/>
            <color indexed="81"/>
            <rFont val="Tahoma"/>
            <family val="2"/>
          </rPr>
          <t>Chris Hope:</t>
        </r>
        <r>
          <rPr>
            <sz val="8"/>
            <color indexed="81"/>
            <rFont val="Tahoma"/>
            <family val="2"/>
          </rPr>
          <t xml:space="preserve">
Assumed linear in concentration</t>
        </r>
      </text>
    </comment>
    <comment ref="B141"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42" authorId="0" shapeId="0">
      <text>
        <r>
          <rPr>
            <b/>
            <sz val="9"/>
            <color indexed="81"/>
            <rFont val="Tahoma"/>
            <family val="2"/>
          </rPr>
          <t>Yumashev, Dmitry:</t>
        </r>
        <r>
          <rPr>
            <sz val="9"/>
            <color indexed="81"/>
            <rFont val="Tahoma"/>
            <family val="2"/>
          </rPr>
          <t xml:space="preserve">
With an additional cap on the argument of the logarithm in case anthropogenic sulphate fluxes become negative</t>
        </r>
      </text>
    </comment>
    <comment ref="B150"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A177" authorId="0" shapeId="0">
      <text>
        <r>
          <rPr>
            <b/>
            <sz val="9"/>
            <color indexed="81"/>
            <rFont val="Tahoma"/>
            <family val="2"/>
          </rPr>
          <t>Yumashev, Dmitry:</t>
        </r>
        <r>
          <rPr>
            <sz val="9"/>
            <color indexed="81"/>
            <rFont val="Tahoma"/>
            <family val="2"/>
          </rPr>
          <t xml:space="preserve">
Scaled from global mean temperature using CMIP5 regional amplification factors</t>
        </r>
      </text>
    </comment>
    <comment ref="E177" authorId="2" shapeId="0">
      <text>
        <r>
          <rPr>
            <b/>
            <sz val="8"/>
            <color indexed="81"/>
            <rFont val="Tahoma"/>
            <family val="2"/>
          </rPr>
          <t>Chris Hope:</t>
        </r>
        <r>
          <rPr>
            <sz val="8"/>
            <color indexed="81"/>
            <rFont val="Tahoma"/>
            <family val="2"/>
          </rPr>
          <t xml:space="preserve">
Can't just copy column D as this depends on RTL_0.
Array formula checked in v0.5 impacts test</t>
        </r>
      </text>
    </comment>
    <comment ref="A185"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7.xml><?xml version="1.0" encoding="utf-8"?>
<comments xmlns="http://schemas.openxmlformats.org/spreadsheetml/2006/main">
  <authors>
    <author>Yumashev, Dmitry</author>
    <author>Windows User</author>
    <author>Chris Hope</author>
  </authors>
  <commentList>
    <comment ref="A38" authorId="0" shapeId="0">
      <text>
        <r>
          <rPr>
            <b/>
            <sz val="9"/>
            <color indexed="81"/>
            <rFont val="Tahoma"/>
            <family val="2"/>
          </rPr>
          <t>Yumashev, Dmitry:</t>
        </r>
        <r>
          <rPr>
            <sz val="9"/>
            <color indexed="81"/>
            <rFont val="Tahoma"/>
            <family val="2"/>
          </rPr>
          <t xml:space="preserve">
Based on global temperature from the same timestep</t>
        </r>
      </text>
    </comment>
    <comment ref="A39" authorId="0" shapeId="0">
      <text>
        <r>
          <rPr>
            <b/>
            <sz val="9"/>
            <color indexed="81"/>
            <rFont val="Tahoma"/>
            <family val="2"/>
          </rPr>
          <t>Yumashev, Dmitry:</t>
        </r>
        <r>
          <rPr>
            <sz val="9"/>
            <color indexed="81"/>
            <rFont val="Tahoma"/>
            <family val="2"/>
          </rPr>
          <t xml:space="preserve">
Based on permafrost temperature from the same timestep</t>
        </r>
      </text>
    </comment>
    <comment ref="A40" authorId="0" shapeId="0">
      <text>
        <r>
          <rPr>
            <b/>
            <sz val="9"/>
            <color indexed="81"/>
            <rFont val="Tahoma"/>
            <family val="2"/>
          </rPr>
          <t>Yumashev, Dmitry:</t>
        </r>
        <r>
          <rPr>
            <sz val="9"/>
            <color indexed="81"/>
            <rFont val="Tahoma"/>
            <family val="2"/>
          </rPr>
          <t xml:space="preserve">
Based on permafrost temperature from the same timestep</t>
        </r>
      </text>
    </comment>
    <comment ref="A41" authorId="0" shapeId="0">
      <text>
        <r>
          <rPr>
            <b/>
            <sz val="9"/>
            <color indexed="81"/>
            <rFont val="Tahoma"/>
            <family val="2"/>
          </rPr>
          <t>Yumashev, Dmitry:</t>
        </r>
        <r>
          <rPr>
            <sz val="9"/>
            <color indexed="81"/>
            <rFont val="Tahoma"/>
            <family val="2"/>
          </rPr>
          <t xml:space="preserve">
Based on permafrost temperature from the same timestep</t>
        </r>
      </text>
    </comment>
    <comment ref="A42" authorId="0" shapeId="0">
      <text>
        <r>
          <rPr>
            <b/>
            <sz val="9"/>
            <color indexed="81"/>
            <rFont val="Tahoma"/>
            <family val="2"/>
          </rPr>
          <t>Yumashev, Dmitry:</t>
        </r>
        <r>
          <rPr>
            <sz val="9"/>
            <color indexed="81"/>
            <rFont val="Tahoma"/>
            <family val="2"/>
          </rPr>
          <t xml:space="preserve">
Based on permafrost temperature from the same timestep</t>
        </r>
      </text>
    </comment>
    <comment ref="A43" authorId="0" shapeId="0">
      <text>
        <r>
          <rPr>
            <b/>
            <sz val="9"/>
            <color indexed="81"/>
            <rFont val="Tahoma"/>
            <family val="2"/>
          </rPr>
          <t>Yumashev, Dmitry:</t>
        </r>
        <r>
          <rPr>
            <sz val="9"/>
            <color indexed="81"/>
            <rFont val="Tahoma"/>
            <family val="2"/>
          </rPr>
          <t xml:space="preserve">
Based on permafrost temperature from the same timestep</t>
        </r>
      </text>
    </comment>
    <comment ref="A47" authorId="0" shapeId="0">
      <text>
        <r>
          <rPr>
            <b/>
            <sz val="9"/>
            <color indexed="81"/>
            <rFont val="Tahoma"/>
            <family val="2"/>
          </rPr>
          <t>Yumashev, Dmitry:</t>
        </r>
        <r>
          <rPr>
            <sz val="9"/>
            <color indexed="81"/>
            <rFont val="Tahoma"/>
            <family val="2"/>
          </rPr>
          <t xml:space="preserve">
Based on permafrost temperature from the same timestep</t>
        </r>
      </text>
    </comment>
    <comment ref="A48" authorId="0" shapeId="0">
      <text>
        <r>
          <rPr>
            <b/>
            <sz val="9"/>
            <color indexed="81"/>
            <rFont val="Tahoma"/>
            <family val="2"/>
          </rPr>
          <t>Yumashev, Dmitry:</t>
        </r>
        <r>
          <rPr>
            <sz val="9"/>
            <color indexed="81"/>
            <rFont val="Tahoma"/>
            <family val="2"/>
          </rPr>
          <t xml:space="preserve">
Based on permafrost temperature from the same timestep</t>
        </r>
      </text>
    </comment>
    <comment ref="A49" authorId="0" shapeId="0">
      <text>
        <r>
          <rPr>
            <b/>
            <sz val="9"/>
            <color indexed="81"/>
            <rFont val="Tahoma"/>
            <family val="2"/>
          </rPr>
          <t>Yumashev, Dmitry:</t>
        </r>
        <r>
          <rPr>
            <sz val="9"/>
            <color indexed="81"/>
            <rFont val="Tahoma"/>
            <family val="2"/>
          </rPr>
          <t xml:space="preserve">
Based on permafrost temperature from the same timestep</t>
        </r>
      </text>
    </comment>
    <comment ref="A50" authorId="0" shapeId="0">
      <text>
        <r>
          <rPr>
            <b/>
            <sz val="9"/>
            <color indexed="81"/>
            <rFont val="Tahoma"/>
            <family val="2"/>
          </rPr>
          <t>Yumashev, Dmitry:</t>
        </r>
        <r>
          <rPr>
            <sz val="9"/>
            <color indexed="81"/>
            <rFont val="Tahoma"/>
            <family val="2"/>
          </rPr>
          <t xml:space="preserve">
Based on permafrost temperature from the same timestep</t>
        </r>
      </text>
    </comment>
    <comment ref="A51" authorId="0" shapeId="0">
      <text>
        <r>
          <rPr>
            <b/>
            <sz val="9"/>
            <color indexed="81"/>
            <rFont val="Tahoma"/>
            <family val="2"/>
          </rPr>
          <t>Yumashev, Dmitry:</t>
        </r>
        <r>
          <rPr>
            <sz val="9"/>
            <color indexed="81"/>
            <rFont val="Tahoma"/>
            <family val="2"/>
          </rPr>
          <t xml:space="preserve">
Based on permafrost temperature from the same timestep</t>
        </r>
      </text>
    </comment>
    <comment ref="A116" authorId="1" shapeId="0">
      <text>
        <r>
          <rPr>
            <b/>
            <sz val="9"/>
            <color indexed="81"/>
            <rFont val="Tahoma"/>
            <family val="2"/>
          </rPr>
          <t>Windows User:</t>
        </r>
        <r>
          <rPr>
            <sz val="9"/>
            <color indexed="81"/>
            <rFont val="Tahoma"/>
            <family val="2"/>
          </rPr>
          <t xml:space="preserve">
Can't be calculated until we know the concentration of N2O</t>
        </r>
      </text>
    </comment>
    <comment ref="A117" authorId="1" shapeId="0">
      <text>
        <r>
          <rPr>
            <b/>
            <sz val="9"/>
            <color indexed="81"/>
            <rFont val="Tahoma"/>
            <family val="2"/>
          </rPr>
          <t>Windows User:</t>
        </r>
        <r>
          <rPr>
            <sz val="9"/>
            <color indexed="81"/>
            <rFont val="Tahoma"/>
            <family val="2"/>
          </rPr>
          <t xml:space="preserve">
Both overlap terms from IPCC TAR WGI, table 6.2</t>
        </r>
      </text>
    </comment>
    <comment ref="A129" authorId="2" shapeId="0">
      <text>
        <r>
          <rPr>
            <b/>
            <sz val="8"/>
            <color indexed="81"/>
            <rFont val="Tahoma"/>
            <family val="2"/>
          </rPr>
          <t>Chris Hope:</t>
        </r>
        <r>
          <rPr>
            <sz val="8"/>
            <color indexed="81"/>
            <rFont val="Tahoma"/>
            <family val="2"/>
          </rPr>
          <t xml:space="preserve">
Assumed linear in concentration</t>
        </r>
      </text>
    </comment>
    <comment ref="C159" authorId="0" shapeId="0">
      <text>
        <r>
          <rPr>
            <b/>
            <sz val="9"/>
            <color indexed="81"/>
            <rFont val="Tahoma"/>
            <family val="2"/>
          </rPr>
          <t>Yumashev, Dmitry:</t>
        </r>
        <r>
          <rPr>
            <sz val="9"/>
            <color indexed="81"/>
            <rFont val="Tahoma"/>
            <family val="2"/>
          </rPr>
          <t xml:space="preserve">
The total cooling power of sulphates from all the regions has to be devided by Earth's surface to get the equivalent global forcing comparable to that of CO2 and other long-lived global GHGs </t>
        </r>
      </text>
    </comment>
    <comment ref="A164"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
</t>
        </r>
      </text>
    </comment>
    <comment ref="A172" authorId="0" shapeId="0">
      <text>
        <r>
          <rPr>
            <b/>
            <sz val="9"/>
            <color indexed="81"/>
            <rFont val="Tahoma"/>
            <family val="2"/>
          </rPr>
          <t>Yumashev, Dmitry:</t>
        </r>
        <r>
          <rPr>
            <sz val="9"/>
            <color indexed="81"/>
            <rFont val="Tahoma"/>
            <family val="2"/>
          </rPr>
          <t xml:space="preserve">
Evaluated using radiative forcing from the previous time step to avoid circular references</t>
        </r>
      </text>
    </comment>
    <comment ref="E177" authorId="2" shapeId="0">
      <text>
        <r>
          <rPr>
            <b/>
            <sz val="8"/>
            <color indexed="81"/>
            <rFont val="Tahoma"/>
            <family val="2"/>
          </rPr>
          <t>Chris Hope:</t>
        </r>
        <r>
          <rPr>
            <sz val="8"/>
            <color indexed="81"/>
            <rFont val="Tahoma"/>
            <family val="2"/>
          </rPr>
          <t xml:space="preserve">
Can't just copy column D as this depends on RTL_0.
Array formula checked in v0.5 impacts test</t>
        </r>
      </text>
    </comment>
    <comment ref="A182" authorId="0" shapeId="0">
      <text>
        <r>
          <rPr>
            <b/>
            <sz val="9"/>
            <color indexed="81"/>
            <rFont val="Tahoma"/>
            <family val="2"/>
          </rPr>
          <t>Yumashev, Dmitry:</t>
        </r>
        <r>
          <rPr>
            <sz val="9"/>
            <color indexed="81"/>
            <rFont val="Tahoma"/>
            <family val="2"/>
          </rPr>
          <t xml:space="preserve">
Area-weighted average land temperature acorss the 8 regions.</t>
        </r>
      </text>
    </comment>
    <comment ref="E191" authorId="1" shapeId="0">
      <text>
        <r>
          <rPr>
            <b/>
            <sz val="9"/>
            <color indexed="81"/>
            <rFont val="Tahoma"/>
            <family val="2"/>
          </rPr>
          <t>Windows User:</t>
        </r>
        <r>
          <rPr>
            <sz val="9"/>
            <color indexed="81"/>
            <rFont val="Tahoma"/>
            <family val="2"/>
          </rPr>
          <t xml:space="preserve">
Needs new formula as does not depend on Y_0</t>
        </r>
      </text>
    </comment>
  </commentList>
</comments>
</file>

<file path=xl/comments8.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9.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10.xml><?xml version="1.0" encoding="utf-8"?>
<comments xmlns="http://schemas.openxmlformats.org/spreadsheetml/2006/main">
  <authors>
    <author>Windows User</author>
    <author>Chris Hope</author>
  </authors>
  <commentList>
    <comment ref="A35" authorId="0" shapeId="0">
      <text>
        <r>
          <rPr>
            <b/>
            <sz val="9"/>
            <color indexed="81"/>
            <rFont val="Tahoma"/>
            <family val="2"/>
          </rPr>
          <t>Windows User:</t>
        </r>
        <r>
          <rPr>
            <sz val="9"/>
            <color indexed="81"/>
            <rFont val="Tahoma"/>
            <family val="2"/>
          </rPr>
          <t xml:space="preserve">
From difference of GDP and population growth rates</t>
        </r>
      </text>
    </comment>
    <comment ref="A45" authorId="0" shapeId="0">
      <text>
        <r>
          <rPr>
            <b/>
            <sz val="9"/>
            <color indexed="81"/>
            <rFont val="Tahoma"/>
            <family val="2"/>
          </rPr>
          <t>Windows User:</t>
        </r>
        <r>
          <rPr>
            <sz val="9"/>
            <color indexed="81"/>
            <rFont val="Tahoma"/>
            <family val="2"/>
          </rPr>
          <t xml:space="preserve">
Assumes the same savings rate everywhere</t>
        </r>
      </text>
    </comment>
    <comment ref="A46" authorId="0" shapeId="0">
      <text>
        <r>
          <rPr>
            <b/>
            <sz val="9"/>
            <color indexed="81"/>
            <rFont val="Tahoma"/>
            <family val="2"/>
          </rPr>
          <t>Windows User:</t>
        </r>
        <r>
          <rPr>
            <sz val="9"/>
            <color indexed="81"/>
            <rFont val="Tahoma"/>
            <family val="2"/>
          </rPr>
          <t xml:space="preserve">
Calculated; a check on mean GDP per capita growth rates</t>
        </r>
      </text>
    </comment>
    <comment ref="A47" authorId="0" shapeId="0">
      <text>
        <r>
          <rPr>
            <b/>
            <sz val="9"/>
            <color indexed="81"/>
            <rFont val="Tahoma"/>
            <family val="2"/>
          </rPr>
          <t>Windows User:</t>
        </r>
        <r>
          <rPr>
            <sz val="9"/>
            <color indexed="81"/>
            <rFont val="Tahoma"/>
            <family val="2"/>
          </rPr>
          <t xml:space="preserve">
Base year focus region consumption per capita as reference. For illustration only; impacts calculation works out equity weights as a function of remaining consumption.</t>
        </r>
      </text>
    </comment>
    <comment ref="A66" authorId="1" shapeId="0">
      <text>
        <r>
          <rPr>
            <b/>
            <sz val="8"/>
            <color indexed="81"/>
            <rFont val="Tahoma"/>
            <family val="2"/>
          </rPr>
          <t>Chris Hope:</t>
        </r>
        <r>
          <rPr>
            <sz val="8"/>
            <color indexed="81"/>
            <rFont val="Tahoma"/>
            <family val="2"/>
          </rPr>
          <t xml:space="preserve">
The product factor in the eqn for TD. Uses ptp rate.</t>
        </r>
      </text>
    </comment>
  </commentList>
</comments>
</file>

<file path=xl/comments11.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2.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3.xml><?xml version="1.0" encoding="utf-8"?>
<comments xmlns="http://schemas.openxmlformats.org/spreadsheetml/2006/main">
  <authors>
    <author>Chris Hope</author>
    <author>hopec</author>
  </authors>
  <commentList>
    <comment ref="A84" authorId="0" shapeId="0">
      <text>
        <r>
          <rPr>
            <b/>
            <sz val="8"/>
            <color indexed="81"/>
            <rFont val="Tahoma"/>
            <family val="2"/>
          </rPr>
          <t>Chris Hope:</t>
        </r>
        <r>
          <rPr>
            <sz val="8"/>
            <color indexed="81"/>
            <rFont val="Tahoma"/>
            <family val="2"/>
          </rPr>
          <t xml:space="preserve">
Take emissions away from zerocost. </t>
        </r>
      </text>
    </comment>
    <comment ref="C157" authorId="1" shapeId="0">
      <text>
        <r>
          <rPr>
            <b/>
            <sz val="8"/>
            <color indexed="81"/>
            <rFont val="Tahoma"/>
            <family val="2"/>
          </rPr>
          <t>hopec:</t>
        </r>
        <r>
          <rPr>
            <sz val="8"/>
            <color indexed="81"/>
            <rFont val="Tahoma"/>
            <family val="2"/>
          </rPr>
          <t xml:space="preserve">
Array formula checked against relative addressing 04MY09</t>
        </r>
      </text>
    </comment>
    <comment ref="A388" authorId="1" shapeId="0">
      <text>
        <r>
          <rPr>
            <b/>
            <sz val="8"/>
            <color indexed="81"/>
            <rFont val="Tahoma"/>
            <family val="2"/>
          </rPr>
          <t>hopec:</t>
        </r>
        <r>
          <rPr>
            <sz val="8"/>
            <color indexed="81"/>
            <rFont val="Tahoma"/>
            <family val="2"/>
          </rPr>
          <t xml:space="preserve">
If q0 = 0, need to specify as any value to avoid DIV0 error</t>
        </r>
      </text>
    </comment>
    <comment ref="A424" authorId="1" shapeId="0">
      <text>
        <r>
          <rPr>
            <b/>
            <sz val="8"/>
            <color indexed="81"/>
            <rFont val="Tahoma"/>
            <family val="2"/>
          </rPr>
          <t>hopec:</t>
        </r>
        <r>
          <rPr>
            <sz val="8"/>
            <color indexed="81"/>
            <rFont val="Tahoma"/>
            <family val="2"/>
          </rPr>
          <t xml:space="preserve">
If q0 = 0, need to specify as any value to avoid DIV0 error</t>
        </r>
      </text>
    </comment>
    <comment ref="A532" authorId="1" shapeId="0">
      <text>
        <r>
          <rPr>
            <b/>
            <sz val="8"/>
            <color indexed="81"/>
            <rFont val="Tahoma"/>
            <family val="2"/>
          </rPr>
          <t>hopec:</t>
        </r>
        <r>
          <rPr>
            <sz val="8"/>
            <color indexed="81"/>
            <rFont val="Tahoma"/>
            <family val="2"/>
          </rPr>
          <t xml:space="preserve">
need to set to zero if Q0 = 0, otherwise there is a DIV0 error</t>
        </r>
      </text>
    </comment>
    <comment ref="A658" authorId="1" shapeId="0">
      <text>
        <r>
          <rPr>
            <b/>
            <sz val="8"/>
            <color indexed="81"/>
            <rFont val="Tahoma"/>
            <family val="2"/>
          </rPr>
          <t>hopec:</t>
        </r>
        <r>
          <rPr>
            <sz val="8"/>
            <color indexed="81"/>
            <rFont val="Tahoma"/>
            <family val="2"/>
          </rPr>
          <t xml:space="preserve">
Assumes equity_prop = 1. Calculated from tct_per_cap. Almost the same as the sum of the individual gases for small costs likely to be found in practice.</t>
        </r>
      </text>
    </comment>
    <comment ref="A667" authorId="1" shapeId="0">
      <text>
        <r>
          <rPr>
            <b/>
            <sz val="8"/>
            <color indexed="81"/>
            <rFont val="Tahoma"/>
            <family val="2"/>
          </rPr>
          <t>hopec:</t>
        </r>
        <r>
          <rPr>
            <sz val="8"/>
            <color indexed="81"/>
            <rFont val="Tahoma"/>
            <family val="2"/>
          </rPr>
          <t xml:space="preserve">
Calculated from tct_per_cap and wtct_per_cap. Almost the same as the sum of the individual gases for small costs likely to be found in practice.</t>
        </r>
      </text>
    </comment>
    <comment ref="A686" authorId="0"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4.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5.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6.xml><?xml version="1.0" encoding="utf-8"?>
<comments xmlns="http://schemas.openxmlformats.org/spreadsheetml/2006/main">
  <authors>
    <author>hopec</author>
    <author>Chris Hope</author>
  </authors>
  <commentList>
    <comment ref="A131" authorId="0" shapeId="0">
      <text>
        <r>
          <rPr>
            <b/>
            <sz val="8"/>
            <color indexed="81"/>
            <rFont val="Tahoma"/>
            <family val="2"/>
          </rPr>
          <t>hopec:</t>
        </r>
        <r>
          <rPr>
            <sz val="8"/>
            <color indexed="81"/>
            <rFont val="Tahoma"/>
            <family val="2"/>
          </rPr>
          <t xml:space="preserve">
When equity proportion = 1</t>
        </r>
      </text>
    </comment>
    <comment ref="A159" authorId="1" shapeId="0">
      <text>
        <r>
          <rPr>
            <b/>
            <sz val="8"/>
            <color indexed="81"/>
            <rFont val="Tahoma"/>
            <family val="2"/>
          </rPr>
          <t>Chris Hope:</t>
        </r>
        <r>
          <rPr>
            <sz val="8"/>
            <color indexed="81"/>
            <rFont val="Tahoma"/>
            <family val="2"/>
          </rPr>
          <t xml:space="preserve">
For the analysis years. Includes switch to turn equity weighting off.</t>
        </r>
      </text>
    </comment>
  </commentList>
</comments>
</file>

<file path=xl/comments17.xml><?xml version="1.0" encoding="utf-8"?>
<comments xmlns="http://schemas.openxmlformats.org/spreadsheetml/2006/main">
  <authors>
    <author>hopec</author>
    <author>Chris Hope</author>
    <author>Windows User</author>
  </authors>
  <commentList>
    <comment ref="A24" authorId="0" shapeId="0">
      <text>
        <r>
          <rPr>
            <b/>
            <sz val="8"/>
            <color indexed="81"/>
            <rFont val="Tahoma"/>
            <family val="2"/>
          </rPr>
          <t>hopec:</t>
        </r>
        <r>
          <rPr>
            <sz val="8"/>
            <color indexed="81"/>
            <rFont val="Tahoma"/>
            <family val="2"/>
          </rPr>
          <t xml:space="preserve">
Adjusted ISAT to apply to GDP and ensure loss never exceeds 100% of consumption</t>
        </r>
      </text>
    </comment>
    <comment ref="C123" authorId="1"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2" shapeId="0">
      <text>
        <r>
          <rPr>
            <b/>
            <sz val="9"/>
            <color indexed="81"/>
            <rFont val="Tahoma"/>
            <family val="2"/>
          </rPr>
          <t>Windows User:</t>
        </r>
        <r>
          <rPr>
            <sz val="9"/>
            <color indexed="81"/>
            <rFont val="Tahoma"/>
            <family val="2"/>
          </rPr>
          <t xml:space="preserve">
Continues to occur even if temperature subsequently goes down</t>
        </r>
      </text>
    </comment>
    <comment ref="A165" authorId="2"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2" shapeId="0">
      <text>
        <r>
          <rPr>
            <b/>
            <sz val="9"/>
            <color indexed="81"/>
            <rFont val="Tahoma"/>
            <family val="2"/>
          </rPr>
          <t>Windows User:</t>
        </r>
        <r>
          <rPr>
            <sz val="9"/>
            <color indexed="81"/>
            <rFont val="Tahoma"/>
            <family val="2"/>
          </rPr>
          <t xml:space="preserve">
Includes impact adaptataion</t>
        </r>
      </text>
    </comment>
    <comment ref="D364" authorId="0" shapeId="0">
      <text>
        <r>
          <rPr>
            <b/>
            <sz val="8"/>
            <color indexed="81"/>
            <rFont val="Tahoma"/>
            <family val="2"/>
          </rPr>
          <t>hopec:</t>
        </r>
        <r>
          <rPr>
            <sz val="8"/>
            <color indexed="81"/>
            <rFont val="Tahoma"/>
            <family val="2"/>
          </rPr>
          <t xml:space="preserve">
Array formula checked in v0.5 impacts test</t>
        </r>
      </text>
    </comment>
    <comment ref="A408" authorId="0" shapeId="0">
      <text>
        <r>
          <rPr>
            <b/>
            <sz val="8"/>
            <color indexed="81"/>
            <rFont val="Tahoma"/>
            <family val="2"/>
          </rPr>
          <t>hopec:</t>
        </r>
        <r>
          <rPr>
            <sz val="8"/>
            <color indexed="81"/>
            <rFont val="Tahoma"/>
            <family val="2"/>
          </rPr>
          <t xml:space="preserve">
from loss of consumption</t>
        </r>
      </text>
    </comment>
    <comment ref="A418" authorId="1" shapeId="0">
      <text>
        <r>
          <rPr>
            <b/>
            <sz val="8"/>
            <color indexed="81"/>
            <rFont val="Tahoma"/>
            <family val="2"/>
          </rPr>
          <t>Chris Hope:</t>
        </r>
        <r>
          <rPr>
            <sz val="8"/>
            <color indexed="81"/>
            <rFont val="Tahoma"/>
            <family val="2"/>
          </rPr>
          <t xml:space="preserve">
For the analysis years</t>
        </r>
      </text>
    </comment>
  </commentList>
</comments>
</file>

<file path=xl/comments18.xml><?xml version="1.0" encoding="utf-8"?>
<comments xmlns="http://schemas.openxmlformats.org/spreadsheetml/2006/main">
  <authors>
    <author>Chris Hope</author>
    <author>Windows User</author>
    <author>hopec</author>
  </authors>
  <commentList>
    <comment ref="C123" authorId="0"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1" shapeId="0">
      <text>
        <r>
          <rPr>
            <b/>
            <sz val="9"/>
            <color indexed="81"/>
            <rFont val="Tahoma"/>
            <family val="2"/>
          </rPr>
          <t>Windows User:</t>
        </r>
        <r>
          <rPr>
            <sz val="9"/>
            <color indexed="81"/>
            <rFont val="Tahoma"/>
            <family val="2"/>
          </rPr>
          <t xml:space="preserve">
Continues to occur even if temperature subsequently goes down</t>
        </r>
      </text>
    </comment>
    <comment ref="A165" authorId="1"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1" shapeId="0">
      <text>
        <r>
          <rPr>
            <b/>
            <sz val="9"/>
            <color indexed="81"/>
            <rFont val="Tahoma"/>
            <family val="2"/>
          </rPr>
          <t>Windows User:</t>
        </r>
        <r>
          <rPr>
            <sz val="9"/>
            <color indexed="81"/>
            <rFont val="Tahoma"/>
            <family val="2"/>
          </rPr>
          <t xml:space="preserve">
Includes impact adaptataion</t>
        </r>
      </text>
    </comment>
    <comment ref="D364" authorId="2" shapeId="0">
      <text>
        <r>
          <rPr>
            <b/>
            <sz val="8"/>
            <color indexed="81"/>
            <rFont val="Tahoma"/>
            <family val="2"/>
          </rPr>
          <t>hopec:</t>
        </r>
        <r>
          <rPr>
            <sz val="8"/>
            <color indexed="81"/>
            <rFont val="Tahoma"/>
            <family val="2"/>
          </rPr>
          <t xml:space="preserve">
Array formula checked in v0.5 impacts test</t>
        </r>
      </text>
    </comment>
    <comment ref="A408" authorId="2" shapeId="0">
      <text>
        <r>
          <rPr>
            <b/>
            <sz val="8"/>
            <color indexed="81"/>
            <rFont val="Tahoma"/>
            <family val="2"/>
          </rPr>
          <t>hopec:</t>
        </r>
        <r>
          <rPr>
            <sz val="8"/>
            <color indexed="81"/>
            <rFont val="Tahoma"/>
            <family val="2"/>
          </rPr>
          <t xml:space="preserve">
from loss of consumption</t>
        </r>
      </text>
    </comment>
    <comment ref="A418" authorId="0" shapeId="0">
      <text>
        <r>
          <rPr>
            <b/>
            <sz val="8"/>
            <color indexed="81"/>
            <rFont val="Tahoma"/>
            <family val="2"/>
          </rPr>
          <t>Chris Hope:</t>
        </r>
        <r>
          <rPr>
            <sz val="8"/>
            <color indexed="81"/>
            <rFont val="Tahoma"/>
            <family val="2"/>
          </rPr>
          <t xml:space="preserve">
For the analysis years</t>
        </r>
      </text>
    </comment>
  </commentList>
</comments>
</file>

<file path=xl/comments19.xml><?xml version="1.0" encoding="utf-8"?>
<comments xmlns="http://schemas.openxmlformats.org/spreadsheetml/2006/main">
  <authors>
    <author>Chris Hope</author>
    <author>Windows User</author>
    <author>hopec</author>
  </authors>
  <commentList>
    <comment ref="C123" authorId="0" shapeId="0">
      <text>
        <r>
          <rPr>
            <b/>
            <sz val="8"/>
            <color indexed="81"/>
            <rFont val="Tahoma"/>
            <family val="2"/>
          </rPr>
          <t>Chris Hope:</t>
        </r>
        <r>
          <rPr>
            <sz val="8"/>
            <color indexed="81"/>
            <rFont val="Tahoma"/>
            <family val="2"/>
          </rPr>
          <t xml:space="preserve">
Temperature above discontinuity limit and probability of discontinuity; single global value. Does not matter if negative as formula for' occurs?' still correct</t>
        </r>
      </text>
    </comment>
    <comment ref="A127" authorId="1" shapeId="0">
      <text>
        <r>
          <rPr>
            <b/>
            <sz val="9"/>
            <color indexed="81"/>
            <rFont val="Tahoma"/>
            <family val="2"/>
          </rPr>
          <t>Windows User:</t>
        </r>
        <r>
          <rPr>
            <sz val="9"/>
            <color indexed="81"/>
            <rFont val="Tahoma"/>
            <family val="2"/>
          </rPr>
          <t xml:space="preserve">
Continues to occur even if temperature subsequently goes down</t>
        </r>
      </text>
    </comment>
    <comment ref="A165" authorId="1" shapeId="0">
      <text>
        <r>
          <rPr>
            <b/>
            <sz val="9"/>
            <color indexed="81"/>
            <rFont val="Tahoma"/>
            <family val="2"/>
          </rPr>
          <t>Windows User:</t>
        </r>
        <r>
          <rPr>
            <sz val="9"/>
            <color indexed="81"/>
            <rFont val="Tahoma"/>
            <family val="2"/>
          </rPr>
          <t xml:space="preserve">
Saturation now measured against consumption to ensure impacts never exceeds 100% of consumption. Includes impact adaptation</t>
        </r>
      </text>
    </comment>
    <comment ref="A309" authorId="1" shapeId="0">
      <text>
        <r>
          <rPr>
            <b/>
            <sz val="9"/>
            <color indexed="81"/>
            <rFont val="Tahoma"/>
            <family val="2"/>
          </rPr>
          <t>Windows User:</t>
        </r>
        <r>
          <rPr>
            <sz val="9"/>
            <color indexed="81"/>
            <rFont val="Tahoma"/>
            <family val="2"/>
          </rPr>
          <t xml:space="preserve">
Includes impact adaptataion</t>
        </r>
      </text>
    </comment>
    <comment ref="D364" authorId="2" shapeId="0">
      <text>
        <r>
          <rPr>
            <b/>
            <sz val="8"/>
            <color indexed="81"/>
            <rFont val="Tahoma"/>
            <family val="2"/>
          </rPr>
          <t>hopec:</t>
        </r>
        <r>
          <rPr>
            <sz val="8"/>
            <color indexed="81"/>
            <rFont val="Tahoma"/>
            <family val="2"/>
          </rPr>
          <t xml:space="preserve">
Array formula checked in v0.5 impacts test</t>
        </r>
      </text>
    </comment>
    <comment ref="A408" authorId="2" shapeId="0">
      <text>
        <r>
          <rPr>
            <b/>
            <sz val="8"/>
            <color indexed="81"/>
            <rFont val="Tahoma"/>
            <family val="2"/>
          </rPr>
          <t>hopec:</t>
        </r>
        <r>
          <rPr>
            <sz val="8"/>
            <color indexed="81"/>
            <rFont val="Tahoma"/>
            <family val="2"/>
          </rPr>
          <t xml:space="preserve">
from loss of consumption</t>
        </r>
      </text>
    </comment>
    <comment ref="A418" authorId="0" shapeId="0">
      <text>
        <r>
          <rPr>
            <b/>
            <sz val="8"/>
            <color indexed="81"/>
            <rFont val="Tahoma"/>
            <family val="2"/>
          </rPr>
          <t>Chris Hope:</t>
        </r>
        <r>
          <rPr>
            <sz val="8"/>
            <color indexed="81"/>
            <rFont val="Tahoma"/>
            <family val="2"/>
          </rPr>
          <t xml:space="preserve">
For the analysis years</t>
        </r>
      </text>
    </comment>
  </commentList>
</comments>
</file>

<file path=xl/comments20.xml><?xml version="1.0" encoding="utf-8"?>
<comments xmlns="http://schemas.openxmlformats.org/spreadsheetml/2006/main">
  <authors>
    <author>hopec</author>
    <author>Chris Hope</author>
  </authors>
  <commentList>
    <comment ref="A8" authorId="0" shapeId="0">
      <text>
        <r>
          <rPr>
            <b/>
            <sz val="8"/>
            <color indexed="81"/>
            <rFont val="Tahoma"/>
            <family val="2"/>
          </rPr>
          <t>hopec:</t>
        </r>
        <r>
          <rPr>
            <sz val="8"/>
            <color indexed="81"/>
            <rFont val="Tahoma"/>
            <family val="2"/>
          </rPr>
          <t xml:space="preserve">
Not capped by civ_value</t>
        </r>
      </text>
    </comment>
    <comment ref="A9" authorId="0" shapeId="0">
      <text>
        <r>
          <rPr>
            <b/>
            <sz val="8"/>
            <color indexed="81"/>
            <rFont val="Tahoma"/>
            <family val="2"/>
          </rPr>
          <t>hopec:</t>
        </r>
        <r>
          <rPr>
            <sz val="8"/>
            <color indexed="81"/>
            <rFont val="Tahoma"/>
            <family val="2"/>
          </rPr>
          <t xml:space="preserve">
capped at civ_value</t>
        </r>
      </text>
    </comment>
    <comment ref="A12"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 ref="A19" authorId="0" shapeId="0">
      <text>
        <r>
          <rPr>
            <b/>
            <sz val="8"/>
            <color indexed="81"/>
            <rFont val="Tahoma"/>
            <family val="2"/>
          </rPr>
          <t>hopec:</t>
        </r>
        <r>
          <rPr>
            <sz val="8"/>
            <color indexed="81"/>
            <rFont val="Tahoma"/>
            <family val="2"/>
          </rPr>
          <t xml:space="preserve">
Not capped by civ_value</t>
        </r>
      </text>
    </comment>
    <comment ref="A20" authorId="0" shapeId="0">
      <text>
        <r>
          <rPr>
            <b/>
            <sz val="8"/>
            <color indexed="81"/>
            <rFont val="Tahoma"/>
            <family val="2"/>
          </rPr>
          <t>hopec:</t>
        </r>
        <r>
          <rPr>
            <sz val="8"/>
            <color indexed="81"/>
            <rFont val="Tahoma"/>
            <family val="2"/>
          </rPr>
          <t xml:space="preserve">
capped at civ_value</t>
        </r>
      </text>
    </comment>
    <comment ref="A23"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 ref="A31" authorId="0" shapeId="0">
      <text>
        <r>
          <rPr>
            <b/>
            <sz val="8"/>
            <color indexed="81"/>
            <rFont val="Tahoma"/>
            <family val="2"/>
          </rPr>
          <t>hopec:</t>
        </r>
        <r>
          <rPr>
            <sz val="8"/>
            <color indexed="81"/>
            <rFont val="Tahoma"/>
            <family val="2"/>
          </rPr>
          <t xml:space="preserve">
capped at civ_value</t>
        </r>
      </text>
    </comment>
    <comment ref="A34" authorId="1" shapeId="0">
      <text>
        <r>
          <rPr>
            <b/>
            <sz val="8"/>
            <color indexed="81"/>
            <rFont val="Tahoma"/>
            <family val="2"/>
          </rPr>
          <t>Chris Hope:</t>
        </r>
        <r>
          <rPr>
            <sz val="8"/>
            <color indexed="81"/>
            <rFont val="Tahoma"/>
            <family val="2"/>
          </rPr>
          <t xml:space="preserve">
This is the quantity that an optimal policy would seek to minimize.
It is capped at the statistical value of civilisation.</t>
        </r>
      </text>
    </comment>
  </commentList>
</comments>
</file>

<file path=xl/sharedStrings.xml><?xml version="1.0" encoding="utf-8"?>
<sst xmlns="http://schemas.openxmlformats.org/spreadsheetml/2006/main" count="4693" uniqueCount="1146">
  <si>
    <t>EU</t>
  </si>
  <si>
    <t>EE</t>
  </si>
  <si>
    <t>US</t>
  </si>
  <si>
    <t>USA</t>
  </si>
  <si>
    <t>CA</t>
  </si>
  <si>
    <t>China &amp; CP Asia</t>
  </si>
  <si>
    <t>IA</t>
  </si>
  <si>
    <t>India &amp; SE Asia</t>
  </si>
  <si>
    <t>AF</t>
  </si>
  <si>
    <t>Africa &amp; ME</t>
  </si>
  <si>
    <t>LA</t>
  </si>
  <si>
    <t>Latin America</t>
  </si>
  <si>
    <t>OT</t>
  </si>
  <si>
    <t xml:space="preserve">Other OECD </t>
  </si>
  <si>
    <t>CO2</t>
  </si>
  <si>
    <t>CH4</t>
  </si>
  <si>
    <t>Analysis Years:</t>
  </si>
  <si>
    <t>Base Year:</t>
  </si>
  <si>
    <t>Impacts:</t>
  </si>
  <si>
    <t>EN</t>
  </si>
  <si>
    <t>Economic</t>
  </si>
  <si>
    <t>CU</t>
  </si>
  <si>
    <t>Area:</t>
  </si>
  <si>
    <t>GDP</t>
  </si>
  <si>
    <t>GDP growth rates:</t>
  </si>
  <si>
    <t>start</t>
  </si>
  <si>
    <t>end</t>
  </si>
  <si>
    <t>Discount rates:</t>
  </si>
  <si>
    <t>Density</t>
  </si>
  <si>
    <t>Pre-industrial conc</t>
  </si>
  <si>
    <t>Forcing slope</t>
  </si>
  <si>
    <t>Base year conc</t>
  </si>
  <si>
    <t>Base year forcing</t>
  </si>
  <si>
    <t>CO2 emit</t>
  </si>
  <si>
    <t>CH4 emit</t>
  </si>
  <si>
    <t>Natural S</t>
  </si>
  <si>
    <t>S emit</t>
  </si>
  <si>
    <t>Excess forcing</t>
  </si>
  <si>
    <t>Regions &amp; baseyear:</t>
  </si>
  <si>
    <t xml:space="preserve">version </t>
  </si>
  <si>
    <t>%</t>
  </si>
  <si>
    <t>years</t>
  </si>
  <si>
    <t>Equilibrium warming for a doubling of CO2</t>
  </si>
  <si>
    <t>degC</t>
  </si>
  <si>
    <t>W/m2</t>
  </si>
  <si>
    <t>Adaptive costs</t>
  </si>
  <si>
    <t>Preventative costs</t>
  </si>
  <si>
    <t>Prevention</t>
  </si>
  <si>
    <t>% per year</t>
  </si>
  <si>
    <t>plateau</t>
  </si>
  <si>
    <t>ppb</t>
  </si>
  <si>
    <t>Mtonnes</t>
  </si>
  <si>
    <t>Km2</t>
  </si>
  <si>
    <t>TgS</t>
  </si>
  <si>
    <t>Remaining emissions of CH4</t>
  </si>
  <si>
    <r>
      <t>RE</t>
    </r>
    <r>
      <rPr>
        <vertAlign val="subscript"/>
        <sz val="10"/>
        <rFont val="Arial"/>
        <family val="2"/>
      </rPr>
      <t>2</t>
    </r>
  </si>
  <si>
    <t>EXC</t>
  </si>
  <si>
    <t>RE</t>
  </si>
  <si>
    <r>
      <t>TEA</t>
    </r>
    <r>
      <rPr>
        <vertAlign val="subscript"/>
        <sz val="10"/>
        <rFont val="Arial"/>
        <family val="2"/>
      </rPr>
      <t>2</t>
    </r>
  </si>
  <si>
    <t>Analysis period</t>
  </si>
  <si>
    <r>
      <t>TEAY</t>
    </r>
    <r>
      <rPr>
        <vertAlign val="subscript"/>
        <sz val="10"/>
        <rFont val="Arial"/>
        <family val="2"/>
      </rPr>
      <t>2</t>
    </r>
  </si>
  <si>
    <t>Excess concentration in</t>
  </si>
  <si>
    <t>Remaining emissions in</t>
  </si>
  <si>
    <t>Natural emissions of CH4</t>
  </si>
  <si>
    <t>Concentration of CO2</t>
  </si>
  <si>
    <r>
      <t>C</t>
    </r>
    <r>
      <rPr>
        <vertAlign val="subscript"/>
        <sz val="10"/>
        <rFont val="Arial"/>
        <family val="2"/>
      </rPr>
      <t>1</t>
    </r>
  </si>
  <si>
    <t>Forcing from CO2</t>
  </si>
  <si>
    <r>
      <t>F</t>
    </r>
    <r>
      <rPr>
        <vertAlign val="subscript"/>
        <sz val="10"/>
        <rFont val="Arial"/>
        <family val="2"/>
      </rPr>
      <t>1</t>
    </r>
  </si>
  <si>
    <t>Exponential factor for CH4</t>
  </si>
  <si>
    <t>Remaining emissions factor for CH4</t>
  </si>
  <si>
    <t>Total this period factor for CH4</t>
  </si>
  <si>
    <t>Concentration of CH4</t>
  </si>
  <si>
    <r>
      <t>C</t>
    </r>
    <r>
      <rPr>
        <vertAlign val="subscript"/>
        <sz val="10"/>
        <rFont val="Arial"/>
        <family val="2"/>
      </rPr>
      <t>2</t>
    </r>
  </si>
  <si>
    <t>Forcing from CH4</t>
  </si>
  <si>
    <r>
      <t>F</t>
    </r>
    <r>
      <rPr>
        <vertAlign val="subscript"/>
        <sz val="10"/>
        <rFont val="Arial"/>
        <family val="2"/>
      </rPr>
      <t>2</t>
    </r>
  </si>
  <si>
    <t>FT</t>
  </si>
  <si>
    <t>Total sulphate forcing</t>
  </si>
  <si>
    <t>FS</t>
  </si>
  <si>
    <t>RT</t>
  </si>
  <si>
    <t>With adaptation</t>
  </si>
  <si>
    <r>
      <t>ATL</t>
    </r>
    <r>
      <rPr>
        <vertAlign val="subscript"/>
        <sz val="10"/>
        <rFont val="Arial"/>
        <family val="2"/>
      </rPr>
      <t>1</t>
    </r>
  </si>
  <si>
    <r>
      <t>ATL</t>
    </r>
    <r>
      <rPr>
        <vertAlign val="subscript"/>
        <sz val="10"/>
        <rFont val="Arial"/>
        <family val="2"/>
      </rPr>
      <t>2</t>
    </r>
  </si>
  <si>
    <r>
      <t>I</t>
    </r>
    <r>
      <rPr>
        <b/>
        <vertAlign val="subscript"/>
        <sz val="10"/>
        <rFont val="Arial"/>
        <family val="2"/>
      </rPr>
      <t>2</t>
    </r>
  </si>
  <si>
    <t>Aggregation period</t>
  </si>
  <si>
    <t>Yhi</t>
  </si>
  <si>
    <t>Ylo</t>
  </si>
  <si>
    <t>Aggregated impact</t>
  </si>
  <si>
    <t>Discounted impact</t>
  </si>
  <si>
    <t>total</t>
  </si>
  <si>
    <t>TD</t>
  </si>
  <si>
    <t>Adaptive cost parameters</t>
  </si>
  <si>
    <r>
      <t>CP</t>
    </r>
    <r>
      <rPr>
        <vertAlign val="subscript"/>
        <sz val="10"/>
        <rFont val="Arial"/>
        <family val="2"/>
      </rPr>
      <t>1</t>
    </r>
  </si>
  <si>
    <r>
      <t>CI</t>
    </r>
    <r>
      <rPr>
        <vertAlign val="subscript"/>
        <sz val="10"/>
        <rFont val="Arial"/>
        <family val="2"/>
      </rPr>
      <t>1</t>
    </r>
  </si>
  <si>
    <r>
      <t>CP</t>
    </r>
    <r>
      <rPr>
        <vertAlign val="subscript"/>
        <sz val="10"/>
        <rFont val="Arial"/>
        <family val="2"/>
      </rPr>
      <t>2</t>
    </r>
  </si>
  <si>
    <r>
      <t>CI</t>
    </r>
    <r>
      <rPr>
        <vertAlign val="subscript"/>
        <sz val="10"/>
        <rFont val="Arial"/>
        <family val="2"/>
      </rPr>
      <t>2</t>
    </r>
  </si>
  <si>
    <r>
      <t>AC</t>
    </r>
    <r>
      <rPr>
        <b/>
        <vertAlign val="subscript"/>
        <sz val="10"/>
        <rFont val="Arial"/>
        <family val="2"/>
      </rPr>
      <t>1</t>
    </r>
  </si>
  <si>
    <r>
      <t>AC</t>
    </r>
    <r>
      <rPr>
        <b/>
        <vertAlign val="subscript"/>
        <sz val="10"/>
        <rFont val="Arial"/>
        <family val="2"/>
      </rPr>
      <t>2</t>
    </r>
  </si>
  <si>
    <t>Discounted adaptive costs</t>
  </si>
  <si>
    <t>Aggregated adaptive costs</t>
  </si>
  <si>
    <r>
      <t>EMIT</t>
    </r>
    <r>
      <rPr>
        <vertAlign val="subscript"/>
        <sz val="10"/>
        <rFont val="Arial"/>
        <family val="2"/>
      </rPr>
      <t>1</t>
    </r>
  </si>
  <si>
    <r>
      <t>EMIT</t>
    </r>
    <r>
      <rPr>
        <vertAlign val="subscript"/>
        <sz val="10"/>
        <rFont val="Arial"/>
        <family val="2"/>
      </rPr>
      <t>2</t>
    </r>
  </si>
  <si>
    <r>
      <t>Y - Y</t>
    </r>
    <r>
      <rPr>
        <vertAlign val="subscript"/>
        <sz val="10"/>
        <rFont val="Arial"/>
        <family val="2"/>
      </rPr>
      <t>0</t>
    </r>
  </si>
  <si>
    <t>Zero cost emissions</t>
  </si>
  <si>
    <r>
      <t>ZC</t>
    </r>
    <r>
      <rPr>
        <b/>
        <vertAlign val="subscript"/>
        <sz val="10"/>
        <rFont val="Arial"/>
        <family val="2"/>
      </rPr>
      <t>1</t>
    </r>
  </si>
  <si>
    <r>
      <t>ZC</t>
    </r>
    <r>
      <rPr>
        <b/>
        <vertAlign val="subscript"/>
        <sz val="10"/>
        <rFont val="Arial"/>
        <family val="2"/>
      </rPr>
      <t>2</t>
    </r>
  </si>
  <si>
    <t>Cutbacks</t>
  </si>
  <si>
    <r>
      <t>CB</t>
    </r>
    <r>
      <rPr>
        <b/>
        <vertAlign val="subscript"/>
        <sz val="10"/>
        <rFont val="Arial"/>
        <family val="2"/>
      </rPr>
      <t>1</t>
    </r>
  </si>
  <si>
    <r>
      <t>CB</t>
    </r>
    <r>
      <rPr>
        <b/>
        <vertAlign val="subscript"/>
        <sz val="10"/>
        <rFont val="Arial"/>
        <family val="2"/>
      </rPr>
      <t>2</t>
    </r>
  </si>
  <si>
    <t>Non-econ</t>
  </si>
  <si>
    <t>Total adaptive costs</t>
  </si>
  <si>
    <t>Tg/Km2</t>
  </si>
  <si>
    <t>Mt/ppb</t>
  </si>
  <si>
    <t>Total</t>
  </si>
  <si>
    <t>Aggregated prev costs</t>
  </si>
  <si>
    <t>Discounted prev costs</t>
  </si>
  <si>
    <t>(Focus region)</t>
  </si>
  <si>
    <t>Total impacts and costs</t>
  </si>
  <si>
    <t xml:space="preserve">Weighted impact </t>
  </si>
  <si>
    <t>Run</t>
  </si>
  <si>
    <t>Discounted:</t>
  </si>
  <si>
    <r>
      <t>TEA</t>
    </r>
    <r>
      <rPr>
        <vertAlign val="subscript"/>
        <sz val="10"/>
        <rFont val="Arial"/>
        <family val="2"/>
      </rPr>
      <t>3</t>
    </r>
  </si>
  <si>
    <r>
      <t>TEAY</t>
    </r>
    <r>
      <rPr>
        <vertAlign val="subscript"/>
        <sz val="10"/>
        <rFont val="Arial"/>
        <family val="2"/>
      </rPr>
      <t>3</t>
    </r>
  </si>
  <si>
    <r>
      <t>RE</t>
    </r>
    <r>
      <rPr>
        <vertAlign val="subscript"/>
        <sz val="10"/>
        <rFont val="Arial"/>
        <family val="2"/>
      </rPr>
      <t>3</t>
    </r>
  </si>
  <si>
    <r>
      <t>C</t>
    </r>
    <r>
      <rPr>
        <vertAlign val="subscript"/>
        <sz val="10"/>
        <rFont val="Arial"/>
        <family val="2"/>
      </rPr>
      <t>3</t>
    </r>
  </si>
  <si>
    <r>
      <t>F</t>
    </r>
    <r>
      <rPr>
        <vertAlign val="subscript"/>
        <sz val="10"/>
        <rFont val="Arial"/>
        <family val="2"/>
      </rPr>
      <t>3</t>
    </r>
  </si>
  <si>
    <t>Forcing from policy gases and excess</t>
  </si>
  <si>
    <r>
      <t>EMIT</t>
    </r>
    <r>
      <rPr>
        <vertAlign val="subscript"/>
        <sz val="10"/>
        <rFont val="Arial"/>
        <family val="2"/>
      </rPr>
      <t>3</t>
    </r>
  </si>
  <si>
    <r>
      <t>ZC</t>
    </r>
    <r>
      <rPr>
        <b/>
        <vertAlign val="subscript"/>
        <sz val="10"/>
        <rFont val="Arial"/>
        <family val="2"/>
      </rPr>
      <t>3</t>
    </r>
  </si>
  <si>
    <r>
      <t>CB</t>
    </r>
    <r>
      <rPr>
        <b/>
        <vertAlign val="subscript"/>
        <sz val="10"/>
        <rFont val="Arial"/>
        <family val="2"/>
      </rPr>
      <t>3</t>
    </r>
  </si>
  <si>
    <t>Difference</t>
  </si>
  <si>
    <t>Tolerable before discontinuity</t>
  </si>
  <si>
    <t>Chance of discontinuity</t>
  </si>
  <si>
    <t>% per degC</t>
  </si>
  <si>
    <t>Loss if discontinuity occurs</t>
  </si>
  <si>
    <t>%GDP</t>
  </si>
  <si>
    <r>
      <t>I</t>
    </r>
    <r>
      <rPr>
        <b/>
        <vertAlign val="subscript"/>
        <sz val="10"/>
        <rFont val="Arial"/>
        <family val="2"/>
      </rPr>
      <t>dis</t>
    </r>
  </si>
  <si>
    <t>temperature</t>
  </si>
  <si>
    <t>probability</t>
  </si>
  <si>
    <t>global</t>
  </si>
  <si>
    <t>Pop</t>
  </si>
  <si>
    <t>million</t>
  </si>
  <si>
    <t>GDP/cap</t>
  </si>
  <si>
    <t>Mean</t>
  </si>
  <si>
    <t>Mean growth rate</t>
  </si>
  <si>
    <t>Equity weights</t>
  </si>
  <si>
    <t>Elasticity of utility</t>
  </si>
  <si>
    <t>N2O</t>
  </si>
  <si>
    <t>N2O emit</t>
  </si>
  <si>
    <t>Natural emissions of N2O</t>
  </si>
  <si>
    <t>Total emissions to air of N2O</t>
  </si>
  <si>
    <t>Total this period of N2O</t>
  </si>
  <si>
    <t>Exponential factor for N2O</t>
  </si>
  <si>
    <t>Remaining emissions factor for N2O</t>
  </si>
  <si>
    <t>Total this period factor for N2O</t>
  </si>
  <si>
    <t>Remaining emissions of N2O</t>
  </si>
  <si>
    <t>Concentration of N2O</t>
  </si>
  <si>
    <t>Forcing from N2O</t>
  </si>
  <si>
    <t>Overlap term for CH4</t>
  </si>
  <si>
    <t>Overlap term for N2O</t>
  </si>
  <si>
    <t>Forcing from CH4 without overlap</t>
  </si>
  <si>
    <t>Forcing from N2O without overlap</t>
  </si>
  <si>
    <t>Stimulation of CO2 concentration</t>
  </si>
  <si>
    <t>%/degC</t>
  </si>
  <si>
    <t>CO2 stimulation limit</t>
  </si>
  <si>
    <t>Carbon cycle feedback factor</t>
  </si>
  <si>
    <t>CCFF</t>
  </si>
  <si>
    <t>Concentration of CO2 before CCFF</t>
  </si>
  <si>
    <t>Remaining emissions of CO2 before CCFF</t>
  </si>
  <si>
    <t>Total land area</t>
  </si>
  <si>
    <t>Ocean proportion</t>
  </si>
  <si>
    <t>RTL</t>
  </si>
  <si>
    <t>Global mean land temperature</t>
  </si>
  <si>
    <r>
      <t>NTE</t>
    </r>
    <r>
      <rPr>
        <vertAlign val="subscript"/>
        <sz val="10"/>
        <rFont val="Arial"/>
        <family val="2"/>
      </rPr>
      <t>2</t>
    </r>
  </si>
  <si>
    <r>
      <t>NTE</t>
    </r>
    <r>
      <rPr>
        <vertAlign val="subscript"/>
        <sz val="10"/>
        <rFont val="Arial"/>
        <family val="2"/>
      </rPr>
      <t>3</t>
    </r>
  </si>
  <si>
    <r>
      <t>NTE</t>
    </r>
    <r>
      <rPr>
        <vertAlign val="subscript"/>
        <sz val="10"/>
        <rFont val="Arial"/>
        <family val="2"/>
      </rPr>
      <t>4</t>
    </r>
  </si>
  <si>
    <r>
      <t>TEA</t>
    </r>
    <r>
      <rPr>
        <vertAlign val="subscript"/>
        <sz val="10"/>
        <rFont val="Arial"/>
        <family val="2"/>
      </rPr>
      <t>4</t>
    </r>
  </si>
  <si>
    <r>
      <t>TEAY</t>
    </r>
    <r>
      <rPr>
        <vertAlign val="subscript"/>
        <sz val="10"/>
        <rFont val="Arial"/>
        <family val="2"/>
      </rPr>
      <t>4</t>
    </r>
  </si>
  <si>
    <r>
      <t>RE</t>
    </r>
    <r>
      <rPr>
        <vertAlign val="subscript"/>
        <sz val="10"/>
        <rFont val="Arial"/>
        <family val="2"/>
      </rPr>
      <t>4</t>
    </r>
  </si>
  <si>
    <r>
      <t>C</t>
    </r>
    <r>
      <rPr>
        <vertAlign val="subscript"/>
        <sz val="10"/>
        <rFont val="Arial"/>
        <family val="2"/>
      </rPr>
      <t>4</t>
    </r>
  </si>
  <si>
    <r>
      <t>F</t>
    </r>
    <r>
      <rPr>
        <vertAlign val="subscript"/>
        <sz val="10"/>
        <rFont val="Arial"/>
        <family val="2"/>
      </rPr>
      <t>4</t>
    </r>
  </si>
  <si>
    <t>RTL_G</t>
  </si>
  <si>
    <t>RT_G</t>
  </si>
  <si>
    <t>m</t>
  </si>
  <si>
    <t>Sea level rise with temperature</t>
  </si>
  <si>
    <t>m/degC</t>
  </si>
  <si>
    <t>Sea level asymptote</t>
  </si>
  <si>
    <t>Equilibrium sea level rise</t>
  </si>
  <si>
    <t>ES</t>
  </si>
  <si>
    <t>Exponential factor for sea level</t>
  </si>
  <si>
    <t>EXPFS</t>
  </si>
  <si>
    <t>Sea level rise</t>
  </si>
  <si>
    <t>S</t>
  </si>
  <si>
    <t>Sulphate flux (SFX)</t>
  </si>
  <si>
    <t>Direct sulphate forcing (FSD)</t>
  </si>
  <si>
    <t>Indirect sulphate forcing (FSI)</t>
  </si>
  <si>
    <t>Sulfate indirect (log) effect for a doubling of sulphates</t>
  </si>
  <si>
    <t>Transient climate response</t>
  </si>
  <si>
    <t>New adaptation</t>
  </si>
  <si>
    <t>Pstart</t>
  </si>
  <si>
    <t>Pyears</t>
  </si>
  <si>
    <t>Istart</t>
  </si>
  <si>
    <t>Iyears</t>
  </si>
  <si>
    <t>Plateau</t>
  </si>
  <si>
    <r>
      <t>ATL</t>
    </r>
    <r>
      <rPr>
        <vertAlign val="subscript"/>
        <sz val="10"/>
        <rFont val="Arial"/>
        <family val="2"/>
      </rPr>
      <t>s</t>
    </r>
  </si>
  <si>
    <r>
      <t>I</t>
    </r>
    <r>
      <rPr>
        <b/>
        <vertAlign val="subscript"/>
        <sz val="10"/>
        <rFont val="Arial"/>
        <family val="2"/>
      </rPr>
      <t>s</t>
    </r>
  </si>
  <si>
    <t>occurs?</t>
  </si>
  <si>
    <t>Global</t>
  </si>
  <si>
    <t>Global growth rate</t>
  </si>
  <si>
    <t>Savings rate</t>
  </si>
  <si>
    <t>Calibration temperature</t>
  </si>
  <si>
    <t>Sea level impact at calibration sea level rise</t>
  </si>
  <si>
    <t>Calibration sea level rise</t>
  </si>
  <si>
    <t>%GDP per m</t>
  </si>
  <si>
    <t>Sea level exponent with income</t>
  </si>
  <si>
    <t>Sea level initial benefit</t>
  </si>
  <si>
    <t>%GDP per degC</t>
  </si>
  <si>
    <t>Impacts saturate beyond</t>
  </si>
  <si>
    <t>Discontinuity exponent with income</t>
  </si>
  <si>
    <t>Sea level impact function exponent</t>
  </si>
  <si>
    <t>Consumption/cap</t>
  </si>
  <si>
    <r>
      <t>IREF</t>
    </r>
    <r>
      <rPr>
        <b/>
        <vertAlign val="subscript"/>
        <sz val="10"/>
        <rFont val="Arial"/>
        <family val="2"/>
      </rPr>
      <t>s</t>
    </r>
  </si>
  <si>
    <t>Impact at actual GDP/cap</t>
  </si>
  <si>
    <t>Impact at focus GDP/cap</t>
  </si>
  <si>
    <r>
      <t>IGDP</t>
    </r>
    <r>
      <rPr>
        <b/>
        <vertAlign val="subscript"/>
        <sz val="10"/>
        <rFont val="Arial"/>
        <family val="2"/>
      </rPr>
      <t>s</t>
    </r>
  </si>
  <si>
    <r>
      <t>ISAT</t>
    </r>
    <r>
      <rPr>
        <b/>
        <vertAlign val="subscript"/>
        <sz val="10"/>
        <rFont val="Arial"/>
        <family val="2"/>
      </rPr>
      <t>s</t>
    </r>
  </si>
  <si>
    <t>Impact with saturation</t>
  </si>
  <si>
    <t>Impact with saturation/cap</t>
  </si>
  <si>
    <r>
      <t>ISAT</t>
    </r>
    <r>
      <rPr>
        <b/>
        <vertAlign val="subscript"/>
        <sz val="10"/>
        <rFont val="Arial"/>
        <family val="2"/>
      </rPr>
      <t xml:space="preserve">s </t>
    </r>
    <r>
      <rPr>
        <b/>
        <sz val="10"/>
        <rFont val="Arial"/>
        <family val="2"/>
      </rPr>
      <t>per cap</t>
    </r>
  </si>
  <si>
    <t>Remaining consumption/cap</t>
  </si>
  <si>
    <r>
      <t>RCONS</t>
    </r>
    <r>
      <rPr>
        <b/>
        <vertAlign val="subscript"/>
        <sz val="10"/>
        <rFont val="Arial"/>
        <family val="2"/>
      </rPr>
      <t xml:space="preserve">s </t>
    </r>
    <r>
      <rPr>
        <b/>
        <sz val="10"/>
        <rFont val="Arial"/>
        <family val="2"/>
      </rPr>
      <t>per cap</t>
    </r>
  </si>
  <si>
    <t>Remaining GDP/cap</t>
  </si>
  <si>
    <r>
      <t>RGDP</t>
    </r>
    <r>
      <rPr>
        <b/>
        <vertAlign val="subscript"/>
        <sz val="10"/>
        <rFont val="Arial"/>
        <family val="2"/>
      </rPr>
      <t xml:space="preserve">s </t>
    </r>
    <r>
      <rPr>
        <b/>
        <sz val="10"/>
        <rFont val="Arial"/>
        <family val="2"/>
      </rPr>
      <t>per cap</t>
    </r>
  </si>
  <si>
    <r>
      <rPr>
        <sz val="10"/>
        <rFont val="Arial"/>
        <family val="2"/>
      </rPr>
      <t>IMP</t>
    </r>
    <r>
      <rPr>
        <vertAlign val="subscript"/>
        <sz val="10"/>
        <rFont val="Arial"/>
        <family val="2"/>
      </rPr>
      <t>s</t>
    </r>
  </si>
  <si>
    <r>
      <rPr>
        <sz val="10"/>
        <rFont val="Arial"/>
        <family val="2"/>
      </rPr>
      <t>IMP</t>
    </r>
    <r>
      <rPr>
        <vertAlign val="subscript"/>
        <sz val="10"/>
        <rFont val="Arial"/>
        <family val="2"/>
      </rPr>
      <t>1</t>
    </r>
  </si>
  <si>
    <r>
      <rPr>
        <sz val="10"/>
        <rFont val="Arial"/>
        <family val="2"/>
      </rPr>
      <t>IMP</t>
    </r>
    <r>
      <rPr>
        <vertAlign val="subscript"/>
        <sz val="10"/>
        <rFont val="Arial"/>
        <family val="2"/>
      </rPr>
      <t>2</t>
    </r>
  </si>
  <si>
    <r>
      <t>IGDP</t>
    </r>
    <r>
      <rPr>
        <b/>
        <vertAlign val="subscript"/>
        <sz val="10"/>
        <rFont val="Arial"/>
        <family val="2"/>
      </rPr>
      <t>1</t>
    </r>
  </si>
  <si>
    <r>
      <t>ISAT</t>
    </r>
    <r>
      <rPr>
        <b/>
        <vertAlign val="subscript"/>
        <sz val="10"/>
        <rFont val="Arial"/>
        <family val="2"/>
      </rPr>
      <t>1</t>
    </r>
  </si>
  <si>
    <r>
      <t>RGDP</t>
    </r>
    <r>
      <rPr>
        <b/>
        <vertAlign val="subscript"/>
        <sz val="10"/>
        <rFont val="Arial"/>
        <family val="2"/>
      </rPr>
      <t xml:space="preserve">1 </t>
    </r>
    <r>
      <rPr>
        <b/>
        <sz val="10"/>
        <rFont val="Arial"/>
        <family val="2"/>
      </rPr>
      <t>per cap</t>
    </r>
  </si>
  <si>
    <r>
      <t>RCONS</t>
    </r>
    <r>
      <rPr>
        <b/>
        <vertAlign val="subscript"/>
        <sz val="10"/>
        <rFont val="Arial"/>
        <family val="2"/>
      </rPr>
      <t xml:space="preserve">1 </t>
    </r>
    <r>
      <rPr>
        <b/>
        <sz val="10"/>
        <rFont val="Arial"/>
        <family val="2"/>
      </rPr>
      <t>per cap</t>
    </r>
  </si>
  <si>
    <r>
      <t>IREF</t>
    </r>
    <r>
      <rPr>
        <b/>
        <vertAlign val="subscript"/>
        <sz val="10"/>
        <rFont val="Arial"/>
        <family val="2"/>
      </rPr>
      <t>2</t>
    </r>
  </si>
  <si>
    <r>
      <t>IGDP</t>
    </r>
    <r>
      <rPr>
        <b/>
        <vertAlign val="subscript"/>
        <sz val="10"/>
        <rFont val="Arial"/>
        <family val="2"/>
      </rPr>
      <t>2</t>
    </r>
  </si>
  <si>
    <r>
      <t>ISAT</t>
    </r>
    <r>
      <rPr>
        <b/>
        <vertAlign val="subscript"/>
        <sz val="10"/>
        <rFont val="Arial"/>
        <family val="2"/>
      </rPr>
      <t>2</t>
    </r>
  </si>
  <si>
    <r>
      <t>ISAT</t>
    </r>
    <r>
      <rPr>
        <b/>
        <vertAlign val="subscript"/>
        <sz val="10"/>
        <rFont val="Arial"/>
        <family val="2"/>
      </rPr>
      <t xml:space="preserve">2 </t>
    </r>
    <r>
      <rPr>
        <b/>
        <sz val="10"/>
        <rFont val="Arial"/>
        <family val="2"/>
      </rPr>
      <t>per cap</t>
    </r>
  </si>
  <si>
    <r>
      <t>RGDP</t>
    </r>
    <r>
      <rPr>
        <b/>
        <vertAlign val="subscript"/>
        <sz val="10"/>
        <rFont val="Arial"/>
        <family val="2"/>
      </rPr>
      <t xml:space="preserve">2 </t>
    </r>
    <r>
      <rPr>
        <b/>
        <sz val="10"/>
        <rFont val="Arial"/>
        <family val="2"/>
      </rPr>
      <t>per cap</t>
    </r>
  </si>
  <si>
    <r>
      <t>RCONS</t>
    </r>
    <r>
      <rPr>
        <b/>
        <vertAlign val="subscript"/>
        <sz val="10"/>
        <rFont val="Arial"/>
        <family val="2"/>
      </rPr>
      <t xml:space="preserve">2 </t>
    </r>
    <r>
      <rPr>
        <b/>
        <sz val="10"/>
        <rFont val="Arial"/>
        <family val="2"/>
      </rPr>
      <t>per cap</t>
    </r>
  </si>
  <si>
    <t>Eq Impact at focus GDP/cap</t>
  </si>
  <si>
    <r>
      <t>IREFEQ</t>
    </r>
    <r>
      <rPr>
        <b/>
        <vertAlign val="subscript"/>
        <sz val="10"/>
        <rFont val="Arial"/>
        <family val="2"/>
      </rPr>
      <t>dis</t>
    </r>
  </si>
  <si>
    <t>Eq Impact at actual GDP/cap</t>
  </si>
  <si>
    <r>
      <t>IGDPEQ</t>
    </r>
    <r>
      <rPr>
        <b/>
        <vertAlign val="subscript"/>
        <sz val="10"/>
        <rFont val="Arial"/>
        <family val="2"/>
      </rPr>
      <t>dis</t>
    </r>
  </si>
  <si>
    <r>
      <t>IGDP</t>
    </r>
    <r>
      <rPr>
        <b/>
        <vertAlign val="subscript"/>
        <sz val="10"/>
        <rFont val="Arial"/>
        <family val="2"/>
      </rPr>
      <t>dis</t>
    </r>
  </si>
  <si>
    <t>exponential factor</t>
  </si>
  <si>
    <r>
      <t>ISAT</t>
    </r>
    <r>
      <rPr>
        <b/>
        <vertAlign val="subscript"/>
        <sz val="10"/>
        <rFont val="Arial"/>
        <family val="2"/>
      </rPr>
      <t>dis</t>
    </r>
  </si>
  <si>
    <r>
      <t>ISAT</t>
    </r>
    <r>
      <rPr>
        <b/>
        <vertAlign val="subscript"/>
        <sz val="10"/>
        <rFont val="Arial"/>
        <family val="2"/>
      </rPr>
      <t xml:space="preserve">dis </t>
    </r>
    <r>
      <rPr>
        <b/>
        <sz val="10"/>
        <rFont val="Arial"/>
        <family val="2"/>
      </rPr>
      <t>per cap</t>
    </r>
  </si>
  <si>
    <r>
      <t>RGDP</t>
    </r>
    <r>
      <rPr>
        <b/>
        <vertAlign val="subscript"/>
        <sz val="10"/>
        <rFont val="Arial"/>
        <family val="2"/>
      </rPr>
      <t xml:space="preserve">dis </t>
    </r>
    <r>
      <rPr>
        <b/>
        <sz val="10"/>
        <rFont val="Arial"/>
        <family val="2"/>
      </rPr>
      <t>per cap</t>
    </r>
  </si>
  <si>
    <r>
      <t>RCONS</t>
    </r>
    <r>
      <rPr>
        <b/>
        <vertAlign val="subscript"/>
        <sz val="10"/>
        <rFont val="Arial"/>
        <family val="2"/>
      </rPr>
      <t xml:space="preserve">dis </t>
    </r>
    <r>
      <rPr>
        <b/>
        <sz val="10"/>
        <rFont val="Arial"/>
        <family val="2"/>
      </rPr>
      <t>per cap</t>
    </r>
  </si>
  <si>
    <r>
      <t>WI</t>
    </r>
    <r>
      <rPr>
        <b/>
        <vertAlign val="subscript"/>
        <sz val="10"/>
        <rFont val="Arial"/>
        <family val="2"/>
      </rPr>
      <t>T</t>
    </r>
  </si>
  <si>
    <r>
      <t>WID</t>
    </r>
    <r>
      <rPr>
        <b/>
        <vertAlign val="subscript"/>
        <sz val="10"/>
        <rFont val="Arial"/>
        <family val="2"/>
      </rPr>
      <t>T</t>
    </r>
  </si>
  <si>
    <t>Global total</t>
  </si>
  <si>
    <r>
      <t>ADD</t>
    </r>
    <r>
      <rPr>
        <b/>
        <vertAlign val="subscript"/>
        <sz val="10"/>
        <rFont val="Arial"/>
        <family val="2"/>
      </rPr>
      <t>T</t>
    </r>
  </si>
  <si>
    <t>%consumption</t>
  </si>
  <si>
    <t>ISATG</t>
  </si>
  <si>
    <t>difference</t>
  </si>
  <si>
    <r>
      <t>ZC</t>
    </r>
    <r>
      <rPr>
        <b/>
        <vertAlign val="subscript"/>
        <sz val="10"/>
        <rFont val="Arial"/>
        <family val="2"/>
      </rPr>
      <t>4</t>
    </r>
  </si>
  <si>
    <r>
      <t>CB</t>
    </r>
    <r>
      <rPr>
        <b/>
        <vertAlign val="subscript"/>
        <sz val="10"/>
        <rFont val="Arial"/>
        <family val="2"/>
      </rPr>
      <t>4</t>
    </r>
  </si>
  <si>
    <t>% of emissions</t>
  </si>
  <si>
    <t>Initial experience stock</t>
  </si>
  <si>
    <t>Mtonne</t>
  </si>
  <si>
    <t>Cutbacks at negative cost growth rate</t>
  </si>
  <si>
    <t>Maximum cutbacks growth rate</t>
  </si>
  <si>
    <t>Most negative cost growth rate</t>
  </si>
  <si>
    <t>Curvature below zero cost</t>
  </si>
  <si>
    <t>Curvature above zero cost</t>
  </si>
  <si>
    <t>Experience crossover ratio</t>
  </si>
  <si>
    <t>Autonomous technical change</t>
  </si>
  <si>
    <t>Equity weights proportion</t>
  </si>
  <si>
    <t>Initial cutbacks at negative cost</t>
  </si>
  <si>
    <t>Initial maximum cost cutback</t>
  </si>
  <si>
    <r>
      <t>CMAXINIT</t>
    </r>
    <r>
      <rPr>
        <vertAlign val="subscript"/>
        <sz val="8"/>
        <rFont val="Arial"/>
        <family val="2"/>
      </rPr>
      <t>1</t>
    </r>
  </si>
  <si>
    <r>
      <t>CMAXINIT</t>
    </r>
    <r>
      <rPr>
        <vertAlign val="subscript"/>
        <sz val="8"/>
        <rFont val="Arial"/>
        <family val="2"/>
      </rPr>
      <t>2</t>
    </r>
  </si>
  <si>
    <r>
      <t>CMAXINIT</t>
    </r>
    <r>
      <rPr>
        <vertAlign val="subscript"/>
        <sz val="8"/>
        <rFont val="Arial"/>
        <family val="2"/>
      </rPr>
      <t>3</t>
    </r>
  </si>
  <si>
    <r>
      <t>CMAXINIT</t>
    </r>
    <r>
      <rPr>
        <vertAlign val="subscript"/>
        <sz val="8"/>
        <rFont val="Arial"/>
        <family val="2"/>
      </rPr>
      <t>4</t>
    </r>
  </si>
  <si>
    <r>
      <t>Q0PROPINIT</t>
    </r>
    <r>
      <rPr>
        <vertAlign val="subscript"/>
        <sz val="7"/>
        <rFont val="Arial"/>
        <family val="2"/>
      </rPr>
      <t>1</t>
    </r>
  </si>
  <si>
    <r>
      <t>Q0PROPINIT</t>
    </r>
    <r>
      <rPr>
        <vertAlign val="subscript"/>
        <sz val="7"/>
        <rFont val="Arial"/>
        <family val="2"/>
      </rPr>
      <t>2</t>
    </r>
  </si>
  <si>
    <r>
      <t>Q0PROPINIT</t>
    </r>
    <r>
      <rPr>
        <vertAlign val="subscript"/>
        <sz val="7"/>
        <rFont val="Arial"/>
        <family val="2"/>
      </rPr>
      <t>3</t>
    </r>
  </si>
  <si>
    <r>
      <t>Q0PROPINIT</t>
    </r>
    <r>
      <rPr>
        <vertAlign val="subscript"/>
        <sz val="7"/>
        <rFont val="Arial"/>
        <family val="2"/>
      </rPr>
      <t>4</t>
    </r>
  </si>
  <si>
    <t>Cumulative cutbacks</t>
  </si>
  <si>
    <r>
      <t>CBE</t>
    </r>
    <r>
      <rPr>
        <b/>
        <vertAlign val="subscript"/>
        <sz val="10"/>
        <rFont val="Arial"/>
        <family val="2"/>
      </rPr>
      <t>1</t>
    </r>
  </si>
  <si>
    <r>
      <t>CBE</t>
    </r>
    <r>
      <rPr>
        <b/>
        <vertAlign val="subscript"/>
        <sz val="10"/>
        <rFont val="Arial"/>
        <family val="2"/>
      </rPr>
      <t>2</t>
    </r>
  </si>
  <si>
    <r>
      <t>CBE</t>
    </r>
    <r>
      <rPr>
        <b/>
        <vertAlign val="subscript"/>
        <sz val="10"/>
        <rFont val="Arial"/>
        <family val="2"/>
      </rPr>
      <t>3</t>
    </r>
  </si>
  <si>
    <r>
      <t>CBE</t>
    </r>
    <r>
      <rPr>
        <b/>
        <vertAlign val="subscript"/>
        <sz val="10"/>
        <rFont val="Arial"/>
        <family val="2"/>
      </rPr>
      <t>4</t>
    </r>
  </si>
  <si>
    <r>
      <t>CUMCBE</t>
    </r>
    <r>
      <rPr>
        <b/>
        <vertAlign val="subscript"/>
        <sz val="10"/>
        <rFont val="Arial"/>
        <family val="2"/>
      </rPr>
      <t>1</t>
    </r>
  </si>
  <si>
    <r>
      <t>CUMCBE</t>
    </r>
    <r>
      <rPr>
        <b/>
        <vertAlign val="subscript"/>
        <sz val="10"/>
        <rFont val="Arial"/>
        <family val="2"/>
      </rPr>
      <t>2</t>
    </r>
  </si>
  <si>
    <r>
      <t>CUMCBE</t>
    </r>
    <r>
      <rPr>
        <b/>
        <vertAlign val="subscript"/>
        <sz val="10"/>
        <rFont val="Arial"/>
        <family val="2"/>
      </rPr>
      <t>3</t>
    </r>
  </si>
  <si>
    <r>
      <t>CUMCBE</t>
    </r>
    <r>
      <rPr>
        <b/>
        <vertAlign val="subscript"/>
        <sz val="10"/>
        <rFont val="Arial"/>
        <family val="2"/>
      </rPr>
      <t>4</t>
    </r>
  </si>
  <si>
    <t>Learning factors</t>
  </si>
  <si>
    <r>
      <t>LEARNFAC</t>
    </r>
    <r>
      <rPr>
        <b/>
        <vertAlign val="subscript"/>
        <sz val="10"/>
        <rFont val="Arial"/>
        <family val="2"/>
      </rPr>
      <t>1</t>
    </r>
  </si>
  <si>
    <r>
      <t>LEARNFAC</t>
    </r>
    <r>
      <rPr>
        <b/>
        <vertAlign val="subscript"/>
        <sz val="10"/>
        <rFont val="Arial"/>
        <family val="2"/>
      </rPr>
      <t>2</t>
    </r>
  </si>
  <si>
    <r>
      <t>LEARNFAC</t>
    </r>
    <r>
      <rPr>
        <b/>
        <vertAlign val="subscript"/>
        <sz val="10"/>
        <rFont val="Arial"/>
        <family val="2"/>
      </rPr>
      <t>3</t>
    </r>
  </si>
  <si>
    <r>
      <t>LEARNFAC</t>
    </r>
    <r>
      <rPr>
        <b/>
        <vertAlign val="subscript"/>
        <sz val="10"/>
        <rFont val="Arial"/>
        <family val="2"/>
      </rPr>
      <t>4</t>
    </r>
  </si>
  <si>
    <t>Autonomous factor</t>
  </si>
  <si>
    <t>AUTOFAC</t>
  </si>
  <si>
    <t>Negative cost cutbacks</t>
  </si>
  <si>
    <r>
      <t>Q0PROP</t>
    </r>
    <r>
      <rPr>
        <b/>
        <vertAlign val="subscript"/>
        <sz val="10"/>
        <rFont val="Arial"/>
        <family val="2"/>
      </rPr>
      <t>1</t>
    </r>
  </si>
  <si>
    <r>
      <t>Q0PROP</t>
    </r>
    <r>
      <rPr>
        <b/>
        <vertAlign val="subscript"/>
        <sz val="10"/>
        <rFont val="Arial"/>
        <family val="2"/>
      </rPr>
      <t>2</t>
    </r>
  </si>
  <si>
    <r>
      <t>Q0PROP</t>
    </r>
    <r>
      <rPr>
        <b/>
        <vertAlign val="subscript"/>
        <sz val="10"/>
        <rFont val="Arial"/>
        <family val="2"/>
      </rPr>
      <t>3</t>
    </r>
  </si>
  <si>
    <r>
      <t>Q0PROP</t>
    </r>
    <r>
      <rPr>
        <b/>
        <vertAlign val="subscript"/>
        <sz val="10"/>
        <rFont val="Arial"/>
        <family val="2"/>
      </rPr>
      <t>4</t>
    </r>
  </si>
  <si>
    <r>
      <t>Q0</t>
    </r>
    <r>
      <rPr>
        <b/>
        <vertAlign val="subscript"/>
        <sz val="10"/>
        <rFont val="Arial"/>
        <family val="2"/>
      </rPr>
      <t>1</t>
    </r>
  </si>
  <si>
    <r>
      <t>Q0</t>
    </r>
    <r>
      <rPr>
        <b/>
        <vertAlign val="subscript"/>
        <sz val="10"/>
        <rFont val="Arial"/>
        <family val="2"/>
      </rPr>
      <t>2</t>
    </r>
  </si>
  <si>
    <r>
      <t>Q0</t>
    </r>
    <r>
      <rPr>
        <b/>
        <vertAlign val="subscript"/>
        <sz val="10"/>
        <rFont val="Arial"/>
        <family val="2"/>
      </rPr>
      <t>3</t>
    </r>
  </si>
  <si>
    <r>
      <t>Q0</t>
    </r>
    <r>
      <rPr>
        <b/>
        <vertAlign val="subscript"/>
        <sz val="10"/>
        <rFont val="Arial"/>
        <family val="2"/>
      </rPr>
      <t>4</t>
    </r>
  </si>
  <si>
    <t>Most negative cost</t>
  </si>
  <si>
    <t>C0</t>
  </si>
  <si>
    <t>Positive cost cutbacks</t>
  </si>
  <si>
    <r>
      <t>Q0MAX-Q0PROP</t>
    </r>
    <r>
      <rPr>
        <b/>
        <vertAlign val="subscript"/>
        <sz val="10"/>
        <rFont val="Arial"/>
        <family val="2"/>
      </rPr>
      <t>1</t>
    </r>
  </si>
  <si>
    <t>Maximum reference cutbacks</t>
  </si>
  <si>
    <r>
      <t>QMAX</t>
    </r>
    <r>
      <rPr>
        <b/>
        <vertAlign val="subscript"/>
        <sz val="10"/>
        <rFont val="Arial"/>
        <family val="2"/>
      </rPr>
      <t>1</t>
    </r>
  </si>
  <si>
    <r>
      <t>QMAX</t>
    </r>
    <r>
      <rPr>
        <b/>
        <vertAlign val="subscript"/>
        <sz val="10"/>
        <rFont val="Arial"/>
        <family val="2"/>
      </rPr>
      <t>2</t>
    </r>
  </si>
  <si>
    <r>
      <t>QMAX</t>
    </r>
    <r>
      <rPr>
        <b/>
        <vertAlign val="subscript"/>
        <sz val="10"/>
        <rFont val="Arial"/>
        <family val="2"/>
      </rPr>
      <t>3</t>
    </r>
  </si>
  <si>
    <r>
      <t>QMAX</t>
    </r>
    <r>
      <rPr>
        <b/>
        <vertAlign val="subscript"/>
        <sz val="10"/>
        <rFont val="Arial"/>
        <family val="2"/>
      </rPr>
      <t>4</t>
    </r>
  </si>
  <si>
    <t>Maximum cost</t>
  </si>
  <si>
    <r>
      <t>CMAX</t>
    </r>
    <r>
      <rPr>
        <b/>
        <vertAlign val="subscript"/>
        <sz val="10"/>
        <rFont val="Arial"/>
        <family val="2"/>
      </rPr>
      <t>1</t>
    </r>
  </si>
  <si>
    <r>
      <t>CMAX</t>
    </r>
    <r>
      <rPr>
        <b/>
        <vertAlign val="subscript"/>
        <sz val="10"/>
        <rFont val="Arial"/>
        <family val="2"/>
      </rPr>
      <t>2</t>
    </r>
  </si>
  <si>
    <r>
      <t>CMAX</t>
    </r>
    <r>
      <rPr>
        <b/>
        <vertAlign val="subscript"/>
        <sz val="10"/>
        <rFont val="Arial"/>
        <family val="2"/>
      </rPr>
      <t>3</t>
    </r>
  </si>
  <si>
    <r>
      <t>CMAX</t>
    </r>
    <r>
      <rPr>
        <b/>
        <vertAlign val="subscript"/>
        <sz val="10"/>
        <rFont val="Arial"/>
        <family val="2"/>
      </rPr>
      <t>4</t>
    </r>
  </si>
  <si>
    <t>Scale below Q0</t>
  </si>
  <si>
    <t>Curve below Q0</t>
  </si>
  <si>
    <r>
      <t>Blo</t>
    </r>
    <r>
      <rPr>
        <b/>
        <vertAlign val="subscript"/>
        <sz val="10"/>
        <rFont val="Arial"/>
        <family val="2"/>
      </rPr>
      <t>1</t>
    </r>
  </si>
  <si>
    <r>
      <t>Blo</t>
    </r>
    <r>
      <rPr>
        <b/>
        <vertAlign val="subscript"/>
        <sz val="10"/>
        <rFont val="Arial"/>
        <family val="2"/>
      </rPr>
      <t>2</t>
    </r>
  </si>
  <si>
    <r>
      <t>Blo</t>
    </r>
    <r>
      <rPr>
        <b/>
        <vertAlign val="subscript"/>
        <sz val="10"/>
        <rFont val="Arial"/>
        <family val="2"/>
      </rPr>
      <t>3</t>
    </r>
  </si>
  <si>
    <r>
      <t>Blo</t>
    </r>
    <r>
      <rPr>
        <b/>
        <vertAlign val="subscript"/>
        <sz val="10"/>
        <rFont val="Arial"/>
        <family val="2"/>
      </rPr>
      <t>4</t>
    </r>
  </si>
  <si>
    <r>
      <t>Alo</t>
    </r>
    <r>
      <rPr>
        <b/>
        <vertAlign val="subscript"/>
        <sz val="10"/>
        <rFont val="Arial"/>
        <family val="2"/>
      </rPr>
      <t>1</t>
    </r>
  </si>
  <si>
    <r>
      <t>Alo</t>
    </r>
    <r>
      <rPr>
        <b/>
        <vertAlign val="subscript"/>
        <sz val="10"/>
        <rFont val="Arial"/>
        <family val="2"/>
      </rPr>
      <t>2</t>
    </r>
  </si>
  <si>
    <r>
      <t>Alo</t>
    </r>
    <r>
      <rPr>
        <b/>
        <vertAlign val="subscript"/>
        <sz val="10"/>
        <rFont val="Arial"/>
        <family val="2"/>
      </rPr>
      <t>3</t>
    </r>
  </si>
  <si>
    <r>
      <t>Alo</t>
    </r>
    <r>
      <rPr>
        <b/>
        <vertAlign val="subscript"/>
        <sz val="10"/>
        <rFont val="Arial"/>
        <family val="2"/>
      </rPr>
      <t>4</t>
    </r>
  </si>
  <si>
    <t>Curve above Q0</t>
  </si>
  <si>
    <r>
      <t>Bhi</t>
    </r>
    <r>
      <rPr>
        <b/>
        <vertAlign val="subscript"/>
        <sz val="10"/>
        <rFont val="Arial"/>
        <family val="2"/>
      </rPr>
      <t>1</t>
    </r>
  </si>
  <si>
    <r>
      <t>Bhi</t>
    </r>
    <r>
      <rPr>
        <b/>
        <vertAlign val="subscript"/>
        <sz val="10"/>
        <rFont val="Arial"/>
        <family val="2"/>
      </rPr>
      <t>2</t>
    </r>
  </si>
  <si>
    <r>
      <t>Bhi</t>
    </r>
    <r>
      <rPr>
        <b/>
        <vertAlign val="subscript"/>
        <sz val="10"/>
        <rFont val="Arial"/>
        <family val="2"/>
      </rPr>
      <t>3</t>
    </r>
  </si>
  <si>
    <r>
      <t>Bhi</t>
    </r>
    <r>
      <rPr>
        <b/>
        <vertAlign val="subscript"/>
        <sz val="10"/>
        <rFont val="Arial"/>
        <family val="2"/>
      </rPr>
      <t>4</t>
    </r>
  </si>
  <si>
    <t>Scale above Q0</t>
  </si>
  <si>
    <r>
      <t>Ahi</t>
    </r>
    <r>
      <rPr>
        <b/>
        <vertAlign val="subscript"/>
        <sz val="10"/>
        <rFont val="Arial"/>
        <family val="2"/>
      </rPr>
      <t>1</t>
    </r>
  </si>
  <si>
    <r>
      <t>Ahi</t>
    </r>
    <r>
      <rPr>
        <b/>
        <vertAlign val="subscript"/>
        <sz val="10"/>
        <rFont val="Arial"/>
        <family val="2"/>
      </rPr>
      <t>2</t>
    </r>
  </si>
  <si>
    <r>
      <t>Ahi</t>
    </r>
    <r>
      <rPr>
        <b/>
        <vertAlign val="subscript"/>
        <sz val="10"/>
        <rFont val="Arial"/>
        <family val="2"/>
      </rPr>
      <t>3</t>
    </r>
  </si>
  <si>
    <r>
      <t>Ahi</t>
    </r>
    <r>
      <rPr>
        <b/>
        <vertAlign val="subscript"/>
        <sz val="10"/>
        <rFont val="Arial"/>
        <family val="2"/>
      </rPr>
      <t>4</t>
    </r>
  </si>
  <si>
    <t>Total cost at Q0</t>
  </si>
  <si>
    <r>
      <t>TCQ0</t>
    </r>
    <r>
      <rPr>
        <b/>
        <vertAlign val="subscript"/>
        <sz val="10"/>
        <rFont val="Arial"/>
        <family val="2"/>
      </rPr>
      <t>1</t>
    </r>
  </si>
  <si>
    <r>
      <t>TCQ0</t>
    </r>
    <r>
      <rPr>
        <b/>
        <vertAlign val="subscript"/>
        <sz val="10"/>
        <rFont val="Arial"/>
        <family val="2"/>
      </rPr>
      <t>2</t>
    </r>
  </si>
  <si>
    <r>
      <t>TCQ0</t>
    </r>
    <r>
      <rPr>
        <b/>
        <vertAlign val="subscript"/>
        <sz val="10"/>
        <rFont val="Arial"/>
        <family val="2"/>
      </rPr>
      <t>3</t>
    </r>
  </si>
  <si>
    <r>
      <t>TCQ0</t>
    </r>
    <r>
      <rPr>
        <b/>
        <vertAlign val="subscript"/>
        <sz val="10"/>
        <rFont val="Arial"/>
        <family val="2"/>
      </rPr>
      <t>4</t>
    </r>
  </si>
  <si>
    <t>Marginal cost</t>
  </si>
  <si>
    <r>
      <t>MC</t>
    </r>
    <r>
      <rPr>
        <b/>
        <vertAlign val="subscript"/>
        <sz val="10"/>
        <rFont val="Arial"/>
        <family val="2"/>
      </rPr>
      <t>1</t>
    </r>
  </si>
  <si>
    <r>
      <t>MC</t>
    </r>
    <r>
      <rPr>
        <b/>
        <vertAlign val="subscript"/>
        <sz val="10"/>
        <rFont val="Arial"/>
        <family val="2"/>
      </rPr>
      <t>2</t>
    </r>
  </si>
  <si>
    <r>
      <t>MC</t>
    </r>
    <r>
      <rPr>
        <b/>
        <vertAlign val="subscript"/>
        <sz val="10"/>
        <rFont val="Arial"/>
        <family val="2"/>
      </rPr>
      <t>3</t>
    </r>
  </si>
  <si>
    <r>
      <t>MC</t>
    </r>
    <r>
      <rPr>
        <b/>
        <vertAlign val="subscript"/>
        <sz val="10"/>
        <rFont val="Arial"/>
        <family val="2"/>
      </rPr>
      <t>4</t>
    </r>
  </si>
  <si>
    <t>Total cost</t>
  </si>
  <si>
    <r>
      <t>TC</t>
    </r>
    <r>
      <rPr>
        <b/>
        <vertAlign val="subscript"/>
        <sz val="10"/>
        <rFont val="Arial"/>
        <family val="2"/>
      </rPr>
      <t>1</t>
    </r>
  </si>
  <si>
    <r>
      <t>TC</t>
    </r>
    <r>
      <rPr>
        <b/>
        <vertAlign val="subscript"/>
        <sz val="10"/>
        <rFont val="Arial"/>
        <family val="2"/>
      </rPr>
      <t>2</t>
    </r>
  </si>
  <si>
    <r>
      <t>TC</t>
    </r>
    <r>
      <rPr>
        <b/>
        <vertAlign val="subscript"/>
        <sz val="10"/>
        <rFont val="Arial"/>
        <family val="2"/>
      </rPr>
      <t>3</t>
    </r>
  </si>
  <si>
    <r>
      <t>TC</t>
    </r>
    <r>
      <rPr>
        <b/>
        <vertAlign val="subscript"/>
        <sz val="10"/>
        <rFont val="Arial"/>
        <family val="2"/>
      </rPr>
      <t>4</t>
    </r>
  </si>
  <si>
    <t>Total cost per capita</t>
  </si>
  <si>
    <t>Weighted cost per capita</t>
  </si>
  <si>
    <t>Cost per capita</t>
  </si>
  <si>
    <t>Discount factors if not equity weighted</t>
  </si>
  <si>
    <r>
      <t>PCD</t>
    </r>
    <r>
      <rPr>
        <b/>
        <vertAlign val="subscript"/>
        <sz val="10"/>
        <rFont val="Arial"/>
        <family val="2"/>
      </rPr>
      <t>T</t>
    </r>
  </si>
  <si>
    <r>
      <t>PC</t>
    </r>
    <r>
      <rPr>
        <b/>
        <vertAlign val="subscript"/>
        <sz val="10"/>
        <rFont val="Arial"/>
        <family val="2"/>
      </rPr>
      <t>T</t>
    </r>
  </si>
  <si>
    <r>
      <t>PCDA</t>
    </r>
    <r>
      <rPr>
        <b/>
        <vertAlign val="subscript"/>
        <sz val="10"/>
        <rFont val="Arial"/>
        <family val="2"/>
      </rPr>
      <t>T</t>
    </r>
  </si>
  <si>
    <t>Total prev costs</t>
  </si>
  <si>
    <t>%GDP per metre</t>
  </si>
  <si>
    <t>Sea level</t>
  </si>
  <si>
    <t>impact</t>
  </si>
  <si>
    <r>
      <t>CP</t>
    </r>
    <r>
      <rPr>
        <vertAlign val="subscript"/>
        <sz val="10"/>
        <rFont val="Arial"/>
        <family val="2"/>
      </rPr>
      <t>s</t>
    </r>
  </si>
  <si>
    <r>
      <t>CI</t>
    </r>
    <r>
      <rPr>
        <vertAlign val="subscript"/>
        <sz val="10"/>
        <rFont val="Arial"/>
        <family val="2"/>
      </rPr>
      <t>s</t>
    </r>
  </si>
  <si>
    <t>Plateau costs</t>
  </si>
  <si>
    <r>
      <t>ACP</t>
    </r>
    <r>
      <rPr>
        <b/>
        <vertAlign val="subscript"/>
        <sz val="10"/>
        <rFont val="Arial"/>
        <family val="2"/>
      </rPr>
      <t>s</t>
    </r>
  </si>
  <si>
    <t>Impact reduction costs</t>
  </si>
  <si>
    <r>
      <t>ACI</t>
    </r>
    <r>
      <rPr>
        <b/>
        <vertAlign val="subscript"/>
        <sz val="10"/>
        <rFont val="Arial"/>
        <family val="2"/>
      </rPr>
      <t>s</t>
    </r>
  </si>
  <si>
    <t>Global sea level</t>
  </si>
  <si>
    <r>
      <t>ACP</t>
    </r>
    <r>
      <rPr>
        <b/>
        <vertAlign val="subscript"/>
        <sz val="10"/>
        <rFont val="Arial"/>
        <family val="2"/>
      </rPr>
      <t>1</t>
    </r>
  </si>
  <si>
    <r>
      <t>ACI</t>
    </r>
    <r>
      <rPr>
        <b/>
        <vertAlign val="subscript"/>
        <sz val="10"/>
        <rFont val="Arial"/>
        <family val="2"/>
      </rPr>
      <t>1</t>
    </r>
  </si>
  <si>
    <r>
      <t>ACP</t>
    </r>
    <r>
      <rPr>
        <b/>
        <vertAlign val="subscript"/>
        <sz val="10"/>
        <rFont val="Arial"/>
        <family val="2"/>
      </rPr>
      <t>2</t>
    </r>
  </si>
  <si>
    <r>
      <t>ACI</t>
    </r>
    <r>
      <rPr>
        <b/>
        <vertAlign val="subscript"/>
        <sz val="10"/>
        <rFont val="Arial"/>
        <family val="2"/>
      </rPr>
      <t>2</t>
    </r>
  </si>
  <si>
    <r>
      <t>AC</t>
    </r>
    <r>
      <rPr>
        <b/>
        <vertAlign val="subscript"/>
        <sz val="10"/>
        <rFont val="Arial"/>
        <family val="2"/>
      </rPr>
      <t>s</t>
    </r>
  </si>
  <si>
    <r>
      <t>AC</t>
    </r>
    <r>
      <rPr>
        <b/>
        <vertAlign val="subscript"/>
        <sz val="10"/>
        <rFont val="Arial"/>
        <family val="2"/>
      </rPr>
      <t>T</t>
    </r>
  </si>
  <si>
    <t>Weighted adaptive costs</t>
  </si>
  <si>
    <t>Adaptive costs per capita</t>
  </si>
  <si>
    <t>Global mean</t>
  </si>
  <si>
    <r>
      <t>AC</t>
    </r>
    <r>
      <rPr>
        <b/>
        <vertAlign val="subscript"/>
        <sz val="10"/>
        <rFont val="Arial"/>
        <family val="2"/>
      </rPr>
      <t>T</t>
    </r>
    <r>
      <rPr>
        <b/>
        <sz val="10"/>
        <rFont val="Arial"/>
        <family val="2"/>
      </rPr>
      <t xml:space="preserve"> per cap</t>
    </r>
  </si>
  <si>
    <t>Weighted adaptive costs per cap</t>
  </si>
  <si>
    <r>
      <t>WAC</t>
    </r>
    <r>
      <rPr>
        <b/>
        <vertAlign val="subscript"/>
        <sz val="10"/>
        <rFont val="Arial"/>
        <family val="2"/>
      </rPr>
      <t>T</t>
    </r>
    <r>
      <rPr>
        <b/>
        <sz val="10"/>
        <rFont val="Arial"/>
        <family val="2"/>
      </rPr>
      <t xml:space="preserve"> per cap</t>
    </r>
  </si>
  <si>
    <r>
      <t>WAC</t>
    </r>
    <r>
      <rPr>
        <b/>
        <vertAlign val="subscript"/>
        <sz val="10"/>
        <rFont val="Arial"/>
        <family val="2"/>
      </rPr>
      <t>T</t>
    </r>
  </si>
  <si>
    <r>
      <t>WACD</t>
    </r>
    <r>
      <rPr>
        <b/>
        <vertAlign val="subscript"/>
        <sz val="10"/>
        <rFont val="Arial"/>
        <family val="2"/>
      </rPr>
      <t>T</t>
    </r>
  </si>
  <si>
    <r>
      <t>AAC</t>
    </r>
    <r>
      <rPr>
        <b/>
        <vertAlign val="subscript"/>
        <sz val="10"/>
        <rFont val="Arial"/>
        <family val="2"/>
      </rPr>
      <t>T</t>
    </r>
  </si>
  <si>
    <t>Policy A</t>
  </si>
  <si>
    <t>Aggregated discounted:</t>
  </si>
  <si>
    <r>
      <t>TC</t>
    </r>
    <r>
      <rPr>
        <b/>
        <vertAlign val="subscript"/>
        <sz val="10"/>
        <rFont val="Arial"/>
        <family val="2"/>
      </rPr>
      <t>T</t>
    </r>
  </si>
  <si>
    <t>Equity adaptive costs per cap</t>
  </si>
  <si>
    <r>
      <t>EAC</t>
    </r>
    <r>
      <rPr>
        <b/>
        <vertAlign val="subscript"/>
        <sz val="10"/>
        <rFont val="Arial"/>
        <family val="2"/>
      </rPr>
      <t>T</t>
    </r>
    <r>
      <rPr>
        <b/>
        <sz val="10"/>
        <rFont val="Arial"/>
        <family val="2"/>
      </rPr>
      <t xml:space="preserve"> per cap</t>
    </r>
  </si>
  <si>
    <r>
      <t>TC</t>
    </r>
    <r>
      <rPr>
        <b/>
        <vertAlign val="subscript"/>
        <sz val="10"/>
        <rFont val="Arial"/>
        <family val="2"/>
      </rPr>
      <t>T</t>
    </r>
    <r>
      <rPr>
        <b/>
        <sz val="10"/>
        <rFont val="Arial"/>
        <family val="2"/>
      </rPr>
      <t xml:space="preserve"> per cap</t>
    </r>
  </si>
  <si>
    <r>
      <t>WTC</t>
    </r>
    <r>
      <rPr>
        <b/>
        <vertAlign val="subscript"/>
        <sz val="10"/>
        <rFont val="Arial"/>
        <family val="2"/>
      </rPr>
      <t>T</t>
    </r>
    <r>
      <rPr>
        <b/>
        <sz val="10"/>
        <rFont val="Arial"/>
        <family val="2"/>
      </rPr>
      <t xml:space="preserve"> per cap</t>
    </r>
  </si>
  <si>
    <r>
      <t>PC</t>
    </r>
    <r>
      <rPr>
        <b/>
        <vertAlign val="subscript"/>
        <sz val="10"/>
        <rFont val="Arial"/>
        <family val="2"/>
      </rPr>
      <t>T</t>
    </r>
    <r>
      <rPr>
        <b/>
        <sz val="10"/>
        <rFont val="Arial"/>
        <family val="2"/>
      </rPr>
      <t xml:space="preserve"> per cap</t>
    </r>
  </si>
  <si>
    <t>Policy B</t>
  </si>
  <si>
    <t>min</t>
  </si>
  <si>
    <t>mode</t>
  </si>
  <si>
    <t>max</t>
  </si>
  <si>
    <t>ptp rate</t>
  </si>
  <si>
    <t>Consumption/cap after costs</t>
  </si>
  <si>
    <t>GDP/cap after costs</t>
  </si>
  <si>
    <t>Statistical value of civilisation</t>
  </si>
  <si>
    <t>%GDP per %reduction per metre</t>
  </si>
  <si>
    <t>%GDP per %reduction per degC</t>
  </si>
  <si>
    <t>Impred</t>
  </si>
  <si>
    <t>Impmax</t>
  </si>
  <si>
    <t>Lin emit</t>
  </si>
  <si>
    <t>FSU &amp; ROE</t>
  </si>
  <si>
    <t>Lin</t>
  </si>
  <si>
    <t>TD undisc</t>
  </si>
  <si>
    <t>x10^3</t>
  </si>
  <si>
    <t>TD undisc for SCCO2</t>
  </si>
  <si>
    <t>SCCO2 year</t>
  </si>
  <si>
    <t>%/year</t>
  </si>
  <si>
    <t>Carbon cycle feedback gain</t>
  </si>
  <si>
    <t>GAIN</t>
  </si>
  <si>
    <t>drop</t>
  </si>
  <si>
    <t>Mt/degC</t>
  </si>
  <si>
    <t>Time constant of sea level rise</t>
  </si>
  <si>
    <t>Feedback response time</t>
  </si>
  <si>
    <t>Time constant of discontinuity</t>
  </si>
  <si>
    <t>Realised land temperature</t>
  </si>
  <si>
    <t>Rise in global mean LAND temperature in</t>
  </si>
  <si>
    <t>Surface area of the Earth</t>
  </si>
  <si>
    <t>mean</t>
  </si>
  <si>
    <t>SD</t>
  </si>
  <si>
    <t>shape</t>
  </si>
  <si>
    <t>range</t>
  </si>
  <si>
    <t>EU amplification factor</t>
  </si>
  <si>
    <t>US amplification factor</t>
  </si>
  <si>
    <t>OT amplification factor</t>
  </si>
  <si>
    <t>EE amplification factor</t>
  </si>
  <si>
    <t>CA amplification factor</t>
  </si>
  <si>
    <t>IA amplification factor</t>
  </si>
  <si>
    <t>AF amplification factor</t>
  </si>
  <si>
    <t>LA amplification factor</t>
  </si>
  <si>
    <t>degC per degC global</t>
  </si>
  <si>
    <t>RTO_G</t>
  </si>
  <si>
    <t>Global mean ocean temperature</t>
  </si>
  <si>
    <t>PT_G</t>
  </si>
  <si>
    <t>Total this period to air of CH4 anthr</t>
  </si>
  <si>
    <t>Total this period to air of CH4 perm</t>
  </si>
  <si>
    <t>Total this period to air of CH4 natural (not perm)</t>
  </si>
  <si>
    <t>Anthr emissions to air of CH4</t>
  </si>
  <si>
    <t>Total this period to air of CH4 natur &amp; anthr &amp; perm</t>
  </si>
  <si>
    <t>Min</t>
  </si>
  <si>
    <t>Mod</t>
  </si>
  <si>
    <t>Max</t>
  </si>
  <si>
    <t>Mtonne C</t>
  </si>
  <si>
    <t>MtonC (CO2 component)</t>
  </si>
  <si>
    <t>MtonC (CH4 component)</t>
  </si>
  <si>
    <t>Mtonne CO2</t>
  </si>
  <si>
    <t>Mtonne CH4</t>
  </si>
  <si>
    <t>yr</t>
  </si>
  <si>
    <t>SSP2</t>
  </si>
  <si>
    <t>SSP Scenarios</t>
  </si>
  <si>
    <t>Pop growth rates:</t>
  </si>
  <si>
    <t>SSP5</t>
  </si>
  <si>
    <t>Notes:</t>
  </si>
  <si>
    <t>Pop growth rates kept equal to zero in the 22nd and 23rd centuries</t>
  </si>
  <si>
    <t>The 2050-75 and 2075-2100 GDP growth values from Nigel Arnel are used to extrapolate into the 22nd and 23rd centuries (negative exponential)</t>
  </si>
  <si>
    <t>Scenario pairs</t>
  </si>
  <si>
    <t>Notes</t>
  </si>
  <si>
    <t>RCP Scenarios</t>
  </si>
  <si>
    <t>RCP2.6</t>
  </si>
  <si>
    <t>RCP4.5</t>
  </si>
  <si>
    <t>RCP8.5</t>
  </si>
  <si>
    <t>RCP4.5 &amp; SSP2</t>
  </si>
  <si>
    <t>Scenario pair 3:</t>
  </si>
  <si>
    <t>RCP8.5 &amp; SSP5</t>
  </si>
  <si>
    <t>Scenario pair 4:</t>
  </si>
  <si>
    <t>Scenario pair 2:</t>
  </si>
  <si>
    <t>Scenario pair 1:</t>
  </si>
  <si>
    <t>Repository of SSPs, RCPs and other exogenous scenarios</t>
  </si>
  <si>
    <t>Excess forcing (base yr)</t>
  </si>
  <si>
    <t>Year when extra abatement starts</t>
  </si>
  <si>
    <t>% relative to base year</t>
  </si>
  <si>
    <t>Extra abatement rate vs RCP2.6</t>
  </si>
  <si>
    <t>Excess forcing downscaled RCP2.6</t>
  </si>
  <si>
    <t xml:space="preserve">Chosen RCP scenario (emissions): </t>
  </si>
  <si>
    <t>Arctic Feedbacks</t>
  </si>
  <si>
    <t>SCCO2</t>
  </si>
  <si>
    <t>Choose the experiment:</t>
  </si>
  <si>
    <t>Land Permafrost</t>
  </si>
  <si>
    <t>CMIP5 Amplific. Factors</t>
  </si>
  <si>
    <t>Experiment family</t>
  </si>
  <si>
    <t>Experiment 1:</t>
  </si>
  <si>
    <t>Experiment 2:</t>
  </si>
  <si>
    <t>Experiment 3:</t>
  </si>
  <si>
    <t>Experiment 4:</t>
  </si>
  <si>
    <t>Experiment 5:</t>
  </si>
  <si>
    <t>Experiment 6:</t>
  </si>
  <si>
    <t>$trillion</t>
  </si>
  <si>
    <t>Temp. in 2100</t>
  </si>
  <si>
    <t>Total effect NPV</t>
  </si>
  <si>
    <t>Mton CO2</t>
  </si>
  <si>
    <t>MtonC/degC</t>
  </si>
  <si>
    <t>MtonneC</t>
  </si>
  <si>
    <t>5th precentile</t>
  </si>
  <si>
    <t>95th percentile</t>
  </si>
  <si>
    <t>Gton C</t>
  </si>
  <si>
    <t>Time lag for cumulative carbon emissions, CO2</t>
  </si>
  <si>
    <t>Upper limit for cumulative carbon emissions, CO2</t>
  </si>
  <si>
    <t>dimensionless</t>
  </si>
  <si>
    <t>Sensitivity for cumulative carbon emissions, CO2</t>
  </si>
  <si>
    <t>Permafrost temperature</t>
  </si>
  <si>
    <t>Sensitivity for cumulative carbon emissions, CH4</t>
  </si>
  <si>
    <t>NOTE THE UNITS</t>
  </si>
  <si>
    <t>Extra abatement factor per period</t>
  </si>
  <si>
    <t>Year when extra abatement ends</t>
  </si>
  <si>
    <t>Start of the period</t>
  </si>
  <si>
    <t>End of the period</t>
  </si>
  <si>
    <t>Duration of the period</t>
  </si>
  <si>
    <t>Extra abatement factor compound</t>
  </si>
  <si>
    <t>The lowermost negative level of CO2 emissions in 2100 is therefore preserved and is maintained constant for the 22nd and 23rd centuries</t>
  </si>
  <si>
    <t>Slope sens. vs T, CH4</t>
  </si>
  <si>
    <t>Amplification factor for permafrost regions</t>
  </si>
  <si>
    <t>RF in 2100</t>
  </si>
  <si>
    <t>RF A</t>
  </si>
  <si>
    <t>RF B</t>
  </si>
  <si>
    <t>RF A-B</t>
  </si>
  <si>
    <t>SLR in 2100</t>
  </si>
  <si>
    <t>SLR A</t>
  </si>
  <si>
    <t>SLR B</t>
  </si>
  <si>
    <t>SLR A-B</t>
  </si>
  <si>
    <t>MC mean GMST</t>
  </si>
  <si>
    <t>MC mean SLR</t>
  </si>
  <si>
    <t>MC median GMST</t>
  </si>
  <si>
    <t>% relative to RCP8.5</t>
  </si>
  <si>
    <t>SSP1</t>
  </si>
  <si>
    <t>RCP2.6 &amp; SSP1</t>
  </si>
  <si>
    <t>SSP1 Sustainability – Taking the Green Road (Low challenges to mitigation and adaptation)</t>
  </si>
  <si>
    <t>SSP2 Middle of the Road (Medium challenges to mitigation and adaptation)</t>
  </si>
  <si>
    <t>SSP5 Fossil-fueled Development – Taking the Highway (High challenges to mitigation, low challenges to adaptation)</t>
  </si>
  <si>
    <t>Max value</t>
  </si>
  <si>
    <t>Experiment 7:</t>
  </si>
  <si>
    <t>Experiment 8:</t>
  </si>
  <si>
    <t>GMST</t>
  </si>
  <si>
    <t>W/m2/degC</t>
  </si>
  <si>
    <t>Same as Climate A</t>
  </si>
  <si>
    <t>Scenario pair 5:</t>
  </si>
  <si>
    <t>Dell et al (2012)</t>
  </si>
  <si>
    <t>Burke et al (2015)</t>
  </si>
  <si>
    <t>Land Permaforst Emissions</t>
  </si>
  <si>
    <t>Excess</t>
  </si>
  <si>
    <t>GMST A</t>
  </si>
  <si>
    <t>GMST B</t>
  </si>
  <si>
    <t>GMST A-B</t>
  </si>
  <si>
    <t>Switch Nonlinear Sea Ice Albedo:</t>
  </si>
  <si>
    <t>Switch Nonlinear Land Permafrost:</t>
  </si>
  <si>
    <t>Relative change in SENS</t>
  </si>
  <si>
    <t>Relative change in cumulative CO2 emissions</t>
  </si>
  <si>
    <t>Formulas checked on 21/06/2017, see sheet 3104</t>
  </si>
  <si>
    <t>Formulas checked on 05/06/2017</t>
  </si>
  <si>
    <t>Relative change</t>
  </si>
  <si>
    <t>Sensitivity results</t>
  </si>
  <si>
    <t>Relative change in GMST</t>
  </si>
  <si>
    <t>FGT</t>
  </si>
  <si>
    <t>Rate of change of grand total forcing</t>
  </si>
  <si>
    <t>W/m2/year</t>
  </si>
  <si>
    <t>Grand total forcing (including sulphates)</t>
  </si>
  <si>
    <t>Formulas checked on 27/06/2017, see sheet 3106</t>
  </si>
  <si>
    <t>Non-CO2 stimulation</t>
  </si>
  <si>
    <t>Non-CO2 emit to air</t>
  </si>
  <si>
    <t>Non-CO2 half life</t>
  </si>
  <si>
    <t>Base year cumul emiss</t>
  </si>
  <si>
    <t>Mtonne/yr</t>
  </si>
  <si>
    <t>Year</t>
  </si>
  <si>
    <t xml:space="preserve">Annual emissions in each analysis year </t>
  </si>
  <si>
    <t>Formula checked on 28/06/2017</t>
  </si>
  <si>
    <t>MC mean results A time series</t>
  </si>
  <si>
    <t>Percentiles A time series</t>
  </si>
  <si>
    <t>median</t>
  </si>
  <si>
    <t>Percentiles A-B time series</t>
  </si>
  <si>
    <t>GMST absolute change</t>
  </si>
  <si>
    <t>GMST relative change</t>
  </si>
  <si>
    <t>Global mean temperature with SIAF</t>
  </si>
  <si>
    <t>Percentiles B time series</t>
  </si>
  <si>
    <t>mean's MC 90% CI lower bound</t>
  </si>
  <si>
    <t>mean's MC 90% CI upper bound</t>
  </si>
  <si>
    <t>mean's MC 90% Confidence Range relative to the mean</t>
  </si>
  <si>
    <t>Scenario pair 6:</t>
  </si>
  <si>
    <t>Date of the computations:</t>
  </si>
  <si>
    <t>KEEP FREE</t>
  </si>
  <si>
    <t>MC mean A-B time series</t>
  </si>
  <si>
    <t>MtonCO2/yr</t>
  </si>
  <si>
    <t>Mton CO2/yr</t>
  </si>
  <si>
    <t>Permafrost annual CO2 flux to air, A-B</t>
  </si>
  <si>
    <t>Undiscount factors</t>
  </si>
  <si>
    <t>Developed on:</t>
  </si>
  <si>
    <t>g(Y&gt;2100) = g(Y2075) * EXP(- (Y-Y2075)/tau)</t>
  </si>
  <si>
    <t>tau = (Y2100-Y2075) / LN(g(Y2075)/g(Y2100))</t>
  </si>
  <si>
    <t>G -- GDP in a given region</t>
  </si>
  <si>
    <t>g = (dG/dt) / G -- relative rate of GDP change</t>
  </si>
  <si>
    <t>If g(Y2100)&lt;0, this value is extended into the 22nd and 23rd centuries</t>
  </si>
  <si>
    <t>Total mitigation costs</t>
  </si>
  <si>
    <t>Total economic effect</t>
  </si>
  <si>
    <t>Total residual impacts</t>
  </si>
  <si>
    <t>MC mean cumulative anthropogenic CO2</t>
  </si>
  <si>
    <t>Timescale of CO2 land uptake</t>
  </si>
  <si>
    <t>Percent of CO2 land uptake</t>
  </si>
  <si>
    <t>Percent of CO2 staying in air asymptotically</t>
  </si>
  <si>
    <t>Cumulative emissions CO2 anthr</t>
  </si>
  <si>
    <t>Cumulative emissions CO2 anthr&amp;perm</t>
  </si>
  <si>
    <t>Base year cumul. C, CO2 component</t>
  </si>
  <si>
    <t>Base year cumul. C, CH4 component</t>
  </si>
  <si>
    <t>Annual emissions CO2 perm</t>
  </si>
  <si>
    <t>Annual emissions CO2 anthr&amp;perm</t>
  </si>
  <si>
    <t>Land uptake component CO2 historic</t>
  </si>
  <si>
    <t>Asymptote component CO2 projections</t>
  </si>
  <si>
    <t>Land uptake component CO2 projections</t>
  </si>
  <si>
    <t>Asymptote component CO2 historic</t>
  </si>
  <si>
    <t>Percent of CO2 short-term ocean uptake</t>
  </si>
  <si>
    <t>Percent of CO2 long-term ocean uptake</t>
  </si>
  <si>
    <t>Timescale of CO2 short-term ocean uptake</t>
  </si>
  <si>
    <t>Timescale of CO2 long-term ocean uptake</t>
  </si>
  <si>
    <t>Numbers imported from "CO2 cycle calibration from Joos et al (2013) - 1000 yr horizon.xlsx"</t>
  </si>
  <si>
    <t>Ocean-short uptake component CO2 historic</t>
  </si>
  <si>
    <t>Ocean-short uptake component CO2 projections</t>
  </si>
  <si>
    <t>Ocean-long uptake component CO2 historic</t>
  </si>
  <si>
    <t>Ocean-long uptake component CO2 projections</t>
  </si>
  <si>
    <t>Permafrost base year cumul. C, total</t>
  </si>
  <si>
    <t>Permafrost base year cumul. CO2</t>
  </si>
  <si>
    <t>Permafrost base year cumul. CH4</t>
  </si>
  <si>
    <t>Remaining CO2 emissions NO CCF</t>
  </si>
  <si>
    <t>Timescale for historic CO2 emissions</t>
  </si>
  <si>
    <t>Correction factor for remaining CO2</t>
  </si>
  <si>
    <t>Formula checked on 06/05/2018</t>
  </si>
  <si>
    <t>Formula checked on 06/05/2018, see sheet 3254</t>
  </si>
  <si>
    <t>Formula checked on 06/05/2018, see sheet 3256</t>
  </si>
  <si>
    <t>CA and IA CO2 emissions swapped relative to v6.8. See "CAIT_Country_GHG_Emissions_-_All_Data" and https://www.belfercenter.org/publication/chinas-carbon-emissions-report-2015 for further details</t>
  </si>
  <si>
    <t>Updated on 06/05/2018</t>
  </si>
  <si>
    <t>CMIP5 CO2 concentration RCP3PD</t>
  </si>
  <si>
    <t>CMIP5 CO2 concentration RCP4.5</t>
  </si>
  <si>
    <t>CMIP5 CO2 concentration RCP8.5</t>
  </si>
  <si>
    <t>MC mean atmospheric CO2 concentration</t>
  </si>
  <si>
    <t>MC mean RF, all gases</t>
  </si>
  <si>
    <t>Checking against CMIP5 CO2 concentration defaults (source files provided by Kevin Schaefer)</t>
  </si>
  <si>
    <t>This parameter is not relevant when CCF is set to zero</t>
  </si>
  <si>
    <t xml:space="preserve">AF emissions set to zero from 2100 onwards for consistency </t>
  </si>
  <si>
    <t>LA emissions set to zero from 2100 onwards for consistency</t>
  </si>
  <si>
    <t>SSP3</t>
  </si>
  <si>
    <t>SSP4</t>
  </si>
  <si>
    <t>Origianal SSPs</t>
  </si>
  <si>
    <t>SSP234 = AVERAGE(SSP2, SSP3, SSP4)</t>
  </si>
  <si>
    <t>Original RCPs</t>
  </si>
  <si>
    <t>Modified RCPs</t>
  </si>
  <si>
    <t>Modified RCP2.6 scenario allowing to achieve a 50% chance of staying below either 1.5degC or 2degC in 2100 under a given model configuration</t>
  </si>
  <si>
    <t>Modified SSPs</t>
  </si>
  <si>
    <t>LA emissions corrected to make them consistent with the other regions</t>
  </si>
  <si>
    <t>For RCP4.5 we assume that 50% the linear CO2 reduction trend between 2075 and 2100 continues into the subsequent centuries</t>
  </si>
  <si>
    <t>For RCP2.6 the lowest levels of CO2 emissions are negative (6 out of 8 regions) and are reached in 2100. The negative emissions are assumed to remain at the constant 2100 level going into the subsequent centuries. The other two regions are assumed to drop to zero emissions by 2150</t>
  </si>
  <si>
    <t>The downscaling is applied to the difference between base-year CO2 emissions and the lowermost negative CO2 emissions in 2100</t>
  </si>
  <si>
    <t>Formula checked on 15/05/2018</t>
  </si>
  <si>
    <t>1.5 degC target</t>
  </si>
  <si>
    <t>2 degC target</t>
  </si>
  <si>
    <t>NDCs</t>
  </si>
  <si>
    <t>NDCs partial</t>
  </si>
  <si>
    <t>Current BaU</t>
  </si>
  <si>
    <t>Weight (from -100% to 100%)</t>
  </si>
  <si>
    <t>https://www.eea.europa.eu/data-and-maps/indicators/global-and-european-temperature-4/assessment</t>
  </si>
  <si>
    <t>https://www.ncdc.noaa.gov/cag/global/time-series/globe/land_ocean/ytd/12/1880-2016</t>
  </si>
  <si>
    <t>See "1850-2016-GMST.xlsx" for the data and calculations</t>
  </si>
  <si>
    <t>SSP3 Rigeonal Rivalry</t>
  </si>
  <si>
    <t>SSP4 Inequality</t>
  </si>
  <si>
    <t>Scenario pair 0:</t>
  </si>
  <si>
    <t>Zero Emissions &amp; SSP1</t>
  </si>
  <si>
    <t>2 degC Target</t>
  </si>
  <si>
    <t>1.5 degC Target</t>
  </si>
  <si>
    <t>2.5 degC Target</t>
  </si>
  <si>
    <t>NDCs Partial</t>
  </si>
  <si>
    <t>Extra pair 1:</t>
  </si>
  <si>
    <t>Extra pair 2:</t>
  </si>
  <si>
    <t>Extra pair 3:</t>
  </si>
  <si>
    <t>2.5 degC target</t>
  </si>
  <si>
    <t xml:space="preserve">0 = Zero Emissions, 1 = Low Emissions (1.5 and 2 degC targets), 2 = Medium and High Emissions, 3 = Extra Scenarios </t>
  </si>
  <si>
    <t>Scenario:</t>
  </si>
  <si>
    <t>Weighting factor required:</t>
  </si>
  <si>
    <t>Extra abatement required:</t>
  </si>
  <si>
    <t>Extra abatement rate vs RCP2.6: Compounding annual rate, established empirically in order to achieve a 50% chance of staying either below 1.5degC or 2degC in 2100 under a given model configuration</t>
  </si>
  <si>
    <t>Median T(2100) target:</t>
  </si>
  <si>
    <t>Value obtained using Risk Optimiser (1000 MC iterations, 20 trials) on 15/05/2018</t>
  </si>
  <si>
    <t>Year when extra abatement starts: First year when the additional abatement rate is switched on</t>
  </si>
  <si>
    <t>Year when extra abatement ends: Last year when the additional abatement rate is switched on</t>
  </si>
  <si>
    <t>Formulae checked on 15/05/2018</t>
  </si>
  <si>
    <t>Weighting parameter for the SSPW and RCPW scenarios: Quadratic weighting of SSP1, SS234 and SSP5 (and RCP2.6, RCP4.5 and RCP8.5, respectively) to provide gradual transition from the SSP1 &amp; RCP2.6 world on the one end to the SSP5 &amp; RCP8.5 world on the other end</t>
  </si>
  <si>
    <t>Formula checked on 15/05/2018, see sheet 3267</t>
  </si>
  <si>
    <t>Sources for the climatological GMST estimate in the PAGE base year and CMIP5 base period:</t>
  </si>
  <si>
    <t>Calibration T for the Burke economic impact function</t>
  </si>
  <si>
    <t>Discont</t>
  </si>
  <si>
    <t>SLR</t>
  </si>
  <si>
    <t>DIS</t>
  </si>
  <si>
    <t>WINCF_S</t>
  </si>
  <si>
    <t>WINCF_2</t>
  </si>
  <si>
    <t>WINCF_1</t>
  </si>
  <si>
    <t>Impact weights including focus region</t>
  </si>
  <si>
    <t>GMST, PAGE base year climatology, anomaly vs pre-ind (1850-1900)</t>
  </si>
  <si>
    <t>GMST, CMIP5 base period climatology, anomaly vs pre-ind (1850-1900)</t>
  </si>
  <si>
    <t xml:space="preserve">GMST, CMIP5 base period climatology, absolute value in each region  </t>
  </si>
  <si>
    <t xml:space="preserve">GMST, PAGE base year climatology, absolute value in each region  </t>
  </si>
  <si>
    <t>PAGE09 Dell Mimic</t>
  </si>
  <si>
    <t>PAGE09 Burke Mimic</t>
  </si>
  <si>
    <t>1/yr per degC</t>
  </si>
  <si>
    <t>1/yr per degC^2</t>
  </si>
  <si>
    <r>
      <t>I</t>
    </r>
    <r>
      <rPr>
        <b/>
        <vertAlign val="subscript"/>
        <sz val="10"/>
        <rFont val="Arial"/>
        <family val="2"/>
      </rPr>
      <t>1PAGE09</t>
    </r>
  </si>
  <si>
    <r>
      <t>I</t>
    </r>
    <r>
      <rPr>
        <b/>
        <vertAlign val="subscript"/>
        <sz val="10"/>
        <rFont val="Arial"/>
        <family val="2"/>
      </rPr>
      <t>1Burke</t>
    </r>
  </si>
  <si>
    <t xml:space="preserve">anomaly from pre-industrial, adaptation-adjusted </t>
  </si>
  <si>
    <t xml:space="preserve">absolute value, adaptation-adjusted </t>
  </si>
  <si>
    <r>
      <t>IREF</t>
    </r>
    <r>
      <rPr>
        <b/>
        <vertAlign val="subscript"/>
        <sz val="10"/>
        <rFont val="Arial"/>
        <family val="2"/>
      </rPr>
      <t>1PAGE09</t>
    </r>
  </si>
  <si>
    <r>
      <t>IREF</t>
    </r>
    <r>
      <rPr>
        <b/>
        <vertAlign val="subscript"/>
        <sz val="10"/>
        <rFont val="Arial"/>
        <family val="2"/>
      </rPr>
      <t>1Burke</t>
    </r>
  </si>
  <si>
    <t xml:space="preserve">dimensionless </t>
  </si>
  <si>
    <t>Impact at focus GDP/cap: Burke</t>
  </si>
  <si>
    <t>Impact at focus GDP/cap: PAGE09</t>
  </si>
  <si>
    <t>Modified on 18/05/2018: higher tolerable limits/impact reductions, but longer times to reach them</t>
  </si>
  <si>
    <t>The large %GDP losses (positive values in the array) will be downscaled below using the saturation limit ISATG, as well as adaptation-driven impact reduction</t>
  </si>
  <si>
    <t>Impact with sat&amp;adaptation</t>
  </si>
  <si>
    <t>Impact with sat&amp;ad/cap</t>
  </si>
  <si>
    <r>
      <t>ISATAD</t>
    </r>
    <r>
      <rPr>
        <b/>
        <vertAlign val="subscript"/>
        <sz val="10"/>
        <rFont val="Arial"/>
        <family val="2"/>
      </rPr>
      <t>1</t>
    </r>
  </si>
  <si>
    <t>Impact saturation and impact reduction through adaptation are separated</t>
  </si>
  <si>
    <t>Same as Impacts A</t>
  </si>
  <si>
    <t>absolute value</t>
  </si>
  <si>
    <r>
      <t>I</t>
    </r>
    <r>
      <rPr>
        <b/>
        <vertAlign val="subscript"/>
        <sz val="10"/>
        <rFont val="Arial"/>
        <family val="2"/>
      </rPr>
      <t>1log</t>
    </r>
  </si>
  <si>
    <t>The switch between Burke and PAGE09 impacts is implemented here</t>
  </si>
  <si>
    <r>
      <t>ISATAD</t>
    </r>
    <r>
      <rPr>
        <b/>
        <vertAlign val="subscript"/>
        <sz val="10"/>
        <rFont val="Arial"/>
        <family val="2"/>
      </rPr>
      <t xml:space="preserve">1 </t>
    </r>
    <r>
      <rPr>
        <b/>
        <sz val="10"/>
        <rFont val="Arial"/>
        <family val="2"/>
      </rPr>
      <t>per cap</t>
    </r>
  </si>
  <si>
    <t>Impact reduction beyond tolerable levels, up until a maximum adaptation-adjusted SRL or T beyond which the impacts saturate</t>
  </si>
  <si>
    <t>Tolerable levels (for adaptation-adjusted SLR or T) below which the impact is zero</t>
  </si>
  <si>
    <t>Formula checked on 19/05/2018, see sheet 3273</t>
  </si>
  <si>
    <t>Impact at focus GDP/cap: chosen</t>
  </si>
  <si>
    <r>
      <t>IREF</t>
    </r>
    <r>
      <rPr>
        <b/>
        <vertAlign val="subscript"/>
        <sz val="10"/>
        <rFont val="Arial"/>
        <family val="2"/>
      </rPr>
      <t>1</t>
    </r>
  </si>
  <si>
    <t>Global nonlinear economic impact function from Fig 2a in Burke et al (2015): d(ln(Y))/dt as a function of absolute regional temperature. Impacts occuring only in the same year as temperature shocks (Lag=1) and are taken entirely out of consumption</t>
  </si>
  <si>
    <t>This data is needed for the Burke et al. (2015) economic impact function</t>
  </si>
  <si>
    <t>Updated on 21/05/2018</t>
  </si>
  <si>
    <t>Source: "IPCC AR5 damages with Burke.xlsx"</t>
  </si>
  <si>
    <t>Methodology: Monte-Carlo fitting with RISK Optimiser that minimises root mean squared distance between the scatter plot with the data points (AR5 and Burke global) and the PAGE09 functional form</t>
  </si>
  <si>
    <t>25th precentile</t>
  </si>
  <si>
    <t>75th precentile</t>
  </si>
  <si>
    <t>Source: Era-Interim reanalysis for 1979-2005, population-weighted, computed by Fernando Iglesias-Suarez</t>
  </si>
  <si>
    <t>Gridded population data: http://sedac.ciesin.columbia.edu/data/set/gpw-v4-population-count-rev10/data-download</t>
  </si>
  <si>
    <t>Updated on 22/05/2018. Source: "tas_pop-weighted-yr2010_ERA-Interim_PAGE-reg_climo_lowess-smoothing_197901-200512.xlsx"</t>
  </si>
  <si>
    <t>Burke, Pulled, Lag=1, Consum-Only</t>
  </si>
  <si>
    <t>Slope pow vs T, CO2</t>
  </si>
  <si>
    <t>Slope sens vs T, CO2</t>
  </si>
  <si>
    <t>Slope lag vs T, CO2</t>
  </si>
  <si>
    <t>Nonlinear power for cumulative carbon emissions, CO2</t>
  </si>
  <si>
    <t>Time lag for cumulative carbon emissions, CH4</t>
  </si>
  <si>
    <t>Source: http://www.metoffice.gov.uk/research/news/2016/the-global-carbon-budget-2016</t>
  </si>
  <si>
    <t>Source: Annual means for NOAA and SCRIPPS data: https://www.co2.earth/monthly-co2</t>
  </si>
  <si>
    <t>Source: CMIP5 simulations (5 models, 2 scenarios used with SiBCASA) for permafrost regions out to 2300</t>
  </si>
  <si>
    <t>Correction for perm lag, CO2</t>
  </si>
  <si>
    <t>Correction for perm sensitivity, CO2</t>
  </si>
  <si>
    <t>Correction for perm power, CO2</t>
  </si>
  <si>
    <t>Equilibrium perm cumul carbon, CO2</t>
  </si>
  <si>
    <t>Released perm cumul carbon, CO2</t>
  </si>
  <si>
    <t>Released perm cumulative CO2</t>
  </si>
  <si>
    <t>Equilibrium perm cumul carbon, CH4</t>
  </si>
  <si>
    <t>Correction for perm sensitivity, CH4</t>
  </si>
  <si>
    <t>Released perm cumul carbon, CH4</t>
  </si>
  <si>
    <t>Released perm cumulative CH4</t>
  </si>
  <si>
    <t>Formula updated and checked on 27/05/2018, see sheet 3279</t>
  </si>
  <si>
    <t>MC mean cumul. CO2 rel. change due to perm.</t>
  </si>
  <si>
    <t>Impacts</t>
  </si>
  <si>
    <t>CO2 cycle</t>
  </si>
  <si>
    <t>Sulphates and SLR</t>
  </si>
  <si>
    <t>Climate sensitivity</t>
  </si>
  <si>
    <t>Discontinuity</t>
  </si>
  <si>
    <t>Impact functions</t>
  </si>
  <si>
    <t>PAGE09 Default</t>
  </si>
  <si>
    <t>PAGE09 &amp; IPCC AR5 &amp; Burke</t>
  </si>
  <si>
    <t>Switch for choosing Econ Impact group:</t>
  </si>
  <si>
    <t>Same as in PAGE09, but with a minor adjustment for "impact at calibration temp" according to IPCC AR5</t>
  </si>
  <si>
    <t>Central trajectory for business as usual emissions: RCP8.5</t>
  </si>
  <si>
    <t xml:space="preserve">There is a subsequent adjustment using "Uncertainty in BaU" parameter, which creates an uncertainty range around RCP8.5: upper end of the range according to Christensen et al (2018), lower end of the range approximately around RCP6.0 </t>
  </si>
  <si>
    <t>stdev</t>
  </si>
  <si>
    <t>Carbon flux to ocean, no CO2-stimulation</t>
  </si>
  <si>
    <t>This period total anthr &amp; perm emissions</t>
  </si>
  <si>
    <t>This period total after land uptake (approx = instantaneous uptake)</t>
  </si>
  <si>
    <t>Remaining emissions in the atmosphere</t>
  </si>
  <si>
    <t>Permafrost flux plus ocean flux due to permaforst, A-B</t>
  </si>
  <si>
    <t>Global ocean sink annual CO2 flux (defined as negative)</t>
  </si>
  <si>
    <t>Ocean annual CO2 flux due to permafrost, A-B</t>
  </si>
  <si>
    <t>Nonlinear PCF</t>
  </si>
  <si>
    <t>SCCO2 Nonlinear PCF</t>
  </si>
  <si>
    <t>Permafrost flux and ocean flux due to permafrost, CO2</t>
  </si>
  <si>
    <t>SUM NO SCCO2</t>
  </si>
  <si>
    <t>SCCO2 drop rate</t>
  </si>
  <si>
    <t>KEEP BLANK</t>
  </si>
  <si>
    <t>Formula updated on 08/06/2018. Effective annual emissions rate for the SCCO2 pulse</t>
  </si>
  <si>
    <t>Formula updated on 08/06/2018</t>
  </si>
  <si>
    <t>SCCO2 formula moved to Emissions B on 08/06/2018</t>
  </si>
  <si>
    <t>Effect A</t>
  </si>
  <si>
    <t xml:space="preserve">Effect B </t>
  </si>
  <si>
    <t>Effect A-B</t>
  </si>
  <si>
    <t>Reduced compared to PAGE09, with the upper limit of the order of the estimated US GDP loss at the height of the Great Depression in 1933. This is also roughly 1.5 times above the Monte-Carlo fitted values for the saturated economic impacts based on IPCC AR5 and Burke global. See "IPCC AR5 damages with Burke.xlsx" for the calculations.</t>
  </si>
  <si>
    <t>PAGE09 economic</t>
  </si>
  <si>
    <t>Burke economic</t>
  </si>
  <si>
    <t>Verified according to Rubin et al (2015)</t>
  </si>
  <si>
    <t xml:space="preserve">Updated on 28/05/2018. The upper bound is based on Christensen et al (2018) &lt;=&gt; 35% chance of exceeding the concentration levels of RCP8.5 in 2100 (see PAGE-ICE v6.15). The lower bound is assumed to correspond to RCP6.0. The figures are derived based on the corresponding global emissions in 2100 under RCP8.5 and RCP6.0 from the RCP Database, https://tntcat.iiasa.ac.at/RcpDb/dsd?Action=htmlpage&amp;page=compare  </t>
  </si>
  <si>
    <t>Initial most negative cost cutback</t>
  </si>
  <si>
    <t>Initial maximum cutbacks at positive cost</t>
  </si>
  <si>
    <t>Initial maximum cutback cost</t>
  </si>
  <si>
    <t>proportional drop</t>
  </si>
  <si>
    <t>Updated on 19/06/2018</t>
  </si>
  <si>
    <t>Was -0.16 in PAGE09</t>
  </si>
  <si>
    <t>Was 0.12 in PAGE09</t>
  </si>
  <si>
    <t>Was -0.09 in PAGE09</t>
  </si>
  <si>
    <t xml:space="preserve">Was 0.22 in PAGE09 </t>
  </si>
  <si>
    <t xml:space="preserve">Learning rate (prop. drop in cost for experience doubling) </t>
  </si>
  <si>
    <t>Global mitigation cost</t>
  </si>
  <si>
    <t xml:space="preserve">Mitigation cost/GDP </t>
  </si>
  <si>
    <t>(annual, no aggregation or discounting)</t>
  </si>
  <si>
    <t>Total RF including the effects of PCF and SIAF</t>
  </si>
  <si>
    <t>Estimate for SLR percentiles in 2100 from Nauels et al. (2017), Fig 5, SSP5, with extra AIS discharge. See PAGE-ICE v6.15 for calibration details</t>
  </si>
  <si>
    <t>Updated on 21/06/2018</t>
  </si>
  <si>
    <t>Aldy, J. E., Pizer, W., Tavoni, M., Reis, L., Akimoto, K., Blanford, G., ... &amp; McJeon, H. (2016). Economic tools to promote transparency and comparability in the Paris Agreement. Harward, US</t>
  </si>
  <si>
    <t>Updated on 22/06/2018. Values adjusted to give the annual rate consistent with autonomous energy efficiency improvements in global industry documented by the International Energy Agency (IEA) 2012 report. Kermeli et al (2014): "Annual autonomous energy efficiency improvement in the iron and steel, cement, and primary aluminum industry under the 4 °C Scenario is about 0.7 %, 0.5–0.6 %, and 0.4–-0.5 %, respectively". We use the range of annual rates of 0.4 to 0.6%/year, with mod of 0.5%/year.</t>
  </si>
  <si>
    <t>Check: auton. tech. change rate for min, mod, max of 2100 cost reduction</t>
  </si>
  <si>
    <t>Formula checked on 18/05/2018, see sheet 3272</t>
  </si>
  <si>
    <t>Initialising parameters for the SiBCASA emulator</t>
  </si>
  <si>
    <t>Initialising parameters for the JULES emulator</t>
  </si>
  <si>
    <t>Updated on 21/10/2018 using improved iterational calibration algorithm for SiBCASA data, applied to generalised PCF emulator</t>
  </si>
  <si>
    <t>Updated on 21/10/2018</t>
  </si>
  <si>
    <t>Updated on 21/10/2018 using improved iterational calibration algorithm for JULES data, applied to generalised PCF emulator</t>
  </si>
  <si>
    <t>SiBCASA</t>
  </si>
  <si>
    <t>JULES</t>
  </si>
  <si>
    <t>Source: CMIP3 simulations (22 models, 3 scenarios used with JULES) for permafrost regions out to 2300</t>
  </si>
  <si>
    <t>Uncertainty in the initial carbon stock</t>
  </si>
  <si>
    <t>Source: Hugelius et al (2014)</t>
  </si>
  <si>
    <t>Permafrost: SiBCASA</t>
  </si>
  <si>
    <t>Permafrost: JULES</t>
  </si>
  <si>
    <t>SAF</t>
  </si>
  <si>
    <t>Permafrost emulator: SiBCASA</t>
  </si>
  <si>
    <t>Permafrost emulator: JULES</t>
  </si>
  <si>
    <t>Upper limit for permaforst T</t>
  </si>
  <si>
    <t>linear</t>
  </si>
  <si>
    <t>Type of T correction</t>
  </si>
  <si>
    <t>nonlinear</t>
  </si>
  <si>
    <t>See "Fitting_results_CO2_SiB_multimod_multiscen_iterations.xlsx"</t>
  </si>
  <si>
    <t>See "Fitting_results_CO2_JULdR_multimod_multiscen_iterations.xlsx"</t>
  </si>
  <si>
    <t>Formula updated and checked on 27/05/2018</t>
  </si>
  <si>
    <t>Formula checked on 27/05/2018</t>
  </si>
  <si>
    <t>Formula checked on 22/10/2018</t>
  </si>
  <si>
    <t>Updated on 21/10/2018. Source: SiBCASA simulations between pre-industrial conditions and 2015 climatology (multi-model climate forcing, 2 RCPs)</t>
  </si>
  <si>
    <t>Updated on 21/10/2018. Source: JULES simulations between pre-industrial conditions and 2015 climatology (multi-model climate forcing, 3 RCPs)</t>
  </si>
  <si>
    <t>Formula updated and checked on 22/10/2018. NOTE the restriction on the sign (nonnegative)</t>
  </si>
  <si>
    <t>Formula updated and checked on 22/10/2018, see sheet 3309</t>
  </si>
  <si>
    <t>Formula updated and checked on 22/10/2018. No need to apply the sign restriction (power function)</t>
  </si>
  <si>
    <t>Formula updated and checked on 22/10/2018, see sheet 3309. NOTE the additional conditionality operator</t>
  </si>
  <si>
    <t>switch_perm</t>
  </si>
  <si>
    <t>Cumulative emissions CO2 perm</t>
  </si>
  <si>
    <t>Different from Climate A if the permafrost is ON in one of them</t>
  </si>
  <si>
    <t>NOTE: formula different from the rest!</t>
  </si>
  <si>
    <t>Correction for perm lag, CH4</t>
  </si>
  <si>
    <t>Correction for perm power, CH4</t>
  </si>
  <si>
    <t>Updated on 05/12/2018. Source: SiBCASA simulations between pre-industrial conditions and 2015 climatology (multi-model climate forcing, 2 RCPs)</t>
  </si>
  <si>
    <t>Type of T correction, CO2</t>
  </si>
  <si>
    <t>Type of T correction, CH4</t>
  </si>
  <si>
    <t>Slope lag vs T, CH4</t>
  </si>
  <si>
    <t>Slope pow vs T, CH4</t>
  </si>
  <si>
    <t>Updated on 05/12/2018 using improved iterational calibration algorithm for SiBCASA data, applied to generalised PCF emulator</t>
  </si>
  <si>
    <t>Updated on 05/12/2018</t>
  </si>
  <si>
    <t>NOTE: There is no separate CH4 component in JULES. Use Schaedel et al. (2016) to estimate the CH4 carbon based on the CO2 carbon</t>
  </si>
  <si>
    <t>Nonlinear power for cumulative carbon emissions, CH4</t>
  </si>
  <si>
    <t>Permafrost CH4 carbon relative to CO2 carbon</t>
  </si>
  <si>
    <t>Source: Schaedel et al (2016), transformed from the CH4 carbon / Total carbon ratio into the CH4 carbon / CO2 carbon ratio in "Permafrost_CH4_vs_CO2_carbon.xlsx"</t>
  </si>
  <si>
    <t>Formula checked on 05/12/2018. Note the units for the carbon ratio (%)</t>
  </si>
  <si>
    <t>Formula checked on 05/12/2018</t>
  </si>
  <si>
    <t>Formula checked on 05/12/2019</t>
  </si>
  <si>
    <t>Formula checked on 05/12/2020</t>
  </si>
  <si>
    <t>Cumulative emissions CH4 perm</t>
  </si>
  <si>
    <t>Formula updated and checked on 05/12/2018. NOTE the restriction on the sign (nonnegative)</t>
  </si>
  <si>
    <t>Formula updated and checked on 05/12/2018</t>
  </si>
  <si>
    <t>Formula updated and checked on 05/12/2018, see sheet 3309. NOTE the additional conditionality operator</t>
  </si>
  <si>
    <t>See "Fitting_results_CH4_SiB_multimod_multiscen_iterations.xlsx"</t>
  </si>
  <si>
    <t xml:space="preserve">See "Fitting_results_CO2_SiB_multimod_multiscen_iterations.xlsx", "Fitting_results_CH4_SiB_multimod_multiscen_iterations.xlsx" </t>
  </si>
  <si>
    <t>Formula corrected on 05/12/2018</t>
  </si>
  <si>
    <t>Permafrost temperature, SiBCASA only</t>
  </si>
  <si>
    <t>Permafrost cumulative carbon (CO2), SiBCASA &amp; JULES</t>
  </si>
  <si>
    <t>Permafrost cumulative carbon (CH4), SiBCASA &amp; JULES</t>
  </si>
  <si>
    <t xml:space="preserve">Updated on 22/10/2018. A constraint introduced to handle the cases when consumption per capita in AF is too low to cover the high mitigation costs for the Zero Emissions scenario. This is a temporary fix, pending introduction of growth elements of deep mitigation (green growth) and climate impacts </t>
  </si>
  <si>
    <t xml:space="preserve">Updated on 07/12/2018. A constraint introduced to handle the cases when consumption per capita in AF is too low to cover the high mitigation costs for the Zero Emissions scenario. This is a temporary fix, pending introduction of growth elements of deep mitigation (green growth) and climate impacts </t>
  </si>
  <si>
    <t>Burke, Pulled, Lag=2, Consum-Only</t>
  </si>
  <si>
    <t>Global nonlinear economic impact function from Fig 2a in Burke et al (2015): d(ln(Y))/dt as a function of absolute regional temperature. Impacts depend on temperature shocks over the past 2 years, with equal weights, but are taken entirely out of consumption. No real growth effects</t>
  </si>
  <si>
    <t xml:space="preserve">Updated on 07/12/2018 to introduce the Lag=2 case </t>
  </si>
  <si>
    <t>Updated on 20/09/2018: no adaptation in order to focus on the Burke impacts for low temeprature targets</t>
  </si>
  <si>
    <t>Updated on 20/09/2018: no adaptation to be consistent with the economic impacts</t>
  </si>
  <si>
    <t xml:space="preserve">Updated on 22/10/2018: PAGE09 defaults for Plateau and Impmax. The times are kept a the longer values from v6.17. The SLR adaptation is reintroduced due to its high cost-effectiviness </t>
  </si>
  <si>
    <t>Previous formula: "IF(((rtl-RTL_0)-atl_1) &lt; 0, RTL_ABS_0, ((rtl-RTL_0)-atl_1)+RTL_ABS_0)"</t>
  </si>
  <si>
    <t>Updated on 07/12/2018 to remove the lower-end restriction on the adaptation-adjusted temperature anomaly in each region. This is required for the deep mitigation scenarios, when the temperatures could fall below the base year levels in the long run</t>
  </si>
  <si>
    <t>T for segment switch</t>
  </si>
  <si>
    <t>SAF_mean_quad_segment: T^2 coeff</t>
  </si>
  <si>
    <t>W/m2/K3</t>
  </si>
  <si>
    <t>SAF_mean_quad_segment: T^1 coeff</t>
  </si>
  <si>
    <t>W/m2/K2</t>
  </si>
  <si>
    <t>SAF_mean_quad_segment: T^0 coeff</t>
  </si>
  <si>
    <t>W/m2/K</t>
  </si>
  <si>
    <t>SAF_std_quad_segment</t>
  </si>
  <si>
    <t>SAF_mean_lin_segment</t>
  </si>
  <si>
    <t>SAF_std_lin_segment</t>
  </si>
  <si>
    <t>Nonlinear SAF</t>
  </si>
  <si>
    <t>Nonlinear PCF &amp; SAF</t>
  </si>
  <si>
    <t>SCCO2 Nonlinear SAF</t>
  </si>
  <si>
    <t>SCCO2 Nonlinear PCF &amp; SAF</t>
  </si>
  <si>
    <t>Permafrost emulators: TOTAL, with initial stock uncertainty and the on/off switch</t>
  </si>
  <si>
    <t>NOTE: start all the names with PERM if related to the permafrost</t>
  </si>
  <si>
    <t>NOTE: start all the names with ALB if related to the SAF</t>
  </si>
  <si>
    <t xml:space="preserve">See "Results_SAF_Winton_historical-rcp85_Emulator.xlsx" </t>
  </si>
  <si>
    <t>Reduced considerably compared to PAGE09 (slow ice sheets excluded)</t>
  </si>
  <si>
    <t>Reduced considerably compared to PAGE09 ( ice sheets moved to fat-tailed distribution in the SLR driver)</t>
  </si>
  <si>
    <t>Normalised random variable for the emulator</t>
  </si>
  <si>
    <t>Formula updated and checked on 14/12/2018, see sheet 3326</t>
  </si>
  <si>
    <t>ECS-average SAF</t>
  </si>
  <si>
    <t xml:space="preserve">Period-constant approximation for SAF </t>
  </si>
  <si>
    <t>Base year SAF</t>
  </si>
  <si>
    <t>Adjustment to SAF relative to ECS average</t>
  </si>
  <si>
    <t>Switch Nonlinear Surface Albedo:</t>
  </si>
  <si>
    <t>FSAF at actual T</t>
  </si>
  <si>
    <t xml:space="preserve">SAF at actual T </t>
  </si>
  <si>
    <t>GMST with nonlinear SAF adjustment</t>
  </si>
  <si>
    <t>GMST preliminary (no SAF adjustment)</t>
  </si>
  <si>
    <t>switch_seaice</t>
  </si>
  <si>
    <t>Formulas checked on 27/06/2017, see sheet 3106, updated on 14/12/2018 using new indices for adjusted FSAF, ECS and FRT</t>
  </si>
  <si>
    <t>Adjustment to FSAF (numerical scheme)</t>
  </si>
  <si>
    <t>Adjusted ECS (numerical scheme)</t>
  </si>
  <si>
    <t>Adjusted FRT (numerical scheme)</t>
  </si>
  <si>
    <t>MC mean FSAF from pre-ind</t>
  </si>
  <si>
    <t>MC mean FSAF based on ECS-averaged SAF</t>
  </si>
  <si>
    <t>MC mean SAF minus ECS-averaged SAF</t>
  </si>
  <si>
    <t>Relative change in GMST due to SAF</t>
  </si>
  <si>
    <t>FSAF based on ECS-averaged SAF</t>
  </si>
  <si>
    <t>FSAF minus ECS-based FSAF</t>
  </si>
  <si>
    <t>SAF minus ECS-averaged SAF</t>
  </si>
  <si>
    <t>ECS-averaged SAF</t>
  </si>
  <si>
    <t>MC mean</t>
  </si>
  <si>
    <t xml:space="preserve">MC SD: </t>
  </si>
  <si>
    <t>Base year FSAF (from pre-ind)</t>
  </si>
  <si>
    <t>MC mean rel. change in ECS due to SAF</t>
  </si>
  <si>
    <t>MC mean rel. change in GMST due to SAF</t>
  </si>
  <si>
    <t>ECS-level FSAF (from pre-ind)</t>
  </si>
  <si>
    <t>Total RF including the effects of PCF and SAF</t>
  </si>
  <si>
    <t>Net annual flux associated with permafrost</t>
  </si>
  <si>
    <t>(Annual perm flux A-B plus Ocean flux due to perm A-B)</t>
  </si>
  <si>
    <t>BAU</t>
  </si>
  <si>
    <t>Updated on 13/12/2018</t>
  </si>
  <si>
    <t>Global ocean sink annual CO2 flux (negative values = sink)</t>
  </si>
  <si>
    <t>Segment switch FSAF</t>
  </si>
  <si>
    <t>Formula updated and checked on 15/12/2018, see sheet 3326</t>
  </si>
  <si>
    <t>Formula updated and checked on 14/12/2018, see sheets 3326-3328</t>
  </si>
  <si>
    <t>Currency units updated from $2005 (PAGE09) to $2015 by multiplying by 1.2, US GDP deflator from the US Bureau of Economic Analysis as tabulated at http://www.multpl.com/gdp-deflator/table</t>
  </si>
  <si>
    <t>Initialising parameters of the SAF emulator based on the Winton code</t>
  </si>
  <si>
    <t>Surface Albedo Feedback (global)</t>
  </si>
  <si>
    <t>NOTE: we model the global total SAF. The nonlinearity is mainly based on the decline of Arctic sea ice and land snow</t>
  </si>
  <si>
    <t>Updated on 20/09/2018 to remove T_max to allow for higher impacts under the most extreme climate scenarios</t>
  </si>
  <si>
    <t>Original data source: RCP database, https://tntcat.iiasa.ac.at/RcpDb/dsd?Action=htmlpage&amp;page=welcome</t>
  </si>
  <si>
    <t>Original data source: SSP database, https://tntcat.iiasa.ac.at/SspDb/dsd?Action=htmlpage&amp;page=about</t>
  </si>
  <si>
    <t>Data copied into the green fields is from Nigel Arnel's spreadsheet, January 2015, and is based on the original SSP datasets</t>
  </si>
  <si>
    <t>Data copied in light purple fields was prepared by Chris Hope and Jimena Alvarez based on the original RCP datasets</t>
  </si>
  <si>
    <t>Updated further on 07/03/2019 to correct the minor irregularities in the FSAF calculations (new input file for FSAF: "CMIP5_models_fsaf_30year_running_mean_dynamic_and_fixed_clouds.xlsx")</t>
  </si>
  <si>
    <t>N.A.</t>
  </si>
  <si>
    <t>Random variable for triggering discontinuity</t>
  </si>
  <si>
    <t>Climate science</t>
  </si>
  <si>
    <t>Impact log change Burke</t>
  </si>
  <si>
    <t>Physical Impact SLR</t>
  </si>
  <si>
    <t>Physical Impact Econ Burke</t>
  </si>
  <si>
    <t>Physical Impact Econ PAGE09</t>
  </si>
  <si>
    <t>Physical Impact NonEcon</t>
  </si>
  <si>
    <t>Physical Impact Disc</t>
  </si>
  <si>
    <t>Discount factors if equity-weighted</t>
  </si>
  <si>
    <t>Quality Control</t>
  </si>
  <si>
    <t xml:space="preserve">0 = PAGE09 style, 1 = Burke, consumption only, 2 = Burke, growth effects (TO BE ADDED LATER IN PAGE20)  </t>
  </si>
  <si>
    <t>Setting CCF to zero when the Joos et al. (2013) CO2 cycle parameterisation is used gives CO2 concentrations for RCP2.6, 4.5 and 8.5 that are consistent with the CMIP5 RCP concentration defaults extended out to 2300. See the Results tab</t>
  </si>
  <si>
    <t>PAGE-ICE Nonlinear Arctic Feedbacks</t>
  </si>
  <si>
    <t>Not the same as A anymore!</t>
  </si>
  <si>
    <t>Switch for choosing FIRST Scenario group:</t>
  </si>
  <si>
    <t>Switch for choosing SECOND Scenario group:</t>
  </si>
  <si>
    <t>Choose FIRST scanario pair (World A):</t>
  </si>
  <si>
    <t>Choose SECOND scanario pair (World B):</t>
  </si>
  <si>
    <t>RCP2.6 extra mitigation, FIRST</t>
  </si>
  <si>
    <t>RCP2.6 extra mitigation, SECOND</t>
  </si>
  <si>
    <t>Parameters for the RCP2.6extra scenario, FIRST:</t>
  </si>
  <si>
    <t>Parameters for the RCP2.6extra scenario, SECOND:</t>
  </si>
  <si>
    <t>Weighting parameter for the SSPW and RCPW scenario, FIRST:</t>
  </si>
  <si>
    <t>Weighting parameter for the SSPW and RCPW scenario, SECOND:</t>
  </si>
  <si>
    <t>RCPW = weighted RCP2.6, RCP4.5 and RCP8.5 to match with SSPW, FIRST</t>
  </si>
  <si>
    <t>Annual EU CO2 emissions</t>
  </si>
  <si>
    <t>Annual US CO2 emissions</t>
  </si>
  <si>
    <t>Annual OT CO2 emissions</t>
  </si>
  <si>
    <t>Annual EE CO2 emissions</t>
  </si>
  <si>
    <t>Annual CA CO2 emissions</t>
  </si>
  <si>
    <t>Annual IA CO2 emissions</t>
  </si>
  <si>
    <t>Annual AF CO2 emissions</t>
  </si>
  <si>
    <t>Annual LA CO2 emissions</t>
  </si>
  <si>
    <t>Annual EU CH4 emissions</t>
  </si>
  <si>
    <t>Annual US CH4 emissions</t>
  </si>
  <si>
    <t>Annual OT CH4 emissions</t>
  </si>
  <si>
    <t>Annual EE CH4 emissions</t>
  </si>
  <si>
    <t>Annual CA CH4 emissions</t>
  </si>
  <si>
    <t>Annual IA CH4 emissions</t>
  </si>
  <si>
    <t>Annual AF CH4 emissions</t>
  </si>
  <si>
    <t>Annual LA CH4 emissions</t>
  </si>
  <si>
    <t>Annual EU N2O emissions</t>
  </si>
  <si>
    <t>Annual US N2O emissions</t>
  </si>
  <si>
    <t>Annual OT N2O emissions</t>
  </si>
  <si>
    <t>Annual EE N2O emissions</t>
  </si>
  <si>
    <t>Annual CA N2O emissions</t>
  </si>
  <si>
    <t>Annual IA N2O emissions</t>
  </si>
  <si>
    <t>Annual AF N2O emissions</t>
  </si>
  <si>
    <t>Annual LA N2O emissions</t>
  </si>
  <si>
    <t>Annual EU Lin emissions</t>
  </si>
  <si>
    <t>Annual US Lin emissions</t>
  </si>
  <si>
    <t>Annual OT Lin emissions</t>
  </si>
  <si>
    <t>Annual EE Lin emissions</t>
  </si>
  <si>
    <t>Annual CA Lin emissions</t>
  </si>
  <si>
    <t>Annual IA Lin emissions</t>
  </si>
  <si>
    <t>Annual AF Lin emissions</t>
  </si>
  <si>
    <t>Annual LA Lin emissions</t>
  </si>
  <si>
    <t>Annual EU sulphates</t>
  </si>
  <si>
    <t>Annual US sulphates</t>
  </si>
  <si>
    <t>Annual OT sulphates</t>
  </si>
  <si>
    <t>Annual EE sulphates</t>
  </si>
  <si>
    <t>Annual CA sulphates</t>
  </si>
  <si>
    <t>Annual IA sulphates</t>
  </si>
  <si>
    <t>Annual AF sulphates</t>
  </si>
  <si>
    <t>Annual LA sulphates</t>
  </si>
  <si>
    <t>RCPW = weighted RCP2.6, RCP4.5 and RCP8.5 to match with SSPW, SECOND</t>
  </si>
  <si>
    <t>Same as A in the current setup</t>
  </si>
  <si>
    <t>World A</t>
  </si>
  <si>
    <t>World B</t>
  </si>
  <si>
    <t>World A-B</t>
  </si>
  <si>
    <t>Chosen SSP scenario (GDP and Pop), FIRST:</t>
  </si>
  <si>
    <t>Chosen SSP scenario (GDP and Pop), SECOND:</t>
  </si>
  <si>
    <t>SSPW = weighted SSP1, SSP234 and SSP5, FIRST</t>
  </si>
  <si>
    <t>SSPW = weighted SSP1, SSP234 and SSP5, SECOND</t>
  </si>
  <si>
    <t>Equity weighting switch added</t>
  </si>
  <si>
    <t>Same as A</t>
  </si>
  <si>
    <t>A and B are the same</t>
  </si>
  <si>
    <t>GDP/cap for World B</t>
  </si>
  <si>
    <t>POP growth rates for World B</t>
  </si>
  <si>
    <t>GDP growth rates for World B</t>
  </si>
  <si>
    <t>Consumption/cap for World B</t>
  </si>
  <si>
    <t>Equity weights for World B</t>
  </si>
  <si>
    <t>Discount factor without equity weights for World B</t>
  </si>
  <si>
    <t>Discount factor with equity weights, same in Worlds A and B</t>
  </si>
  <si>
    <t>Discounting factor for World B if equity weighting is off</t>
  </si>
  <si>
    <t>GDP for World B</t>
  </si>
  <si>
    <t>POP for World B</t>
  </si>
  <si>
    <t>Switch for equity weighting:</t>
  </si>
  <si>
    <t>Weighting and discounting schemes</t>
  </si>
  <si>
    <t>Choose weighting and discounting scheme:</t>
  </si>
  <si>
    <t>Equity weighting ON, PTP discounting</t>
  </si>
  <si>
    <t>Option 1:</t>
  </si>
  <si>
    <t>Option 2:</t>
  </si>
  <si>
    <t xml:space="preserve">0 = Equity weighting OFF, 1 = Equity weighting ON </t>
  </si>
  <si>
    <t>QC (World A = World B)</t>
  </si>
  <si>
    <t xml:space="preserve">Version </t>
  </si>
  <si>
    <t>PAGE-ICE Version:</t>
  </si>
  <si>
    <t>SCCO2 Legacy PCF &amp; SAF</t>
  </si>
  <si>
    <t>PCF = permafrost carbon feedback</t>
  </si>
  <si>
    <t>SAF = surface albedo feedback</t>
  </si>
  <si>
    <t>Experiments</t>
  </si>
  <si>
    <t>Experiment 9:</t>
  </si>
  <si>
    <t>Experiment 10:</t>
  </si>
  <si>
    <t>Two Scenarios, Legacy PCF &amp; SAF</t>
  </si>
  <si>
    <t>Two Scenarios, Nonlinear PCF &amp; SAF</t>
  </si>
  <si>
    <t>Two Scenarios</t>
  </si>
  <si>
    <t>Equity weighting OFF, Ramsey discounting</t>
  </si>
  <si>
    <t>Chosen SECOND scanario pair (World B):</t>
  </si>
  <si>
    <t>Allows an independent scenario for World B only when the Two Scenarios experiments are chosen</t>
  </si>
  <si>
    <t>Valid only for the Two Scenarios experiments</t>
  </si>
  <si>
    <t xml:space="preserve">Consumption per capita and total mitigation cost per capita changed to World B </t>
  </si>
  <si>
    <t xml:space="preserve">Consumption per capita changed to World B </t>
  </si>
  <si>
    <t>Parent Version:</t>
  </si>
  <si>
    <t>Use separate GDP and POP for World B?</t>
  </si>
  <si>
    <t>YES</t>
  </si>
  <si>
    <t>NO</t>
  </si>
  <si>
    <t>Switch for separate GDP and POP in World B:</t>
  </si>
  <si>
    <t>Formulae checked on 19/03/2019</t>
  </si>
  <si>
    <t>Note the additional switch allowing / prohibiting the use of separate GDP and POP for World B</t>
  </si>
  <si>
    <t>0 = use the same GDP and POP for World A and World B (PAGE09 default), 1 = use separate GDP and POP for World B (valid only for the Two Scenarios experiments)</t>
  </si>
  <si>
    <t>See Riahi et al (2017) regarding the compatibility between RCP and SSP scenarios</t>
  </si>
  <si>
    <t>See Anthoff et al (2009) regarding equity weighting</t>
  </si>
  <si>
    <t xml:space="preserve">Statistical fitting of the PAGE09 functional form to IPCC AR5 and Burke global impact estimates </t>
  </si>
  <si>
    <t>Options for using separate GDP and POP in World B</t>
  </si>
  <si>
    <t xml:space="preserve">Anthoff, D., Hepburn, C. and Tol. R.S.J. Equity weighting and the marginal damage costs of climate
change, Ecological Economics, Volume 68, Issue 3, 836‐849. 2009.
</t>
  </si>
  <si>
    <t>Riahi, K., Van Vuuren, D. P., Kriegler, E., Edmonds, J., O’neill, B. C., Fujimori, S., ... &amp; Lutz, W. The shared socioeconomic pathways and their energy, land use, and greenhouse gas emissions implications: an overview. Global Environmental Change, 42, 153-168. 2017.</t>
  </si>
  <si>
    <t xml:space="preserve">See Yumashev et al (2019) for the full technical description of PAGE-ICE v6.22, including the calibration of the nonlinear PCF and SAF and the definition of the scenario pairs </t>
  </si>
  <si>
    <r>
      <t>Burke, M., Hsiang, S.M. and Miguel, E. Global non-linear effect of temperature on economic production. </t>
    </r>
    <r>
      <rPr>
        <i/>
        <sz val="7"/>
        <color rgb="FF222222"/>
        <rFont val="Arial"/>
        <family val="2"/>
      </rPr>
      <t>Nature</t>
    </r>
    <r>
      <rPr>
        <sz val="7"/>
        <color rgb="FF222222"/>
        <rFont val="Arial"/>
        <family val="2"/>
      </rPr>
      <t>, </t>
    </r>
    <r>
      <rPr>
        <i/>
        <sz val="7"/>
        <color rgb="FF222222"/>
        <rFont val="Arial"/>
        <family val="2"/>
      </rPr>
      <t>527</t>
    </r>
    <r>
      <rPr>
        <sz val="7"/>
        <color rgb="FF222222"/>
        <rFont val="Arial"/>
        <family val="2"/>
      </rPr>
      <t>(7577), p.235. 2015.</t>
    </r>
  </si>
  <si>
    <t xml:space="preserve">Yumashev, D., Hope, C., Schaefer, K., Riemann-Campe, K., Iglesias-Suarez, F., Jafarov, E., Burke, E.J., Young, P.J., Elshorbany, Y., Whiteman, G. Climate policy implications of nonlinear decline of Arctic land permafrost, snow and sea ice. Nature Communications. 2019. </t>
  </si>
  <si>
    <t>20/03/2019</t>
  </si>
  <si>
    <t>Version</t>
  </si>
  <si>
    <t>Date</t>
  </si>
  <si>
    <t>Lead author</t>
  </si>
  <si>
    <t>Dmitry Yumashev</t>
  </si>
  <si>
    <t>Contributing author</t>
  </si>
  <si>
    <t>Chris Hope</t>
  </si>
  <si>
    <t>Lancaster University</t>
  </si>
  <si>
    <t>University of Cambridge</t>
  </si>
  <si>
    <t>Original developer of the PAGE model</t>
  </si>
  <si>
    <t>https://www.lancaster.ac.uk/people-profiles/dmitry-yumashev</t>
  </si>
  <si>
    <t>https://www.jbs.cam.ac.uk/faculty-research/research-teaching-staff/chris-hope/</t>
  </si>
  <si>
    <t>PAGE = Policy Analysis of Greenhouse Effect</t>
  </si>
  <si>
    <t>ICE = Ice, Climate, Economics</t>
  </si>
  <si>
    <t xml:space="preserve">This work is part of the ICE-ARC project funded by the European Union 7th Framework Programme, grant number 603887, ICE-ARC contribution number 006. </t>
  </si>
  <si>
    <t>Dmitry Yumashev received additional funding from Erasmus Research Institute of Management (Erasmus University Rotterdam) and Paul Ekins at the Institute for Sustainable Resources (University College London).</t>
  </si>
  <si>
    <t>System Requirements</t>
  </si>
  <si>
    <t>Microsoft Excel 2013 or higher</t>
  </si>
  <si>
    <t xml:space="preserve">Add-in by Palisade allowing one to run statistical (Monte-Carlo) simulations in Excel. Free trial version of @RISK is available at https://www.palisade.com/trials.asp  </t>
  </si>
  <si>
    <t>Cockpit</t>
  </si>
  <si>
    <t>Results</t>
  </si>
  <si>
    <t>Statistical post-processing of the key results for the Worlds A, B and A-B</t>
  </si>
  <si>
    <t>PAGE-ICE is the latest version of the PAGE model as of March 2019. Previous version: PAGE09</t>
  </si>
  <si>
    <t>Base data</t>
  </si>
  <si>
    <t>Library data</t>
  </si>
  <si>
    <t>Policy A, B, and A-B</t>
  </si>
  <si>
    <t>Emissions A, B and A-B</t>
  </si>
  <si>
    <t>Climate A, B and A-B</t>
  </si>
  <si>
    <t>Economy A, B and A-B</t>
  </si>
  <si>
    <t>Preventative costs A, B and A-B</t>
  </si>
  <si>
    <t>Adaptive costs A, B and A-B</t>
  </si>
  <si>
    <t>Impacts A, B and A-B</t>
  </si>
  <si>
    <t>Totals</t>
  </si>
  <si>
    <t>Emissions corresponding to the chosen mitigation pathways</t>
  </si>
  <si>
    <t xml:space="preserve">Climate and socio-economic parameters of the model with uncertainty. The uncertainty ranges are calibrated according to the latest literature when the data is available, and are expert judgements otherwise. The default probability distributions are subjective in most cases </t>
  </si>
  <si>
    <t>Future climates in the Worlds A, B and A-B driven by the given emissions pathways and the chosen representations of the Arctic feedbacks (either nonlinear or legacy)</t>
  </si>
  <si>
    <t>Mitigation costs corresponding to the chosen mitigation pathways</t>
  </si>
  <si>
    <t>Adaptation costs corresponding to the chosen adaptation policy</t>
  </si>
  <si>
    <t xml:space="preserve">Chosen mitigation pathways and planned adaptation policies for the Worlds A, B and A-B </t>
  </si>
  <si>
    <t xml:space="preserve">Use the drop down menus to choose the experiment, the underlying climate and socio-economic scenarios, the economic impact function, the weighting and discounting </t>
  </si>
  <si>
    <t>Future GDP and population (POP) under the chosen socio-economic pathways, along with the corresponding equity weights and discounting factors</t>
  </si>
  <si>
    <t>Climate and socio-economic data for the base year 2015 required to initiate the model, along with the key model settings and the repository of the RCP and SSP scenarios</t>
  </si>
  <si>
    <t>Summary of the mitigation costs, adaptation costs and climate-driven impacts, and the total economic effect of climate change, for the Worlds A, B and A-B</t>
  </si>
  <si>
    <t>Description of the Individual Sheets in the PAGE-ICE Workbook</t>
  </si>
  <si>
    <t>The model simulates World A, World B and World A-B, allowing one to perform the following statistical experiments across a wide range of climate and socio-economic scenarios:</t>
  </si>
  <si>
    <t>Experiment Family 3: Comparison between two scenarios, either with the nonlinear or legacy Arctic feedbacks (PCF = 0, SAF = const in line with the 2xCO2 ECS parameter)</t>
  </si>
  <si>
    <t xml:space="preserve">Impacts due to climate change under the chosen mitigation and adaptation policies. The following impacts categories are included: sea level rise, economic, non-economic, discontinuity </t>
  </si>
  <si>
    <t>Microsoft Windows 7 or higher</t>
  </si>
  <si>
    <t>Nonlinear Arctic Feedbacks: PCF = permafrost carbon feedback; SAF = surface albedo feedback driven by loss of the sea ice and land snow covers</t>
  </si>
  <si>
    <t>Experiment Family 1: Sensitivity of global climate and economy to nonlinear Arctic feedbacks, PCF and SAF, relative to their legacy values (PCF = 0, SAF = const in line with the 2xCO2 ECS parameter) under a given scenario</t>
  </si>
  <si>
    <t>Experiment Family 2: SCCO2 either with the nonlinear or legacy Arctic feedbacks under a given scenario</t>
  </si>
  <si>
    <t xml:space="preserve">Yumashev, D., Hope, C., Schaefer, K., Riemann-Campe, K., Iglesias-Suarez, F., Jafarov, E., Burke, E.J., Young, P.J., Elshorbany, Y., Whiteman, G., Climate policy implications of nonlinear decline of Arctic land permafrost and other cryosphere elements, Nature Communications, 2019 </t>
  </si>
  <si>
    <t>Full technical description of the model is available as part of Yumashev et al. (2019) "Climate policy implications of nonlinear decline of Arctic land permafrost and other cryosphere elements."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</si>
</sst>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00"/>
    <numFmt numFmtId="165" formatCode="0.0000"/>
    <numFmt numFmtId="166" formatCode="0.0"/>
    <numFmt numFmtId="167" formatCode="0.0E+00"/>
    <numFmt numFmtId="168" formatCode="[$-F800]dddd\,\ mmmm\ dd\,\ yyyy"/>
    <numFmt numFmtId="169" formatCode="0.000%"/>
  </numFmts>
  <fonts count="21" x14ac:knownFonts="1">
    <font>
      <sz val="10"/>
      <name val="Arial"/>
    </font>
    <font>
      <sz val="8"/>
      <color indexed="81"/>
      <name val="Tahoma"/>
      <family val="2"/>
    </font>
    <font>
      <b/>
      <sz val="8"/>
      <color indexed="81"/>
      <name val="Tahoma"/>
      <family val="2"/>
    </font>
    <font>
      <b/>
      <sz val="10"/>
      <name val="Arial"/>
      <family val="2"/>
    </font>
    <font>
      <vertAlign val="subscript"/>
      <sz val="10"/>
      <name val="Arial"/>
      <family val="2"/>
    </font>
    <font>
      <sz val="10"/>
      <name val="Arial"/>
      <family val="2"/>
    </font>
    <font>
      <b/>
      <vertAlign val="subscript"/>
      <sz val="10"/>
      <name val="Arial"/>
      <family val="2"/>
    </font>
    <font>
      <sz val="9"/>
      <color indexed="81"/>
      <name val="Tahoma"/>
      <family val="2"/>
    </font>
    <font>
      <b/>
      <sz val="9"/>
      <color indexed="81"/>
      <name val="Tahoma"/>
      <family val="2"/>
    </font>
    <font>
      <sz val="8"/>
      <name val="Arial"/>
      <family val="2"/>
    </font>
    <font>
      <vertAlign val="subscript"/>
      <sz val="8"/>
      <name val="Arial"/>
      <family val="2"/>
    </font>
    <font>
      <sz val="7"/>
      <name val="Arial"/>
      <family val="2"/>
    </font>
    <font>
      <vertAlign val="subscript"/>
      <sz val="7"/>
      <name val="Arial"/>
      <family val="2"/>
    </font>
    <font>
      <sz val="11"/>
      <name val="Calibri"/>
      <family val="2"/>
    </font>
    <font>
      <i/>
      <sz val="10"/>
      <name val="Arial"/>
      <family val="2"/>
    </font>
    <font>
      <sz val="8"/>
      <name val="Tahoma"/>
      <family val="2"/>
    </font>
    <font>
      <b/>
      <i/>
      <sz val="10"/>
      <name val="Arial"/>
      <family val="2"/>
    </font>
    <font>
      <sz val="10"/>
      <color rgb="FF111111"/>
      <name val="Arial"/>
      <family val="2"/>
    </font>
    <font>
      <b/>
      <i/>
      <sz val="10"/>
      <color rgb="FFFF0000"/>
      <name val="Arial"/>
      <family val="2"/>
    </font>
    <font>
      <sz val="7"/>
      <color rgb="FF222222"/>
      <name val="Arial"/>
      <family val="2"/>
    </font>
    <font>
      <i/>
      <sz val="7"/>
      <color rgb="FF222222"/>
      <name val="Arial"/>
      <family val="2"/>
    </font>
  </fonts>
  <fills count="28">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5"/>
        <bgColor indexed="64"/>
      </patternFill>
    </fill>
    <fill>
      <patternFill patternType="solid">
        <fgColor indexed="51"/>
        <bgColor indexed="64"/>
      </patternFill>
    </fill>
    <fill>
      <patternFill patternType="solid">
        <fgColor indexed="13"/>
        <bgColor indexed="64"/>
      </patternFill>
    </fill>
    <fill>
      <patternFill patternType="solid">
        <fgColor indexed="14"/>
        <bgColor indexed="64"/>
      </patternFill>
    </fill>
    <fill>
      <patternFill patternType="solid">
        <fgColor theme="7" tint="0.59999389629810485"/>
        <bgColor indexed="64"/>
      </patternFill>
    </fill>
    <fill>
      <patternFill patternType="solid">
        <fgColor rgb="FFFFFF00"/>
        <bgColor indexed="64"/>
      </patternFill>
    </fill>
    <fill>
      <patternFill patternType="solid">
        <fgColor indexed="50"/>
        <bgColor indexed="64"/>
      </patternFill>
    </fill>
    <fill>
      <patternFill patternType="solid">
        <fgColor rgb="FF92D05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0" tint="-0.14999847407452621"/>
        <bgColor indexed="64"/>
      </patternFill>
    </fill>
    <fill>
      <patternFill patternType="solid">
        <fgColor rgb="FFCCC0DA"/>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rgb="FFFFFF99"/>
        <bgColor indexed="64"/>
      </patternFill>
    </fill>
    <fill>
      <patternFill patternType="solid">
        <fgColor rgb="FFFF66CC"/>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rgb="FF0070C0"/>
        <bgColor indexed="64"/>
      </patternFill>
    </fill>
    <fill>
      <patternFill patternType="solid">
        <fgColor theme="5" tint="0.39997558519241921"/>
        <bgColor indexed="64"/>
      </patternFill>
    </fill>
  </fills>
  <borders count="6">
    <border>
      <left/>
      <right/>
      <top/>
      <bottom/>
      <diagonal/>
    </border>
    <border>
      <left/>
      <right/>
      <top style="thin">
        <color indexed="64"/>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double">
        <color indexed="64"/>
      </top>
      <bottom style="double">
        <color indexed="64"/>
      </bottom>
      <diagonal/>
    </border>
  </borders>
  <cellStyleXfs count="1">
    <xf numFmtId="0" fontId="0" fillId="0" borderId="0"/>
  </cellStyleXfs>
  <cellXfs count="308">
    <xf numFmtId="0" fontId="0" fillId="0" borderId="0" xfId="0"/>
    <xf numFmtId="11" fontId="0" fillId="0" borderId="0" xfId="0" applyNumberFormat="1"/>
    <xf numFmtId="0" fontId="3" fillId="0" borderId="0" xfId="0" applyFont="1"/>
    <xf numFmtId="0" fontId="5" fillId="0" borderId="0" xfId="0" applyFont="1"/>
    <xf numFmtId="1" fontId="0" fillId="0" borderId="0" xfId="0" applyNumberFormat="1"/>
    <xf numFmtId="1" fontId="3" fillId="0" borderId="0" xfId="0" applyNumberFormat="1" applyFont="1"/>
    <xf numFmtId="2" fontId="0" fillId="0" borderId="0" xfId="0" applyNumberFormat="1"/>
    <xf numFmtId="165" fontId="0" fillId="0" borderId="0" xfId="0" applyNumberFormat="1"/>
    <xf numFmtId="2" fontId="3" fillId="0" borderId="0" xfId="0" applyNumberFormat="1" applyFont="1"/>
    <xf numFmtId="0" fontId="0" fillId="4" borderId="0" xfId="0" applyFill="1" applyProtection="1">
      <protection locked="0"/>
    </xf>
    <xf numFmtId="0" fontId="0" fillId="4" borderId="2" xfId="0" applyFill="1" applyBorder="1" applyProtection="1">
      <protection locked="0"/>
    </xf>
    <xf numFmtId="0" fontId="0" fillId="5" borderId="1" xfId="0" applyFill="1" applyBorder="1"/>
    <xf numFmtId="1" fontId="0" fillId="5" borderId="1" xfId="0" applyNumberFormat="1" applyFill="1" applyBorder="1"/>
    <xf numFmtId="0" fontId="0" fillId="5" borderId="0" xfId="0" applyFill="1"/>
    <xf numFmtId="1" fontId="0" fillId="5" borderId="0" xfId="0" applyNumberFormat="1" applyFill="1"/>
    <xf numFmtId="0" fontId="0" fillId="5" borderId="2" xfId="0" applyFill="1" applyBorder="1"/>
    <xf numFmtId="1" fontId="0" fillId="5" borderId="2" xfId="0" applyNumberFormat="1" applyFill="1" applyBorder="1"/>
    <xf numFmtId="0" fontId="0" fillId="6" borderId="0" xfId="0" applyFill="1" applyProtection="1">
      <protection locked="0"/>
    </xf>
    <xf numFmtId="11" fontId="0" fillId="6" borderId="0" xfId="0" applyNumberFormat="1" applyFill="1"/>
    <xf numFmtId="0" fontId="0" fillId="7" borderId="3" xfId="0" applyFill="1" applyBorder="1" applyProtection="1">
      <protection locked="0"/>
    </xf>
    <xf numFmtId="0" fontId="0" fillId="7" borderId="1" xfId="0" applyFill="1" applyBorder="1" applyProtection="1">
      <protection locked="0"/>
    </xf>
    <xf numFmtId="0" fontId="0" fillId="7" borderId="0" xfId="0" applyFill="1" applyProtection="1">
      <protection locked="0"/>
    </xf>
    <xf numFmtId="11" fontId="0" fillId="7" borderId="1" xfId="0" applyNumberFormat="1" applyFill="1" applyBorder="1" applyProtection="1">
      <protection locked="0"/>
    </xf>
    <xf numFmtId="11" fontId="0" fillId="7" borderId="0" xfId="0" applyNumberFormat="1" applyFill="1" applyProtection="1">
      <protection locked="0"/>
    </xf>
    <xf numFmtId="11" fontId="0" fillId="7" borderId="2" xfId="0" applyNumberFormat="1" applyFill="1" applyBorder="1" applyProtection="1">
      <protection locked="0"/>
    </xf>
    <xf numFmtId="0" fontId="0" fillId="6" borderId="0" xfId="0" applyFill="1"/>
    <xf numFmtId="2" fontId="0" fillId="5" borderId="0" xfId="0" applyNumberFormat="1" applyFill="1"/>
    <xf numFmtId="11" fontId="0" fillId="5" borderId="1" xfId="0" applyNumberFormat="1" applyFill="1" applyBorder="1"/>
    <xf numFmtId="11" fontId="0" fillId="5" borderId="0" xfId="0" applyNumberFormat="1" applyFill="1"/>
    <xf numFmtId="2" fontId="0" fillId="5" borderId="1" xfId="0" applyNumberFormat="1" applyFill="1" applyBorder="1"/>
    <xf numFmtId="2" fontId="0" fillId="8" borderId="0" xfId="0" applyNumberFormat="1" applyFill="1"/>
    <xf numFmtId="2" fontId="0" fillId="8" borderId="3" xfId="0" applyNumberFormat="1" applyFill="1" applyBorder="1"/>
    <xf numFmtId="164" fontId="0" fillId="5" borderId="1" xfId="0" applyNumberFormat="1" applyFill="1" applyBorder="1"/>
    <xf numFmtId="164" fontId="0" fillId="5" borderId="0" xfId="0" applyNumberFormat="1" applyFill="1"/>
    <xf numFmtId="164" fontId="0" fillId="5" borderId="2" xfId="0" applyNumberFormat="1" applyFill="1" applyBorder="1"/>
    <xf numFmtId="2" fontId="0" fillId="5" borderId="2" xfId="0" applyNumberFormat="1" applyFill="1" applyBorder="1"/>
    <xf numFmtId="11" fontId="0" fillId="5" borderId="2" xfId="0" applyNumberFormat="1" applyFill="1" applyBorder="1"/>
    <xf numFmtId="165" fontId="0" fillId="5" borderId="1" xfId="0" applyNumberFormat="1" applyFill="1" applyBorder="1"/>
    <xf numFmtId="165" fontId="0" fillId="5" borderId="0" xfId="0" applyNumberFormat="1" applyFill="1"/>
    <xf numFmtId="165" fontId="0" fillId="5" borderId="2" xfId="0" applyNumberFormat="1" applyFill="1" applyBorder="1"/>
    <xf numFmtId="11" fontId="0" fillId="8" borderId="0" xfId="0" applyNumberFormat="1" applyFill="1"/>
    <xf numFmtId="11" fontId="0" fillId="8" borderId="1" xfId="0" applyNumberFormat="1" applyFill="1" applyBorder="1"/>
    <xf numFmtId="11" fontId="0" fillId="8" borderId="2" xfId="0" applyNumberFormat="1" applyFill="1" applyBorder="1"/>
    <xf numFmtId="11" fontId="3" fillId="8" borderId="0" xfId="0" applyNumberFormat="1" applyFont="1" applyFill="1"/>
    <xf numFmtId="11" fontId="3" fillId="0" borderId="0" xfId="0" applyNumberFormat="1" applyFont="1"/>
    <xf numFmtId="11" fontId="0" fillId="5" borderId="3" xfId="0" applyNumberFormat="1" applyFill="1" applyBorder="1"/>
    <xf numFmtId="0" fontId="0" fillId="3" borderId="0" xfId="0" applyFill="1"/>
    <xf numFmtId="0" fontId="3" fillId="3" borderId="0" xfId="0" applyFont="1" applyFill="1"/>
    <xf numFmtId="0" fontId="3" fillId="4" borderId="0" xfId="0" applyFont="1" applyFill="1"/>
    <xf numFmtId="0" fontId="0" fillId="7" borderId="1" xfId="0" applyFill="1" applyBorder="1"/>
    <xf numFmtId="0" fontId="0" fillId="7" borderId="0" xfId="0" applyFill="1"/>
    <xf numFmtId="166" fontId="0" fillId="0" borderId="0" xfId="0" applyNumberFormat="1"/>
    <xf numFmtId="11" fontId="5" fillId="5" borderId="0" xfId="0" applyNumberFormat="1" applyFont="1" applyFill="1"/>
    <xf numFmtId="11" fontId="3" fillId="2" borderId="0" xfId="0" applyNumberFormat="1" applyFont="1" applyFill="1"/>
    <xf numFmtId="1" fontId="0" fillId="3" borderId="1" xfId="0" applyNumberFormat="1" applyFill="1" applyBorder="1" applyProtection="1">
      <protection locked="0"/>
    </xf>
    <xf numFmtId="1" fontId="0" fillId="3" borderId="0" xfId="0" applyNumberFormat="1" applyFill="1" applyProtection="1">
      <protection locked="0"/>
    </xf>
    <xf numFmtId="1" fontId="0" fillId="3" borderId="2" xfId="0" applyNumberFormat="1" applyFill="1" applyBorder="1" applyProtection="1">
      <protection locked="0"/>
    </xf>
    <xf numFmtId="2" fontId="5" fillId="0" borderId="0" xfId="0" applyNumberFormat="1" applyFont="1"/>
    <xf numFmtId="1" fontId="5" fillId="0" borderId="0" xfId="0" applyNumberFormat="1" applyFont="1"/>
    <xf numFmtId="11" fontId="5" fillId="0" borderId="0" xfId="0" applyNumberFormat="1" applyFont="1"/>
    <xf numFmtId="2" fontId="0" fillId="6" borderId="0" xfId="0" applyNumberFormat="1" applyFill="1"/>
    <xf numFmtId="1" fontId="0" fillId="0" borderId="0" xfId="0" applyNumberFormat="1" applyProtection="1">
      <protection locked="0"/>
    </xf>
    <xf numFmtId="2" fontId="0" fillId="3" borderId="2" xfId="0" applyNumberFormat="1" applyFill="1" applyBorder="1" applyProtection="1">
      <protection locked="0"/>
    </xf>
    <xf numFmtId="0" fontId="4" fillId="0" borderId="0" xfId="0" applyFont="1"/>
    <xf numFmtId="0" fontId="0" fillId="0" borderId="0" xfId="0" applyProtection="1">
      <protection locked="0"/>
    </xf>
    <xf numFmtId="166" fontId="0" fillId="5" borderId="0" xfId="0" applyNumberFormat="1" applyFill="1"/>
    <xf numFmtId="167" fontId="0" fillId="5" borderId="1" xfId="0" applyNumberFormat="1" applyFill="1" applyBorder="1"/>
    <xf numFmtId="167" fontId="0" fillId="5" borderId="0" xfId="0" applyNumberFormat="1" applyFill="1"/>
    <xf numFmtId="167" fontId="0" fillId="5" borderId="2" xfId="0" applyNumberFormat="1" applyFill="1" applyBorder="1"/>
    <xf numFmtId="165" fontId="0" fillId="6" borderId="0" xfId="0" applyNumberFormat="1" applyFill="1"/>
    <xf numFmtId="167" fontId="3" fillId="8" borderId="0" xfId="0" applyNumberFormat="1" applyFont="1" applyFill="1"/>
    <xf numFmtId="1" fontId="11" fillId="0" borderId="0" xfId="0" applyNumberFormat="1" applyFont="1"/>
    <xf numFmtId="1" fontId="9" fillId="0" borderId="0" xfId="0" applyNumberFormat="1" applyFont="1"/>
    <xf numFmtId="167" fontId="0" fillId="8" borderId="2" xfId="0" applyNumberFormat="1" applyFill="1" applyBorder="1"/>
    <xf numFmtId="167" fontId="0" fillId="8" borderId="1" xfId="0" applyNumberFormat="1" applyFill="1" applyBorder="1"/>
    <xf numFmtId="167" fontId="0" fillId="8" borderId="0" xfId="0" applyNumberFormat="1" applyFill="1"/>
    <xf numFmtId="166" fontId="0" fillId="5" borderId="1" xfId="0" applyNumberFormat="1" applyFill="1" applyBorder="1"/>
    <xf numFmtId="166" fontId="0" fillId="5" borderId="2" xfId="0" applyNumberFormat="1" applyFill="1" applyBorder="1"/>
    <xf numFmtId="11" fontId="0" fillId="8" borderId="5" xfId="0" applyNumberFormat="1" applyFill="1" applyBorder="1"/>
    <xf numFmtId="11" fontId="0" fillId="8" borderId="3" xfId="0" applyNumberFormat="1" applyFill="1" applyBorder="1"/>
    <xf numFmtId="164" fontId="0" fillId="10" borderId="2" xfId="0" applyNumberFormat="1" applyFill="1" applyBorder="1" applyProtection="1">
      <protection locked="0"/>
    </xf>
    <xf numFmtId="2" fontId="0" fillId="7" borderId="0" xfId="0" applyNumberFormat="1" applyFill="1" applyProtection="1">
      <protection locked="0"/>
    </xf>
    <xf numFmtId="2" fontId="0" fillId="10" borderId="1" xfId="0" applyNumberFormat="1" applyFill="1" applyBorder="1"/>
    <xf numFmtId="0" fontId="0" fillId="11" borderId="0" xfId="0" applyFill="1"/>
    <xf numFmtId="0" fontId="0" fillId="8" borderId="0" xfId="0" applyFill="1"/>
    <xf numFmtId="165" fontId="0" fillId="8" borderId="0" xfId="0" applyNumberFormat="1" applyFill="1"/>
    <xf numFmtId="0" fontId="0" fillId="12" borderId="0" xfId="0" applyFill="1"/>
    <xf numFmtId="11" fontId="0" fillId="13" borderId="1" xfId="0" applyNumberFormat="1" applyFill="1" applyBorder="1" applyProtection="1">
      <protection locked="0"/>
    </xf>
    <xf numFmtId="1" fontId="0" fillId="13" borderId="1" xfId="0" applyNumberFormat="1" applyFill="1" applyBorder="1" applyProtection="1">
      <protection locked="0"/>
    </xf>
    <xf numFmtId="11" fontId="0" fillId="13" borderId="0" xfId="0" applyNumberFormat="1" applyFill="1" applyProtection="1">
      <protection locked="0"/>
    </xf>
    <xf numFmtId="1" fontId="0" fillId="13" borderId="0" xfId="0" applyNumberFormat="1" applyFill="1" applyProtection="1">
      <protection locked="0"/>
    </xf>
    <xf numFmtId="11" fontId="0" fillId="13" borderId="2" xfId="0" applyNumberFormat="1" applyFill="1" applyBorder="1" applyProtection="1">
      <protection locked="0"/>
    </xf>
    <xf numFmtId="1" fontId="0" fillId="13" borderId="2" xfId="0" applyNumberFormat="1" applyFill="1" applyBorder="1" applyProtection="1">
      <protection locked="0"/>
    </xf>
    <xf numFmtId="0" fontId="0" fillId="14" borderId="0" xfId="0" applyFill="1" applyProtection="1">
      <protection locked="0"/>
    </xf>
    <xf numFmtId="0" fontId="0" fillId="13" borderId="0" xfId="0" applyFill="1" applyProtection="1">
      <protection locked="0"/>
    </xf>
    <xf numFmtId="164" fontId="0" fillId="13" borderId="2" xfId="0" applyNumberFormat="1" applyFill="1" applyBorder="1" applyProtection="1">
      <protection locked="0"/>
    </xf>
    <xf numFmtId="167" fontId="0" fillId="7" borderId="1" xfId="0" applyNumberFormat="1" applyFill="1" applyBorder="1" applyProtection="1">
      <protection locked="0"/>
    </xf>
    <xf numFmtId="167" fontId="0" fillId="7" borderId="0" xfId="0" applyNumberFormat="1" applyFill="1" applyProtection="1">
      <protection locked="0"/>
    </xf>
    <xf numFmtId="167" fontId="0" fillId="7" borderId="2" xfId="0" applyNumberFormat="1" applyFill="1" applyBorder="1" applyProtection="1">
      <protection locked="0"/>
    </xf>
    <xf numFmtId="2" fontId="0" fillId="13" borderId="1" xfId="0" applyNumberFormat="1" applyFill="1" applyBorder="1" applyProtection="1">
      <protection locked="0"/>
    </xf>
    <xf numFmtId="2" fontId="0" fillId="13" borderId="0" xfId="0" applyNumberFormat="1" applyFill="1" applyProtection="1">
      <protection locked="0"/>
    </xf>
    <xf numFmtId="2" fontId="0" fillId="13" borderId="2" xfId="0" applyNumberFormat="1" applyFill="1" applyBorder="1" applyProtection="1">
      <protection locked="0"/>
    </xf>
    <xf numFmtId="0" fontId="5" fillId="5" borderId="0" xfId="0" applyFont="1" applyFill="1"/>
    <xf numFmtId="0" fontId="5" fillId="12" borderId="0" xfId="0" applyFont="1" applyFill="1"/>
    <xf numFmtId="11" fontId="0" fillId="12" borderId="0" xfId="0" applyNumberFormat="1" applyFill="1"/>
    <xf numFmtId="0" fontId="0" fillId="12" borderId="1" xfId="0" applyFill="1" applyBorder="1" applyProtection="1">
      <protection locked="0"/>
    </xf>
    <xf numFmtId="0" fontId="0" fillId="12" borderId="0" xfId="0" applyFill="1" applyProtection="1">
      <protection locked="0"/>
    </xf>
    <xf numFmtId="0" fontId="0" fillId="12" borderId="2" xfId="0" applyFill="1" applyBorder="1" applyProtection="1">
      <protection locked="0"/>
    </xf>
    <xf numFmtId="2" fontId="0" fillId="15" borderId="0" xfId="0" applyNumberFormat="1" applyFill="1"/>
    <xf numFmtId="11" fontId="0" fillId="5" borderId="0" xfId="0" applyNumberFormat="1" applyFill="1" applyProtection="1">
      <protection locked="0"/>
    </xf>
    <xf numFmtId="11" fontId="0" fillId="0" borderId="0" xfId="0" applyNumberFormat="1" applyProtection="1">
      <protection locked="0"/>
    </xf>
    <xf numFmtId="0" fontId="13" fillId="0" borderId="0" xfId="0" applyFont="1"/>
    <xf numFmtId="2" fontId="13" fillId="0" borderId="0" xfId="0" applyNumberFormat="1" applyFont="1"/>
    <xf numFmtId="2" fontId="5" fillId="12" borderId="0" xfId="0" applyNumberFormat="1" applyFont="1" applyFill="1"/>
    <xf numFmtId="0" fontId="3" fillId="12" borderId="0" xfId="0" applyFont="1" applyFill="1"/>
    <xf numFmtId="11" fontId="5" fillId="12" borderId="0" xfId="0" applyNumberFormat="1" applyFont="1" applyFill="1"/>
    <xf numFmtId="1" fontId="0" fillId="12" borderId="0" xfId="0" applyNumberFormat="1" applyFill="1"/>
    <xf numFmtId="11" fontId="0" fillId="12" borderId="0" xfId="0" applyNumberFormat="1" applyFill="1" applyProtection="1">
      <protection locked="0"/>
    </xf>
    <xf numFmtId="1" fontId="5" fillId="12" borderId="0" xfId="0" applyNumberFormat="1" applyFont="1" applyFill="1"/>
    <xf numFmtId="2" fontId="0" fillId="12" borderId="0" xfId="0" applyNumberFormat="1" applyFill="1" applyProtection="1">
      <protection locked="0"/>
    </xf>
    <xf numFmtId="2" fontId="0" fillId="10" borderId="2" xfId="0" applyNumberFormat="1" applyFill="1" applyBorder="1" applyProtection="1">
      <protection locked="0"/>
    </xf>
    <xf numFmtId="2" fontId="0" fillId="12" borderId="1" xfId="0" applyNumberFormat="1" applyFill="1" applyBorder="1" applyProtection="1">
      <protection locked="0"/>
    </xf>
    <xf numFmtId="2" fontId="0" fillId="12" borderId="2" xfId="0" applyNumberFormat="1" applyFill="1" applyBorder="1" applyProtection="1">
      <protection locked="0"/>
    </xf>
    <xf numFmtId="2" fontId="0" fillId="0" borderId="0" xfId="0" applyNumberFormat="1" applyProtection="1">
      <protection locked="0"/>
    </xf>
    <xf numFmtId="0" fontId="14" fillId="0" borderId="0" xfId="0" applyFont="1"/>
    <xf numFmtId="165" fontId="5" fillId="0" borderId="0" xfId="0" applyNumberFormat="1" applyFont="1"/>
    <xf numFmtId="0" fontId="0" fillId="16" borderId="0" xfId="0" applyFill="1"/>
    <xf numFmtId="0" fontId="3" fillId="16" borderId="0" xfId="0" applyFont="1" applyFill="1"/>
    <xf numFmtId="2" fontId="14" fillId="0" borderId="0" xfId="0" applyNumberFormat="1" applyFont="1"/>
    <xf numFmtId="3" fontId="0" fillId="12" borderId="0" xfId="0" applyNumberFormat="1" applyFill="1"/>
    <xf numFmtId="1" fontId="0" fillId="10" borderId="0" xfId="0" applyNumberFormat="1" applyFill="1" applyProtection="1">
      <protection locked="0"/>
    </xf>
    <xf numFmtId="11" fontId="13" fillId="0" borderId="0" xfId="0" applyNumberFormat="1" applyFont="1"/>
    <xf numFmtId="1" fontId="0" fillId="10" borderId="1" xfId="0" applyNumberFormat="1" applyFill="1" applyBorder="1" applyProtection="1">
      <protection locked="0"/>
    </xf>
    <xf numFmtId="1" fontId="0" fillId="10" borderId="2" xfId="0" applyNumberFormat="1" applyFill="1" applyBorder="1" applyProtection="1">
      <protection locked="0"/>
    </xf>
    <xf numFmtId="1" fontId="0" fillId="14" borderId="0" xfId="0" applyNumberFormat="1" applyFill="1" applyProtection="1">
      <protection locked="0"/>
    </xf>
    <xf numFmtId="11" fontId="5" fillId="6" borderId="0" xfId="0" applyNumberFormat="1" applyFont="1" applyFill="1"/>
    <xf numFmtId="164" fontId="0" fillId="17" borderId="0" xfId="0" applyNumberFormat="1" applyFill="1"/>
    <xf numFmtId="164" fontId="0" fillId="10" borderId="0" xfId="0" applyNumberFormat="1" applyFill="1"/>
    <xf numFmtId="166" fontId="5" fillId="0" borderId="0" xfId="0" applyNumberFormat="1" applyFont="1"/>
    <xf numFmtId="166" fontId="14" fillId="0" borderId="0" xfId="0" applyNumberFormat="1" applyFont="1"/>
    <xf numFmtId="1" fontId="0" fillId="14" borderId="1" xfId="0" applyNumberFormat="1" applyFill="1" applyBorder="1" applyProtection="1">
      <protection locked="0"/>
    </xf>
    <xf numFmtId="1" fontId="0" fillId="14" borderId="2" xfId="0" applyNumberFormat="1" applyFill="1" applyBorder="1" applyProtection="1">
      <protection locked="0"/>
    </xf>
    <xf numFmtId="0" fontId="5" fillId="18" borderId="0" xfId="0" applyFont="1" applyFill="1" applyAlignment="1">
      <alignment horizontal="right" vertical="center"/>
    </xf>
    <xf numFmtId="0" fontId="0" fillId="9" borderId="0" xfId="0" applyFill="1" applyProtection="1">
      <protection locked="0"/>
    </xf>
    <xf numFmtId="0" fontId="0" fillId="9" borderId="0" xfId="0" applyFill="1"/>
    <xf numFmtId="0" fontId="5" fillId="9" borderId="0" xfId="0" applyFont="1" applyFill="1" applyProtection="1">
      <protection locked="0"/>
    </xf>
    <xf numFmtId="0" fontId="0" fillId="9" borderId="2" xfId="0" applyFill="1" applyBorder="1" applyProtection="1">
      <protection locked="0"/>
    </xf>
    <xf numFmtId="2" fontId="0" fillId="9" borderId="0" xfId="0" applyNumberFormat="1" applyFill="1" applyProtection="1">
      <protection locked="0"/>
    </xf>
    <xf numFmtId="11" fontId="0" fillId="9" borderId="0" xfId="0" applyNumberFormat="1" applyFill="1" applyProtection="1">
      <protection locked="0"/>
    </xf>
    <xf numFmtId="166" fontId="0" fillId="0" borderId="0" xfId="0" applyNumberFormat="1" applyProtection="1">
      <protection locked="0"/>
    </xf>
    <xf numFmtId="2" fontId="0" fillId="14" borderId="2" xfId="0" applyNumberFormat="1" applyFill="1" applyBorder="1" applyProtection="1">
      <protection locked="0"/>
    </xf>
    <xf numFmtId="1" fontId="0" fillId="9" borderId="1" xfId="0" applyNumberFormat="1" applyFill="1" applyBorder="1" applyProtection="1">
      <protection locked="0"/>
    </xf>
    <xf numFmtId="1" fontId="0" fillId="9" borderId="0" xfId="0" applyNumberFormat="1" applyFill="1" applyProtection="1">
      <protection locked="0"/>
    </xf>
    <xf numFmtId="1" fontId="0" fillId="9" borderId="2" xfId="0" applyNumberFormat="1" applyFill="1" applyBorder="1" applyProtection="1">
      <protection locked="0"/>
    </xf>
    <xf numFmtId="166" fontId="0" fillId="9" borderId="1" xfId="0" applyNumberFormat="1" applyFill="1" applyBorder="1" applyProtection="1">
      <protection locked="0"/>
    </xf>
    <xf numFmtId="166" fontId="0" fillId="9" borderId="0" xfId="0" applyNumberFormat="1" applyFill="1" applyProtection="1">
      <protection locked="0"/>
    </xf>
    <xf numFmtId="166" fontId="0" fillId="9" borderId="2" xfId="0" applyNumberFormat="1" applyFill="1" applyBorder="1" applyProtection="1">
      <protection locked="0"/>
    </xf>
    <xf numFmtId="0" fontId="0" fillId="15" borderId="1" xfId="0" applyFill="1" applyBorder="1" applyProtection="1">
      <protection locked="0"/>
    </xf>
    <xf numFmtId="10" fontId="0" fillId="0" borderId="0" xfId="0" applyNumberFormat="1"/>
    <xf numFmtId="9" fontId="0" fillId="0" borderId="0" xfId="0" applyNumberFormat="1"/>
    <xf numFmtId="164" fontId="0" fillId="19" borderId="0" xfId="0" applyNumberFormat="1" applyFill="1"/>
    <xf numFmtId="2" fontId="0" fillId="8" borderId="2" xfId="0" applyNumberFormat="1" applyFill="1" applyBorder="1"/>
    <xf numFmtId="2" fontId="0" fillId="20" borderId="0" xfId="0" applyNumberFormat="1" applyFill="1"/>
    <xf numFmtId="164" fontId="0" fillId="0" borderId="0" xfId="0" applyNumberFormat="1"/>
    <xf numFmtId="165" fontId="5" fillId="21" borderId="0" xfId="0" applyNumberFormat="1" applyFont="1" applyFill="1"/>
    <xf numFmtId="2" fontId="5" fillId="21" borderId="0" xfId="0" applyNumberFormat="1" applyFont="1" applyFill="1"/>
    <xf numFmtId="0" fontId="0" fillId="21" borderId="0" xfId="0" applyFill="1"/>
    <xf numFmtId="0" fontId="3" fillId="21" borderId="0" xfId="0" applyFont="1" applyFill="1"/>
    <xf numFmtId="0" fontId="5" fillId="22" borderId="0" xfId="0" applyFont="1" applyFill="1" applyAlignment="1">
      <alignment horizontal="right" vertical="center"/>
    </xf>
    <xf numFmtId="0" fontId="5" fillId="6" borderId="0" xfId="0" applyFont="1" applyFill="1"/>
    <xf numFmtId="167" fontId="0" fillId="0" borderId="2" xfId="0" applyNumberFormat="1" applyBorder="1" applyProtection="1">
      <protection locked="0"/>
    </xf>
    <xf numFmtId="0" fontId="0" fillId="0" borderId="2" xfId="0" applyBorder="1" applyProtection="1">
      <protection locked="0"/>
    </xf>
    <xf numFmtId="10" fontId="5" fillId="0" borderId="0" xfId="0" applyNumberFormat="1" applyFont="1"/>
    <xf numFmtId="1" fontId="14" fillId="0" borderId="0" xfId="0" applyNumberFormat="1" applyFont="1"/>
    <xf numFmtId="0" fontId="3" fillId="17" borderId="0" xfId="0" applyFont="1" applyFill="1"/>
    <xf numFmtId="0" fontId="0" fillId="17" borderId="0" xfId="0" applyFill="1"/>
    <xf numFmtId="0" fontId="5" fillId="17" borderId="0" xfId="0" applyFont="1" applyFill="1"/>
    <xf numFmtId="10" fontId="0" fillId="17" borderId="0" xfId="0" applyNumberFormat="1" applyFill="1"/>
    <xf numFmtId="2" fontId="0" fillId="17" borderId="0" xfId="0" applyNumberFormat="1" applyFill="1"/>
    <xf numFmtId="2" fontId="5" fillId="17" borderId="0" xfId="0" applyNumberFormat="1" applyFont="1" applyFill="1"/>
    <xf numFmtId="0" fontId="5" fillId="17" borderId="0" xfId="0" applyFont="1" applyFill="1" applyAlignment="1">
      <alignment horizontal="left"/>
    </xf>
    <xf numFmtId="0" fontId="0" fillId="17" borderId="0" xfId="0" applyFill="1" applyAlignment="1">
      <alignment horizontal="center"/>
    </xf>
    <xf numFmtId="2" fontId="5" fillId="17" borderId="0" xfId="0" applyNumberFormat="1" applyFont="1" applyFill="1" applyAlignment="1">
      <alignment horizontal="left"/>
    </xf>
    <xf numFmtId="2" fontId="5" fillId="17" borderId="0" xfId="0" applyNumberFormat="1" applyFont="1" applyFill="1" applyAlignment="1">
      <alignment horizontal="right" vertical="center"/>
    </xf>
    <xf numFmtId="1" fontId="5" fillId="17" borderId="0" xfId="0" applyNumberFormat="1" applyFont="1" applyFill="1" applyAlignment="1">
      <alignment horizontal="right"/>
    </xf>
    <xf numFmtId="166" fontId="5" fillId="17" borderId="0" xfId="0" applyNumberFormat="1" applyFont="1" applyFill="1" applyAlignment="1">
      <alignment horizontal="right"/>
    </xf>
    <xf numFmtId="1" fontId="0" fillId="17" borderId="0" xfId="0" applyNumberFormat="1" applyFill="1" applyAlignment="1">
      <alignment horizontal="right"/>
    </xf>
    <xf numFmtId="166" fontId="0" fillId="17" borderId="0" xfId="0" applyNumberFormat="1" applyFill="1" applyAlignment="1">
      <alignment horizontal="right"/>
    </xf>
    <xf numFmtId="2" fontId="5" fillId="23" borderId="0" xfId="0" applyNumberFormat="1" applyFont="1" applyFill="1"/>
    <xf numFmtId="2" fontId="0" fillId="23" borderId="0" xfId="0" applyNumberFormat="1" applyFill="1"/>
    <xf numFmtId="11" fontId="0" fillId="23" borderId="0" xfId="0" applyNumberFormat="1" applyFill="1"/>
    <xf numFmtId="10" fontId="0" fillId="23" borderId="0" xfId="0" applyNumberFormat="1" applyFill="1"/>
    <xf numFmtId="14" fontId="0" fillId="0" borderId="0" xfId="0" applyNumberFormat="1"/>
    <xf numFmtId="168" fontId="5" fillId="0" borderId="0" xfId="0" applyNumberFormat="1" applyFont="1"/>
    <xf numFmtId="164" fontId="5" fillId="0" borderId="0" xfId="0" applyNumberFormat="1" applyFont="1"/>
    <xf numFmtId="164" fontId="5" fillId="17" borderId="0" xfId="0" applyNumberFormat="1" applyFont="1" applyFill="1"/>
    <xf numFmtId="10" fontId="5" fillId="17" borderId="0" xfId="0" applyNumberFormat="1" applyFont="1" applyFill="1"/>
    <xf numFmtId="0" fontId="3" fillId="24" borderId="0" xfId="0" applyFont="1" applyFill="1"/>
    <xf numFmtId="0" fontId="0" fillId="24" borderId="0" xfId="0" applyFill="1"/>
    <xf numFmtId="0" fontId="3" fillId="19" borderId="0" xfId="0" applyFont="1" applyFill="1"/>
    <xf numFmtId="0" fontId="0" fillId="19" borderId="0" xfId="0" applyFill="1"/>
    <xf numFmtId="11" fontId="13" fillId="12" borderId="0" xfId="0" applyNumberFormat="1" applyFont="1" applyFill="1"/>
    <xf numFmtId="10" fontId="5" fillId="15" borderId="0" xfId="0" quotePrefix="1" applyNumberFormat="1" applyFont="1" applyFill="1"/>
    <xf numFmtId="11" fontId="0" fillId="15" borderId="0" xfId="0" applyNumberFormat="1" applyFill="1"/>
    <xf numFmtId="2" fontId="0" fillId="12" borderId="0" xfId="0" applyNumberFormat="1" applyFill="1"/>
    <xf numFmtId="166" fontId="5" fillId="12" borderId="0" xfId="0" applyNumberFormat="1" applyFont="1" applyFill="1"/>
    <xf numFmtId="166" fontId="0" fillId="4" borderId="0" xfId="0" applyNumberFormat="1" applyFill="1" applyProtection="1">
      <protection locked="0"/>
    </xf>
    <xf numFmtId="166" fontId="0" fillId="4" borderId="1" xfId="0" applyNumberFormat="1" applyFill="1" applyBorder="1" applyProtection="1">
      <protection locked="0"/>
    </xf>
    <xf numFmtId="11" fontId="5" fillId="14" borderId="0" xfId="0" applyNumberFormat="1" applyFont="1" applyFill="1"/>
    <xf numFmtId="1" fontId="0" fillId="15" borderId="0" xfId="0" applyNumberFormat="1" applyFill="1" applyProtection="1">
      <protection locked="0"/>
    </xf>
    <xf numFmtId="0" fontId="5" fillId="15" borderId="0" xfId="0" applyFont="1" applyFill="1" applyProtection="1">
      <protection locked="0"/>
    </xf>
    <xf numFmtId="164" fontId="0" fillId="0" borderId="0" xfId="0" applyNumberFormat="1" applyProtection="1">
      <protection locked="0"/>
    </xf>
    <xf numFmtId="1" fontId="16" fillId="0" borderId="0" xfId="0" applyNumberFormat="1" applyFont="1"/>
    <xf numFmtId="1" fontId="3" fillId="23" borderId="0" xfId="0" applyNumberFormat="1" applyFont="1" applyFill="1"/>
    <xf numFmtId="2" fontId="0" fillId="14" borderId="1" xfId="0" applyNumberFormat="1" applyFill="1" applyBorder="1"/>
    <xf numFmtId="2" fontId="0" fillId="14" borderId="0" xfId="0" applyNumberFormat="1" applyFill="1"/>
    <xf numFmtId="0" fontId="0" fillId="0" borderId="0" xfId="0" applyAlignment="1">
      <alignment horizontal="right"/>
    </xf>
    <xf numFmtId="167" fontId="5" fillId="6" borderId="0" xfId="0" applyNumberFormat="1" applyFont="1" applyFill="1"/>
    <xf numFmtId="11" fontId="5" fillId="13" borderId="0" xfId="0" applyNumberFormat="1" applyFont="1" applyFill="1" applyProtection="1">
      <protection locked="0"/>
    </xf>
    <xf numFmtId="167" fontId="5" fillId="0" borderId="0" xfId="0" applyNumberFormat="1" applyFont="1"/>
    <xf numFmtId="11" fontId="5" fillId="0" borderId="0" xfId="0" applyNumberFormat="1" applyFont="1" applyProtection="1">
      <protection locked="0"/>
    </xf>
    <xf numFmtId="0" fontId="5" fillId="6" borderId="0" xfId="0" applyFont="1" applyFill="1" applyProtection="1">
      <protection locked="0"/>
    </xf>
    <xf numFmtId="164" fontId="0" fillId="0" borderId="2" xfId="0" applyNumberFormat="1" applyBorder="1"/>
    <xf numFmtId="11" fontId="0" fillId="14" borderId="1" xfId="0" applyNumberFormat="1" applyFill="1" applyBorder="1"/>
    <xf numFmtId="11" fontId="0" fillId="14" borderId="0" xfId="0" applyNumberFormat="1" applyFill="1"/>
    <xf numFmtId="166" fontId="5" fillId="18" borderId="0" xfId="0" applyNumberFormat="1" applyFont="1" applyFill="1" applyAlignment="1">
      <alignment horizontal="right" vertical="center"/>
    </xf>
    <xf numFmtId="0" fontId="15" fillId="0" borderId="0" xfId="0" applyFont="1" applyAlignment="1">
      <alignment horizontal="left" vertical="center"/>
    </xf>
    <xf numFmtId="0" fontId="15" fillId="0" borderId="0" xfId="0" applyFont="1" applyAlignment="1">
      <alignment horizontal="center" vertical="center"/>
    </xf>
    <xf numFmtId="165" fontId="0" fillId="12" borderId="0" xfId="0" applyNumberFormat="1" applyFill="1"/>
    <xf numFmtId="49" fontId="5" fillId="0" borderId="0" xfId="0" applyNumberFormat="1" applyFont="1"/>
    <xf numFmtId="166" fontId="0" fillId="9" borderId="0" xfId="0" applyNumberFormat="1" applyFill="1"/>
    <xf numFmtId="10" fontId="0" fillId="25" borderId="0" xfId="0" applyNumberFormat="1" applyFill="1"/>
    <xf numFmtId="2" fontId="5" fillId="15" borderId="1" xfId="0" applyNumberFormat="1" applyFont="1" applyFill="1" applyBorder="1" applyProtection="1">
      <protection locked="0"/>
    </xf>
    <xf numFmtId="2" fontId="5" fillId="15" borderId="0" xfId="0" applyNumberFormat="1" applyFont="1" applyFill="1" applyProtection="1">
      <protection locked="0"/>
    </xf>
    <xf numFmtId="2" fontId="5" fillId="15" borderId="2" xfId="0" applyNumberFormat="1" applyFont="1" applyFill="1" applyBorder="1" applyProtection="1">
      <protection locked="0"/>
    </xf>
    <xf numFmtId="166" fontId="0" fillId="15" borderId="1" xfId="0" applyNumberFormat="1" applyFill="1" applyBorder="1" applyProtection="1">
      <protection locked="0"/>
    </xf>
    <xf numFmtId="166" fontId="0" fillId="15" borderId="0" xfId="0" applyNumberFormat="1" applyFill="1" applyProtection="1">
      <protection locked="0"/>
    </xf>
    <xf numFmtId="166" fontId="0" fillId="15" borderId="2" xfId="0" applyNumberFormat="1" applyFill="1" applyBorder="1" applyProtection="1">
      <protection locked="0"/>
    </xf>
    <xf numFmtId="1" fontId="0" fillId="15" borderId="1" xfId="0" applyNumberFormat="1" applyFill="1" applyBorder="1" applyProtection="1">
      <protection locked="0"/>
    </xf>
    <xf numFmtId="1" fontId="0" fillId="15" borderId="2" xfId="0" applyNumberFormat="1" applyFill="1" applyBorder="1" applyProtection="1">
      <protection locked="0"/>
    </xf>
    <xf numFmtId="1" fontId="0" fillId="6" borderId="0" xfId="0" applyNumberFormat="1" applyFill="1"/>
    <xf numFmtId="166" fontId="0" fillId="12" borderId="0" xfId="0" applyNumberFormat="1" applyFill="1"/>
    <xf numFmtId="11" fontId="14" fillId="0" borderId="0" xfId="0" applyNumberFormat="1" applyFont="1"/>
    <xf numFmtId="1" fontId="0" fillId="15" borderId="0" xfId="0" applyNumberFormat="1" applyFill="1"/>
    <xf numFmtId="2" fontId="0" fillId="15" borderId="1" xfId="0" applyNumberFormat="1" applyFill="1" applyBorder="1"/>
    <xf numFmtId="2" fontId="0" fillId="16" borderId="0" xfId="0" applyNumberFormat="1" applyFill="1"/>
    <xf numFmtId="2" fontId="5" fillId="16" borderId="0" xfId="0" applyNumberFormat="1" applyFont="1" applyFill="1"/>
    <xf numFmtId="0" fontId="3" fillId="26" borderId="0" xfId="0" applyFont="1" applyFill="1"/>
    <xf numFmtId="0" fontId="0" fillId="26" borderId="0" xfId="0" applyFill="1"/>
    <xf numFmtId="0" fontId="14" fillId="12" borderId="0" xfId="0" applyFont="1" applyFill="1"/>
    <xf numFmtId="0" fontId="14" fillId="16" borderId="0" xfId="0" applyFont="1" applyFill="1"/>
    <xf numFmtId="164" fontId="0" fillId="12" borderId="0" xfId="0" applyNumberFormat="1" applyFill="1"/>
    <xf numFmtId="164" fontId="13" fillId="12" borderId="0" xfId="0" applyNumberFormat="1" applyFont="1" applyFill="1"/>
    <xf numFmtId="2" fontId="13" fillId="12" borderId="0" xfId="0" applyNumberFormat="1" applyFont="1" applyFill="1"/>
    <xf numFmtId="2" fontId="0" fillId="12" borderId="4" xfId="0" applyNumberFormat="1" applyFill="1" applyBorder="1"/>
    <xf numFmtId="17" fontId="0" fillId="0" borderId="0" xfId="0" applyNumberFormat="1"/>
    <xf numFmtId="0" fontId="17" fillId="0" borderId="0" xfId="0" applyFont="1"/>
    <xf numFmtId="11" fontId="13" fillId="15" borderId="0" xfId="0" applyNumberFormat="1" applyFont="1" applyFill="1"/>
    <xf numFmtId="2" fontId="0" fillId="14" borderId="4" xfId="0" applyNumberFormat="1" applyFill="1" applyBorder="1"/>
    <xf numFmtId="2" fontId="0" fillId="14" borderId="2" xfId="0" applyNumberFormat="1" applyFill="1" applyBorder="1"/>
    <xf numFmtId="2" fontId="13" fillId="14" borderId="0" xfId="0" applyNumberFormat="1" applyFont="1" applyFill="1"/>
    <xf numFmtId="11" fontId="0" fillId="9" borderId="0" xfId="0" applyNumberFormat="1" applyFill="1"/>
    <xf numFmtId="164" fontId="0" fillId="9" borderId="0" xfId="0" applyNumberFormat="1" applyFill="1"/>
    <xf numFmtId="0" fontId="14" fillId="9" borderId="0" xfId="0" applyFont="1" applyFill="1"/>
    <xf numFmtId="0" fontId="5" fillId="4" borderId="0" xfId="0" applyFont="1" applyFill="1"/>
    <xf numFmtId="0" fontId="5" fillId="0" borderId="0" xfId="0" applyFont="1" applyProtection="1">
      <protection locked="0"/>
    </xf>
    <xf numFmtId="2" fontId="0" fillId="9" borderId="0" xfId="0" applyNumberFormat="1" applyFill="1"/>
    <xf numFmtId="2" fontId="0" fillId="9" borderId="1" xfId="0" applyNumberFormat="1" applyFill="1" applyBorder="1"/>
    <xf numFmtId="2" fontId="0" fillId="9" borderId="2" xfId="0" applyNumberFormat="1" applyFill="1" applyBorder="1"/>
    <xf numFmtId="11" fontId="0" fillId="9" borderId="1" xfId="0" applyNumberFormat="1" applyFill="1" applyBorder="1"/>
    <xf numFmtId="11" fontId="0" fillId="9" borderId="2" xfId="0" applyNumberFormat="1" applyFill="1" applyBorder="1"/>
    <xf numFmtId="164" fontId="0" fillId="9" borderId="1" xfId="0" applyNumberFormat="1" applyFill="1" applyBorder="1"/>
    <xf numFmtId="164" fontId="0" fillId="9" borderId="2" xfId="0" applyNumberFormat="1" applyFill="1" applyBorder="1"/>
    <xf numFmtId="1" fontId="0" fillId="9" borderId="1" xfId="0" applyNumberFormat="1" applyFill="1" applyBorder="1"/>
    <xf numFmtId="1" fontId="0" fillId="9" borderId="0" xfId="0" applyNumberFormat="1" applyFill="1"/>
    <xf numFmtId="1" fontId="0" fillId="9" borderId="2" xfId="0" applyNumberFormat="1" applyFill="1" applyBorder="1"/>
    <xf numFmtId="166" fontId="0" fillId="9" borderId="1" xfId="0" applyNumberFormat="1" applyFill="1" applyBorder="1"/>
    <xf numFmtId="166" fontId="0" fillId="9" borderId="2" xfId="0" applyNumberFormat="1" applyFill="1" applyBorder="1"/>
    <xf numFmtId="1" fontId="3" fillId="0" borderId="0" xfId="0" applyNumberFormat="1" applyFont="1" applyFill="1"/>
    <xf numFmtId="1" fontId="5" fillId="0" borderId="0" xfId="0" applyNumberFormat="1" applyFont="1" applyFill="1"/>
    <xf numFmtId="0" fontId="3" fillId="0" borderId="0" xfId="0" applyFont="1" applyFill="1"/>
    <xf numFmtId="0" fontId="14" fillId="15" borderId="0" xfId="0" applyFont="1" applyFill="1"/>
    <xf numFmtId="169" fontId="0" fillId="17" borderId="0" xfId="0" applyNumberFormat="1" applyFill="1"/>
    <xf numFmtId="11" fontId="0" fillId="17" borderId="0" xfId="0" applyNumberFormat="1" applyFill="1"/>
    <xf numFmtId="11" fontId="5" fillId="17" borderId="0" xfId="0" applyNumberFormat="1" applyFont="1" applyFill="1" applyAlignment="1">
      <alignment horizontal="left"/>
    </xf>
    <xf numFmtId="0" fontId="3" fillId="27" borderId="0" xfId="0" applyFont="1" applyFill="1"/>
    <xf numFmtId="0" fontId="0" fillId="27" borderId="0" xfId="0" applyFill="1"/>
    <xf numFmtId="11" fontId="0" fillId="14" borderId="2" xfId="0" applyNumberFormat="1" applyFill="1" applyBorder="1"/>
    <xf numFmtId="165" fontId="0" fillId="14" borderId="1" xfId="0" applyNumberFormat="1" applyFill="1" applyBorder="1"/>
    <xf numFmtId="165" fontId="0" fillId="14" borderId="0" xfId="0" applyNumberFormat="1" applyFill="1"/>
    <xf numFmtId="165" fontId="0" fillId="14" borderId="2" xfId="0" applyNumberFormat="1" applyFill="1" applyBorder="1"/>
    <xf numFmtId="165" fontId="0" fillId="0" borderId="0" xfId="0" applyNumberFormat="1" applyFill="1"/>
    <xf numFmtId="165" fontId="5" fillId="5" borderId="0" xfId="0" applyNumberFormat="1" applyFont="1" applyFill="1"/>
    <xf numFmtId="11" fontId="5" fillId="5" borderId="1" xfId="0" applyNumberFormat="1" applyFont="1" applyFill="1" applyBorder="1"/>
    <xf numFmtId="165" fontId="14" fillId="0" borderId="0" xfId="0" applyNumberFormat="1" applyFont="1"/>
    <xf numFmtId="1" fontId="14" fillId="0" borderId="0" xfId="0" applyNumberFormat="1" applyFont="1" applyFill="1"/>
    <xf numFmtId="0" fontId="5" fillId="0" borderId="0" xfId="0" applyFont="1" applyFill="1"/>
    <xf numFmtId="0" fontId="0" fillId="0" borderId="0" xfId="0" applyFill="1" applyBorder="1" applyProtection="1">
      <protection locked="0"/>
    </xf>
    <xf numFmtId="0" fontId="0" fillId="0" borderId="0" xfId="0" applyFill="1"/>
    <xf numFmtId="0" fontId="14" fillId="0" borderId="0" xfId="0" applyFont="1" applyFill="1"/>
    <xf numFmtId="2" fontId="3" fillId="23" borderId="0" xfId="0" applyNumberFormat="1" applyFont="1" applyFill="1"/>
    <xf numFmtId="166" fontId="3" fillId="0" borderId="0" xfId="0" applyNumberFormat="1" applyFont="1"/>
    <xf numFmtId="0" fontId="18" fillId="0" borderId="0" xfId="0" applyFont="1" applyFill="1"/>
    <xf numFmtId="0" fontId="3" fillId="23" borderId="0" xfId="0" applyFont="1" applyFill="1"/>
    <xf numFmtId="0" fontId="5" fillId="14" borderId="0" xfId="0" applyFont="1" applyFill="1"/>
    <xf numFmtId="0" fontId="0" fillId="14" borderId="0" xfId="0" applyFill="1"/>
    <xf numFmtId="0" fontId="18" fillId="17" borderId="0" xfId="0" applyFont="1" applyFill="1"/>
    <xf numFmtId="0" fontId="14" fillId="0" borderId="0" xfId="0" applyFont="1" applyAlignment="1"/>
  </cellXfs>
  <cellStyles count="1">
    <cellStyle name="Normal" xfId="0" builtinId="0"/>
  </cellStyles>
  <dxfs count="0"/>
  <tableStyles count="0" defaultTableStyle="TableStyleMedium9" defaultPivotStyle="PivotStyleLight16"/>
  <colors>
    <mruColors>
      <color rgb="FFFF66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GMST above pre-industrial, Monte-Carlo mean</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v>GMST MC mean</c:v>
          </c:tx>
          <c:spPr>
            <a:ln w="22225" cap="rnd">
              <a:solidFill>
                <a:schemeClr val="accent1"/>
              </a:solidFill>
            </a:ln>
            <a:effectLst>
              <a:glow rad="139700">
                <a:schemeClr val="accent1">
                  <a:satMod val="175000"/>
                  <a:alpha val="14000"/>
                </a:schemeClr>
              </a:glow>
            </a:effectLst>
          </c:spPr>
          <c:marker>
            <c:symbol val="none"/>
          </c:marker>
          <c:xVal>
            <c:numRef>
              <c:f>Results!$C$59:$L$59</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Results!$C$70:$L$70</c:f>
              <c:numCache>
                <c:formatCode>0.00</c:formatCode>
                <c:ptCount val="10"/>
                <c:pt idx="0">
                  <c:v>1.1009056192677165</c:v>
                </c:pt>
                <c:pt idx="1">
                  <c:v>1.5299212758617144</c:v>
                </c:pt>
                <c:pt idx="2">
                  <c:v>1.7976742290886745</c:v>
                </c:pt>
                <c:pt idx="3">
                  <c:v>1.9649506977411788</c:v>
                </c:pt>
                <c:pt idx="4">
                  <c:v>2.133891334794713</c:v>
                </c:pt>
                <c:pt idx="5" formatCode="0.000">
                  <c:v>2.1321044595873193</c:v>
                </c:pt>
                <c:pt idx="6">
                  <c:v>1.9112954980783501</c:v>
                </c:pt>
                <c:pt idx="7">
                  <c:v>1.7650735698548121</c:v>
                </c:pt>
                <c:pt idx="8">
                  <c:v>1.667559375282083</c:v>
                </c:pt>
                <c:pt idx="9">
                  <c:v>1.5676886004434867</c:v>
                </c:pt>
              </c:numCache>
            </c:numRef>
          </c:yVal>
          <c:smooth val="1"/>
          <c:extLst>
            <c:ext xmlns:c16="http://schemas.microsoft.com/office/drawing/2014/chart" uri="{C3380CC4-5D6E-409C-BE32-E72D297353CC}">
              <c16:uniqueId val="{00000000-36D0-4F63-AF62-813194EBD182}"/>
            </c:ext>
          </c:extLst>
        </c:ser>
        <c:dLbls>
          <c:showLegendKey val="0"/>
          <c:showVal val="0"/>
          <c:showCatName val="0"/>
          <c:showSerName val="0"/>
          <c:showPercent val="0"/>
          <c:showBubbleSize val="0"/>
        </c:dLbls>
        <c:axId val="86194816"/>
        <c:axId val="86201856"/>
      </c:scatterChart>
      <c:valAx>
        <c:axId val="86194816"/>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201856"/>
        <c:crosses val="autoZero"/>
        <c:crossBetween val="midCat"/>
      </c:valAx>
      <c:valAx>
        <c:axId val="8620185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GMST, degC</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194816"/>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Nonlinear</a:t>
            </a:r>
            <a:r>
              <a:rPr lang="en-GB" baseline="0"/>
              <a:t> FSAF and FSAF based on ECS-averaged SAF</a:t>
            </a:r>
            <a:r>
              <a:rPr lang="en-GB"/>
              <a:t>,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1943685185185185"/>
          <c:y val="0.17893672839506172"/>
          <c:w val="0.8332438888888889"/>
          <c:h val="0.61222500000000002"/>
        </c:manualLayout>
      </c:layout>
      <c:scatterChart>
        <c:scatterStyle val="lineMarker"/>
        <c:varyColors val="0"/>
        <c:ser>
          <c:idx val="1"/>
          <c:order val="0"/>
          <c:tx>
            <c:v>Nonlinear FSAF</c:v>
          </c:tx>
          <c:spPr>
            <a:ln w="22225" cap="rnd">
              <a:solidFill>
                <a:schemeClr val="accent2"/>
              </a:solidFill>
            </a:ln>
            <a:effectLst>
              <a:glow rad="139700">
                <a:schemeClr val="accent2">
                  <a:satMod val="175000"/>
                  <a:alpha val="14000"/>
                </a:schemeClr>
              </a:glow>
            </a:effectLst>
          </c:spPr>
          <c:marker>
            <c:symbol val="none"/>
          </c:marker>
          <c:xVal>
            <c:numRef>
              <c:f>Results!$C$59:$L$59</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Results!$C$79:$L$79</c:f>
              <c:numCache>
                <c:formatCode>0.00</c:formatCode>
                <c:ptCount val="10"/>
                <c:pt idx="0">
                  <c:v>0.39568500813597723</c:v>
                </c:pt>
                <c:pt idx="1">
                  <c:v>0.54634332590914203</c:v>
                </c:pt>
                <c:pt idx="2">
                  <c:v>0.63901014574865944</c:v>
                </c:pt>
                <c:pt idx="3">
                  <c:v>0.69624957352991346</c:v>
                </c:pt>
                <c:pt idx="4">
                  <c:v>0.75320496376623158</c:v>
                </c:pt>
                <c:pt idx="5">
                  <c:v>0.7520922986807147</c:v>
                </c:pt>
                <c:pt idx="6">
                  <c:v>0.6763421826591306</c:v>
                </c:pt>
                <c:pt idx="7">
                  <c:v>0.62610210446382575</c:v>
                </c:pt>
                <c:pt idx="8">
                  <c:v>0.59248623761863073</c:v>
                </c:pt>
                <c:pt idx="9">
                  <c:v>0.55789955428930926</c:v>
                </c:pt>
              </c:numCache>
            </c:numRef>
          </c:yVal>
          <c:smooth val="0"/>
          <c:extLst>
            <c:ext xmlns:c16="http://schemas.microsoft.com/office/drawing/2014/chart" uri="{C3380CC4-5D6E-409C-BE32-E72D297353CC}">
              <c16:uniqueId val="{00000000-1DC8-410D-99B9-1F69F2EEC9CB}"/>
            </c:ext>
          </c:extLst>
        </c:ser>
        <c:ser>
          <c:idx val="2"/>
          <c:order val="1"/>
          <c:tx>
            <c:v>FSAF based on ECS-averaged SAF</c:v>
          </c:tx>
          <c:spPr>
            <a:ln w="22225" cap="rnd">
              <a:solidFill>
                <a:schemeClr val="accent3"/>
              </a:solidFill>
            </a:ln>
            <a:effectLst>
              <a:glow rad="139700">
                <a:schemeClr val="accent3">
                  <a:satMod val="175000"/>
                  <a:alpha val="14000"/>
                </a:schemeClr>
              </a:glow>
            </a:effectLst>
          </c:spPr>
          <c:marker>
            <c:symbol val="none"/>
          </c:marker>
          <c:xVal>
            <c:numRef>
              <c:f>Results!$C$59:$L$59</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Results!$C$80:$L$80</c:f>
              <c:numCache>
                <c:formatCode>0.00</c:formatCode>
                <c:ptCount val="10"/>
                <c:pt idx="0">
                  <c:v>0.38414046058342649</c:v>
                </c:pt>
                <c:pt idx="1">
                  <c:v>0.53330951889717815</c:v>
                </c:pt>
                <c:pt idx="2">
                  <c:v>0.62624487718513566</c:v>
                </c:pt>
                <c:pt idx="3">
                  <c:v>0.68418589712100375</c:v>
                </c:pt>
                <c:pt idx="4">
                  <c:v>0.74240482056288015</c:v>
                </c:pt>
                <c:pt idx="5">
                  <c:v>0.74141760163786463</c:v>
                </c:pt>
                <c:pt idx="6">
                  <c:v>0.6642468931137876</c:v>
                </c:pt>
                <c:pt idx="7">
                  <c:v>0.61338230997523191</c:v>
                </c:pt>
                <c:pt idx="8">
                  <c:v>0.57952361753838011</c:v>
                </c:pt>
                <c:pt idx="9">
                  <c:v>0.5448305531906914</c:v>
                </c:pt>
              </c:numCache>
            </c:numRef>
          </c:yVal>
          <c:smooth val="0"/>
          <c:extLst>
            <c:ext xmlns:c16="http://schemas.microsoft.com/office/drawing/2014/chart" uri="{C3380CC4-5D6E-409C-BE32-E72D297353CC}">
              <c16:uniqueId val="{00000001-1DC8-410D-99B9-1F69F2EEC9CB}"/>
            </c:ext>
          </c:extLst>
        </c:ser>
        <c:dLbls>
          <c:showLegendKey val="0"/>
          <c:showVal val="0"/>
          <c:showCatName val="0"/>
          <c:showSerName val="0"/>
          <c:showPercent val="0"/>
          <c:showBubbleSize val="0"/>
        </c:dLbls>
        <c:axId val="86235776"/>
        <c:axId val="86243200"/>
      </c:scatterChart>
      <c:valAx>
        <c:axId val="86235776"/>
        <c:scaling>
          <c:orientation val="minMax"/>
          <c:max val="2300"/>
          <c:min val="2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layout>
            <c:manualLayout>
              <c:xMode val="edge"/>
              <c:yMode val="edge"/>
              <c:x val="0.50753074074074078"/>
              <c:y val="0.8507351851851852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243200"/>
        <c:crosses val="autoZero"/>
        <c:crossBetween val="midCat"/>
      </c:valAx>
      <c:valAx>
        <c:axId val="8624320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W/m2</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235776"/>
        <c:crosses val="autoZero"/>
        <c:crossBetween val="midCat"/>
      </c:valAx>
      <c:spPr>
        <a:noFill/>
        <a:ln>
          <a:noFill/>
        </a:ln>
        <a:effectLst/>
      </c:spPr>
    </c:plotArea>
    <c:legend>
      <c:legendPos val="t"/>
      <c:layout>
        <c:manualLayout>
          <c:xMode val="edge"/>
          <c:yMode val="edge"/>
          <c:x val="0.19788444444444445"/>
          <c:y val="0.90616851851851854"/>
          <c:w val="0.62774944444444447"/>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 Nonlinear SAF minus ECS-averaged SAF, Monte-Carlo mean</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259162962962963"/>
          <c:y val="0.18677623456790124"/>
          <c:w val="0.82945740740740737"/>
          <c:h val="0.66770931029109526"/>
        </c:manualLayout>
      </c:layout>
      <c:scatterChart>
        <c:scatterStyle val="lineMarker"/>
        <c:varyColors val="0"/>
        <c:ser>
          <c:idx val="1"/>
          <c:order val="0"/>
          <c:tx>
            <c:v>Difference SIAF vs pre-SENS average</c:v>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Results!$B$78:$L$78</c:f>
              <c:numCache>
                <c:formatCode>0.00</c:formatCode>
                <c:ptCount val="11"/>
                <c:pt idx="1">
                  <c:v>1.1009056192677165</c:v>
                </c:pt>
                <c:pt idx="2">
                  <c:v>1.5299212758617144</c:v>
                </c:pt>
                <c:pt idx="3">
                  <c:v>1.7976742290886745</c:v>
                </c:pt>
                <c:pt idx="4">
                  <c:v>1.9649506977411788</c:v>
                </c:pt>
                <c:pt idx="5">
                  <c:v>2.133891334794713</c:v>
                </c:pt>
                <c:pt idx="6">
                  <c:v>2.1321044595873193</c:v>
                </c:pt>
                <c:pt idx="7">
                  <c:v>1.9112954980783501</c:v>
                </c:pt>
                <c:pt idx="8">
                  <c:v>1.7650735698548121</c:v>
                </c:pt>
                <c:pt idx="9">
                  <c:v>1.667559375282083</c:v>
                </c:pt>
                <c:pt idx="10">
                  <c:v>1.5676886004434867</c:v>
                </c:pt>
              </c:numCache>
            </c:numRef>
          </c:xVal>
          <c:yVal>
            <c:numRef>
              <c:f>Results!$B$81:$L$81</c:f>
              <c:numCache>
                <c:formatCode>0.00E+00</c:formatCode>
                <c:ptCount val="11"/>
                <c:pt idx="1">
                  <c:v>5.9680201374313407E-3</c:v>
                </c:pt>
                <c:pt idx="2">
                  <c:v>2.7135074017960799E-3</c:v>
                </c:pt>
                <c:pt idx="3">
                  <c:v>-1.610241517348697E-3</c:v>
                </c:pt>
                <c:pt idx="4">
                  <c:v>-4.5944631060095813E-3</c:v>
                </c:pt>
                <c:pt idx="5">
                  <c:v>-7.0938490600305527E-3</c:v>
                </c:pt>
                <c:pt idx="6">
                  <c:v>-8.4669143119011671E-3</c:v>
                </c:pt>
                <c:pt idx="7">
                  <c:v>-6.9339408989868281E-3</c:v>
                </c:pt>
                <c:pt idx="8">
                  <c:v>-4.3707500209714725E-3</c:v>
                </c:pt>
                <c:pt idx="9">
                  <c:v>-2.7028554793418601E-3</c:v>
                </c:pt>
                <c:pt idx="10">
                  <c:v>-1.3929472829184108E-3</c:v>
                </c:pt>
              </c:numCache>
            </c:numRef>
          </c:yVal>
          <c:smooth val="0"/>
          <c:extLst>
            <c:ext xmlns:c16="http://schemas.microsoft.com/office/drawing/2014/chart" uri="{C3380CC4-5D6E-409C-BE32-E72D297353CC}">
              <c16:uniqueId val="{00000000-80AD-40C1-A3FC-7FD326CAF050}"/>
            </c:ext>
          </c:extLst>
        </c:ser>
        <c:dLbls>
          <c:showLegendKey val="0"/>
          <c:showVal val="0"/>
          <c:showCatName val="0"/>
          <c:showSerName val="0"/>
          <c:showPercent val="0"/>
          <c:showBubbleSize val="0"/>
        </c:dLbls>
        <c:axId val="86258048"/>
        <c:axId val="86262144"/>
      </c:scatterChart>
      <c:valAx>
        <c:axId val="86258048"/>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degC relative to pre-ind</a:t>
                </a:r>
              </a:p>
            </c:rich>
          </c:tx>
          <c:layout>
            <c:manualLayout>
              <c:xMode val="edge"/>
              <c:yMode val="edge"/>
              <c:x val="0.39322472336047087"/>
              <c:y val="0.899275568975300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262144"/>
        <c:crosses val="autoZero"/>
        <c:crossBetween val="midCat"/>
      </c:valAx>
      <c:valAx>
        <c:axId val="86262144"/>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W/m2/degC</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258048"/>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RF, Monte-Carlo mean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v>RF MC mean</c:v>
          </c:tx>
          <c:spPr>
            <a:ln w="22225" cap="rnd">
              <a:solidFill>
                <a:schemeClr val="accent1"/>
              </a:solidFill>
            </a:ln>
            <a:effectLst>
              <a:glow rad="139700">
                <a:schemeClr val="accent1">
                  <a:satMod val="175000"/>
                  <a:alpha val="14000"/>
                </a:schemeClr>
              </a:glow>
            </a:effectLst>
          </c:spPr>
          <c:marker>
            <c:symbol val="none"/>
          </c:marker>
          <c:xVal>
            <c:numRef>
              <c:f>Results!$C$59:$L$59</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Results!$C$68:$L$68</c:f>
              <c:numCache>
                <c:formatCode>0.00</c:formatCode>
                <c:ptCount val="10"/>
                <c:pt idx="0">
                  <c:v>2.9755681754786885</c:v>
                </c:pt>
                <c:pt idx="1">
                  <c:v>3.1998988837103379</c:v>
                </c:pt>
                <c:pt idx="2">
                  <c:v>3.2264454136330589</c:v>
                </c:pt>
                <c:pt idx="3">
                  <c:v>3.1694887999777972</c:v>
                </c:pt>
                <c:pt idx="4">
                  <c:v>2.9974801988257518</c:v>
                </c:pt>
                <c:pt idx="5" formatCode="0.000">
                  <c:v>2.783546757312342</c:v>
                </c:pt>
                <c:pt idx="6">
                  <c:v>2.5001503902508841</c:v>
                </c:pt>
                <c:pt idx="7">
                  <c:v>2.3168561939618684</c:v>
                </c:pt>
                <c:pt idx="8">
                  <c:v>2.1631573504290942</c:v>
                </c:pt>
                <c:pt idx="9">
                  <c:v>2.0250199331574654</c:v>
                </c:pt>
              </c:numCache>
            </c:numRef>
          </c:yVal>
          <c:smooth val="1"/>
          <c:extLst>
            <c:ext xmlns:c16="http://schemas.microsoft.com/office/drawing/2014/chart" uri="{C3380CC4-5D6E-409C-BE32-E72D297353CC}">
              <c16:uniqueId val="{00000000-86A4-4B22-8BCD-D755F050A6B0}"/>
            </c:ext>
          </c:extLst>
        </c:ser>
        <c:dLbls>
          <c:showLegendKey val="0"/>
          <c:showVal val="0"/>
          <c:showCatName val="0"/>
          <c:showSerName val="0"/>
          <c:showPercent val="0"/>
          <c:showBubbleSize val="0"/>
        </c:dLbls>
        <c:axId val="86279296"/>
        <c:axId val="86282624"/>
      </c:scatterChart>
      <c:valAx>
        <c:axId val="86279296"/>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282624"/>
        <c:crosses val="autoZero"/>
        <c:crossBetween val="midCat"/>
      </c:valAx>
      <c:valAx>
        <c:axId val="86282624"/>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RF, W/m2</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2792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Results!$A$198</c:f>
          <c:strCache>
            <c:ptCount val="1"/>
            <c:pt idx="0">
              <c:v>Permafrost flux and ocean flux due to permafrost, CO2</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4139592592592592"/>
          <c:y val="0.12136738116068825"/>
          <c:w val="0.80549296296296313"/>
          <c:h val="0.63190432098765437"/>
        </c:manualLayout>
      </c:layout>
      <c:scatterChart>
        <c:scatterStyle val="smoothMarker"/>
        <c:varyColors val="0"/>
        <c:ser>
          <c:idx val="0"/>
          <c:order val="0"/>
          <c:tx>
            <c:strRef>
              <c:f>Results!$A$199:$B$199</c:f>
              <c:strCache>
                <c:ptCount val="2"/>
                <c:pt idx="0">
                  <c:v>Ocean annual CO2 flux due to permafrost, A-B</c:v>
                </c:pt>
              </c:strCache>
            </c:strRef>
          </c:tx>
          <c:spPr>
            <a:ln w="22225" cap="rnd">
              <a:solidFill>
                <a:schemeClr val="accent1"/>
              </a:solidFill>
            </a:ln>
            <a:effectLst>
              <a:glow rad="139700">
                <a:schemeClr val="accent1">
                  <a:satMod val="175000"/>
                  <a:alpha val="14000"/>
                </a:schemeClr>
              </a:glow>
            </a:effectLst>
          </c:spPr>
          <c:marker>
            <c:symbol val="none"/>
          </c:marker>
          <c:xVal>
            <c:numRef>
              <c:f>Results!$C$198:$L$198</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Results!$C$199:$L$199</c:f>
              <c:numCache>
                <c:formatCode>0</c:formatCode>
                <c:ptCount val="10"/>
                <c:pt idx="0">
                  <c:v>-195.22492631819841</c:v>
                </c:pt>
                <c:pt idx="1">
                  <c:v>-195.22492631819841</c:v>
                </c:pt>
                <c:pt idx="2">
                  <c:v>-235.45214789483913</c:v>
                </c:pt>
                <c:pt idx="3">
                  <c:v>-284.05817033066916</c:v>
                </c:pt>
                <c:pt idx="4">
                  <c:v>-403.17391042844343</c:v>
                </c:pt>
                <c:pt idx="5">
                  <c:v>-392.20854823836845</c:v>
                </c:pt>
                <c:pt idx="6">
                  <c:v>-279.74389842936199</c:v>
                </c:pt>
                <c:pt idx="7">
                  <c:v>-275.76279736347266</c:v>
                </c:pt>
                <c:pt idx="8">
                  <c:v>-244.33008483042946</c:v>
                </c:pt>
                <c:pt idx="9">
                  <c:v>-214.13133114864681</c:v>
                </c:pt>
              </c:numCache>
            </c:numRef>
          </c:yVal>
          <c:smooth val="1"/>
          <c:extLst>
            <c:ext xmlns:c16="http://schemas.microsoft.com/office/drawing/2014/chart" uri="{C3380CC4-5D6E-409C-BE32-E72D297353CC}">
              <c16:uniqueId val="{00000000-D07B-4230-9FA3-0FBFFF3232F4}"/>
            </c:ext>
          </c:extLst>
        </c:ser>
        <c:ser>
          <c:idx val="1"/>
          <c:order val="1"/>
          <c:tx>
            <c:strRef>
              <c:f>Results!$A$200:$B$200</c:f>
              <c:strCache>
                <c:ptCount val="2"/>
                <c:pt idx="0">
                  <c:v>Permafrost annual CO2 flux to air, A-B</c:v>
                </c:pt>
              </c:strCache>
            </c:strRef>
          </c:tx>
          <c:spPr>
            <a:ln w="22225" cap="rnd">
              <a:solidFill>
                <a:schemeClr val="accent2"/>
              </a:solidFill>
            </a:ln>
            <a:effectLst>
              <a:glow rad="139700">
                <a:schemeClr val="accent2">
                  <a:satMod val="175000"/>
                  <a:alpha val="14000"/>
                </a:schemeClr>
              </a:glow>
            </a:effectLst>
          </c:spPr>
          <c:marker>
            <c:symbol val="none"/>
          </c:marker>
          <c:xVal>
            <c:numRef>
              <c:f>Results!$C$198:$L$198</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Results!$C$200:$L$200</c:f>
              <c:numCache>
                <c:formatCode>0</c:formatCode>
                <c:ptCount val="10"/>
                <c:pt idx="0">
                  <c:v>858.49777372651181</c:v>
                </c:pt>
                <c:pt idx="1">
                  <c:v>1245.0642056140127</c:v>
                </c:pt>
                <c:pt idx="2">
                  <c:v>1457.3568311616473</c:v>
                </c:pt>
                <c:pt idx="3">
                  <c:v>1543.1810049189698</c:v>
                </c:pt>
                <c:pt idx="4">
                  <c:v>1435.3718300238017</c:v>
                </c:pt>
                <c:pt idx="5">
                  <c:v>1192.0802756077233</c:v>
                </c:pt>
                <c:pt idx="6">
                  <c:v>727.8650196103747</c:v>
                </c:pt>
                <c:pt idx="7">
                  <c:v>523.6818073375922</c:v>
                </c:pt>
                <c:pt idx="8">
                  <c:v>430.21372692602785</c:v>
                </c:pt>
                <c:pt idx="9">
                  <c:v>366.63860146429192</c:v>
                </c:pt>
              </c:numCache>
            </c:numRef>
          </c:yVal>
          <c:smooth val="1"/>
          <c:extLst>
            <c:ext xmlns:c16="http://schemas.microsoft.com/office/drawing/2014/chart" uri="{C3380CC4-5D6E-409C-BE32-E72D297353CC}">
              <c16:uniqueId val="{00000001-D07B-4230-9FA3-0FBFFF3232F4}"/>
            </c:ext>
          </c:extLst>
        </c:ser>
        <c:ser>
          <c:idx val="2"/>
          <c:order val="2"/>
          <c:tx>
            <c:strRef>
              <c:f>Results!$A$201:$B$201</c:f>
              <c:strCache>
                <c:ptCount val="2"/>
                <c:pt idx="0">
                  <c:v>Permafrost flux plus ocean flux due to permaforst, A-B</c:v>
                </c:pt>
              </c:strCache>
            </c:strRef>
          </c:tx>
          <c:spPr>
            <a:ln w="22225" cap="rnd">
              <a:solidFill>
                <a:schemeClr val="accent3"/>
              </a:solidFill>
            </a:ln>
            <a:effectLst>
              <a:glow rad="139700">
                <a:schemeClr val="accent3">
                  <a:satMod val="175000"/>
                  <a:alpha val="14000"/>
                </a:schemeClr>
              </a:glow>
            </a:effectLst>
          </c:spPr>
          <c:marker>
            <c:symbol val="none"/>
          </c:marker>
          <c:xVal>
            <c:numRef>
              <c:f>Results!$C$198:$L$198</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Results!$C$201:$L$201</c:f>
              <c:numCache>
                <c:formatCode>0</c:formatCode>
                <c:ptCount val="10"/>
                <c:pt idx="0">
                  <c:v>663.27284740831408</c:v>
                </c:pt>
                <c:pt idx="1">
                  <c:v>1049.8392792958152</c:v>
                </c:pt>
                <c:pt idx="2">
                  <c:v>1221.9046832668089</c:v>
                </c:pt>
                <c:pt idx="3">
                  <c:v>1259.1228345883001</c:v>
                </c:pt>
                <c:pt idx="4">
                  <c:v>1032.1979195953566</c:v>
                </c:pt>
                <c:pt idx="5">
                  <c:v>799.8717273693544</c:v>
                </c:pt>
                <c:pt idx="6">
                  <c:v>448.12112118101288</c:v>
                </c:pt>
                <c:pt idx="7">
                  <c:v>247.9190099741198</c:v>
                </c:pt>
                <c:pt idx="8">
                  <c:v>185.88364209559822</c:v>
                </c:pt>
                <c:pt idx="9">
                  <c:v>152.50727031564597</c:v>
                </c:pt>
              </c:numCache>
            </c:numRef>
          </c:yVal>
          <c:smooth val="1"/>
          <c:extLst>
            <c:ext xmlns:c16="http://schemas.microsoft.com/office/drawing/2014/chart" uri="{C3380CC4-5D6E-409C-BE32-E72D297353CC}">
              <c16:uniqueId val="{00000002-D07B-4230-9FA3-0FBFFF3232F4}"/>
            </c:ext>
          </c:extLst>
        </c:ser>
        <c:dLbls>
          <c:showLegendKey val="0"/>
          <c:showVal val="0"/>
          <c:showCatName val="0"/>
          <c:showSerName val="0"/>
          <c:showPercent val="0"/>
          <c:showBubbleSize val="0"/>
        </c:dLbls>
        <c:axId val="760064088"/>
        <c:axId val="760065072"/>
      </c:scatterChart>
      <c:valAx>
        <c:axId val="760064088"/>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0065072"/>
        <c:crosses val="autoZero"/>
        <c:crossBetween val="midCat"/>
      </c:valAx>
      <c:valAx>
        <c:axId val="76006507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Results!$M$199</c:f>
              <c:strCache>
                <c:ptCount val="1"/>
                <c:pt idx="0">
                  <c:v>MtonCO2/yr</c:v>
                </c:pt>
              </c:strCache>
            </c:strRef>
          </c:tx>
          <c:layout>
            <c:manualLayout>
              <c:xMode val="edge"/>
              <c:yMode val="edge"/>
              <c:x val="2.4205000000000001E-2"/>
              <c:y val="0.2856345679012345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0064088"/>
        <c:crosses val="autoZero"/>
        <c:crossBetween val="midCat"/>
      </c:valAx>
      <c:spPr>
        <a:noFill/>
        <a:ln>
          <a:noFill/>
        </a:ln>
        <a:effectLst/>
      </c:spPr>
    </c:plotArea>
    <c:legend>
      <c:legendPos val="t"/>
      <c:layout>
        <c:manualLayout>
          <c:xMode val="edge"/>
          <c:yMode val="edge"/>
          <c:x val="1.8077222222222224E-2"/>
          <c:y val="0.77617407407407413"/>
          <c:w val="0.95527240740740738"/>
          <c:h val="0.20174012345679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Results!$A$112</c:f>
          <c:strCache>
            <c:ptCount val="1"/>
            <c:pt idx="0">
              <c:v>Permafrost cumulative carbon (CO2), SiBCASA &amp; JULES</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0942962962962961"/>
          <c:y val="0.14097438271604937"/>
          <c:w val="0.85030666666666666"/>
          <c:h val="0.67402006172839501"/>
        </c:manualLayout>
      </c:layout>
      <c:scatterChart>
        <c:scatterStyle val="smoothMarker"/>
        <c:varyColors val="0"/>
        <c:ser>
          <c:idx val="0"/>
          <c:order val="0"/>
          <c:tx>
            <c:strRef>
              <c:f>Results!$A$113</c:f>
              <c:strCache>
                <c:ptCount val="1"/>
                <c:pt idx="0">
                  <c:v>5th precentile</c:v>
                </c:pt>
              </c:strCache>
            </c:strRef>
          </c:tx>
          <c:spPr>
            <a:ln w="22225" cap="rnd">
              <a:solidFill>
                <a:schemeClr val="accent2">
                  <a:lumMod val="20000"/>
                  <a:lumOff val="80000"/>
                </a:schemeClr>
              </a:solidFill>
            </a:ln>
            <a:effectLst>
              <a:glow rad="139700">
                <a:schemeClr val="accent1">
                  <a:satMod val="175000"/>
                  <a:alpha val="14000"/>
                </a:schemeClr>
              </a:glow>
            </a:effectLst>
          </c:spPr>
          <c:marker>
            <c:symbol val="none"/>
          </c:marker>
          <c:xVal>
            <c:numRef>
              <c:f>Results!$C$112:$L$112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Results!$C$113:$L$113</c:f>
              <c:numCache>
                <c:formatCode>0.00E+00</c:formatCode>
                <c:ptCount val="10"/>
                <c:pt idx="0">
                  <c:v>11.663183501310623</c:v>
                </c:pt>
                <c:pt idx="1">
                  <c:v>14.148257326394084</c:v>
                </c:pt>
                <c:pt idx="2">
                  <c:v>16.540227166851924</c:v>
                </c:pt>
                <c:pt idx="3">
                  <c:v>18.895451000282076</c:v>
                </c:pt>
                <c:pt idx="4">
                  <c:v>24.146561217424779</c:v>
                </c:pt>
                <c:pt idx="5">
                  <c:v>28.209694147616556</c:v>
                </c:pt>
                <c:pt idx="6">
                  <c:v>33.114467406960671</c:v>
                </c:pt>
                <c:pt idx="7">
                  <c:v>36.803618921318773</c:v>
                </c:pt>
                <c:pt idx="8">
                  <c:v>40.137383130194848</c:v>
                </c:pt>
                <c:pt idx="9">
                  <c:v>42.592998600755053</c:v>
                </c:pt>
              </c:numCache>
            </c:numRef>
          </c:yVal>
          <c:smooth val="1"/>
          <c:extLst>
            <c:ext xmlns:c16="http://schemas.microsoft.com/office/drawing/2014/chart" uri="{C3380CC4-5D6E-409C-BE32-E72D297353CC}">
              <c16:uniqueId val="{00000000-D924-422A-9E3E-A8A4A595CE55}"/>
            </c:ext>
          </c:extLst>
        </c:ser>
        <c:ser>
          <c:idx val="1"/>
          <c:order val="1"/>
          <c:tx>
            <c:strRef>
              <c:f>Results!$A$114</c:f>
              <c:strCache>
                <c:ptCount val="1"/>
                <c:pt idx="0">
                  <c:v>25th precentile</c:v>
                </c:pt>
              </c:strCache>
            </c:strRef>
          </c:tx>
          <c:spPr>
            <a:ln w="22225" cap="rnd">
              <a:solidFill>
                <a:schemeClr val="accent2">
                  <a:lumMod val="40000"/>
                  <a:lumOff val="60000"/>
                </a:schemeClr>
              </a:solidFill>
            </a:ln>
            <a:effectLst>
              <a:glow rad="139700">
                <a:schemeClr val="accent2">
                  <a:satMod val="175000"/>
                  <a:alpha val="14000"/>
                </a:schemeClr>
              </a:glow>
            </a:effectLst>
          </c:spPr>
          <c:marker>
            <c:symbol val="none"/>
          </c:marker>
          <c:xVal>
            <c:numRef>
              <c:f>Results!$C$112:$L$112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Results!$C$114:$L$114</c:f>
              <c:numCache>
                <c:formatCode>0.00E+00</c:formatCode>
                <c:ptCount val="10"/>
                <c:pt idx="0">
                  <c:v>12.449450096498325</c:v>
                </c:pt>
                <c:pt idx="1">
                  <c:v>15.469009465650583</c:v>
                </c:pt>
                <c:pt idx="2">
                  <c:v>18.636178237734363</c:v>
                </c:pt>
                <c:pt idx="3">
                  <c:v>21.900414134883516</c:v>
                </c:pt>
                <c:pt idx="4">
                  <c:v>29.566027891845593</c:v>
                </c:pt>
                <c:pt idx="5">
                  <c:v>35.867479549798098</c:v>
                </c:pt>
                <c:pt idx="6">
                  <c:v>43.446871046485739</c:v>
                </c:pt>
                <c:pt idx="7">
                  <c:v>48.525447966050159</c:v>
                </c:pt>
                <c:pt idx="8">
                  <c:v>53.036619960024048</c:v>
                </c:pt>
                <c:pt idx="9">
                  <c:v>56.982491692438096</c:v>
                </c:pt>
              </c:numCache>
            </c:numRef>
          </c:yVal>
          <c:smooth val="1"/>
          <c:extLst>
            <c:ext xmlns:c16="http://schemas.microsoft.com/office/drawing/2014/chart" uri="{C3380CC4-5D6E-409C-BE32-E72D297353CC}">
              <c16:uniqueId val="{00000001-D924-422A-9E3E-A8A4A595CE55}"/>
            </c:ext>
          </c:extLst>
        </c:ser>
        <c:ser>
          <c:idx val="2"/>
          <c:order val="2"/>
          <c:tx>
            <c:strRef>
              <c:f>Results!$A$115</c:f>
              <c:strCache>
                <c:ptCount val="1"/>
                <c:pt idx="0">
                  <c:v>median</c:v>
                </c:pt>
              </c:strCache>
            </c:strRef>
          </c:tx>
          <c:spPr>
            <a:ln w="22225" cap="rnd">
              <a:solidFill>
                <a:schemeClr val="accent2">
                  <a:lumMod val="60000"/>
                  <a:lumOff val="40000"/>
                </a:schemeClr>
              </a:solidFill>
            </a:ln>
            <a:effectLst>
              <a:glow rad="139700">
                <a:schemeClr val="accent3">
                  <a:satMod val="175000"/>
                  <a:alpha val="14000"/>
                </a:schemeClr>
              </a:glow>
            </a:effectLst>
          </c:spPr>
          <c:marker>
            <c:symbol val="none"/>
          </c:marker>
          <c:xVal>
            <c:numRef>
              <c:f>Results!$C$112:$L$112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Results!$C$115:$L$115</c:f>
              <c:numCache>
                <c:formatCode>0.00E+00</c:formatCode>
                <c:ptCount val="10"/>
                <c:pt idx="0">
                  <c:v>13.094485120733498</c:v>
                </c:pt>
                <c:pt idx="1">
                  <c:v>16.515246717258798</c:v>
                </c:pt>
                <c:pt idx="2">
                  <c:v>20.620631082705483</c:v>
                </c:pt>
                <c:pt idx="3">
                  <c:v>24.903840766673337</c:v>
                </c:pt>
                <c:pt idx="4">
                  <c:v>35.614842596407186</c:v>
                </c:pt>
                <c:pt idx="5">
                  <c:v>44.046163654236466</c:v>
                </c:pt>
                <c:pt idx="6">
                  <c:v>53.784164742138778</c:v>
                </c:pt>
                <c:pt idx="7">
                  <c:v>60.501541538431148</c:v>
                </c:pt>
                <c:pt idx="8">
                  <c:v>65.968315013548789</c:v>
                </c:pt>
                <c:pt idx="9">
                  <c:v>70.655552403907194</c:v>
                </c:pt>
              </c:numCache>
            </c:numRef>
          </c:yVal>
          <c:smooth val="1"/>
          <c:extLst>
            <c:ext xmlns:c16="http://schemas.microsoft.com/office/drawing/2014/chart" uri="{C3380CC4-5D6E-409C-BE32-E72D297353CC}">
              <c16:uniqueId val="{00000002-D924-422A-9E3E-A8A4A595CE55}"/>
            </c:ext>
          </c:extLst>
        </c:ser>
        <c:ser>
          <c:idx val="3"/>
          <c:order val="3"/>
          <c:tx>
            <c:strRef>
              <c:f>Results!$A$116</c:f>
              <c:strCache>
                <c:ptCount val="1"/>
                <c:pt idx="0">
                  <c:v>75th precentile</c:v>
                </c:pt>
              </c:strCache>
            </c:strRef>
          </c:tx>
          <c:spPr>
            <a:ln w="22225" cap="rnd">
              <a:solidFill>
                <a:schemeClr val="accent2">
                  <a:lumMod val="75000"/>
                </a:schemeClr>
              </a:solidFill>
            </a:ln>
            <a:effectLst>
              <a:glow rad="139700">
                <a:schemeClr val="accent4">
                  <a:satMod val="175000"/>
                  <a:alpha val="14000"/>
                </a:schemeClr>
              </a:glow>
            </a:effectLst>
          </c:spPr>
          <c:marker>
            <c:symbol val="none"/>
          </c:marker>
          <c:xVal>
            <c:numRef>
              <c:f>Results!$C$112:$L$112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Results!$C$116:$L$116</c:f>
              <c:numCache>
                <c:formatCode>0.00E+00</c:formatCode>
                <c:ptCount val="10"/>
                <c:pt idx="0">
                  <c:v>13.729327008536615</c:v>
                </c:pt>
                <c:pt idx="1">
                  <c:v>17.709045974621926</c:v>
                </c:pt>
                <c:pt idx="2">
                  <c:v>22.598102595034792</c:v>
                </c:pt>
                <c:pt idx="3">
                  <c:v>28.022236785846989</c:v>
                </c:pt>
                <c:pt idx="4">
                  <c:v>41.675743762319996</c:v>
                </c:pt>
                <c:pt idx="5">
                  <c:v>52.783081603856949</c:v>
                </c:pt>
                <c:pt idx="6">
                  <c:v>66.455371876766108</c:v>
                </c:pt>
                <c:pt idx="7">
                  <c:v>75.171538861327406</c:v>
                </c:pt>
                <c:pt idx="8">
                  <c:v>82.649772574892069</c:v>
                </c:pt>
                <c:pt idx="9">
                  <c:v>89.083262160423658</c:v>
                </c:pt>
              </c:numCache>
            </c:numRef>
          </c:yVal>
          <c:smooth val="1"/>
          <c:extLst>
            <c:ext xmlns:c16="http://schemas.microsoft.com/office/drawing/2014/chart" uri="{C3380CC4-5D6E-409C-BE32-E72D297353CC}">
              <c16:uniqueId val="{00000003-D924-422A-9E3E-A8A4A595CE55}"/>
            </c:ext>
          </c:extLst>
        </c:ser>
        <c:ser>
          <c:idx val="4"/>
          <c:order val="4"/>
          <c:tx>
            <c:strRef>
              <c:f>Results!$A$117</c:f>
              <c:strCache>
                <c:ptCount val="1"/>
                <c:pt idx="0">
                  <c:v>95th percentile</c:v>
                </c:pt>
              </c:strCache>
            </c:strRef>
          </c:tx>
          <c:spPr>
            <a:ln w="22225" cap="rnd">
              <a:solidFill>
                <a:schemeClr val="accent2">
                  <a:lumMod val="50000"/>
                </a:schemeClr>
              </a:solidFill>
            </a:ln>
            <a:effectLst>
              <a:glow rad="139700">
                <a:schemeClr val="accent5">
                  <a:satMod val="175000"/>
                  <a:alpha val="14000"/>
                </a:schemeClr>
              </a:glow>
            </a:effectLst>
          </c:spPr>
          <c:marker>
            <c:symbol val="none"/>
          </c:marker>
          <c:xVal>
            <c:numRef>
              <c:f>Results!$C$112:$L$112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Results!$C$117:$L$117</c:f>
              <c:numCache>
                <c:formatCode>0.00E+00</c:formatCode>
                <c:ptCount val="10"/>
                <c:pt idx="0">
                  <c:v>14.559512215297097</c:v>
                </c:pt>
                <c:pt idx="1">
                  <c:v>19.5553922121032</c:v>
                </c:pt>
                <c:pt idx="2">
                  <c:v>26.000238406274207</c:v>
                </c:pt>
                <c:pt idx="3">
                  <c:v>32.850494231667511</c:v>
                </c:pt>
                <c:pt idx="4">
                  <c:v>51.519299604601585</c:v>
                </c:pt>
                <c:pt idx="5">
                  <c:v>66.891143224380954</c:v>
                </c:pt>
                <c:pt idx="6">
                  <c:v>87.402556056417737</c:v>
                </c:pt>
                <c:pt idx="7">
                  <c:v>100.73976525389193</c:v>
                </c:pt>
                <c:pt idx="8">
                  <c:v>111.07060961831304</c:v>
                </c:pt>
                <c:pt idx="9">
                  <c:v>119.90808279710281</c:v>
                </c:pt>
              </c:numCache>
            </c:numRef>
          </c:yVal>
          <c:smooth val="1"/>
          <c:extLst>
            <c:ext xmlns:c16="http://schemas.microsoft.com/office/drawing/2014/chart" uri="{C3380CC4-5D6E-409C-BE32-E72D297353CC}">
              <c16:uniqueId val="{00000004-D924-422A-9E3E-A8A4A595CE55}"/>
            </c:ext>
          </c:extLst>
        </c:ser>
        <c:dLbls>
          <c:showLegendKey val="0"/>
          <c:showVal val="0"/>
          <c:showCatName val="0"/>
          <c:showSerName val="0"/>
          <c:showPercent val="0"/>
          <c:showBubbleSize val="0"/>
        </c:dLbls>
        <c:axId val="646791888"/>
        <c:axId val="646792216"/>
      </c:scatterChart>
      <c:valAx>
        <c:axId val="646791888"/>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6792216"/>
        <c:crosses val="autoZero"/>
        <c:crossBetween val="midCat"/>
      </c:valAx>
      <c:valAx>
        <c:axId val="64679221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Results!$M$113</c:f>
              <c:strCache>
                <c:ptCount val="1"/>
                <c:pt idx="0">
                  <c:v>Gton C</c:v>
                </c:pt>
              </c:strCache>
            </c:strRef>
          </c:tx>
          <c:layout>
            <c:manualLayout>
              <c:xMode val="edge"/>
              <c:yMode val="edge"/>
              <c:x val="1.6498148148148147E-2"/>
              <c:y val="0.420511111111111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6791888"/>
        <c:crosses val="autoZero"/>
        <c:crossBetween val="midCat"/>
      </c:valAx>
      <c:spPr>
        <a:noFill/>
        <a:ln>
          <a:noFill/>
        </a:ln>
        <a:effectLst/>
      </c:spPr>
    </c:plotArea>
    <c:legend>
      <c:legendPos val="t"/>
      <c:layout>
        <c:manualLayout>
          <c:xMode val="edge"/>
          <c:yMode val="edge"/>
          <c:x val="5.2351851851851865E-2"/>
          <c:y val="0.901895987654321"/>
          <c:w val="0.9"/>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Results!$A$122</c:f>
          <c:strCache>
            <c:ptCount val="1"/>
            <c:pt idx="0">
              <c:v>Permafrost cumulative carbon (CH4), SiBCASA &amp; JULES</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0770111111111111"/>
          <c:y val="0.12921512345679012"/>
          <c:w val="0.84733148148148152"/>
          <c:h val="0.67402006172839501"/>
        </c:manualLayout>
      </c:layout>
      <c:scatterChart>
        <c:scatterStyle val="smoothMarker"/>
        <c:varyColors val="0"/>
        <c:ser>
          <c:idx val="0"/>
          <c:order val="0"/>
          <c:tx>
            <c:strRef>
              <c:f>Results!$A$123</c:f>
              <c:strCache>
                <c:ptCount val="1"/>
                <c:pt idx="0">
                  <c:v>5th precentile</c:v>
                </c:pt>
              </c:strCache>
            </c:strRef>
          </c:tx>
          <c:spPr>
            <a:ln w="22225" cap="rnd">
              <a:solidFill>
                <a:schemeClr val="accent4">
                  <a:lumMod val="20000"/>
                  <a:lumOff val="80000"/>
                </a:schemeClr>
              </a:solidFill>
            </a:ln>
            <a:effectLst>
              <a:glow rad="139700">
                <a:schemeClr val="accent1">
                  <a:satMod val="175000"/>
                  <a:alpha val="14000"/>
                </a:schemeClr>
              </a:glow>
            </a:effectLst>
          </c:spPr>
          <c:marker>
            <c:symbol val="none"/>
          </c:marker>
          <c:xVal>
            <c:numRef>
              <c:f>Results!$C$122:$L$122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Results!$C$123:$L$123</c:f>
              <c:numCache>
                <c:formatCode>0.00E+00</c:formatCode>
                <c:ptCount val="10"/>
                <c:pt idx="0">
                  <c:v>0.4862098185364977</c:v>
                </c:pt>
                <c:pt idx="1">
                  <c:v>0.57751225137323636</c:v>
                </c:pt>
                <c:pt idx="2">
                  <c:v>0.66640995639665135</c:v>
                </c:pt>
                <c:pt idx="3">
                  <c:v>0.75728478345414341</c:v>
                </c:pt>
                <c:pt idx="4">
                  <c:v>0.97802345834064652</c:v>
                </c:pt>
                <c:pt idx="5">
                  <c:v>1.1769174336931389</c:v>
                </c:pt>
                <c:pt idx="6">
                  <c:v>1.4646592639879779</c:v>
                </c:pt>
                <c:pt idx="7">
                  <c:v>1.7075300905100448</c:v>
                </c:pt>
                <c:pt idx="8">
                  <c:v>1.9207053631167228</c:v>
                </c:pt>
                <c:pt idx="9">
                  <c:v>2.1035743759028143</c:v>
                </c:pt>
              </c:numCache>
            </c:numRef>
          </c:yVal>
          <c:smooth val="1"/>
          <c:extLst>
            <c:ext xmlns:c16="http://schemas.microsoft.com/office/drawing/2014/chart" uri="{C3380CC4-5D6E-409C-BE32-E72D297353CC}">
              <c16:uniqueId val="{00000000-B4EF-48CE-AEBC-FEB6906CF484}"/>
            </c:ext>
          </c:extLst>
        </c:ser>
        <c:ser>
          <c:idx val="1"/>
          <c:order val="1"/>
          <c:tx>
            <c:strRef>
              <c:f>Results!$A$124</c:f>
              <c:strCache>
                <c:ptCount val="1"/>
                <c:pt idx="0">
                  <c:v>25th precentile</c:v>
                </c:pt>
              </c:strCache>
            </c:strRef>
          </c:tx>
          <c:spPr>
            <a:ln w="22225" cap="rnd">
              <a:solidFill>
                <a:schemeClr val="accent4">
                  <a:lumMod val="40000"/>
                  <a:lumOff val="60000"/>
                </a:schemeClr>
              </a:solidFill>
            </a:ln>
            <a:effectLst>
              <a:glow rad="139700">
                <a:schemeClr val="accent2">
                  <a:satMod val="175000"/>
                  <a:alpha val="14000"/>
                </a:schemeClr>
              </a:glow>
            </a:effectLst>
          </c:spPr>
          <c:marker>
            <c:symbol val="none"/>
          </c:marker>
          <c:xVal>
            <c:numRef>
              <c:f>Results!$C$122:$L$122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Results!$C$124:$L$124</c:f>
              <c:numCache>
                <c:formatCode>0.00E+00</c:formatCode>
                <c:ptCount val="10"/>
                <c:pt idx="0">
                  <c:v>0.62999799923394051</c:v>
                </c:pt>
                <c:pt idx="1">
                  <c:v>0.727085813515289</c:v>
                </c:pt>
                <c:pt idx="2">
                  <c:v>0.83620916344787855</c:v>
                </c:pt>
                <c:pt idx="3">
                  <c:v>0.96178454582329498</c:v>
                </c:pt>
                <c:pt idx="4">
                  <c:v>1.2787679134257741</c:v>
                </c:pt>
                <c:pt idx="5">
                  <c:v>1.566855716617521</c:v>
                </c:pt>
                <c:pt idx="6">
                  <c:v>2.0227702127436635</c:v>
                </c:pt>
                <c:pt idx="7">
                  <c:v>2.419030027650507</c:v>
                </c:pt>
                <c:pt idx="8">
                  <c:v>2.7613819976206897</c:v>
                </c:pt>
                <c:pt idx="9">
                  <c:v>3.0601622074011505</c:v>
                </c:pt>
              </c:numCache>
            </c:numRef>
          </c:yVal>
          <c:smooth val="1"/>
          <c:extLst>
            <c:ext xmlns:c16="http://schemas.microsoft.com/office/drawing/2014/chart" uri="{C3380CC4-5D6E-409C-BE32-E72D297353CC}">
              <c16:uniqueId val="{00000001-B4EF-48CE-AEBC-FEB6906CF484}"/>
            </c:ext>
          </c:extLst>
        </c:ser>
        <c:ser>
          <c:idx val="2"/>
          <c:order val="2"/>
          <c:tx>
            <c:strRef>
              <c:f>Results!$A$125</c:f>
              <c:strCache>
                <c:ptCount val="1"/>
                <c:pt idx="0">
                  <c:v>median</c:v>
                </c:pt>
              </c:strCache>
            </c:strRef>
          </c:tx>
          <c:spPr>
            <a:ln w="22225" cap="rnd">
              <a:solidFill>
                <a:schemeClr val="accent4">
                  <a:lumMod val="60000"/>
                  <a:lumOff val="40000"/>
                </a:schemeClr>
              </a:solidFill>
            </a:ln>
            <a:effectLst>
              <a:glow rad="139700">
                <a:schemeClr val="accent3">
                  <a:satMod val="175000"/>
                  <a:alpha val="14000"/>
                </a:schemeClr>
              </a:glow>
            </a:effectLst>
          </c:spPr>
          <c:marker>
            <c:symbol val="none"/>
          </c:marker>
          <c:xVal>
            <c:numRef>
              <c:f>Results!$C$122:$L$122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Results!$C$125:$L$125</c:f>
              <c:numCache>
                <c:formatCode>0.00E+00</c:formatCode>
                <c:ptCount val="10"/>
                <c:pt idx="0">
                  <c:v>0.73776718404017483</c:v>
                </c:pt>
                <c:pt idx="1">
                  <c:v>0.85501427367140415</c:v>
                </c:pt>
                <c:pt idx="2">
                  <c:v>0.99092258922297483</c:v>
                </c:pt>
                <c:pt idx="3">
                  <c:v>1.1391221305671126</c:v>
                </c:pt>
                <c:pt idx="4">
                  <c:v>1.5428646021578769</c:v>
                </c:pt>
                <c:pt idx="5">
                  <c:v>1.9295756076484212</c:v>
                </c:pt>
                <c:pt idx="6">
                  <c:v>2.5576208306353352</c:v>
                </c:pt>
                <c:pt idx="7">
                  <c:v>3.1000871238821852</c:v>
                </c:pt>
                <c:pt idx="8">
                  <c:v>3.5616020479300299</c:v>
                </c:pt>
                <c:pt idx="9">
                  <c:v>3.9591677843327724</c:v>
                </c:pt>
              </c:numCache>
            </c:numRef>
          </c:yVal>
          <c:smooth val="1"/>
          <c:extLst>
            <c:ext xmlns:c16="http://schemas.microsoft.com/office/drawing/2014/chart" uri="{C3380CC4-5D6E-409C-BE32-E72D297353CC}">
              <c16:uniqueId val="{00000002-B4EF-48CE-AEBC-FEB6906CF484}"/>
            </c:ext>
          </c:extLst>
        </c:ser>
        <c:ser>
          <c:idx val="3"/>
          <c:order val="3"/>
          <c:tx>
            <c:strRef>
              <c:f>Results!$A$126</c:f>
              <c:strCache>
                <c:ptCount val="1"/>
                <c:pt idx="0">
                  <c:v>75th precentile</c:v>
                </c:pt>
              </c:strCache>
            </c:strRef>
          </c:tx>
          <c:spPr>
            <a:ln w="22225" cap="rnd">
              <a:solidFill>
                <a:schemeClr val="accent4">
                  <a:lumMod val="75000"/>
                </a:schemeClr>
              </a:solidFill>
            </a:ln>
            <a:effectLst>
              <a:glow rad="139700">
                <a:schemeClr val="accent4">
                  <a:satMod val="175000"/>
                  <a:alpha val="14000"/>
                </a:schemeClr>
              </a:glow>
            </a:effectLst>
          </c:spPr>
          <c:marker>
            <c:symbol val="none"/>
          </c:marker>
          <c:xVal>
            <c:numRef>
              <c:f>Results!$C$122:$L$122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Results!$C$126:$L$126</c:f>
              <c:numCache>
                <c:formatCode>0.00E+00</c:formatCode>
                <c:ptCount val="10"/>
                <c:pt idx="0">
                  <c:v>0.84629369299296409</c:v>
                </c:pt>
                <c:pt idx="1">
                  <c:v>0.9840774218433942</c:v>
                </c:pt>
                <c:pt idx="2">
                  <c:v>1.1561024845713883</c:v>
                </c:pt>
                <c:pt idx="3">
                  <c:v>1.3368000719870738</c:v>
                </c:pt>
                <c:pt idx="4">
                  <c:v>1.8660446754725457</c:v>
                </c:pt>
                <c:pt idx="5">
                  <c:v>2.3757928130763739</c:v>
                </c:pt>
                <c:pt idx="6">
                  <c:v>3.2377981503747661</c:v>
                </c:pt>
                <c:pt idx="7">
                  <c:v>3.989773245651687</c:v>
                </c:pt>
                <c:pt idx="8">
                  <c:v>4.6610706525498813</c:v>
                </c:pt>
                <c:pt idx="9">
                  <c:v>5.250891020112272</c:v>
                </c:pt>
              </c:numCache>
            </c:numRef>
          </c:yVal>
          <c:smooth val="1"/>
          <c:extLst>
            <c:ext xmlns:c16="http://schemas.microsoft.com/office/drawing/2014/chart" uri="{C3380CC4-5D6E-409C-BE32-E72D297353CC}">
              <c16:uniqueId val="{00000003-B4EF-48CE-AEBC-FEB6906CF484}"/>
            </c:ext>
          </c:extLst>
        </c:ser>
        <c:ser>
          <c:idx val="4"/>
          <c:order val="4"/>
          <c:tx>
            <c:strRef>
              <c:f>Results!$A$127</c:f>
              <c:strCache>
                <c:ptCount val="1"/>
                <c:pt idx="0">
                  <c:v>95th percentile</c:v>
                </c:pt>
              </c:strCache>
            </c:strRef>
          </c:tx>
          <c:spPr>
            <a:ln w="22225" cap="rnd">
              <a:solidFill>
                <a:schemeClr val="accent4">
                  <a:lumMod val="50000"/>
                </a:schemeClr>
              </a:solidFill>
            </a:ln>
            <a:effectLst>
              <a:glow rad="139700">
                <a:schemeClr val="accent5">
                  <a:satMod val="175000"/>
                  <a:alpha val="14000"/>
                </a:schemeClr>
              </a:glow>
            </a:effectLst>
          </c:spPr>
          <c:marker>
            <c:symbol val="none"/>
          </c:marker>
          <c:xVal>
            <c:numRef>
              <c:f>Results!$C$122:$L$122</c:f>
              <c:numCache>
                <c:formatCode>0</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Results!$C$127:$L$127</c:f>
              <c:numCache>
                <c:formatCode>0.00E+00</c:formatCode>
                <c:ptCount val="10"/>
                <c:pt idx="0">
                  <c:v>1.0018514758223878</c:v>
                </c:pt>
                <c:pt idx="1">
                  <c:v>1.1657760415475842</c:v>
                </c:pt>
                <c:pt idx="2">
                  <c:v>1.3763360461254697</c:v>
                </c:pt>
                <c:pt idx="3">
                  <c:v>1.6501718396644034</c:v>
                </c:pt>
                <c:pt idx="4">
                  <c:v>2.4094850514431494</c:v>
                </c:pt>
                <c:pt idx="5">
                  <c:v>3.1670516930167194</c:v>
                </c:pt>
                <c:pt idx="6">
                  <c:v>4.4579010841311169</c:v>
                </c:pt>
                <c:pt idx="7">
                  <c:v>5.5998268512927094</c:v>
                </c:pt>
                <c:pt idx="8">
                  <c:v>6.6064317195301996</c:v>
                </c:pt>
                <c:pt idx="9">
                  <c:v>7.3715690628031325</c:v>
                </c:pt>
              </c:numCache>
            </c:numRef>
          </c:yVal>
          <c:smooth val="1"/>
          <c:extLst>
            <c:ext xmlns:c16="http://schemas.microsoft.com/office/drawing/2014/chart" uri="{C3380CC4-5D6E-409C-BE32-E72D297353CC}">
              <c16:uniqueId val="{00000004-B4EF-48CE-AEBC-FEB6906CF484}"/>
            </c:ext>
          </c:extLst>
        </c:ser>
        <c:dLbls>
          <c:showLegendKey val="0"/>
          <c:showVal val="0"/>
          <c:showCatName val="0"/>
          <c:showSerName val="0"/>
          <c:showPercent val="0"/>
          <c:showBubbleSize val="0"/>
        </c:dLbls>
        <c:axId val="1013723888"/>
        <c:axId val="1013724216"/>
      </c:scatterChart>
      <c:valAx>
        <c:axId val="1013723888"/>
        <c:scaling>
          <c:orientation val="minMax"/>
          <c:max val="2300"/>
        </c:scaling>
        <c:delete val="0"/>
        <c:axPos val="b"/>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3724216"/>
        <c:crosses val="autoZero"/>
        <c:crossBetween val="midCat"/>
      </c:valAx>
      <c:valAx>
        <c:axId val="1013724216"/>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Results!$M$123</c:f>
              <c:strCache>
                <c:ptCount val="1"/>
                <c:pt idx="0">
                  <c:v>Gton C</c:v>
                </c:pt>
              </c:strCache>
            </c:strRef>
          </c:tx>
          <c:layout>
            <c:manualLayout>
              <c:xMode val="edge"/>
              <c:yMode val="edge"/>
              <c:x val="2.5494074074074075E-2"/>
              <c:y val="0.4048320987654320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13723888"/>
        <c:crosses val="autoZero"/>
        <c:crossBetween val="midCat"/>
      </c:valAx>
      <c:spPr>
        <a:noFill/>
        <a:ln>
          <a:noFill/>
        </a:ln>
        <a:effectLst/>
      </c:spPr>
    </c:plotArea>
    <c:legend>
      <c:legendPos val="t"/>
      <c:layout>
        <c:manualLayout>
          <c:xMode val="edge"/>
          <c:yMode val="edge"/>
          <c:x val="4.7648148148148155E-2"/>
          <c:y val="0.901895987654321"/>
          <c:w val="0.9"/>
          <c:h val="6.614629629629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14"/>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A'!$B$14:$L$14</c:f>
              <c:numCache>
                <c:formatCode>0.00E+00</c:formatCode>
                <c:ptCount val="11"/>
                <c:pt idx="0">
                  <c:v>41223.85968577856</c:v>
                </c:pt>
                <c:pt idx="1">
                  <c:v>39826.140256659754</c:v>
                </c:pt>
                <c:pt idx="2">
                  <c:v>29641.013409854695</c:v>
                </c:pt>
                <c:pt idx="3">
                  <c:v>18248.305106048247</c:v>
                </c:pt>
                <c:pt idx="4">
                  <c:v>12019.939586292334</c:v>
                </c:pt>
                <c:pt idx="5">
                  <c:v>500.98132815934298</c:v>
                </c:pt>
                <c:pt idx="6">
                  <c:v>-2050.9269556366935</c:v>
                </c:pt>
                <c:pt idx="7">
                  <c:v>-2050.9269556366935</c:v>
                </c:pt>
                <c:pt idx="8">
                  <c:v>-2050.9269556366935</c:v>
                </c:pt>
                <c:pt idx="9">
                  <c:v>-2050.9269556366935</c:v>
                </c:pt>
                <c:pt idx="10">
                  <c:v>-2050.9269556366935</c:v>
                </c:pt>
              </c:numCache>
            </c:numRef>
          </c:yVal>
          <c:smooth val="0"/>
          <c:extLst>
            <c:ext xmlns:c16="http://schemas.microsoft.com/office/drawing/2014/chart" uri="{C3380CC4-5D6E-409C-BE32-E72D297353CC}">
              <c16:uniqueId val="{00000000-037B-451A-8263-11D14ADD2E40}"/>
            </c:ext>
          </c:extLst>
        </c:ser>
        <c:dLbls>
          <c:showLegendKey val="0"/>
          <c:showVal val="0"/>
          <c:showCatName val="0"/>
          <c:showSerName val="0"/>
          <c:showPercent val="0"/>
          <c:showBubbleSize val="0"/>
        </c:dLbls>
        <c:axId val="92846720"/>
        <c:axId val="92860800"/>
      </c:scatterChart>
      <c:valAx>
        <c:axId val="9284672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92860800"/>
        <c:crosses val="autoZero"/>
        <c:crossBetween val="midCat"/>
        <c:minorUnit val="10"/>
      </c:valAx>
      <c:valAx>
        <c:axId val="92860800"/>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92846720"/>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88" r="0.75000000000001088"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467"/>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492"/>
          <c:y val="0.22670841831512689"/>
          <c:w val="0.79147041535596752"/>
          <c:h val="0.52484551637339505"/>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A'!$B$44:$L$44</c:f>
              <c:numCache>
                <c:formatCode>0.00E+00</c:formatCode>
                <c:ptCount val="11"/>
                <c:pt idx="0">
                  <c:v>371.13927589582102</c:v>
                </c:pt>
                <c:pt idx="1">
                  <c:v>258.7080019027718</c:v>
                </c:pt>
                <c:pt idx="2">
                  <c:v>232.97260578540738</c:v>
                </c:pt>
                <c:pt idx="3">
                  <c:v>218.54623253562471</c:v>
                </c:pt>
                <c:pt idx="4">
                  <c:v>180.5315699033402</c:v>
                </c:pt>
                <c:pt idx="5">
                  <c:v>141.947317389067</c:v>
                </c:pt>
                <c:pt idx="6">
                  <c:v>119.99719132163072</c:v>
                </c:pt>
                <c:pt idx="7">
                  <c:v>119.99719132163072</c:v>
                </c:pt>
                <c:pt idx="8">
                  <c:v>119.99719132163072</c:v>
                </c:pt>
                <c:pt idx="9">
                  <c:v>119.99719132163072</c:v>
                </c:pt>
                <c:pt idx="10">
                  <c:v>119.99719132163072</c:v>
                </c:pt>
              </c:numCache>
            </c:numRef>
          </c:yVal>
          <c:smooth val="0"/>
          <c:extLst>
            <c:ext xmlns:c16="http://schemas.microsoft.com/office/drawing/2014/chart" uri="{C3380CC4-5D6E-409C-BE32-E72D297353CC}">
              <c16:uniqueId val="{00000000-8BED-4FC6-9F6D-8ED8E1B7E9F4}"/>
            </c:ext>
          </c:extLst>
        </c:ser>
        <c:dLbls>
          <c:showLegendKey val="0"/>
          <c:showVal val="0"/>
          <c:showCatName val="0"/>
          <c:showSerName val="0"/>
          <c:showPercent val="0"/>
          <c:showBubbleSize val="0"/>
        </c:dLbls>
        <c:axId val="92881664"/>
        <c:axId val="93656960"/>
      </c:scatterChart>
      <c:valAx>
        <c:axId val="92881664"/>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14"/>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93656960"/>
        <c:crosses val="autoZero"/>
        <c:crossBetween val="midCat"/>
        <c:minorUnit val="10"/>
      </c:valAx>
      <c:valAx>
        <c:axId val="93656960"/>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92881664"/>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88" r="0.75000000000001088"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59"/>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A'!$B$106:$L$106</c:f>
              <c:numCache>
                <c:formatCode>0.00E+00</c:formatCode>
                <c:ptCount val="11"/>
                <c:pt idx="0">
                  <c:v>631.21629832267081</c:v>
                </c:pt>
                <c:pt idx="1">
                  <c:v>568.09466849040359</c:v>
                </c:pt>
                <c:pt idx="2">
                  <c:v>400.47620595317676</c:v>
                </c:pt>
                <c:pt idx="3">
                  <c:v>270.62071187851728</c:v>
                </c:pt>
                <c:pt idx="4">
                  <c:v>117.39880362756787</c:v>
                </c:pt>
                <c:pt idx="5">
                  <c:v>110.50363494106247</c:v>
                </c:pt>
                <c:pt idx="6">
                  <c:v>104.01343930152429</c:v>
                </c:pt>
                <c:pt idx="7">
                  <c:v>104.01343930152429</c:v>
                </c:pt>
                <c:pt idx="8">
                  <c:v>104.01343930152429</c:v>
                </c:pt>
                <c:pt idx="9">
                  <c:v>104.01343930152429</c:v>
                </c:pt>
                <c:pt idx="10">
                  <c:v>104.01343930152429</c:v>
                </c:pt>
              </c:numCache>
            </c:numRef>
          </c:yVal>
          <c:smooth val="0"/>
          <c:extLst>
            <c:ext xmlns:c16="http://schemas.microsoft.com/office/drawing/2014/chart" uri="{C3380CC4-5D6E-409C-BE32-E72D297353CC}">
              <c16:uniqueId val="{00000000-575A-4F21-892F-A4B10BBF8162}"/>
            </c:ext>
          </c:extLst>
        </c:ser>
        <c:dLbls>
          <c:showLegendKey val="0"/>
          <c:showVal val="0"/>
          <c:showCatName val="0"/>
          <c:showSerName val="0"/>
          <c:showPercent val="0"/>
          <c:showBubbleSize val="0"/>
        </c:dLbls>
        <c:axId val="129719296"/>
        <c:axId val="129735680"/>
      </c:scatterChart>
      <c:valAx>
        <c:axId val="129719296"/>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13"/>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29735680"/>
        <c:crosses val="autoZero"/>
        <c:crossBetween val="midCat"/>
        <c:minorUnit val="10"/>
      </c:valAx>
      <c:valAx>
        <c:axId val="129735680"/>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3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29719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88" r="0.75000000000001088" t="1" header="0.5" footer="0.5"/>
    <c:pageSetup paperSize="9" orientation="landscape" horizontalDpi="360" verticalDpi="36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51"/>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A'!$B$75:$L$75</c:f>
              <c:numCache>
                <c:formatCode>0.00E+00</c:formatCode>
                <c:ptCount val="11"/>
                <c:pt idx="0">
                  <c:v>11.222813480654541</c:v>
                </c:pt>
                <c:pt idx="1">
                  <c:v>11.774684666742722</c:v>
                </c:pt>
                <c:pt idx="2">
                  <c:v>11.402518939038805</c:v>
                </c:pt>
                <c:pt idx="3">
                  <c:v>10.935717872286888</c:v>
                </c:pt>
                <c:pt idx="4">
                  <c:v>9.2875690960042796</c:v>
                </c:pt>
                <c:pt idx="5">
                  <c:v>7.9465635269472834</c:v>
                </c:pt>
                <c:pt idx="6">
                  <c:v>6.9610162732484469</c:v>
                </c:pt>
                <c:pt idx="7">
                  <c:v>6.9610162732484469</c:v>
                </c:pt>
                <c:pt idx="8">
                  <c:v>6.9610162732484469</c:v>
                </c:pt>
                <c:pt idx="9">
                  <c:v>6.9610162732484469</c:v>
                </c:pt>
                <c:pt idx="10">
                  <c:v>6.9610162732484469</c:v>
                </c:pt>
              </c:numCache>
            </c:numRef>
          </c:yVal>
          <c:smooth val="0"/>
          <c:extLst>
            <c:ext xmlns:c16="http://schemas.microsoft.com/office/drawing/2014/chart" uri="{C3380CC4-5D6E-409C-BE32-E72D297353CC}">
              <c16:uniqueId val="{00000000-0C6D-4814-86CC-4FD9F9893385}"/>
            </c:ext>
          </c:extLst>
        </c:ser>
        <c:dLbls>
          <c:showLegendKey val="0"/>
          <c:showVal val="0"/>
          <c:showCatName val="0"/>
          <c:showSerName val="0"/>
          <c:showPercent val="0"/>
          <c:showBubbleSize val="0"/>
        </c:dLbls>
        <c:axId val="132324352"/>
        <c:axId val="132328448"/>
      </c:scatterChart>
      <c:valAx>
        <c:axId val="13232435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2328448"/>
        <c:crosses val="autoZero"/>
        <c:crossBetween val="midCat"/>
        <c:minorUnit val="10"/>
      </c:valAx>
      <c:valAx>
        <c:axId val="13232844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232435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5" footer="0.5"/>
    <c:pageSetup paperSize="9" orientation="landscape" horizontalDpi="360" verticalDpi="36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36"/>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B'!$B$14:$L$14</c:f>
              <c:numCache>
                <c:formatCode>0.00E+00</c:formatCode>
                <c:ptCount val="11"/>
                <c:pt idx="0">
                  <c:v>41223.85968577856</c:v>
                </c:pt>
                <c:pt idx="1">
                  <c:v>39826.140256659754</c:v>
                </c:pt>
                <c:pt idx="2">
                  <c:v>29641.013409854695</c:v>
                </c:pt>
                <c:pt idx="3">
                  <c:v>18248.305106048247</c:v>
                </c:pt>
                <c:pt idx="4">
                  <c:v>12019.939586292334</c:v>
                </c:pt>
                <c:pt idx="5">
                  <c:v>500.98132815934298</c:v>
                </c:pt>
                <c:pt idx="6">
                  <c:v>-2050.9269556366935</c:v>
                </c:pt>
                <c:pt idx="7">
                  <c:v>-2050.9269556366935</c:v>
                </c:pt>
                <c:pt idx="8">
                  <c:v>-2050.9269556366935</c:v>
                </c:pt>
                <c:pt idx="9">
                  <c:v>-2050.9269556366935</c:v>
                </c:pt>
                <c:pt idx="10">
                  <c:v>-2050.9269556366935</c:v>
                </c:pt>
              </c:numCache>
            </c:numRef>
          </c:yVal>
          <c:smooth val="0"/>
          <c:extLst>
            <c:ext xmlns:c16="http://schemas.microsoft.com/office/drawing/2014/chart" uri="{C3380CC4-5D6E-409C-BE32-E72D297353CC}">
              <c16:uniqueId val="{00000000-1A98-4328-9B4D-2F08A0B5E492}"/>
            </c:ext>
          </c:extLst>
        </c:ser>
        <c:dLbls>
          <c:showLegendKey val="0"/>
          <c:showVal val="0"/>
          <c:showCatName val="0"/>
          <c:showSerName val="0"/>
          <c:showPercent val="0"/>
          <c:showBubbleSize val="0"/>
        </c:dLbls>
        <c:axId val="132350720"/>
        <c:axId val="132358912"/>
      </c:scatterChart>
      <c:valAx>
        <c:axId val="13235072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2358912"/>
        <c:crosses val="autoZero"/>
        <c:crossBetween val="midCat"/>
        <c:minorUnit val="10"/>
      </c:valAx>
      <c:valAx>
        <c:axId val="132358912"/>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2350720"/>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11" r="0.7500000000000111"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489"/>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498"/>
          <c:y val="0.22670841831512695"/>
          <c:w val="0.79147041535596752"/>
          <c:h val="0.5248455163733956"/>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B'!$B$44:$L$44</c:f>
              <c:numCache>
                <c:formatCode>0.00E+00</c:formatCode>
                <c:ptCount val="11"/>
                <c:pt idx="0">
                  <c:v>371.13927589582102</c:v>
                </c:pt>
                <c:pt idx="1">
                  <c:v>258.7080019027718</c:v>
                </c:pt>
                <c:pt idx="2">
                  <c:v>232.97260578540738</c:v>
                </c:pt>
                <c:pt idx="3">
                  <c:v>218.54623253562471</c:v>
                </c:pt>
                <c:pt idx="4">
                  <c:v>180.5315699033402</c:v>
                </c:pt>
                <c:pt idx="5">
                  <c:v>141.947317389067</c:v>
                </c:pt>
                <c:pt idx="6">
                  <c:v>119.99719132163072</c:v>
                </c:pt>
                <c:pt idx="7">
                  <c:v>119.99719132163072</c:v>
                </c:pt>
                <c:pt idx="8">
                  <c:v>119.99719132163072</c:v>
                </c:pt>
                <c:pt idx="9">
                  <c:v>119.99719132163072</c:v>
                </c:pt>
                <c:pt idx="10">
                  <c:v>119.99719132163072</c:v>
                </c:pt>
              </c:numCache>
            </c:numRef>
          </c:yVal>
          <c:smooth val="0"/>
          <c:extLst>
            <c:ext xmlns:c16="http://schemas.microsoft.com/office/drawing/2014/chart" uri="{C3380CC4-5D6E-409C-BE32-E72D297353CC}">
              <c16:uniqueId val="{00000000-E599-474B-A037-088E7C254CC5}"/>
            </c:ext>
          </c:extLst>
        </c:ser>
        <c:dLbls>
          <c:showLegendKey val="0"/>
          <c:showVal val="0"/>
          <c:showCatName val="0"/>
          <c:showSerName val="0"/>
          <c:showPercent val="0"/>
          <c:showBubbleSize val="0"/>
        </c:dLbls>
        <c:axId val="133386240"/>
        <c:axId val="133390336"/>
      </c:scatterChart>
      <c:valAx>
        <c:axId val="13338624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37"/>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390336"/>
        <c:crosses val="autoZero"/>
        <c:crossBetween val="midCat"/>
        <c:minorUnit val="10"/>
      </c:valAx>
      <c:valAx>
        <c:axId val="133390336"/>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386240"/>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11" r="0.7500000000000111"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67"/>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B'!$B$4:$L$4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B'!$B$106:$L$106</c:f>
              <c:numCache>
                <c:formatCode>0.00E+00</c:formatCode>
                <c:ptCount val="11"/>
                <c:pt idx="0">
                  <c:v>631.21629832267081</c:v>
                </c:pt>
                <c:pt idx="1">
                  <c:v>568.09466849040359</c:v>
                </c:pt>
                <c:pt idx="2">
                  <c:v>400.47620595317676</c:v>
                </c:pt>
                <c:pt idx="3">
                  <c:v>270.62071187851728</c:v>
                </c:pt>
                <c:pt idx="4">
                  <c:v>117.39880362756787</c:v>
                </c:pt>
                <c:pt idx="5">
                  <c:v>110.50363494106247</c:v>
                </c:pt>
                <c:pt idx="6">
                  <c:v>104.01343930152429</c:v>
                </c:pt>
                <c:pt idx="7">
                  <c:v>104.01343930152429</c:v>
                </c:pt>
                <c:pt idx="8">
                  <c:v>104.01343930152429</c:v>
                </c:pt>
                <c:pt idx="9">
                  <c:v>104.01343930152429</c:v>
                </c:pt>
                <c:pt idx="10">
                  <c:v>104.01343930152429</c:v>
                </c:pt>
              </c:numCache>
            </c:numRef>
          </c:yVal>
          <c:smooth val="0"/>
          <c:extLst>
            <c:ext xmlns:c16="http://schemas.microsoft.com/office/drawing/2014/chart" uri="{C3380CC4-5D6E-409C-BE32-E72D297353CC}">
              <c16:uniqueId val="{00000000-17A7-4076-9D62-230CCD1BACFF}"/>
            </c:ext>
          </c:extLst>
        </c:ser>
        <c:dLbls>
          <c:showLegendKey val="0"/>
          <c:showVal val="0"/>
          <c:showCatName val="0"/>
          <c:showSerName val="0"/>
          <c:showPercent val="0"/>
          <c:showBubbleSize val="0"/>
        </c:dLbls>
        <c:axId val="133406720"/>
        <c:axId val="133410816"/>
      </c:scatterChart>
      <c:valAx>
        <c:axId val="133406720"/>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3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410816"/>
        <c:crosses val="autoZero"/>
        <c:crossBetween val="midCat"/>
        <c:minorUnit val="10"/>
      </c:valAx>
      <c:valAx>
        <c:axId val="133410816"/>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391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406720"/>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11" r="0.7500000000000111" t="1" header="0.5" footer="0.5"/>
    <c:pageSetup paperSize="9" orientation="landscape" horizontalDpi="360" verticalDpi="360"/>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56"/>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B'!$B$4:$L$4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B'!$B$75:$L$75</c:f>
              <c:numCache>
                <c:formatCode>0.00E+00</c:formatCode>
                <c:ptCount val="11"/>
                <c:pt idx="0">
                  <c:v>11.222813480654541</c:v>
                </c:pt>
                <c:pt idx="1">
                  <c:v>11.774684666742722</c:v>
                </c:pt>
                <c:pt idx="2">
                  <c:v>11.402518939038805</c:v>
                </c:pt>
                <c:pt idx="3">
                  <c:v>10.935717872286888</c:v>
                </c:pt>
                <c:pt idx="4">
                  <c:v>9.2875690960042796</c:v>
                </c:pt>
                <c:pt idx="5">
                  <c:v>7.9465635269472834</c:v>
                </c:pt>
                <c:pt idx="6">
                  <c:v>6.9610162732484469</c:v>
                </c:pt>
                <c:pt idx="7">
                  <c:v>6.9610162732484469</c:v>
                </c:pt>
                <c:pt idx="8">
                  <c:v>6.9610162732484469</c:v>
                </c:pt>
                <c:pt idx="9">
                  <c:v>6.9610162732484469</c:v>
                </c:pt>
                <c:pt idx="10">
                  <c:v>6.9610162732484469</c:v>
                </c:pt>
              </c:numCache>
            </c:numRef>
          </c:yVal>
          <c:smooth val="0"/>
          <c:extLst>
            <c:ext xmlns:c16="http://schemas.microsoft.com/office/drawing/2014/chart" uri="{C3380CC4-5D6E-409C-BE32-E72D297353CC}">
              <c16:uniqueId val="{00000000-60D1-46CD-9BD2-FAF28993805C}"/>
            </c:ext>
          </c:extLst>
        </c:ser>
        <c:dLbls>
          <c:showLegendKey val="0"/>
          <c:showVal val="0"/>
          <c:showCatName val="0"/>
          <c:showSerName val="0"/>
          <c:showPercent val="0"/>
          <c:showBubbleSize val="0"/>
        </c:dLbls>
        <c:axId val="133435392"/>
        <c:axId val="133440256"/>
      </c:scatterChart>
      <c:valAx>
        <c:axId val="13343539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440256"/>
        <c:crosses val="autoZero"/>
        <c:crossBetween val="midCat"/>
        <c:minorUnit val="10"/>
      </c:valAx>
      <c:valAx>
        <c:axId val="133440256"/>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43539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77" r="0.75000000000001077" t="1" header="0.5" footer="0.5"/>
    <c:pageSetup paperSize="9" orientation="landscape" horizontalDpi="360" verticalDpi="360"/>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247"/>
          <c:y val="3.4268017024487195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A-B'!$B$14:$L$14</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CAC7-4EA6-AA03-13440887929C}"/>
            </c:ext>
          </c:extLst>
        </c:ser>
        <c:dLbls>
          <c:showLegendKey val="0"/>
          <c:showVal val="0"/>
          <c:showCatName val="0"/>
          <c:showSerName val="0"/>
          <c:showPercent val="0"/>
          <c:showBubbleSize val="0"/>
        </c:dLbls>
        <c:axId val="133462272"/>
        <c:axId val="133466368"/>
      </c:scatterChart>
      <c:valAx>
        <c:axId val="13346227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466368"/>
        <c:crosses val="autoZero"/>
        <c:crossBetween val="midCat"/>
        <c:minorUnit val="10"/>
      </c:valAx>
      <c:valAx>
        <c:axId val="13346636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462272"/>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132" r="0.75000000000001132"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511"/>
          <c:y val="3.4161542485840656E-2"/>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503"/>
          <c:y val="0.226708418315127"/>
          <c:w val="0.79147041535596752"/>
          <c:h val="0.52484551637339605"/>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A-B'!$B$44:$L$44</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685F-48DC-8B17-27A7D33FA424}"/>
            </c:ext>
          </c:extLst>
        </c:ser>
        <c:dLbls>
          <c:showLegendKey val="0"/>
          <c:showVal val="0"/>
          <c:showCatName val="0"/>
          <c:showSerName val="0"/>
          <c:showPercent val="0"/>
          <c:showBubbleSize val="0"/>
        </c:dLbls>
        <c:axId val="133535232"/>
        <c:axId val="133537152"/>
      </c:scatterChart>
      <c:valAx>
        <c:axId val="133535232"/>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0995401046915081"/>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537152"/>
        <c:crosses val="autoZero"/>
        <c:crossBetween val="midCat"/>
        <c:minorUnit val="10"/>
      </c:valAx>
      <c:valAx>
        <c:axId val="133537152"/>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535232"/>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132" r="0.75000000000001132"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776"/>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A-B'!$B$106:$L$106</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0B66-456B-9EEC-755BBD57A2C6}"/>
            </c:ext>
          </c:extLst>
        </c:ser>
        <c:dLbls>
          <c:showLegendKey val="0"/>
          <c:showVal val="0"/>
          <c:showCatName val="0"/>
          <c:showSerName val="0"/>
          <c:showPercent val="0"/>
          <c:showBubbleSize val="0"/>
        </c:dLbls>
        <c:axId val="133552384"/>
        <c:axId val="133630208"/>
      </c:scatterChart>
      <c:valAx>
        <c:axId val="133552384"/>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62642375169"/>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630208"/>
        <c:crosses val="autoZero"/>
        <c:crossBetween val="midCat"/>
        <c:minorUnit val="10"/>
      </c:valAx>
      <c:valAx>
        <c:axId val="133630208"/>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414050498433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55238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132" r="0.75000000000001132" t="1" header="0.5" footer="0.5"/>
    <c:pageSetup paperSize="9" orientation="landscape" horizontalDpi="360" verticalDpi="36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762"/>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A-B'!$B$4:$L$4</c:f>
              <c:numCache>
                <c:formatCode>General</c:formatCode>
                <c:ptCount val="11"/>
                <c:pt idx="0">
                  <c:v>2015</c:v>
                </c:pt>
                <c:pt idx="1">
                  <c:v>2020</c:v>
                </c:pt>
                <c:pt idx="2">
                  <c:v>2030</c:v>
                </c:pt>
                <c:pt idx="3">
                  <c:v>2040</c:v>
                </c:pt>
                <c:pt idx="4">
                  <c:v>2050</c:v>
                </c:pt>
                <c:pt idx="5">
                  <c:v>2075</c:v>
                </c:pt>
                <c:pt idx="6">
                  <c:v>2100</c:v>
                </c:pt>
                <c:pt idx="7">
                  <c:v>2150</c:v>
                </c:pt>
                <c:pt idx="8">
                  <c:v>2200</c:v>
                </c:pt>
                <c:pt idx="9">
                  <c:v>2250</c:v>
                </c:pt>
                <c:pt idx="10">
                  <c:v>2300</c:v>
                </c:pt>
              </c:numCache>
            </c:numRef>
          </c:xVal>
          <c:yVal>
            <c:numRef>
              <c:f>'Emissions A-B'!$B$75:$L$75</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5B9-4335-B152-5F69396146F6}"/>
            </c:ext>
          </c:extLst>
        </c:ser>
        <c:dLbls>
          <c:showLegendKey val="0"/>
          <c:showVal val="0"/>
          <c:showCatName val="0"/>
          <c:showSerName val="0"/>
          <c:showPercent val="0"/>
          <c:showBubbleSize val="0"/>
        </c:dLbls>
        <c:axId val="133654016"/>
        <c:axId val="133658112"/>
      </c:scatterChart>
      <c:valAx>
        <c:axId val="133654016"/>
        <c:scaling>
          <c:orientation val="minMax"/>
          <c:max val="2200"/>
          <c:min val="2000"/>
        </c:scaling>
        <c:delete val="0"/>
        <c:axPos val="b"/>
        <c:title>
          <c:tx>
            <c:rich>
              <a:bodyPr/>
              <a:lstStyle/>
              <a:p>
                <a:pPr>
                  <a:defRPr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658112"/>
        <c:crosses val="autoZero"/>
        <c:crossBetween val="midCat"/>
        <c:minorUnit val="10"/>
      </c:valAx>
      <c:valAx>
        <c:axId val="133658112"/>
        <c:scaling>
          <c:orientation val="minMax"/>
        </c:scaling>
        <c:delete val="0"/>
        <c:axPos val="l"/>
        <c:majorGridlines>
          <c:spPr>
            <a:ln w="3175">
              <a:solidFill>
                <a:srgbClr val="FFFFFF"/>
              </a:solidFill>
              <a:prstDash val="solid"/>
            </a:ln>
          </c:spPr>
        </c:majorGridlines>
        <c:title>
          <c:tx>
            <c:rich>
              <a:bodyPr rot="0" vert="horz"/>
              <a:lstStyle/>
              <a:p>
                <a:pPr algn="ctr">
                  <a:defRPr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365401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99" r="0.75000000000001099" t="1" header="0.5" footer="0.5"/>
    <c:pageSetup paperSize="9" orientation="landscape" horizontalDpi="360" verticalDpi="36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GB" sz="1200" b="1" i="0" u="none" strike="noStrike" kern="1200" baseline="0">
                <a:solidFill>
                  <a:schemeClr val="tx2">
                    <a:lumMod val="75000"/>
                  </a:schemeClr>
                </a:solidFill>
                <a:effectLst/>
                <a:latin typeface="+mn-lt"/>
                <a:ea typeface="+mn-ea"/>
                <a:cs typeface="+mn-cs"/>
              </a:rPr>
              <a:t>Global Ocean CO2 flux vs Perm CO2 flux (stay in air) </a:t>
            </a:r>
          </a:p>
        </c:rich>
      </c:tx>
      <c:overlay val="0"/>
    </c:title>
    <c:autoTitleDeleted val="0"/>
    <c:plotArea>
      <c:layout/>
      <c:scatterChart>
        <c:scatterStyle val="lineMarker"/>
        <c:varyColors val="0"/>
        <c:ser>
          <c:idx val="0"/>
          <c:order val="0"/>
          <c:tx>
            <c:v>Ocean annual CO2 flux</c:v>
          </c:tx>
          <c:spPr>
            <a:ln>
              <a:solidFill>
                <a:srgbClr val="0070C0"/>
              </a:solidFill>
            </a:ln>
          </c:spPr>
          <c:marker>
            <c:symbol val="none"/>
          </c:marker>
          <c:xVal>
            <c:numRef>
              <c:f>'Climate A'!$D$34:$M$34</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'Climate A'!$D$213:$M$213</c:f>
              <c:numCache>
                <c:formatCode>0.00E+00</c:formatCode>
                <c:ptCount val="10"/>
                <c:pt idx="0">
                  <c:v>-8318.5520895060672</c:v>
                </c:pt>
                <c:pt idx="1">
                  <c:v>-8318.5520895060672</c:v>
                </c:pt>
                <c:pt idx="2">
                  <c:v>-9675.1695282096916</c:v>
                </c:pt>
                <c:pt idx="3">
                  <c:v>-9274.8691948921951</c:v>
                </c:pt>
                <c:pt idx="4">
                  <c:v>-7249.7730011199919</c:v>
                </c:pt>
                <c:pt idx="5">
                  <c:v>-4888.6330057874502</c:v>
                </c:pt>
                <c:pt idx="6">
                  <c:v>-2280.884020056104</c:v>
                </c:pt>
                <c:pt idx="7">
                  <c:v>-1054.7766381301992</c:v>
                </c:pt>
                <c:pt idx="8">
                  <c:v>-577.74347625680718</c:v>
                </c:pt>
                <c:pt idx="9">
                  <c:v>-313.52319188140143</c:v>
                </c:pt>
              </c:numCache>
            </c:numRef>
          </c:yVal>
          <c:smooth val="0"/>
          <c:extLst>
            <c:ext xmlns:c16="http://schemas.microsoft.com/office/drawing/2014/chart" uri="{C3380CC4-5D6E-409C-BE32-E72D297353CC}">
              <c16:uniqueId val="{00000000-EF92-49C3-A730-AE919D02A6F5}"/>
            </c:ext>
          </c:extLst>
        </c:ser>
        <c:ser>
          <c:idx val="1"/>
          <c:order val="1"/>
          <c:tx>
            <c:v>Perm annual CO2 flux air</c:v>
          </c:tx>
          <c:marker>
            <c:symbol val="none"/>
          </c:marker>
          <c:xVal>
            <c:numRef>
              <c:f>'Climate A'!$D$34:$M$34</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'Climate A'!$D$207:$M$207</c:f>
              <c:numCache>
                <c:formatCode>0.00E+00</c:formatCode>
                <c:ptCount val="10"/>
              </c:numCache>
            </c:numRef>
          </c:yVal>
          <c:smooth val="0"/>
          <c:extLst>
            <c:ext xmlns:c16="http://schemas.microsoft.com/office/drawing/2014/chart" uri="{C3380CC4-5D6E-409C-BE32-E72D297353CC}">
              <c16:uniqueId val="{00000001-FCB8-48A6-B31B-3993C36A1A1F}"/>
            </c:ext>
          </c:extLst>
        </c:ser>
        <c:dLbls>
          <c:showLegendKey val="0"/>
          <c:showVal val="0"/>
          <c:showCatName val="0"/>
          <c:showSerName val="0"/>
          <c:showPercent val="0"/>
          <c:showBubbleSize val="0"/>
        </c:dLbls>
        <c:axId val="135045888"/>
        <c:axId val="137503104"/>
      </c:scatterChart>
      <c:valAx>
        <c:axId val="135045888"/>
        <c:scaling>
          <c:orientation val="minMax"/>
          <c:max val="2300"/>
          <c:min val="2000"/>
        </c:scaling>
        <c:delete val="0"/>
        <c:axPos val="b"/>
        <c:numFmt formatCode="General" sourceLinked="1"/>
        <c:majorTickMark val="out"/>
        <c:minorTickMark val="none"/>
        <c:tickLblPos val="nextTo"/>
        <c:txPr>
          <a:bodyPr/>
          <a:lstStyle/>
          <a:p>
            <a:pPr>
              <a:defRPr sz="900">
                <a:solidFill>
                  <a:schemeClr val="tx2">
                    <a:lumMod val="75000"/>
                  </a:schemeClr>
                </a:solidFill>
              </a:defRPr>
            </a:pPr>
            <a:endParaRPr lang="en-US"/>
          </a:p>
        </c:txPr>
        <c:crossAx val="137503104"/>
        <c:crosses val="autoZero"/>
        <c:crossBetween val="midCat"/>
      </c:valAx>
      <c:valAx>
        <c:axId val="137503104"/>
        <c:scaling>
          <c:orientation val="minMax"/>
        </c:scaling>
        <c:delete val="0"/>
        <c:axPos val="l"/>
        <c:majorGridlines>
          <c:spPr>
            <a:ln>
              <a:noFill/>
            </a:ln>
          </c:spPr>
        </c:majorGridlines>
        <c:title>
          <c:tx>
            <c:rich>
              <a:bodyPr rot="-5400000" vert="horz"/>
              <a:lstStyle/>
              <a:p>
                <a:pPr>
                  <a:defRPr/>
                </a:pPr>
                <a:r>
                  <a:rPr lang="en-US" sz="900">
                    <a:solidFill>
                      <a:schemeClr val="tx2">
                        <a:lumMod val="75000"/>
                      </a:schemeClr>
                    </a:solidFill>
                  </a:rPr>
                  <a:t>Mton</a:t>
                </a:r>
                <a:r>
                  <a:rPr lang="en-US" sz="900" baseline="0">
                    <a:solidFill>
                      <a:schemeClr val="tx2">
                        <a:lumMod val="75000"/>
                      </a:schemeClr>
                    </a:solidFill>
                  </a:rPr>
                  <a:t> CO2/yr</a:t>
                </a:r>
                <a:endParaRPr lang="en-US" sz="900">
                  <a:solidFill>
                    <a:schemeClr val="tx2">
                      <a:lumMod val="75000"/>
                    </a:schemeClr>
                  </a:solidFill>
                </a:endParaRPr>
              </a:p>
            </c:rich>
          </c:tx>
          <c:overlay val="0"/>
        </c:title>
        <c:numFmt formatCode="0.00E+00" sourceLinked="1"/>
        <c:majorTickMark val="out"/>
        <c:minorTickMark val="none"/>
        <c:tickLblPos val="nextTo"/>
        <c:txPr>
          <a:bodyPr/>
          <a:lstStyle/>
          <a:p>
            <a:pPr>
              <a:defRPr sz="900">
                <a:solidFill>
                  <a:schemeClr val="tx2">
                    <a:lumMod val="75000"/>
                  </a:schemeClr>
                </a:solidFill>
              </a:defRPr>
            </a:pPr>
            <a:endParaRPr lang="en-US"/>
          </a:p>
        </c:txPr>
        <c:crossAx val="135045888"/>
        <c:crosses val="autoZero"/>
        <c:crossBetween val="midCat"/>
      </c:valAx>
      <c:spPr>
        <a:ln>
          <a:noFill/>
        </a:ln>
      </c:spPr>
    </c:plotArea>
    <c:legend>
      <c:legendPos val="b"/>
      <c:overlay val="0"/>
      <c:txPr>
        <a:bodyPr/>
        <a:lstStyle/>
        <a:p>
          <a:pPr>
            <a:defRPr sz="900">
              <a:solidFill>
                <a:schemeClr val="tx2">
                  <a:lumMod val="75000"/>
                </a:schemeClr>
              </a:solidFill>
            </a:defRPr>
          </a:pPr>
          <a:endParaRPr lang="en-US"/>
        </a:p>
      </c:txPr>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GB" sz="1200" b="1" i="0" u="none" strike="noStrike" kern="1200" baseline="0">
                <a:solidFill>
                  <a:schemeClr val="tx2">
                    <a:lumMod val="75000"/>
                  </a:schemeClr>
                </a:solidFill>
                <a:effectLst/>
                <a:latin typeface="+mn-lt"/>
                <a:ea typeface="+mn-ea"/>
                <a:cs typeface="+mn-cs"/>
              </a:rPr>
              <a:t>Global Ocean CO2 flux vs All sources CO2 flux (stay in air) </a:t>
            </a:r>
          </a:p>
        </c:rich>
      </c:tx>
      <c:overlay val="0"/>
    </c:title>
    <c:autoTitleDeleted val="0"/>
    <c:plotArea>
      <c:layout/>
      <c:scatterChart>
        <c:scatterStyle val="lineMarker"/>
        <c:varyColors val="0"/>
        <c:ser>
          <c:idx val="0"/>
          <c:order val="0"/>
          <c:tx>
            <c:v>Ocean annual CO2 flux</c:v>
          </c:tx>
          <c:spPr>
            <a:ln>
              <a:solidFill>
                <a:srgbClr val="0070C0"/>
              </a:solidFill>
            </a:ln>
          </c:spPr>
          <c:marker>
            <c:symbol val="none"/>
          </c:marker>
          <c:xVal>
            <c:numRef>
              <c:f>'Climate A'!$D$34:$M$34</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'Climate A'!$D$213:$M$213</c:f>
              <c:numCache>
                <c:formatCode>0.00E+00</c:formatCode>
                <c:ptCount val="10"/>
                <c:pt idx="0">
                  <c:v>-8318.5520895060672</c:v>
                </c:pt>
                <c:pt idx="1">
                  <c:v>-8318.5520895060672</c:v>
                </c:pt>
                <c:pt idx="2">
                  <c:v>-9675.1695282096916</c:v>
                </c:pt>
                <c:pt idx="3">
                  <c:v>-9274.8691948921951</c:v>
                </c:pt>
                <c:pt idx="4">
                  <c:v>-7249.7730011199919</c:v>
                </c:pt>
                <c:pt idx="5">
                  <c:v>-4888.6330057874502</c:v>
                </c:pt>
                <c:pt idx="6">
                  <c:v>-2280.884020056104</c:v>
                </c:pt>
                <c:pt idx="7">
                  <c:v>-1054.7766381301992</c:v>
                </c:pt>
                <c:pt idx="8">
                  <c:v>-577.74347625680718</c:v>
                </c:pt>
                <c:pt idx="9">
                  <c:v>-313.52319188140143</c:v>
                </c:pt>
              </c:numCache>
            </c:numRef>
          </c:yVal>
          <c:smooth val="0"/>
          <c:extLst>
            <c:ext xmlns:c16="http://schemas.microsoft.com/office/drawing/2014/chart" uri="{C3380CC4-5D6E-409C-BE32-E72D297353CC}">
              <c16:uniqueId val="{00000000-7C7E-45E3-B1F0-AB218E6018B2}"/>
            </c:ext>
          </c:extLst>
        </c:ser>
        <c:ser>
          <c:idx val="1"/>
          <c:order val="1"/>
          <c:tx>
            <c:v>All sources annual CO2 flux air</c:v>
          </c:tx>
          <c:marker>
            <c:symbol val="none"/>
          </c:marker>
          <c:xVal>
            <c:numRef>
              <c:f>'Climate A'!$D$34:$M$34</c:f>
              <c:numCache>
                <c:formatCode>General</c:formatCode>
                <c:ptCount val="10"/>
                <c:pt idx="0">
                  <c:v>2020</c:v>
                </c:pt>
                <c:pt idx="1">
                  <c:v>2030</c:v>
                </c:pt>
                <c:pt idx="2">
                  <c:v>2040</c:v>
                </c:pt>
                <c:pt idx="3">
                  <c:v>2050</c:v>
                </c:pt>
                <c:pt idx="4">
                  <c:v>2075</c:v>
                </c:pt>
                <c:pt idx="5">
                  <c:v>2100</c:v>
                </c:pt>
                <c:pt idx="6">
                  <c:v>2150</c:v>
                </c:pt>
                <c:pt idx="7">
                  <c:v>2200</c:v>
                </c:pt>
                <c:pt idx="8">
                  <c:v>2250</c:v>
                </c:pt>
                <c:pt idx="9">
                  <c:v>2300</c:v>
                </c:pt>
              </c:numCache>
            </c:numRef>
          </c:xVal>
          <c:yVal>
            <c:numRef>
              <c:f>'Climate A'!$D$214:$M$214</c:f>
              <c:numCache>
                <c:formatCode>0.00E+00</c:formatCode>
                <c:ptCount val="10"/>
              </c:numCache>
            </c:numRef>
          </c:yVal>
          <c:smooth val="0"/>
          <c:extLst>
            <c:ext xmlns:c16="http://schemas.microsoft.com/office/drawing/2014/chart" uri="{C3380CC4-5D6E-409C-BE32-E72D297353CC}">
              <c16:uniqueId val="{00000001-7C7E-45E3-B1F0-AB218E6018B2}"/>
            </c:ext>
          </c:extLst>
        </c:ser>
        <c:dLbls>
          <c:showLegendKey val="0"/>
          <c:showVal val="0"/>
          <c:showCatName val="0"/>
          <c:showSerName val="0"/>
          <c:showPercent val="0"/>
          <c:showBubbleSize val="0"/>
        </c:dLbls>
        <c:axId val="135045888"/>
        <c:axId val="137503104"/>
      </c:scatterChart>
      <c:valAx>
        <c:axId val="135045888"/>
        <c:scaling>
          <c:orientation val="minMax"/>
          <c:max val="2300"/>
          <c:min val="2000"/>
        </c:scaling>
        <c:delete val="0"/>
        <c:axPos val="b"/>
        <c:numFmt formatCode="General" sourceLinked="1"/>
        <c:majorTickMark val="out"/>
        <c:minorTickMark val="none"/>
        <c:tickLblPos val="nextTo"/>
        <c:txPr>
          <a:bodyPr/>
          <a:lstStyle/>
          <a:p>
            <a:pPr>
              <a:defRPr sz="900">
                <a:solidFill>
                  <a:schemeClr val="tx2">
                    <a:lumMod val="75000"/>
                  </a:schemeClr>
                </a:solidFill>
              </a:defRPr>
            </a:pPr>
            <a:endParaRPr lang="en-US"/>
          </a:p>
        </c:txPr>
        <c:crossAx val="137503104"/>
        <c:crosses val="autoZero"/>
        <c:crossBetween val="midCat"/>
      </c:valAx>
      <c:valAx>
        <c:axId val="137503104"/>
        <c:scaling>
          <c:orientation val="minMax"/>
        </c:scaling>
        <c:delete val="0"/>
        <c:axPos val="l"/>
        <c:majorGridlines>
          <c:spPr>
            <a:ln>
              <a:noFill/>
            </a:ln>
          </c:spPr>
        </c:majorGridlines>
        <c:title>
          <c:tx>
            <c:rich>
              <a:bodyPr rot="-5400000" vert="horz"/>
              <a:lstStyle/>
              <a:p>
                <a:pPr>
                  <a:defRPr/>
                </a:pPr>
                <a:r>
                  <a:rPr lang="en-US" sz="900">
                    <a:solidFill>
                      <a:schemeClr val="tx2">
                        <a:lumMod val="75000"/>
                      </a:schemeClr>
                    </a:solidFill>
                  </a:rPr>
                  <a:t>Mton</a:t>
                </a:r>
                <a:r>
                  <a:rPr lang="en-US" sz="900" baseline="0">
                    <a:solidFill>
                      <a:schemeClr val="tx2">
                        <a:lumMod val="75000"/>
                      </a:schemeClr>
                    </a:solidFill>
                  </a:rPr>
                  <a:t> CO2/yr</a:t>
                </a:r>
                <a:endParaRPr lang="en-US" sz="900">
                  <a:solidFill>
                    <a:schemeClr val="tx2">
                      <a:lumMod val="75000"/>
                    </a:schemeClr>
                  </a:solidFill>
                </a:endParaRPr>
              </a:p>
            </c:rich>
          </c:tx>
          <c:overlay val="0"/>
        </c:title>
        <c:numFmt formatCode="0.00E+00" sourceLinked="1"/>
        <c:majorTickMark val="out"/>
        <c:minorTickMark val="none"/>
        <c:tickLblPos val="nextTo"/>
        <c:txPr>
          <a:bodyPr/>
          <a:lstStyle/>
          <a:p>
            <a:pPr>
              <a:defRPr sz="900">
                <a:solidFill>
                  <a:schemeClr val="tx2">
                    <a:lumMod val="75000"/>
                  </a:schemeClr>
                </a:solidFill>
              </a:defRPr>
            </a:pPr>
            <a:endParaRPr lang="en-US"/>
          </a:p>
        </c:txPr>
        <c:crossAx val="135045888"/>
        <c:crosses val="autoZero"/>
        <c:crossBetween val="midCat"/>
      </c:valAx>
      <c:spPr>
        <a:ln>
          <a:noFill/>
        </a:ln>
      </c:spPr>
    </c:plotArea>
    <c:legend>
      <c:legendPos val="b"/>
      <c:overlay val="0"/>
      <c:txPr>
        <a:bodyPr/>
        <a:lstStyle/>
        <a:p>
          <a:pPr>
            <a:defRPr sz="900">
              <a:solidFill>
                <a:schemeClr val="tx2">
                  <a:lumMod val="75000"/>
                </a:schemeClr>
              </a:solidFill>
            </a:defRPr>
          </a:pPr>
          <a:endParaRPr lang="en-US"/>
        </a:p>
      </c:txPr>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8</xdr:col>
      <xdr:colOff>12700</xdr:colOff>
      <xdr:row>2</xdr:row>
      <xdr:rowOff>31750</xdr:rowOff>
    </xdr:from>
    <xdr:to>
      <xdr:col>16</xdr:col>
      <xdr:colOff>370800</xdr:colOff>
      <xdr:row>22</xdr:row>
      <xdr:rowOff>58650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603250</xdr:colOff>
      <xdr:row>24</xdr:row>
      <xdr:rowOff>12700</xdr:rowOff>
    </xdr:from>
    <xdr:to>
      <xdr:col>26</xdr:col>
      <xdr:colOff>281900</xdr:colOff>
      <xdr:row>44</xdr:row>
      <xdr:rowOff>52300</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xdr:colOff>
      <xdr:row>24</xdr:row>
      <xdr:rowOff>6350</xdr:rowOff>
    </xdr:from>
    <xdr:to>
      <xdr:col>16</xdr:col>
      <xdr:colOff>364450</xdr:colOff>
      <xdr:row>44</xdr:row>
      <xdr:rowOff>45950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12700</xdr:colOff>
      <xdr:row>2</xdr:row>
      <xdr:rowOff>31750</xdr:rowOff>
    </xdr:from>
    <xdr:to>
      <xdr:col>26</xdr:col>
      <xdr:colOff>300950</xdr:colOff>
      <xdr:row>22</xdr:row>
      <xdr:rowOff>58650</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606425</xdr:colOff>
      <xdr:row>89</xdr:row>
      <xdr:rowOff>0</xdr:rowOff>
    </xdr:from>
    <xdr:to>
      <xdr:col>26</xdr:col>
      <xdr:colOff>285075</xdr:colOff>
      <xdr:row>109</xdr:row>
      <xdr:rowOff>33250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606425</xdr:colOff>
      <xdr:row>46</xdr:row>
      <xdr:rowOff>3175</xdr:rowOff>
    </xdr:from>
    <xdr:to>
      <xdr:col>26</xdr:col>
      <xdr:colOff>285075</xdr:colOff>
      <xdr:row>66</xdr:row>
      <xdr:rowOff>23725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600075</xdr:colOff>
      <xdr:row>68</xdr:row>
      <xdr:rowOff>9525</xdr:rowOff>
    </xdr:from>
    <xdr:to>
      <xdr:col>26</xdr:col>
      <xdr:colOff>278725</xdr:colOff>
      <xdr:row>88</xdr:row>
      <xdr:rowOff>55475</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5122" name="Chart 2">
          <a:extLst>
            <a:ext uri="{FF2B5EF4-FFF2-40B4-BE49-F238E27FC236}">
              <a16:creationId xmlns:a16="http://schemas.microsoft.com/office/drawing/2014/main" id="{00000000-0008-0000-0700-000002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5123" name="Chart 3">
          <a:extLst>
            <a:ext uri="{FF2B5EF4-FFF2-40B4-BE49-F238E27FC236}">
              <a16:creationId xmlns:a16="http://schemas.microsoft.com/office/drawing/2014/main" id="{00000000-0008-0000-0700-000003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5124" name="Chart 4">
          <a:extLst>
            <a:ext uri="{FF2B5EF4-FFF2-40B4-BE49-F238E27FC236}">
              <a16:creationId xmlns:a16="http://schemas.microsoft.com/office/drawing/2014/main" id="{00000000-0008-0000-0700-000004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6" name="Chart 3">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2" name="Chart 2">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3" name="Chart 3">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4" name="Chart 4">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5" name="Chart 3">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14</xdr:row>
      <xdr:rowOff>9525</xdr:rowOff>
    </xdr:from>
    <xdr:to>
      <xdr:col>12</xdr:col>
      <xdr:colOff>9525</xdr:colOff>
      <xdr:row>32</xdr:row>
      <xdr:rowOff>152400</xdr:rowOff>
    </xdr:to>
    <xdr:graphicFrame macro="">
      <xdr:nvGraphicFramePr>
        <xdr:cNvPr id="2" name="Chart 2">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45</xdr:row>
      <xdr:rowOff>0</xdr:rowOff>
    </xdr:from>
    <xdr:to>
      <xdr:col>12</xdr:col>
      <xdr:colOff>28575</xdr:colOff>
      <xdr:row>63</xdr:row>
      <xdr:rowOff>152400</xdr:rowOff>
    </xdr:to>
    <xdr:graphicFrame macro="">
      <xdr:nvGraphicFramePr>
        <xdr:cNvPr id="3" name="Chart 3">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107</xdr:row>
      <xdr:rowOff>0</xdr:rowOff>
    </xdr:from>
    <xdr:to>
      <xdr:col>12</xdr:col>
      <xdr:colOff>38100</xdr:colOff>
      <xdr:row>126</xdr:row>
      <xdr:rowOff>0</xdr:rowOff>
    </xdr:to>
    <xdr:graphicFrame macro="">
      <xdr:nvGraphicFramePr>
        <xdr:cNvPr id="4" name="Chart 4">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76</xdr:row>
      <xdr:rowOff>0</xdr:rowOff>
    </xdr:from>
    <xdr:to>
      <xdr:col>12</xdr:col>
      <xdr:colOff>28575</xdr:colOff>
      <xdr:row>94</xdr:row>
      <xdr:rowOff>152400</xdr:rowOff>
    </xdr:to>
    <xdr:graphicFrame macro="">
      <xdr:nvGraphicFramePr>
        <xdr:cNvPr id="5" name="Chart 3">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38100</xdr:colOff>
      <xdr:row>208</xdr:row>
      <xdr:rowOff>38100</xdr:rowOff>
    </xdr:from>
    <xdr:to>
      <xdr:col>30</xdr:col>
      <xdr:colOff>587376</xdr:colOff>
      <xdr:row>228</xdr:row>
      <xdr:rowOff>82550</xdr:rowOff>
    </xdr:to>
    <xdr:graphicFrame macro="">
      <xdr:nvGraphicFramePr>
        <xdr:cNvPr id="10" name="Chart 9">
          <a:extLst>
            <a:ext uri="{FF2B5EF4-FFF2-40B4-BE49-F238E27FC236}">
              <a16:creationId xmlns:a16="http://schemas.microsoft.com/office/drawing/2014/main" id="{00000000-0008-0000-0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38100</xdr:colOff>
      <xdr:row>229</xdr:row>
      <xdr:rowOff>6350</xdr:rowOff>
    </xdr:from>
    <xdr:to>
      <xdr:col>30</xdr:col>
      <xdr:colOff>587376</xdr:colOff>
      <xdr:row>249</xdr:row>
      <xdr:rowOff>152400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topLeftCell="A6" workbookViewId="0">
      <selection activeCell="C12" sqref="C12"/>
    </sheetView>
  </sheetViews>
  <sheetFormatPr defaultRowHeight="12.5" x14ac:dyDescent="0.25"/>
  <cols>
    <col min="1" max="1" width="36.08984375" customWidth="1"/>
  </cols>
  <sheetData>
    <row r="1" spans="1:7" ht="13" x14ac:dyDescent="0.3">
      <c r="A1" s="2" t="str">
        <f>MODEL_NAME</f>
        <v>PAGE-ICE Nonlinear Arctic Feedbacks</v>
      </c>
      <c r="B1" s="2" t="s">
        <v>1094</v>
      </c>
      <c r="C1" s="2" t="str">
        <f>VERSION</f>
        <v>6.22</v>
      </c>
      <c r="D1" s="2" t="s">
        <v>1095</v>
      </c>
      <c r="E1" s="2" t="str">
        <f>Cockpit!F1</f>
        <v>20/03/2019</v>
      </c>
    </row>
    <row r="3" spans="1:7" x14ac:dyDescent="0.25">
      <c r="A3" s="3" t="s">
        <v>1096</v>
      </c>
      <c r="B3" s="3" t="s">
        <v>1097</v>
      </c>
      <c r="D3" s="3" t="s">
        <v>1100</v>
      </c>
      <c r="G3" t="s">
        <v>1103</v>
      </c>
    </row>
    <row r="4" spans="1:7" x14ac:dyDescent="0.25">
      <c r="A4" s="3" t="s">
        <v>1098</v>
      </c>
      <c r="B4" s="3" t="s">
        <v>1099</v>
      </c>
      <c r="D4" s="3" t="s">
        <v>1101</v>
      </c>
      <c r="G4" t="s">
        <v>1104</v>
      </c>
    </row>
    <row r="5" spans="1:7" x14ac:dyDescent="0.25">
      <c r="A5" s="3" t="s">
        <v>1102</v>
      </c>
      <c r="B5" s="3" t="s">
        <v>1099</v>
      </c>
      <c r="D5" s="3" t="s">
        <v>1101</v>
      </c>
    </row>
    <row r="7" spans="1:7" x14ac:dyDescent="0.25">
      <c r="A7" s="3" t="s">
        <v>1105</v>
      </c>
    </row>
    <row r="8" spans="1:7" x14ac:dyDescent="0.25">
      <c r="A8" s="3" t="s">
        <v>1106</v>
      </c>
    </row>
    <row r="9" spans="1:7" x14ac:dyDescent="0.25">
      <c r="A9" s="3" t="s">
        <v>1141</v>
      </c>
    </row>
    <row r="11" spans="1:7" x14ac:dyDescent="0.25">
      <c r="A11" s="3" t="s">
        <v>1115</v>
      </c>
    </row>
    <row r="12" spans="1:7" x14ac:dyDescent="0.25">
      <c r="A12" s="3"/>
    </row>
    <row r="13" spans="1:7" x14ac:dyDescent="0.25">
      <c r="A13" s="3" t="s">
        <v>1137</v>
      </c>
    </row>
    <row r="15" spans="1:7" x14ac:dyDescent="0.25">
      <c r="A15" s="3" t="s">
        <v>1142</v>
      </c>
    </row>
    <row r="16" spans="1:7" x14ac:dyDescent="0.25">
      <c r="A16" s="3" t="s">
        <v>1143</v>
      </c>
    </row>
    <row r="17" spans="1:2" x14ac:dyDescent="0.25">
      <c r="A17" s="3" t="s">
        <v>1138</v>
      </c>
    </row>
    <row r="19" spans="1:2" x14ac:dyDescent="0.25">
      <c r="A19" s="3" t="s">
        <v>1145</v>
      </c>
    </row>
    <row r="20" spans="1:2" ht="13" x14ac:dyDescent="0.3">
      <c r="A20" s="124" t="s">
        <v>1144</v>
      </c>
    </row>
    <row r="21" spans="1:2" x14ac:dyDescent="0.25">
      <c r="A21" s="3" t="s">
        <v>1107</v>
      </c>
    </row>
    <row r="22" spans="1:2" x14ac:dyDescent="0.25">
      <c r="A22" s="3" t="s">
        <v>1108</v>
      </c>
    </row>
    <row r="25" spans="1:2" ht="13" x14ac:dyDescent="0.3">
      <c r="A25" s="2" t="s">
        <v>1109</v>
      </c>
    </row>
    <row r="26" spans="1:2" x14ac:dyDescent="0.25">
      <c r="A26" s="3"/>
    </row>
    <row r="27" spans="1:2" x14ac:dyDescent="0.25">
      <c r="A27" t="s">
        <v>1140</v>
      </c>
    </row>
    <row r="28" spans="1:2" x14ac:dyDescent="0.25">
      <c r="A28" s="3" t="s">
        <v>1110</v>
      </c>
    </row>
    <row r="29" spans="1:2" x14ac:dyDescent="0.25">
      <c r="A29" t="str">
        <f>"@RISK 6.x or higher"</f>
        <v>@RISK 6.x or higher</v>
      </c>
      <c r="B29" s="3" t="s">
        <v>1111</v>
      </c>
    </row>
    <row r="30" spans="1:2" x14ac:dyDescent="0.25">
      <c r="A30" s="3"/>
    </row>
    <row r="32" spans="1:2" ht="13" x14ac:dyDescent="0.3">
      <c r="A32" s="2" t="s">
        <v>1136</v>
      </c>
    </row>
    <row r="34" spans="1:2" x14ac:dyDescent="0.25">
      <c r="A34" s="3" t="s">
        <v>1112</v>
      </c>
      <c r="B34" s="3" t="s">
        <v>1132</v>
      </c>
    </row>
    <row r="35" spans="1:2" x14ac:dyDescent="0.25">
      <c r="A35" s="3" t="s">
        <v>1113</v>
      </c>
      <c r="B35" s="3" t="s">
        <v>1114</v>
      </c>
    </row>
    <row r="36" spans="1:2" x14ac:dyDescent="0.25">
      <c r="A36" s="3" t="s">
        <v>1116</v>
      </c>
      <c r="B36" s="3" t="s">
        <v>1134</v>
      </c>
    </row>
    <row r="37" spans="1:2" x14ac:dyDescent="0.25">
      <c r="A37" s="3" t="s">
        <v>1117</v>
      </c>
      <c r="B37" s="3" t="s">
        <v>1127</v>
      </c>
    </row>
    <row r="38" spans="1:2" x14ac:dyDescent="0.25">
      <c r="A38" s="3" t="s">
        <v>1118</v>
      </c>
      <c r="B38" s="3" t="s">
        <v>1131</v>
      </c>
    </row>
    <row r="39" spans="1:2" x14ac:dyDescent="0.25">
      <c r="A39" s="3" t="s">
        <v>1119</v>
      </c>
      <c r="B39" s="3" t="s">
        <v>1126</v>
      </c>
    </row>
    <row r="40" spans="1:2" x14ac:dyDescent="0.25">
      <c r="A40" s="3" t="s">
        <v>1120</v>
      </c>
      <c r="B40" s="3" t="s">
        <v>1128</v>
      </c>
    </row>
    <row r="41" spans="1:2" x14ac:dyDescent="0.25">
      <c r="A41" s="3" t="s">
        <v>1121</v>
      </c>
      <c r="B41" s="3" t="s">
        <v>1133</v>
      </c>
    </row>
    <row r="42" spans="1:2" x14ac:dyDescent="0.25">
      <c r="A42" s="3" t="s">
        <v>1122</v>
      </c>
      <c r="B42" s="3" t="s">
        <v>1129</v>
      </c>
    </row>
    <row r="43" spans="1:2" x14ac:dyDescent="0.25">
      <c r="A43" s="3" t="s">
        <v>1123</v>
      </c>
      <c r="B43" s="3" t="s">
        <v>1130</v>
      </c>
    </row>
    <row r="44" spans="1:2" x14ac:dyDescent="0.25">
      <c r="A44" s="3" t="s">
        <v>1124</v>
      </c>
      <c r="B44" s="3" t="s">
        <v>1139</v>
      </c>
    </row>
    <row r="45" spans="1:2" x14ac:dyDescent="0.25">
      <c r="A45" s="3" t="s">
        <v>1125</v>
      </c>
      <c r="B45" s="3" t="s">
        <v>1135</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selection activeCell="B54" sqref="B54"/>
    </sheetView>
  </sheetViews>
  <sheetFormatPr defaultRowHeight="12.5" x14ac:dyDescent="0.25"/>
  <cols>
    <col min="1" max="2" width="38.6328125" customWidth="1"/>
    <col min="4" max="4" width="26.1796875" customWidth="1"/>
    <col min="5" max="6" width="9.81640625" bestFit="1" customWidth="1"/>
  </cols>
  <sheetData>
    <row r="1" spans="1:12" ht="13" x14ac:dyDescent="0.3">
      <c r="A1" s="2" t="str">
        <f>MODEL_NAME</f>
        <v>PAGE-ICE Nonlinear Arctic Feedbacks</v>
      </c>
      <c r="B1" s="2" t="s">
        <v>1059</v>
      </c>
      <c r="C1" s="301" t="str">
        <f xml:space="preserve"> VERSION</f>
        <v>6.22</v>
      </c>
      <c r="D1" s="2" t="s">
        <v>595</v>
      </c>
      <c r="E1" s="2"/>
      <c r="F1" s="301" t="str">
        <f xml:space="preserve"> VERSION_DATE</f>
        <v>20/03/2019</v>
      </c>
      <c r="I1" s="124" t="s">
        <v>1090</v>
      </c>
    </row>
    <row r="2" spans="1:12" ht="13" x14ac:dyDescent="0.3">
      <c r="A2" s="2"/>
      <c r="B2" s="2"/>
      <c r="C2" s="301"/>
      <c r="I2" s="124" t="s">
        <v>1092</v>
      </c>
    </row>
    <row r="4" spans="1:12" ht="13" x14ac:dyDescent="0.3">
      <c r="A4" s="2" t="s">
        <v>488</v>
      </c>
      <c r="B4" s="114" t="s">
        <v>905</v>
      </c>
      <c r="D4" s="2" t="s">
        <v>1064</v>
      </c>
      <c r="I4" s="2" t="s">
        <v>491</v>
      </c>
    </row>
    <row r="5" spans="1:12" ht="13" x14ac:dyDescent="0.3">
      <c r="D5" s="3" t="s">
        <v>492</v>
      </c>
      <c r="E5" s="2" t="s">
        <v>1058</v>
      </c>
      <c r="I5" s="124" t="s">
        <v>973</v>
      </c>
    </row>
    <row r="6" spans="1:12" ht="13" x14ac:dyDescent="0.3">
      <c r="D6" s="3" t="s">
        <v>493</v>
      </c>
      <c r="E6" s="2" t="s">
        <v>786</v>
      </c>
      <c r="I6" s="124" t="s">
        <v>486</v>
      </c>
      <c r="L6" s="124" t="s">
        <v>1062</v>
      </c>
    </row>
    <row r="7" spans="1:12" ht="13" x14ac:dyDescent="0.3">
      <c r="D7" s="3" t="s">
        <v>494</v>
      </c>
      <c r="E7" s="2" t="s">
        <v>904</v>
      </c>
      <c r="I7" s="124" t="s">
        <v>486</v>
      </c>
      <c r="J7" s="3"/>
      <c r="L7" s="124" t="s">
        <v>1063</v>
      </c>
    </row>
    <row r="8" spans="1:12" ht="13" x14ac:dyDescent="0.3">
      <c r="D8" s="3" t="s">
        <v>495</v>
      </c>
      <c r="E8" s="2" t="s">
        <v>905</v>
      </c>
      <c r="I8" s="124" t="s">
        <v>486</v>
      </c>
      <c r="J8" s="3"/>
    </row>
    <row r="9" spans="1:12" ht="13" x14ac:dyDescent="0.3">
      <c r="D9" s="3" t="s">
        <v>496</v>
      </c>
      <c r="E9" s="2" t="s">
        <v>1061</v>
      </c>
      <c r="I9" s="124" t="s">
        <v>487</v>
      </c>
    </row>
    <row r="10" spans="1:12" ht="13" x14ac:dyDescent="0.3">
      <c r="A10" s="2"/>
      <c r="D10" s="3" t="s">
        <v>497</v>
      </c>
      <c r="E10" s="2" t="s">
        <v>787</v>
      </c>
      <c r="I10" s="124" t="s">
        <v>487</v>
      </c>
    </row>
    <row r="11" spans="1:12" ht="13" x14ac:dyDescent="0.3">
      <c r="D11" s="3" t="s">
        <v>541</v>
      </c>
      <c r="E11" s="2" t="s">
        <v>906</v>
      </c>
      <c r="I11" s="124" t="s">
        <v>487</v>
      </c>
    </row>
    <row r="12" spans="1:12" ht="13" x14ac:dyDescent="0.3">
      <c r="D12" s="3" t="s">
        <v>542</v>
      </c>
      <c r="E12" s="2" t="s">
        <v>907</v>
      </c>
      <c r="I12" s="124" t="s">
        <v>487</v>
      </c>
    </row>
    <row r="13" spans="1:12" ht="13" x14ac:dyDescent="0.3">
      <c r="D13" s="3" t="s">
        <v>1065</v>
      </c>
      <c r="E13" s="2" t="s">
        <v>1067</v>
      </c>
      <c r="I13" s="124" t="s">
        <v>1069</v>
      </c>
    </row>
    <row r="14" spans="1:12" ht="13" x14ac:dyDescent="0.3">
      <c r="D14" s="3" t="s">
        <v>1066</v>
      </c>
      <c r="E14" s="2" t="s">
        <v>1068</v>
      </c>
      <c r="I14" s="124" t="s">
        <v>1069</v>
      </c>
    </row>
    <row r="18" spans="1:9" ht="13" x14ac:dyDescent="0.3">
      <c r="A18" s="2" t="s">
        <v>980</v>
      </c>
      <c r="B18" s="114" t="s">
        <v>673</v>
      </c>
      <c r="D18" s="2" t="s">
        <v>467</v>
      </c>
      <c r="E18" s="2"/>
      <c r="F18" s="2"/>
      <c r="G18" s="2"/>
      <c r="H18" s="2"/>
      <c r="I18" s="2" t="s">
        <v>468</v>
      </c>
    </row>
    <row r="19" spans="1:9" ht="13" x14ac:dyDescent="0.3">
      <c r="D19" s="3" t="s">
        <v>671</v>
      </c>
      <c r="E19" s="2" t="s">
        <v>672</v>
      </c>
      <c r="I19" s="124" t="s">
        <v>537</v>
      </c>
    </row>
    <row r="20" spans="1:9" ht="13" x14ac:dyDescent="0.3">
      <c r="A20" s="2" t="s">
        <v>981</v>
      </c>
      <c r="B20" s="114" t="s">
        <v>673</v>
      </c>
      <c r="D20" s="3" t="s">
        <v>478</v>
      </c>
      <c r="E20" s="2" t="s">
        <v>674</v>
      </c>
      <c r="I20" s="124" t="s">
        <v>537</v>
      </c>
    </row>
    <row r="21" spans="1:9" ht="13" x14ac:dyDescent="0.3">
      <c r="B21" s="302" t="s">
        <v>1073</v>
      </c>
      <c r="D21" s="3" t="s">
        <v>477</v>
      </c>
      <c r="E21" s="2" t="s">
        <v>673</v>
      </c>
      <c r="I21" s="124" t="s">
        <v>538</v>
      </c>
    </row>
    <row r="22" spans="1:9" ht="13" x14ac:dyDescent="0.3">
      <c r="A22" s="2" t="s">
        <v>1077</v>
      </c>
      <c r="B22" s="114" t="s">
        <v>1079</v>
      </c>
      <c r="D22" s="3" t="s">
        <v>474</v>
      </c>
      <c r="E22" s="2" t="s">
        <v>675</v>
      </c>
      <c r="I22" s="124" t="s">
        <v>669</v>
      </c>
    </row>
    <row r="23" spans="1:9" ht="13" x14ac:dyDescent="0.3">
      <c r="B23" s="302" t="s">
        <v>1073</v>
      </c>
      <c r="D23" s="3" t="s">
        <v>476</v>
      </c>
      <c r="E23" s="2" t="s">
        <v>662</v>
      </c>
      <c r="I23" s="124" t="s">
        <v>670</v>
      </c>
    </row>
    <row r="24" spans="1:9" ht="13" x14ac:dyDescent="0.3">
      <c r="D24" s="3" t="s">
        <v>546</v>
      </c>
      <c r="E24" s="2" t="s">
        <v>676</v>
      </c>
      <c r="I24" s="124" t="s">
        <v>539</v>
      </c>
    </row>
    <row r="25" spans="1:9" ht="13" x14ac:dyDescent="0.3">
      <c r="D25" s="3" t="s">
        <v>587</v>
      </c>
      <c r="E25" s="2" t="s">
        <v>947</v>
      </c>
      <c r="I25" s="124"/>
    </row>
    <row r="26" spans="1:9" ht="13" x14ac:dyDescent="0.3">
      <c r="D26" s="3" t="s">
        <v>677</v>
      </c>
      <c r="E26" s="2" t="s">
        <v>536</v>
      </c>
      <c r="I26" s="124" t="s">
        <v>1084</v>
      </c>
    </row>
    <row r="27" spans="1:9" ht="13" x14ac:dyDescent="0.3">
      <c r="D27" s="3" t="s">
        <v>678</v>
      </c>
      <c r="E27" s="2" t="s">
        <v>473</v>
      </c>
      <c r="I27" s="124" t="s">
        <v>1089</v>
      </c>
    </row>
    <row r="28" spans="1:9" ht="13" x14ac:dyDescent="0.3">
      <c r="D28" s="3" t="s">
        <v>679</v>
      </c>
      <c r="E28" s="2" t="s">
        <v>475</v>
      </c>
    </row>
    <row r="29" spans="1:9" ht="13" x14ac:dyDescent="0.3">
      <c r="D29" s="3"/>
      <c r="E29" s="2"/>
    </row>
    <row r="30" spans="1:9" ht="13" x14ac:dyDescent="0.3">
      <c r="D30" s="2" t="s">
        <v>1087</v>
      </c>
      <c r="E30" s="2"/>
    </row>
    <row r="31" spans="1:9" ht="13" x14ac:dyDescent="0.3">
      <c r="D31" s="3" t="s">
        <v>1055</v>
      </c>
      <c r="E31" s="2" t="s">
        <v>1078</v>
      </c>
    </row>
    <row r="32" spans="1:9" ht="13" x14ac:dyDescent="0.3">
      <c r="D32" s="3" t="s">
        <v>1056</v>
      </c>
      <c r="E32" s="2" t="s">
        <v>1079</v>
      </c>
    </row>
    <row r="34" spans="1:9" x14ac:dyDescent="0.25">
      <c r="D34" s="3"/>
      <c r="E34" s="3"/>
      <c r="I34" s="3"/>
    </row>
    <row r="35" spans="1:9" x14ac:dyDescent="0.25">
      <c r="D35" s="3"/>
      <c r="E35" s="3"/>
      <c r="I35" s="3"/>
    </row>
    <row r="36" spans="1:9" ht="13" x14ac:dyDescent="0.3">
      <c r="A36" s="2" t="str">
        <f xml:space="preserve"> "Choose the "&amp;I_1_NAME&amp;" impacts:"</f>
        <v>Choose the Economic impacts:</v>
      </c>
      <c r="B36" s="114" t="s">
        <v>745</v>
      </c>
      <c r="D36" s="2" t="str">
        <f>I_1_NAME&amp;" impact functions"</f>
        <v>Economic impact functions</v>
      </c>
      <c r="E36" s="3"/>
      <c r="I36" s="2" t="s">
        <v>468</v>
      </c>
    </row>
    <row r="37" spans="1:9" ht="13" x14ac:dyDescent="0.3">
      <c r="A37" s="2"/>
      <c r="B37" s="2"/>
      <c r="D37" s="3" t="str">
        <f>I_1_NAME&amp;" impact function 1:"</f>
        <v>Economic impact function 1:</v>
      </c>
      <c r="E37" s="2" t="s">
        <v>745</v>
      </c>
      <c r="I37" s="124" t="s">
        <v>735</v>
      </c>
    </row>
    <row r="38" spans="1:9" ht="13" x14ac:dyDescent="0.3">
      <c r="A38" s="2"/>
      <c r="B38" s="2"/>
      <c r="D38" s="3" t="str">
        <f>I_1_NAME&amp;" impact function 2:"</f>
        <v>Economic impact function 2:</v>
      </c>
      <c r="E38" s="2" t="s">
        <v>886</v>
      </c>
      <c r="I38" s="124" t="s">
        <v>887</v>
      </c>
    </row>
    <row r="39" spans="1:9" ht="13" x14ac:dyDescent="0.3">
      <c r="A39" s="2"/>
      <c r="B39" s="2"/>
      <c r="D39" s="3" t="str">
        <f>I_1_NAME&amp;" impact function 3:"</f>
        <v>Economic impact function 3:</v>
      </c>
      <c r="E39" s="2" t="s">
        <v>772</v>
      </c>
      <c r="I39" s="124" t="s">
        <v>775</v>
      </c>
    </row>
    <row r="40" spans="1:9" ht="13" x14ac:dyDescent="0.3">
      <c r="D40" s="3" t="str">
        <f>I_1_NAME&amp;" impact function 4:"</f>
        <v>Economic impact function 4:</v>
      </c>
      <c r="E40" s="2" t="s">
        <v>773</v>
      </c>
      <c r="I40" s="124" t="s">
        <v>1086</v>
      </c>
    </row>
    <row r="41" spans="1:9" ht="13" x14ac:dyDescent="0.3">
      <c r="D41" s="3" t="str">
        <f>I_1_NAME&amp;" impact function 5:"</f>
        <v>Economic impact function 5:</v>
      </c>
      <c r="E41" s="2" t="s">
        <v>706</v>
      </c>
      <c r="I41" s="124" t="s">
        <v>547</v>
      </c>
    </row>
    <row r="42" spans="1:9" ht="13" x14ac:dyDescent="0.3">
      <c r="D42" s="3" t="str">
        <f>I_1_NAME&amp;" impact function 6:"</f>
        <v>Economic impact function 6:</v>
      </c>
      <c r="E42" s="2" t="s">
        <v>707</v>
      </c>
      <c r="I42" s="124" t="s">
        <v>548</v>
      </c>
    </row>
    <row r="43" spans="1:9" ht="13" x14ac:dyDescent="0.3">
      <c r="D43" s="3"/>
      <c r="E43" s="2"/>
      <c r="I43" s="124"/>
    </row>
    <row r="44" spans="1:9" ht="13" x14ac:dyDescent="0.3">
      <c r="D44" s="3"/>
      <c r="E44" s="2"/>
      <c r="I44" s="124" t="s">
        <v>1091</v>
      </c>
    </row>
    <row r="45" spans="1:9" ht="13" x14ac:dyDescent="0.3">
      <c r="D45" s="3"/>
      <c r="E45" s="2"/>
      <c r="I45" s="124"/>
    </row>
    <row r="46" spans="1:9" ht="13" x14ac:dyDescent="0.3">
      <c r="A46" s="2" t="s">
        <v>1053</v>
      </c>
      <c r="B46" s="114" t="s">
        <v>1054</v>
      </c>
      <c r="D46" s="2" t="s">
        <v>1052</v>
      </c>
      <c r="I46" s="2" t="s">
        <v>468</v>
      </c>
    </row>
    <row r="47" spans="1:9" s="298" customFormat="1" ht="13" x14ac:dyDescent="0.3">
      <c r="A47" s="296"/>
      <c r="B47" s="297"/>
      <c r="D47" s="296" t="s">
        <v>1055</v>
      </c>
      <c r="E47" s="280" t="s">
        <v>1054</v>
      </c>
      <c r="I47" s="299" t="s">
        <v>1085</v>
      </c>
    </row>
    <row r="48" spans="1:9" s="298" customFormat="1" ht="13" x14ac:dyDescent="0.3">
      <c r="A48" s="296"/>
      <c r="B48" s="297"/>
      <c r="D48" s="296" t="s">
        <v>1056</v>
      </c>
      <c r="E48" s="280" t="s">
        <v>1070</v>
      </c>
      <c r="I48" s="307" t="s">
        <v>1088</v>
      </c>
    </row>
    <row r="49" spans="1:9" s="298" customFormat="1" x14ac:dyDescent="0.25">
      <c r="A49" s="296"/>
      <c r="B49" s="297"/>
    </row>
    <row r="50" spans="1:9" s="298" customFormat="1" x14ac:dyDescent="0.25">
      <c r="A50" s="296"/>
      <c r="B50" s="297"/>
    </row>
    <row r="51" spans="1:9" s="298" customFormat="1" x14ac:dyDescent="0.25">
      <c r="A51" s="296"/>
      <c r="B51" s="297"/>
    </row>
    <row r="52" spans="1:9" s="298" customFormat="1" x14ac:dyDescent="0.25">
      <c r="A52" s="296"/>
      <c r="B52" s="297"/>
    </row>
    <row r="53" spans="1:9" s="298" customFormat="1" ht="13" x14ac:dyDescent="0.3">
      <c r="A53" s="296" t="s">
        <v>1071</v>
      </c>
      <c r="B53" s="303" t="str">
        <f xml:space="preserve"> IF(EXPERIMENT = EXPERIMENT_TWOSCEN_LEGFEED, SCENARIO_PAIR_B_PRELIM, IF(EXPERIMENT = EXPERIMENT_TWOSCEN_BOTHFEED, SCENARIO_PAIR_B_PRELIM, SCENARIO_PAIR))</f>
        <v>2 degC Target</v>
      </c>
      <c r="D53" s="296" t="s">
        <v>1072</v>
      </c>
    </row>
    <row r="54" spans="1:9" s="298" customFormat="1" ht="13" x14ac:dyDescent="0.3">
      <c r="A54" s="296" t="s">
        <v>1080</v>
      </c>
      <c r="B54" s="303">
        <f xml:space="preserve"> IF(WORLDB_GDPPOP_CHOICE = WORLDB_OPTION_YES, 1, 0) * IF(EXPERIMENT = EXPERIMENT_TWOSCEN_LEGFEED, 1, IF(EXPERIMENT = EXPERIMENT_TWOSCEN_BOTHFEED, 1, 0))</f>
        <v>0</v>
      </c>
      <c r="D54" s="296" t="s">
        <v>1083</v>
      </c>
    </row>
    <row r="55" spans="1:9" s="298" customFormat="1" x14ac:dyDescent="0.25">
      <c r="A55" s="296"/>
      <c r="B55" s="297"/>
    </row>
    <row r="56" spans="1:9" ht="13" x14ac:dyDescent="0.3">
      <c r="A56" s="279" t="s">
        <v>978</v>
      </c>
      <c r="B56" s="213">
        <f xml:space="preserve"> IF(SCENARIO_PAIR = PAIR_ZERO, 0, 0) + IF(SCENARIO_PAIR = PAIR_15C, 1, 0) + IF(SCENARIO_PAIR = PAIR_2C, 1, 0) + IF(SCENARIO_PAIR = PAIR_25C, 2, 0) + IF(SCENARIO_PAIR = PAIR_NDC, 2, 0) + IF(SCENARIO_PAIR = PAIR_NDC_PART, 2, 0) + IF(SCENARIO_PAIR = PAIR_BAU, 2, 0) + IF(SCENARIO_PAIR = PAIR_RCP26, 3, 0) + IF(SCENARIO_PAIR = PAIR_RCP45, 3, 0) + IF(SCENARIO_PAIR = PAIR_RCP85, 3, 0)</f>
        <v>1</v>
      </c>
      <c r="D56" s="3" t="s">
        <v>681</v>
      </c>
      <c r="E56" s="2"/>
      <c r="I56" s="124"/>
    </row>
    <row r="57" spans="1:9" ht="13" x14ac:dyDescent="0.3">
      <c r="A57" s="279" t="s">
        <v>979</v>
      </c>
      <c r="B57" s="213">
        <f xml:space="preserve"> IF(SCENARIO_PAIR_B = PAIR_ZERO, 0, 0) + IF(SCENARIO_PAIR_B = PAIR_15C, 1, 0) + IF(SCENARIO_PAIR_B = PAIR_2C, 1, 0) + IF(SCENARIO_PAIR_B = PAIR_25C, 2, 0) + IF(SCENARIO_PAIR_B = PAIR_NDC, 2, 0) + IF(SCENARIO_PAIR_B = PAIR_NDC_PART, 2, 0) + IF(SCENARIO_PAIR_B = PAIR_BAU, 2, 0) + IF(SCENARIO_PAIR_B = PAIR_RCP26, 3, 0) + IF(SCENARIO_PAIR_B = PAIR_RCP45, 3, 0) + IF(SCENARIO_PAIR_B = PAIR_RCP85, 3, 0)</f>
        <v>1</v>
      </c>
      <c r="D57" s="3" t="s">
        <v>681</v>
      </c>
      <c r="E57" s="2"/>
      <c r="I57" s="124"/>
    </row>
    <row r="58" spans="1:9" ht="13" x14ac:dyDescent="0.3">
      <c r="A58" s="58"/>
      <c r="B58" s="278"/>
      <c r="D58" s="3"/>
      <c r="E58" s="2"/>
      <c r="I58" s="124"/>
    </row>
    <row r="59" spans="1:9" ht="13" x14ac:dyDescent="0.3">
      <c r="A59" s="58" t="s">
        <v>774</v>
      </c>
      <c r="B59" s="213">
        <f xml:space="preserve"> IF(ECON_IMPF = ECON_IMPF_PAGE09_DEFAULT, 0, 0) + IF(ECON_IMPF = ECON_IMPF_PAGE09_IPCCAR5_BURKE, 0, 0) + IF(ECON_IMPF = ECON_IMPF_PAGE09_DELL_MIMIC, 0, 0) + IF(ECON_IMPF = ECON_IMPF_PAGE09_BURKE_MIMIC, 0, 0) + IF(ECON_IMPF = ECON_IMPF_PAGE09_IPCCAR5_BURKE, 0, 0) + IF(ECON_IMPF = ECON_IMPF_BURKE_LAG1_CONSUM, 1, 0) + IF(ECON_IMPF = ECON_IMPF_BURKE_LAG2_CONSUM, 1, 0)</f>
        <v>1</v>
      </c>
      <c r="D59" s="3" t="s">
        <v>974</v>
      </c>
      <c r="E59" s="2"/>
      <c r="I59" s="124"/>
    </row>
    <row r="60" spans="1:9" s="298" customFormat="1" ht="13" x14ac:dyDescent="0.3">
      <c r="A60" s="279"/>
      <c r="B60" s="278"/>
      <c r="D60" s="296"/>
      <c r="E60" s="280"/>
      <c r="I60" s="299"/>
    </row>
    <row r="61" spans="1:9" s="298" customFormat="1" ht="13" x14ac:dyDescent="0.3">
      <c r="A61" s="3" t="s">
        <v>1051</v>
      </c>
      <c r="B61" s="213">
        <f xml:space="preserve"> IF(WEIGHTING_AND_DISCOUNTING = WEIGHTING_WITHOUT_EQUITY, 0, 0) + IF(WEIGHTING_AND_DISCOUNTING = WEIGHTING_WITH_EQUITY, 1, 0)</f>
        <v>1</v>
      </c>
      <c r="D61" s="296" t="s">
        <v>1057</v>
      </c>
      <c r="E61" s="280"/>
    </row>
    <row r="62" spans="1:9" x14ac:dyDescent="0.25">
      <c r="A62" s="3"/>
      <c r="C62" s="3"/>
    </row>
    <row r="64" spans="1:9" ht="13" x14ac:dyDescent="0.3">
      <c r="A64" s="2" t="s">
        <v>984</v>
      </c>
      <c r="D64" s="2" t="s">
        <v>682</v>
      </c>
      <c r="E64" s="2" t="s">
        <v>686</v>
      </c>
      <c r="F64" s="2"/>
      <c r="H64" s="2" t="s">
        <v>684</v>
      </c>
    </row>
    <row r="65" spans="1:11" ht="13" x14ac:dyDescent="0.3">
      <c r="A65" s="3" t="s">
        <v>483</v>
      </c>
      <c r="B65" s="300">
        <f xml:space="preserve"> IF(SCENARIO_PAIR = PAIR_15C, EXTRA_ABATE_RATE_15C, 0) + IF(SCENARIO_PAIR = PAIR_2C, EXTRA_ABATE_RATE_2C, 0)</f>
        <v>0.2418203462401034</v>
      </c>
      <c r="C65" s="3" t="s">
        <v>419</v>
      </c>
      <c r="D65" s="3" t="s">
        <v>660</v>
      </c>
      <c r="E65">
        <v>1.5</v>
      </c>
      <c r="F65" s="3" t="s">
        <v>43</v>
      </c>
      <c r="H65" s="2">
        <v>4.0530140797122707</v>
      </c>
      <c r="I65" s="3" t="s">
        <v>419</v>
      </c>
      <c r="K65" s="124" t="s">
        <v>687</v>
      </c>
    </row>
    <row r="66" spans="1:11" ht="13" x14ac:dyDescent="0.3">
      <c r="A66" s="3" t="s">
        <v>481</v>
      </c>
      <c r="B66" s="114">
        <v>2020</v>
      </c>
      <c r="D66" s="3" t="s">
        <v>661</v>
      </c>
      <c r="E66">
        <v>2</v>
      </c>
      <c r="F66" s="3" t="s">
        <v>43</v>
      </c>
      <c r="H66" s="2">
        <v>0.2418203462401034</v>
      </c>
      <c r="I66" s="3" t="s">
        <v>419</v>
      </c>
      <c r="K66" s="124" t="s">
        <v>687</v>
      </c>
    </row>
    <row r="67" spans="1:11" ht="13" x14ac:dyDescent="0.3">
      <c r="A67" s="3" t="s">
        <v>515</v>
      </c>
      <c r="B67" s="114">
        <v>2100</v>
      </c>
      <c r="K67" s="124"/>
    </row>
    <row r="68" spans="1:11" ht="13" x14ac:dyDescent="0.3">
      <c r="B68" s="280"/>
      <c r="K68" s="124"/>
    </row>
    <row r="69" spans="1:11" ht="13" x14ac:dyDescent="0.3">
      <c r="A69" s="2" t="s">
        <v>985</v>
      </c>
      <c r="K69" s="124"/>
    </row>
    <row r="70" spans="1:11" ht="13" x14ac:dyDescent="0.3">
      <c r="A70" s="3" t="s">
        <v>483</v>
      </c>
      <c r="B70" s="213">
        <f xml:space="preserve"> IF(SCENARIO_PAIR_B = PAIR_15C, EXTRA_ABATE_RATE_15C, 0) + IF(SCENARIO_PAIR_B = PAIR_2C, EXTRA_ABATE_RATE_2C, 0)</f>
        <v>0.2418203462401034</v>
      </c>
      <c r="C70" s="3" t="s">
        <v>419</v>
      </c>
      <c r="K70" s="124"/>
    </row>
    <row r="71" spans="1:11" ht="13" x14ac:dyDescent="0.3">
      <c r="A71" s="3"/>
      <c r="K71" s="124"/>
    </row>
    <row r="72" spans="1:11" ht="13" x14ac:dyDescent="0.3">
      <c r="A72" s="3"/>
      <c r="K72" s="124"/>
    </row>
    <row r="73" spans="1:11" ht="13" x14ac:dyDescent="0.3">
      <c r="A73" s="2" t="s">
        <v>986</v>
      </c>
      <c r="D73" s="2" t="s">
        <v>682</v>
      </c>
      <c r="E73" s="2" t="s">
        <v>686</v>
      </c>
      <c r="F73" s="2"/>
      <c r="H73" s="2" t="s">
        <v>683</v>
      </c>
      <c r="K73" s="124"/>
    </row>
    <row r="74" spans="1:11" ht="13" x14ac:dyDescent="0.3">
      <c r="A74" s="3" t="s">
        <v>665</v>
      </c>
      <c r="B74" s="300">
        <f xml:space="preserve"> IF(SCENARIO_PAIR = PAIR_25C, WEIGHT_25C, 0) + IF(SCENARIO_PAIR = PAIR_NDC, WEIGHT_NDC, 0) + IF(SCENARIO_PAIR = PAIR_NDC_PART, WEIGHT_NDC_PART, 0) + IF(SCENARIO_PAIR = PAIR_BAU, WEIGHT_BAU, 0)</f>
        <v>0</v>
      </c>
      <c r="C74" s="3" t="s">
        <v>40</v>
      </c>
      <c r="D74" s="3" t="s">
        <v>680</v>
      </c>
      <c r="E74">
        <v>2.5</v>
      </c>
      <c r="F74" s="3" t="s">
        <v>43</v>
      </c>
      <c r="H74" s="2">
        <v>-69.698601183341168</v>
      </c>
      <c r="I74" s="3" t="s">
        <v>40</v>
      </c>
      <c r="K74" s="124" t="s">
        <v>687</v>
      </c>
    </row>
    <row r="75" spans="1:11" ht="13" x14ac:dyDescent="0.3">
      <c r="D75" s="3" t="s">
        <v>662</v>
      </c>
      <c r="E75">
        <v>3.3</v>
      </c>
      <c r="F75" s="3" t="s">
        <v>43</v>
      </c>
      <c r="H75" s="2">
        <v>-14.432092365610856</v>
      </c>
      <c r="I75" s="3" t="s">
        <v>40</v>
      </c>
      <c r="K75" s="124" t="s">
        <v>687</v>
      </c>
    </row>
    <row r="76" spans="1:11" ht="13" x14ac:dyDescent="0.3">
      <c r="A76" s="2" t="s">
        <v>987</v>
      </c>
      <c r="D76" s="3" t="s">
        <v>663</v>
      </c>
      <c r="E76">
        <v>3.6</v>
      </c>
      <c r="F76" s="3" t="s">
        <v>43</v>
      </c>
      <c r="H76" s="2">
        <v>10.318413035360622</v>
      </c>
      <c r="I76" s="3" t="s">
        <v>40</v>
      </c>
      <c r="K76" s="124" t="s">
        <v>687</v>
      </c>
    </row>
    <row r="77" spans="1:11" ht="13" x14ac:dyDescent="0.3">
      <c r="A77" s="3" t="s">
        <v>665</v>
      </c>
      <c r="B77" s="300">
        <f xml:space="preserve"> IF(SCENARIO_PAIR_B = PAIR_25C, WEIGHT_25C, 0) + IF(SCENARIO_PAIR_B = PAIR_NDC, WEIGHT_NDC, 0) + IF(SCENARIO_PAIR_B = PAIR_NDC_PART, WEIGHT_NDC_PART, 0) + IF(SCENARIO_PAIR_B = PAIR_BAU, WEIGHT_BAU, 0)</f>
        <v>0</v>
      </c>
      <c r="C77" s="3" t="s">
        <v>40</v>
      </c>
      <c r="D77" s="3" t="s">
        <v>664</v>
      </c>
      <c r="E77">
        <v>4.2</v>
      </c>
      <c r="F77" s="3" t="s">
        <v>43</v>
      </c>
      <c r="H77" s="2">
        <v>51.579276825415874</v>
      </c>
      <c r="I77" s="3" t="s">
        <v>40</v>
      </c>
      <c r="K77" s="124" t="s">
        <v>687</v>
      </c>
    </row>
    <row r="78" spans="1:11" ht="13" x14ac:dyDescent="0.3">
      <c r="D78" s="3"/>
      <c r="F78" s="3"/>
      <c r="H78" s="2"/>
      <c r="I78" s="3"/>
      <c r="K78" s="124"/>
    </row>
    <row r="79" spans="1:11" ht="13" x14ac:dyDescent="0.3">
      <c r="A79" s="2"/>
      <c r="D79" s="3"/>
      <c r="F79" s="3"/>
      <c r="H79" s="2"/>
      <c r="I79" s="3"/>
      <c r="K79" s="124"/>
    </row>
    <row r="80" spans="1:11" ht="13" x14ac:dyDescent="0.3">
      <c r="A80" s="2"/>
      <c r="D80" s="3"/>
      <c r="F80" s="3"/>
      <c r="G80" s="2"/>
      <c r="H80" s="3"/>
    </row>
    <row r="81" spans="1:9" ht="13" x14ac:dyDescent="0.3">
      <c r="A81" s="3"/>
      <c r="B81" s="2"/>
      <c r="C81" s="3"/>
      <c r="I81" s="124"/>
    </row>
    <row r="82" spans="1:9" ht="13" x14ac:dyDescent="0.3">
      <c r="A82" s="124" t="s">
        <v>685</v>
      </c>
    </row>
    <row r="83" spans="1:9" ht="13" x14ac:dyDescent="0.3">
      <c r="A83" s="124" t="s">
        <v>688</v>
      </c>
    </row>
    <row r="84" spans="1:9" ht="13" x14ac:dyDescent="0.3">
      <c r="A84" s="124" t="s">
        <v>689</v>
      </c>
    </row>
    <row r="86" spans="1:9" ht="13" x14ac:dyDescent="0.3">
      <c r="A86" s="124" t="s">
        <v>691</v>
      </c>
    </row>
  </sheetData>
  <dataValidations count="6">
    <dataValidation type="list" allowBlank="1" showInputMessage="1" showErrorMessage="1" sqref="B4">
      <formula1>$E$5:$E$14</formula1>
    </dataValidation>
    <dataValidation type="list" allowBlank="1" showInputMessage="1" showErrorMessage="1" sqref="B36">
      <formula1>$E$37:$E$42</formula1>
    </dataValidation>
    <dataValidation type="list" allowBlank="1" showInputMessage="1" showErrorMessage="1" sqref="B46">
      <formula1>$E$47:$E$48</formula1>
    </dataValidation>
    <dataValidation type="list" allowBlank="1" showInputMessage="1" showErrorMessage="1" sqref="B22">
      <formula1>IF(EXPERIMENT = EXPERIMENT_TWOSCEN_LEGFEED, $E$31:$E$32, IF(EXPERIMENT = EXPERIMENT_TWOSCEN_BOTHFEED, $E$31:$E$32, WORLDB_OPTION_NO))</formula1>
    </dataValidation>
    <dataValidation type="list" allowBlank="1" showInputMessage="1" showErrorMessage="1" sqref="B18">
      <formula1>$E$19:$E$28</formula1>
    </dataValidation>
    <dataValidation type="list" allowBlank="1" showInputMessage="1" showErrorMessage="1" sqref="B20">
      <formula1 xml:space="preserve"> IF(EXPERIMENT = EXPERIMENT_TWOSCEN_LEGFEED, $E$19:$E$28, IF(EXPERIMENT = EXPERIMENT_TWOSCEN_BOTHFEED, $E$19:$E$28, SCENARIO_PAIR))</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1"/>
  <sheetViews>
    <sheetView tabSelected="1" workbookViewId="0">
      <selection activeCell="A38" sqref="A38"/>
    </sheetView>
  </sheetViews>
  <sheetFormatPr defaultRowHeight="12.5" x14ac:dyDescent="0.25"/>
  <cols>
    <col min="1" max="1" width="46.81640625" customWidth="1"/>
    <col min="2" max="2" width="10.453125" customWidth="1"/>
    <col min="3" max="13" width="9.81640625" customWidth="1"/>
    <col min="19" max="19" width="12.1796875" bestFit="1" customWidth="1"/>
  </cols>
  <sheetData>
    <row r="1" spans="1:14" x14ac:dyDescent="0.25">
      <c r="A1" s="193" t="s">
        <v>588</v>
      </c>
      <c r="B1" s="192">
        <f ca="1">TODAY()</f>
        <v>43555</v>
      </c>
      <c r="D1" s="3" t="s">
        <v>1060</v>
      </c>
      <c r="F1" t="str">
        <f>VERSION</f>
        <v>6.22</v>
      </c>
      <c r="H1" s="3" t="s">
        <v>595</v>
      </c>
      <c r="J1" s="192" t="str">
        <f xml:space="preserve"> VERSION_DATE</f>
        <v>20/03/2019</v>
      </c>
      <c r="L1" s="3" t="s">
        <v>1076</v>
      </c>
      <c r="N1" t="str">
        <f>VERSION_PARENT</f>
        <v>6.21 of PAGE-ICE Nonlinear Arctic Feedbacks</v>
      </c>
    </row>
    <row r="2" spans="1:14" ht="13" x14ac:dyDescent="0.3">
      <c r="A2" s="174" t="str">
        <f xml:space="preserve"> "Experiment = {"&amp;EXPERIMENT&amp;"}, FIRST Scenario = {"&amp;SCENARIO_PAIR&amp;"}, SECOND Scenario = {"&amp;SCENARIO_PAIR_B&amp;"}, Economic Impacts = {"&amp;ECON_IMPF&amp;"}"</f>
        <v>Experiment = {Nonlinear PCF &amp; SAF}, FIRST Scenario = {2 degC Target}, SECOND Scenario = {2 degC Target}, Economic Impacts = {Burke, Pulled, Lag=1, Consum-Only}</v>
      </c>
      <c r="B2" s="174"/>
      <c r="C2" s="174"/>
      <c r="D2" s="174"/>
      <c r="E2" s="174"/>
      <c r="F2" s="174"/>
      <c r="G2" s="174"/>
      <c r="H2" s="3"/>
      <c r="J2" s="192"/>
    </row>
    <row r="3" spans="1:14" ht="13" x14ac:dyDescent="0.3">
      <c r="A3" s="174" t="s">
        <v>561</v>
      </c>
      <c r="B3" s="175"/>
      <c r="C3" s="175"/>
      <c r="D3" s="175"/>
      <c r="E3" s="175"/>
      <c r="F3" s="175"/>
      <c r="G3" s="175"/>
    </row>
    <row r="4" spans="1:14" ht="13" x14ac:dyDescent="0.3">
      <c r="A4" s="174"/>
      <c r="B4" s="174" t="s">
        <v>1031</v>
      </c>
      <c r="C4" s="174" t="s">
        <v>1032</v>
      </c>
      <c r="D4" s="174" t="s">
        <v>1033</v>
      </c>
      <c r="E4" s="175"/>
      <c r="F4" s="175"/>
      <c r="G4" s="175"/>
    </row>
    <row r="5" spans="1:14" ht="13" x14ac:dyDescent="0.3">
      <c r="A5" s="174" t="s">
        <v>523</v>
      </c>
      <c r="B5" s="180" t="s">
        <v>524</v>
      </c>
      <c r="C5" s="180" t="s">
        <v>525</v>
      </c>
      <c r="D5" s="180" t="s">
        <v>526</v>
      </c>
      <c r="E5" s="181"/>
      <c r="F5" s="181" t="s">
        <v>560</v>
      </c>
      <c r="G5" s="175"/>
    </row>
    <row r="6" spans="1:14" x14ac:dyDescent="0.25">
      <c r="A6" s="176" t="s">
        <v>504</v>
      </c>
      <c r="B6" s="136">
        <f ca="1">_xll.RiskPercentile('Climate A'!I$221,H6)</f>
        <v>2.391841831086281</v>
      </c>
      <c r="C6" s="136">
        <f ca="1">_xll.RiskPercentile('Climate B'!I$221,H6)</f>
        <v>2.2824813316980945</v>
      </c>
      <c r="D6" s="283">
        <f ca="1">_xll.RiskPercentile('Climate A-B'!I$221,H6)</f>
        <v>6.9467520538173844E-2</v>
      </c>
      <c r="E6" s="176" t="s">
        <v>44</v>
      </c>
      <c r="F6" s="181"/>
      <c r="G6" s="175"/>
      <c r="H6">
        <v>0.05</v>
      </c>
    </row>
    <row r="7" spans="1:14" x14ac:dyDescent="0.25">
      <c r="A7" s="176" t="s">
        <v>740</v>
      </c>
      <c r="B7" s="136">
        <f ca="1">_xll.RiskPercentile('Climate A'!I$221,H7)</f>
        <v>2.6502445329924327</v>
      </c>
      <c r="C7" s="136">
        <f ca="1">_xll.RiskPercentile('Climate B'!I$221,H7)</f>
        <v>2.518919217496296</v>
      </c>
      <c r="D7" s="283">
        <f ca="1">_xll.RiskPercentile('Climate A-B'!I$221,H7)</f>
        <v>0.10160453901073518</v>
      </c>
      <c r="E7" s="176" t="s">
        <v>44</v>
      </c>
      <c r="F7" s="181"/>
      <c r="G7" s="175"/>
      <c r="H7">
        <v>0.25</v>
      </c>
    </row>
    <row r="8" spans="1:14" x14ac:dyDescent="0.25">
      <c r="A8" s="176" t="s">
        <v>578</v>
      </c>
      <c r="B8" s="136">
        <f ca="1">_xll.RiskPercentile('Climate A'!I$221,H8)</f>
        <v>2.7995122442338669</v>
      </c>
      <c r="C8" s="136">
        <f ca="1">_xll.RiskPercentile('Climate B'!I$221,H8)</f>
        <v>2.6635477850095652</v>
      </c>
      <c r="D8" s="283">
        <f ca="1">_xll.RiskPercentile('Climate A-B'!I$221,H8)</f>
        <v>0.13323595082521056</v>
      </c>
      <c r="E8" s="176" t="s">
        <v>44</v>
      </c>
      <c r="F8" s="177"/>
      <c r="G8" s="175"/>
      <c r="H8">
        <v>0.5</v>
      </c>
    </row>
    <row r="9" spans="1:14" x14ac:dyDescent="0.25">
      <c r="A9" s="176" t="s">
        <v>741</v>
      </c>
      <c r="B9" s="136">
        <f ca="1">_xll.RiskPercentile('Climate A'!I$221,H9)</f>
        <v>2.9541439128530977</v>
      </c>
      <c r="C9" s="136">
        <f ca="1">_xll.RiskPercentile('Climate B'!I$221,H9)</f>
        <v>2.8021088876743718</v>
      </c>
      <c r="D9" s="283">
        <f ca="1">_xll.RiskPercentile('Climate A-B'!I$221,H9)</f>
        <v>0.16954660322731829</v>
      </c>
      <c r="E9" s="176" t="s">
        <v>44</v>
      </c>
      <c r="F9" s="181"/>
      <c r="G9" s="175"/>
      <c r="H9">
        <v>0.75</v>
      </c>
    </row>
    <row r="10" spans="1:14" x14ac:dyDescent="0.25">
      <c r="A10" s="176" t="s">
        <v>505</v>
      </c>
      <c r="B10" s="136">
        <f ca="1">_xll.RiskPercentile('Climate A'!I$221,H10)</f>
        <v>3.1408470158958148</v>
      </c>
      <c r="C10" s="136">
        <f ca="1">_xll.RiskPercentile('Climate B'!I$221,H10)</f>
        <v>2.9679232853797659</v>
      </c>
      <c r="D10" s="283">
        <f ca="1">_xll.RiskPercentile('Climate A-B'!I$221,H10)</f>
        <v>0.22968265453918857</v>
      </c>
      <c r="E10" s="176" t="s">
        <v>44</v>
      </c>
      <c r="F10" s="181"/>
      <c r="G10" s="175"/>
      <c r="H10">
        <v>0.95</v>
      </c>
    </row>
    <row r="11" spans="1:14" ht="13" x14ac:dyDescent="0.3">
      <c r="A11" s="174"/>
      <c r="B11" s="180"/>
      <c r="C11" s="180"/>
      <c r="D11" s="284"/>
      <c r="E11" s="181"/>
      <c r="F11" s="181"/>
      <c r="G11" s="175"/>
    </row>
    <row r="12" spans="1:14" x14ac:dyDescent="0.25">
      <c r="A12" s="176" t="s">
        <v>430</v>
      </c>
      <c r="B12" s="136">
        <f ca="1">_xll.RiskMean('Climate A'!I$221)</f>
        <v>2.7942214543551938</v>
      </c>
      <c r="C12" s="136">
        <f ca="1">_xll.RiskMean('Climate B'!I$221)</f>
        <v>2.6551941620963446</v>
      </c>
      <c r="D12" s="283">
        <f ca="1">_xll.RiskMean('Climate A-B'!I$221)</f>
        <v>0.13902729225884625</v>
      </c>
      <c r="E12" s="176" t="s">
        <v>44</v>
      </c>
      <c r="F12" s="282">
        <f ca="1">D12/C12</f>
        <v>5.2360499372701465E-2</v>
      </c>
      <c r="G12" s="175"/>
    </row>
    <row r="13" spans="1:14" x14ac:dyDescent="0.25">
      <c r="A13" s="176"/>
      <c r="B13" s="178"/>
      <c r="C13" s="178"/>
      <c r="D13" s="178"/>
      <c r="E13" s="176"/>
      <c r="F13" s="177"/>
      <c r="G13" s="175"/>
    </row>
    <row r="14" spans="1:14" ht="13" x14ac:dyDescent="0.3">
      <c r="A14" s="174" t="s">
        <v>499</v>
      </c>
      <c r="B14" s="180" t="s">
        <v>551</v>
      </c>
      <c r="C14" s="180" t="s">
        <v>552</v>
      </c>
      <c r="D14" s="180" t="s">
        <v>553</v>
      </c>
      <c r="E14" s="175"/>
      <c r="F14" s="177"/>
      <c r="G14" s="175"/>
    </row>
    <row r="15" spans="1:14" x14ac:dyDescent="0.25">
      <c r="A15" s="176" t="s">
        <v>504</v>
      </c>
      <c r="B15" s="136">
        <f ca="1">_xll.RiskPercentile('Climate A'!I$172,H6)</f>
        <v>1.2365348296143026</v>
      </c>
      <c r="C15" s="136">
        <f ca="1">_xll.RiskPercentile('Climate B'!I$172,H6)</f>
        <v>1.2035588397742165</v>
      </c>
      <c r="D15" s="136">
        <f ca="1">_xll.RiskPercentile('Climate A-B'!I$172,H6)</f>
        <v>2.8795915064170563E-2</v>
      </c>
      <c r="E15" s="175" t="s">
        <v>43</v>
      </c>
      <c r="F15" s="177"/>
      <c r="G15" s="175"/>
    </row>
    <row r="16" spans="1:14" x14ac:dyDescent="0.25">
      <c r="A16" s="176" t="s">
        <v>740</v>
      </c>
      <c r="B16" s="136">
        <f ca="1">_xll.RiskPercentile('Climate A'!I$172,H7)</f>
        <v>1.7185653868329187</v>
      </c>
      <c r="C16" s="136">
        <f ca="1">_xll.RiskPercentile('Climate B'!I$172,H7)</f>
        <v>1.658027985405039</v>
      </c>
      <c r="D16" s="136">
        <f ca="1">_xll.RiskPercentile('Climate A-B'!I$172,H7)</f>
        <v>5.4229355930436984E-2</v>
      </c>
      <c r="E16" s="175" t="s">
        <v>43</v>
      </c>
      <c r="F16" s="177"/>
      <c r="G16" s="175"/>
    </row>
    <row r="17" spans="1:7" x14ac:dyDescent="0.25">
      <c r="A17" s="176" t="s">
        <v>578</v>
      </c>
      <c r="B17" s="136">
        <f ca="1">_xll.RiskPercentile('Climate A'!I$172,H8)</f>
        <v>2.1000567085970427</v>
      </c>
      <c r="C17" s="136">
        <f ca="1">_xll.RiskPercentile('Climate B'!I$172,H8)</f>
        <v>2.0190108257683939</v>
      </c>
      <c r="D17" s="136">
        <f ca="1">_xll.RiskPercentile('Climate A-B'!I$172,H8)</f>
        <v>8.4330346556988012E-2</v>
      </c>
      <c r="E17" s="175" t="s">
        <v>43</v>
      </c>
      <c r="F17" s="177"/>
      <c r="G17" s="175"/>
    </row>
    <row r="18" spans="1:7" x14ac:dyDescent="0.25">
      <c r="A18" s="176" t="s">
        <v>741</v>
      </c>
      <c r="B18" s="136">
        <f ca="1">_xll.RiskPercentile('Climate A'!I$172,H9)</f>
        <v>2.5222314659846132</v>
      </c>
      <c r="C18" s="136">
        <f ca="1">_xll.RiskPercentile('Climate B'!I$172,H9)</f>
        <v>2.4043207951406118</v>
      </c>
      <c r="D18" s="136">
        <f ca="1">_xll.RiskPercentile('Climate A-B'!I$172,H9)</f>
        <v>0.12109454457365043</v>
      </c>
      <c r="E18" s="175" t="s">
        <v>43</v>
      </c>
      <c r="F18" s="177"/>
      <c r="G18" s="175"/>
    </row>
    <row r="19" spans="1:7" x14ac:dyDescent="0.25">
      <c r="A19" s="176" t="s">
        <v>505</v>
      </c>
      <c r="B19" s="136">
        <f ca="1">_xll.RiskPercentile('Climate A'!I$172,H10)</f>
        <v>3.0683182639106814</v>
      </c>
      <c r="C19" s="136">
        <f ca="1">_xll.RiskPercentile('Climate B'!I$172,H10)</f>
        <v>2.9094108229849631</v>
      </c>
      <c r="D19" s="136">
        <f ca="1">_xll.RiskPercentile('Climate A-B'!I$172,H10)</f>
        <v>0.18486163160412827</v>
      </c>
      <c r="E19" s="175" t="s">
        <v>43</v>
      </c>
      <c r="F19" s="177"/>
      <c r="G19" s="175"/>
    </row>
    <row r="20" spans="1:7" x14ac:dyDescent="0.25">
      <c r="A20" s="176"/>
      <c r="B20" s="180"/>
      <c r="C20" s="180"/>
      <c r="D20" s="180"/>
      <c r="E20" s="175"/>
      <c r="F20" s="177"/>
      <c r="G20" s="175"/>
    </row>
    <row r="21" spans="1:7" x14ac:dyDescent="0.25">
      <c r="A21" s="176" t="s">
        <v>430</v>
      </c>
      <c r="B21" s="136">
        <f ca="1">_xll.RiskMean('Climate A'!I$172)</f>
        <v>2.1321044595873193</v>
      </c>
      <c r="C21" s="136">
        <f ca="1">_xll.RiskMean('Climate B'!I$172)</f>
        <v>2.0393451955772282</v>
      </c>
      <c r="D21" s="136">
        <f ca="1">_xll.RiskMean('Climate A-B'!I$172)</f>
        <v>9.2759264010090062E-2</v>
      </c>
      <c r="E21" s="175" t="s">
        <v>43</v>
      </c>
      <c r="F21" s="177">
        <f ca="1">D21/C21</f>
        <v>4.548482729224021E-2</v>
      </c>
      <c r="G21" s="175"/>
    </row>
    <row r="22" spans="1:7" x14ac:dyDescent="0.25">
      <c r="A22" s="176"/>
      <c r="B22" s="178"/>
      <c r="C22" s="178"/>
      <c r="D22" s="178"/>
      <c r="E22" s="176"/>
      <c r="F22" s="177"/>
      <c r="G22" s="175"/>
    </row>
    <row r="23" spans="1:7" ht="13" x14ac:dyDescent="0.3">
      <c r="A23" s="174" t="s">
        <v>527</v>
      </c>
      <c r="B23" s="182" t="s">
        <v>528</v>
      </c>
      <c r="C23" s="182" t="s">
        <v>529</v>
      </c>
      <c r="D23" s="182" t="s">
        <v>530</v>
      </c>
      <c r="E23" s="176"/>
      <c r="F23" s="177"/>
      <c r="G23" s="175"/>
    </row>
    <row r="24" spans="1:7" x14ac:dyDescent="0.25">
      <c r="A24" s="176" t="s">
        <v>504</v>
      </c>
      <c r="B24" s="183">
        <f ca="1">_xll.RiskPercentile('Climate A'!I$191,H6)</f>
        <v>0.63465471851016664</v>
      </c>
      <c r="C24" s="183">
        <f ca="1">_xll.RiskPercentile('Climate B'!I$191,H6)</f>
        <v>0.62492497187666241</v>
      </c>
      <c r="D24" s="183">
        <f ca="1">_xll.RiskPercentile('Climate A-B'!I$191,H6)</f>
        <v>5.2248102532709284E-3</v>
      </c>
      <c r="E24" s="176" t="s">
        <v>182</v>
      </c>
      <c r="F24" s="177"/>
      <c r="G24" s="175"/>
    </row>
    <row r="25" spans="1:7" x14ac:dyDescent="0.25">
      <c r="A25" s="176" t="s">
        <v>740</v>
      </c>
      <c r="B25" s="183">
        <f ca="1">_xll.RiskPercentile('Climate A'!I$191,H7)</f>
        <v>0.82604578216579927</v>
      </c>
      <c r="C25" s="183">
        <f ca="1">_xll.RiskPercentile('Climate B'!I$191,H7)</f>
        <v>0.81428108304849234</v>
      </c>
      <c r="D25" s="183">
        <f ca="1">_xll.RiskPercentile('Climate A-B'!I$191,H7)</f>
        <v>1.0302889657268666E-2</v>
      </c>
      <c r="E25" s="176" t="s">
        <v>182</v>
      </c>
      <c r="F25" s="177"/>
      <c r="G25" s="175"/>
    </row>
    <row r="26" spans="1:7" x14ac:dyDescent="0.25">
      <c r="A26" s="176" t="s">
        <v>578</v>
      </c>
      <c r="B26" s="183">
        <f ca="1">_xll.RiskPercentile('Climate A'!I$191,H8)</f>
        <v>1.0062179973610179</v>
      </c>
      <c r="C26" s="183">
        <f ca="1">_xll.RiskPercentile('Climate B'!I$191,H8)</f>
        <v>0.98791196337694975</v>
      </c>
      <c r="D26" s="183">
        <f ca="1">_xll.RiskPercentile('Climate A-B'!I$191,H8)</f>
        <v>1.6831932407374017E-2</v>
      </c>
      <c r="E26" s="176" t="s">
        <v>182</v>
      </c>
      <c r="F26" s="177"/>
      <c r="G26" s="175"/>
    </row>
    <row r="27" spans="1:7" x14ac:dyDescent="0.25">
      <c r="A27" s="176" t="s">
        <v>741</v>
      </c>
      <c r="B27" s="183">
        <f ca="1">_xll.RiskPercentile('Climate A'!I$191,H9)</f>
        <v>1.2431046496494931</v>
      </c>
      <c r="C27" s="183">
        <f ca="1">_xll.RiskPercentile('Climate B'!I$191,H9)</f>
        <v>1.2194456183487363</v>
      </c>
      <c r="D27" s="183">
        <f ca="1">_xll.RiskPercentile('Climate A-B'!I$191,H9)</f>
        <v>2.5844610994620321E-2</v>
      </c>
      <c r="E27" s="176" t="s">
        <v>182</v>
      </c>
      <c r="F27" s="177"/>
      <c r="G27" s="175"/>
    </row>
    <row r="28" spans="1:7" x14ac:dyDescent="0.25">
      <c r="A28" s="176" t="s">
        <v>505</v>
      </c>
      <c r="B28" s="183">
        <f ca="1">_xll.RiskPercentile('Climate A'!I$191,H10)</f>
        <v>1.6407207672677337</v>
      </c>
      <c r="C28" s="183">
        <f ca="1">_xll.RiskPercentile('Climate B'!I$191,H10)</f>
        <v>1.6080179719031704</v>
      </c>
      <c r="D28" s="183">
        <f ca="1">_xll.RiskPercentile('Climate A-B'!I$191,H10)</f>
        <v>4.6135135700058671E-2</v>
      </c>
      <c r="E28" s="176" t="s">
        <v>182</v>
      </c>
      <c r="F28" s="177"/>
      <c r="G28" s="175"/>
    </row>
    <row r="29" spans="1:7" ht="13" x14ac:dyDescent="0.3">
      <c r="A29" s="174"/>
      <c r="B29" s="183"/>
      <c r="C29" s="183"/>
      <c r="D29" s="183"/>
      <c r="E29" s="176"/>
      <c r="F29" s="177"/>
      <c r="G29" s="175"/>
    </row>
    <row r="30" spans="1:7" x14ac:dyDescent="0.25">
      <c r="A30" s="176" t="s">
        <v>430</v>
      </c>
      <c r="B30" s="183">
        <f ca="1">_xll.RiskMean('Climate A'!I$191)</f>
        <v>1.0627187527460251</v>
      </c>
      <c r="C30" s="183">
        <f ca="1">_xll.RiskMean('Climate B'!I$191)</f>
        <v>1.0426626271847763</v>
      </c>
      <c r="D30" s="183">
        <f ca="1">_xll.RiskMean('Climate A-B'!I$191)</f>
        <v>2.0056125561249097E-2</v>
      </c>
      <c r="E30" s="176" t="s">
        <v>182</v>
      </c>
      <c r="F30" s="177">
        <f ca="1">D30/C30</f>
        <v>1.9235489062652319E-2</v>
      </c>
      <c r="G30" s="175"/>
    </row>
    <row r="31" spans="1:7" ht="13" x14ac:dyDescent="0.3">
      <c r="A31" s="306" t="str">
        <f xml:space="preserve"> IF(WORLDB_GDPPOP_SWITCH = 1, IF(EQUITY_SWITCH = 1, "WARNING: Worlds A and B use separate GDP and POP scenarios. The equity-weighted results require further interpretation.", "WARNING: Worlds A and B use separate GDP and POP scenarios."), "NOTE: Worlds A and B use the same GDP and POP scenarios")</f>
        <v>NOTE: Worlds A and B use the same GDP and POP scenarios</v>
      </c>
      <c r="B31" s="175"/>
      <c r="C31" s="175"/>
      <c r="D31" s="175"/>
      <c r="E31" s="175"/>
      <c r="F31" s="177"/>
      <c r="G31" s="175"/>
    </row>
    <row r="32" spans="1:7" ht="13" x14ac:dyDescent="0.3">
      <c r="A32" s="174" t="s">
        <v>500</v>
      </c>
      <c r="B32" s="180" t="s">
        <v>795</v>
      </c>
      <c r="C32" s="180" t="s">
        <v>796</v>
      </c>
      <c r="D32" s="180" t="s">
        <v>797</v>
      </c>
      <c r="E32" s="175"/>
      <c r="F32" s="177"/>
      <c r="G32" s="175"/>
    </row>
    <row r="33" spans="1:7" x14ac:dyDescent="0.25">
      <c r="A33" s="176" t="s">
        <v>504</v>
      </c>
      <c r="B33" s="184">
        <f ca="1" xml:space="preserve"> _xll.RiskPercentile(te_a,H6) / 10^6</f>
        <v>280.04365610847077</v>
      </c>
      <c r="C33" s="184">
        <f ca="1" xml:space="preserve"> _xll.RiskPercentile(te_b,H6) / 10^6</f>
        <v>274.37056174571802</v>
      </c>
      <c r="D33" s="185">
        <f ca="1" xml:space="preserve"> _xll.RiskPercentile(te_ab,H6) / 10^6</f>
        <v>3.6550316124608515</v>
      </c>
      <c r="E33" s="176" t="s">
        <v>498</v>
      </c>
      <c r="F33" s="177"/>
      <c r="G33" s="175"/>
    </row>
    <row r="34" spans="1:7" x14ac:dyDescent="0.25">
      <c r="A34" s="176" t="s">
        <v>740</v>
      </c>
      <c r="B34" s="184">
        <f ca="1" xml:space="preserve"> _xll.RiskPercentile(te_a,H7) / 10^6</f>
        <v>401.04372090116595</v>
      </c>
      <c r="C34" s="184">
        <f ca="1" xml:space="preserve"> _xll.RiskPercentile(te_b,H7) / 10^6</f>
        <v>387.28784210096438</v>
      </c>
      <c r="D34" s="185">
        <f ca="1" xml:space="preserve"> _xll.RiskPercentile(te_ab,H7) / 10^6</f>
        <v>9.4675686815448401</v>
      </c>
      <c r="E34" s="176" t="s">
        <v>498</v>
      </c>
      <c r="F34" s="177"/>
      <c r="G34" s="175"/>
    </row>
    <row r="35" spans="1:7" x14ac:dyDescent="0.25">
      <c r="A35" s="176" t="s">
        <v>578</v>
      </c>
      <c r="B35" s="184">
        <f ca="1" xml:space="preserve"> _xll.RiskPercentile(te_a,H8) / 10^6</f>
        <v>558.65576895976665</v>
      </c>
      <c r="C35" s="184">
        <f ca="1" xml:space="preserve"> _xll.RiskPercentile(te_b,H8) / 10^6</f>
        <v>533.90517058127023</v>
      </c>
      <c r="D35" s="185">
        <f ca="1" xml:space="preserve"> _xll.RiskPercentile(te_ab,H8) / 10^6</f>
        <v>19.0270449074834</v>
      </c>
      <c r="E35" s="176" t="s">
        <v>498</v>
      </c>
      <c r="F35" s="177"/>
      <c r="G35" s="175"/>
    </row>
    <row r="36" spans="1:7" x14ac:dyDescent="0.25">
      <c r="A36" s="176" t="s">
        <v>741</v>
      </c>
      <c r="B36" s="184">
        <f ca="1" xml:space="preserve"> _xll.RiskPercentile(te_a,H9) / 10^6</f>
        <v>770.06902451977635</v>
      </c>
      <c r="C36" s="184">
        <f ca="1" xml:space="preserve"> _xll.RiskPercentile(te_b,H9) / 10^6</f>
        <v>732.71664339065057</v>
      </c>
      <c r="D36" s="185">
        <f ca="1" xml:space="preserve"> _xll.RiskPercentile(te_ab,H9) / 10^6</f>
        <v>37.327161522303108</v>
      </c>
      <c r="E36" s="176" t="s">
        <v>498</v>
      </c>
      <c r="F36" s="177"/>
      <c r="G36" s="175"/>
    </row>
    <row r="37" spans="1:7" x14ac:dyDescent="0.25">
      <c r="A37" s="176" t="s">
        <v>505</v>
      </c>
      <c r="B37" s="184">
        <f ca="1" xml:space="preserve"> _xll.RiskPercentile(te_a,H10) / 10^6</f>
        <v>1296.0219413947993</v>
      </c>
      <c r="C37" s="184">
        <f ca="1" xml:space="preserve"> _xll.RiskPercentile(te_b,H10) / 10^6</f>
        <v>1203.7673282398282</v>
      </c>
      <c r="D37" s="185">
        <f ca="1" xml:space="preserve"> _xll.RiskPercentile(te_ab,H10) / 10^6</f>
        <v>97.480899589412687</v>
      </c>
      <c r="E37" s="176" t="s">
        <v>498</v>
      </c>
      <c r="F37" s="177"/>
      <c r="G37" s="175"/>
    </row>
    <row r="38" spans="1:7" ht="13" x14ac:dyDescent="0.3">
      <c r="A38" s="306" t="str">
        <f xml:space="preserve"> IF(WORLDB_GDPPOP_SWITCH = 1, IF(EQUITY_SWITCH = 1, "WARNING: Worlds A and B use separate GDP and POP scenarios. The equity-weighted results require further interpretation.", "WARNING: Worlds A and B use separate GDP and POP scenarios."), "NOTE: Worlds A and B use the same GDP and POP scenarios")</f>
        <v>NOTE: Worlds A and B use the same GDP and POP scenarios</v>
      </c>
      <c r="B38" s="186"/>
      <c r="C38" s="186"/>
      <c r="D38" s="187"/>
      <c r="E38" s="175"/>
      <c r="F38" s="177"/>
      <c r="G38" s="175"/>
    </row>
    <row r="39" spans="1:7" x14ac:dyDescent="0.25">
      <c r="A39" s="176" t="s">
        <v>430</v>
      </c>
      <c r="B39" s="184">
        <f ca="1">_xll.RiskMean(te_a)/10^6</f>
        <v>641.26603843418479</v>
      </c>
      <c r="C39" s="184">
        <f ca="1">_xll.RiskMean(te_b)/10^6</f>
        <v>608.51432403303988</v>
      </c>
      <c r="D39" s="185">
        <f ca="1">_xll.RiskMean(te_ab)/10^6</f>
        <v>32.751714401143765</v>
      </c>
      <c r="E39" s="176" t="s">
        <v>498</v>
      </c>
      <c r="F39" s="177">
        <f ca="1">D39/C39</f>
        <v>5.3822421441250212E-2</v>
      </c>
      <c r="G39" s="175"/>
    </row>
    <row r="40" spans="1:7" x14ac:dyDescent="0.25">
      <c r="A40" s="176" t="s">
        <v>584</v>
      </c>
      <c r="B40" s="178"/>
      <c r="C40" s="178"/>
      <c r="D40" s="136">
        <f ca="1">_xll.RiskCIMean(te_ab,0.9,TRUE)/10^6</f>
        <v>30.369034653966956</v>
      </c>
      <c r="E40" s="176" t="s">
        <v>498</v>
      </c>
      <c r="F40" s="175"/>
      <c r="G40" s="175"/>
    </row>
    <row r="41" spans="1:7" x14ac:dyDescent="0.25">
      <c r="A41" s="176" t="s">
        <v>585</v>
      </c>
      <c r="B41" s="176"/>
      <c r="C41" s="176"/>
      <c r="D41" s="195">
        <f ca="1">_xll.RiskCIMean(te_ab,0.9,FALSE)/10^6</f>
        <v>35.134394148320581</v>
      </c>
      <c r="E41" s="176" t="s">
        <v>498</v>
      </c>
      <c r="F41" s="176"/>
      <c r="G41" s="175"/>
    </row>
    <row r="42" spans="1:7" x14ac:dyDescent="0.25">
      <c r="A42" s="176" t="s">
        <v>586</v>
      </c>
      <c r="B42" s="176"/>
      <c r="C42" s="176"/>
      <c r="D42" s="196">
        <f ca="1" xml:space="preserve"> IF(D39=0, 0, ABS((D41-D40)/D39))</f>
        <v>0.1454995435044221</v>
      </c>
      <c r="E42" s="176"/>
      <c r="F42" s="176"/>
      <c r="G42" s="175"/>
    </row>
    <row r="43" spans="1:7" x14ac:dyDescent="0.25">
      <c r="A43" s="176"/>
      <c r="B43" s="176"/>
      <c r="C43" s="176"/>
      <c r="D43" s="176"/>
      <c r="E43" s="176"/>
      <c r="F43" s="176"/>
      <c r="G43" s="175"/>
    </row>
    <row r="44" spans="1:7" ht="13" x14ac:dyDescent="0.3">
      <c r="A44" s="174" t="str">
        <f>"SCCO2 in "&amp;Y_SCC</f>
        <v>SCCO2 in 2020</v>
      </c>
      <c r="B44" s="178"/>
      <c r="C44" s="178"/>
      <c r="D44" s="178"/>
      <c r="E44" s="178"/>
      <c r="F44" s="175"/>
      <c r="G44" s="175"/>
    </row>
    <row r="45" spans="1:7" x14ac:dyDescent="0.25">
      <c r="A45" s="176" t="s">
        <v>504</v>
      </c>
      <c r="B45" s="178"/>
      <c r="C45" s="178"/>
      <c r="D45" s="178">
        <f ca="1">_xll.RiskPercentile(SCCO2,H6)</f>
        <v>0</v>
      </c>
      <c r="E45" s="179" t="str">
        <f>'Impacts A-B'!N$443</f>
        <v>$(2015) per tonCO2</v>
      </c>
      <c r="F45" s="175"/>
      <c r="G45" s="175"/>
    </row>
    <row r="46" spans="1:7" x14ac:dyDescent="0.25">
      <c r="A46" s="176" t="s">
        <v>740</v>
      </c>
      <c r="B46" s="178"/>
      <c r="C46" s="178"/>
      <c r="D46" s="178">
        <f ca="1">_xll.RiskPercentile(SCCO2,H7)</f>
        <v>0</v>
      </c>
      <c r="E46" s="179" t="str">
        <f>'Impacts A-B'!N$443</f>
        <v>$(2015) per tonCO2</v>
      </c>
      <c r="F46" s="175"/>
      <c r="G46" s="175"/>
    </row>
    <row r="47" spans="1:7" x14ac:dyDescent="0.25">
      <c r="A47" s="176" t="s">
        <v>578</v>
      </c>
      <c r="B47" s="178"/>
      <c r="C47" s="178"/>
      <c r="D47" s="178">
        <f ca="1">_xll.RiskPercentile(SCCO2,H8)</f>
        <v>0</v>
      </c>
      <c r="E47" s="179" t="str">
        <f>'Impacts A-B'!N$443</f>
        <v>$(2015) per tonCO2</v>
      </c>
      <c r="F47" s="175"/>
      <c r="G47" s="175"/>
    </row>
    <row r="48" spans="1:7" x14ac:dyDescent="0.25">
      <c r="A48" s="176" t="s">
        <v>741</v>
      </c>
      <c r="B48" s="178"/>
      <c r="C48" s="178"/>
      <c r="D48" s="178">
        <f ca="1">_xll.RiskPercentile(SCCO2,H9)</f>
        <v>0</v>
      </c>
      <c r="E48" s="179" t="str">
        <f>'Impacts A-B'!N$443</f>
        <v>$(2015) per tonCO2</v>
      </c>
      <c r="F48" s="175"/>
      <c r="G48" s="175"/>
    </row>
    <row r="49" spans="1:13" x14ac:dyDescent="0.25">
      <c r="A49" s="176" t="s">
        <v>505</v>
      </c>
      <c r="B49" s="178"/>
      <c r="C49" s="178"/>
      <c r="D49" s="178">
        <f ca="1">_xll.RiskPercentile(SCCO2,H10)</f>
        <v>0</v>
      </c>
      <c r="E49" s="179" t="str">
        <f>'Impacts A-B'!N$443</f>
        <v>$(2015) per tonCO2</v>
      </c>
      <c r="F49" s="175"/>
      <c r="G49" s="175"/>
    </row>
    <row r="50" spans="1:13" ht="13" x14ac:dyDescent="0.3">
      <c r="A50" s="174"/>
      <c r="B50" s="178"/>
      <c r="C50" s="178"/>
      <c r="D50" s="178"/>
      <c r="E50" s="179"/>
      <c r="F50" s="175"/>
      <c r="G50" s="175"/>
    </row>
    <row r="51" spans="1:13" x14ac:dyDescent="0.25">
      <c r="A51" s="176" t="s">
        <v>430</v>
      </c>
      <c r="B51" s="175"/>
      <c r="C51" s="175"/>
      <c r="D51" s="179">
        <f ca="1">_xll.RiskMean(SCCO2)</f>
        <v>0</v>
      </c>
      <c r="E51" s="179" t="str">
        <f>'Impacts A-B'!N$443</f>
        <v>$(2015) per tonCO2</v>
      </c>
      <c r="F51" s="175"/>
      <c r="G51" s="175"/>
    </row>
    <row r="52" spans="1:13" x14ac:dyDescent="0.25">
      <c r="A52" s="176" t="s">
        <v>584</v>
      </c>
      <c r="B52" s="175"/>
      <c r="C52" s="175"/>
      <c r="D52" s="179">
        <f ca="1">_xll.RiskCIMean(SCCO2,0.9,TRUE)</f>
        <v>0</v>
      </c>
      <c r="E52" s="179" t="str">
        <f>'Impacts A-B'!N$443</f>
        <v>$(2015) per tonCO2</v>
      </c>
      <c r="F52" s="175"/>
      <c r="G52" s="175"/>
    </row>
    <row r="53" spans="1:13" x14ac:dyDescent="0.25">
      <c r="A53" s="176" t="s">
        <v>585</v>
      </c>
      <c r="B53" s="175"/>
      <c r="C53" s="175"/>
      <c r="D53" s="179">
        <f ca="1">_xll.RiskCIMean(SCCO2,0.9,FALSE)</f>
        <v>0</v>
      </c>
      <c r="E53" s="179" t="str">
        <f>'Impacts A-B'!N$443</f>
        <v>$(2015) per tonCO2</v>
      </c>
      <c r="F53" s="175"/>
      <c r="G53" s="175"/>
    </row>
    <row r="54" spans="1:13" x14ac:dyDescent="0.25">
      <c r="A54" s="176" t="s">
        <v>586</v>
      </c>
      <c r="B54" s="175"/>
      <c r="C54" s="175"/>
      <c r="D54" s="196">
        <f ca="1" xml:space="preserve"> IF(D51=0, 0, ABS((D53-D52)/D51))</f>
        <v>0</v>
      </c>
      <c r="E54" s="179"/>
      <c r="F54" s="175"/>
      <c r="G54" s="175"/>
    </row>
    <row r="55" spans="1:13" x14ac:dyDescent="0.25">
      <c r="A55" s="3"/>
      <c r="B55" s="3"/>
      <c r="C55" s="3"/>
    </row>
    <row r="56" spans="1:13" x14ac:dyDescent="0.25">
      <c r="B56" s="3"/>
      <c r="C56" s="3"/>
    </row>
    <row r="57" spans="1:13" ht="13" x14ac:dyDescent="0.3">
      <c r="A57" s="174" t="str">
        <f xml:space="preserve"> "Scenario = {"&amp;SCENARIO_PAIR&amp;"}, Experiment = {"&amp;EXPERIMENT&amp;"}, Economic Impacts = {"&amp;ECON_IMPF&amp;"}"</f>
        <v>Scenario = {2 degC Target}, Experiment = {Nonlinear PCF &amp; SAF}, Economic Impacts = {Burke, Pulled, Lag=1, Consum-Only}</v>
      </c>
      <c r="B57" s="174"/>
      <c r="C57" s="174"/>
      <c r="D57" s="174"/>
      <c r="E57" s="174"/>
      <c r="F57" s="174"/>
      <c r="G57" s="174"/>
    </row>
    <row r="58" spans="1:13" ht="13" x14ac:dyDescent="0.3">
      <c r="A58" s="2" t="s">
        <v>576</v>
      </c>
    </row>
    <row r="59" spans="1:13" x14ac:dyDescent="0.25">
      <c r="B59">
        <f>Y_0</f>
        <v>2015</v>
      </c>
      <c r="C59">
        <f t="array" ref="C59:L59">Y</f>
        <v>2020</v>
      </c>
      <c r="D59">
        <v>2030</v>
      </c>
      <c r="E59">
        <v>2040</v>
      </c>
      <c r="F59">
        <v>2050</v>
      </c>
      <c r="G59">
        <v>2075</v>
      </c>
      <c r="H59">
        <v>2100</v>
      </c>
      <c r="I59">
        <v>2150</v>
      </c>
      <c r="J59">
        <v>2200</v>
      </c>
      <c r="K59">
        <v>2250</v>
      </c>
      <c r="L59">
        <v>2300</v>
      </c>
    </row>
    <row r="60" spans="1:13" x14ac:dyDescent="0.25">
      <c r="A60" s="3" t="s">
        <v>604</v>
      </c>
      <c r="B60" s="1">
        <f ca="1">_xll.RiskMean('Climate A'!C73)</f>
        <v>2034996.3213565676</v>
      </c>
      <c r="C60" s="1">
        <f ca="1">_xll.RiskMean('Climate A'!D73)</f>
        <v>2212158.5040956521</v>
      </c>
      <c r="D60" s="1">
        <f ca="1">_xll.RiskMean('Climate A'!E73)</f>
        <v>2559494.2724282271</v>
      </c>
      <c r="E60" s="1">
        <f ca="1">_xll.RiskMean('Climate A'!F73)</f>
        <v>2798940.8650077377</v>
      </c>
      <c r="F60" s="1">
        <f ca="1">_xll.RiskMean('Climate A'!G73)</f>
        <v>2950282.0884694443</v>
      </c>
      <c r="G60" s="1">
        <f ca="1">_xll.RiskMean('Climate A'!H73)</f>
        <v>3106793.5999000836</v>
      </c>
      <c r="H60" s="1">
        <f ca="1">_xll.RiskMean('Climate A'!I73)</f>
        <v>3087419.2795566181</v>
      </c>
      <c r="I60" s="1">
        <f ca="1">_xll.RiskMean('Climate A'!J73)</f>
        <v>2984872.9317747867</v>
      </c>
      <c r="J60" s="1">
        <f ca="1">_xll.RiskMean('Climate A'!K73)</f>
        <v>2882326.5839929502</v>
      </c>
      <c r="K60" s="1">
        <f ca="1">_xll.RiskMean('Climate A'!L73)</f>
        <v>2779780.2362111141</v>
      </c>
      <c r="L60" s="1">
        <f ca="1">_xll.RiskMean('Climate A'!M73)</f>
        <v>2677233.8884292804</v>
      </c>
      <c r="M60" s="3" t="s">
        <v>501</v>
      </c>
    </row>
    <row r="61" spans="1:13" x14ac:dyDescent="0.25">
      <c r="A61" s="3"/>
      <c r="C61" s="1"/>
      <c r="D61" s="1"/>
      <c r="E61" s="1"/>
      <c r="F61" s="1"/>
      <c r="G61" s="1"/>
      <c r="H61" s="1"/>
      <c r="I61" s="1"/>
      <c r="J61" s="1"/>
      <c r="K61" s="1"/>
      <c r="L61" s="1"/>
      <c r="M61" s="3"/>
    </row>
    <row r="62" spans="1:13" x14ac:dyDescent="0.25">
      <c r="A62" s="3" t="s">
        <v>641</v>
      </c>
      <c r="B62" s="58">
        <f ca="1">_xll.RiskMean('Climate A'!C91)</f>
        <v>400859.58333332941</v>
      </c>
      <c r="C62" s="58">
        <f ca="1">_xll.RiskMean('Climate A'!D91)</f>
        <v>416584.58020573563</v>
      </c>
      <c r="D62" s="58">
        <f ca="1">_xll.RiskMean('Climate A'!E91)</f>
        <v>439495.88302202802</v>
      </c>
      <c r="E62" s="58">
        <f ca="1">_xll.RiskMean('Climate A'!F91)</f>
        <v>450853.28631465673</v>
      </c>
      <c r="F62" s="58">
        <f ca="1">_xll.RiskMean('Climate A'!G91)</f>
        <v>454579.29766240262</v>
      </c>
      <c r="G62" s="58">
        <f ca="1">_xll.RiskMean('Climate A'!H91)</f>
        <v>449645.46210089343</v>
      </c>
      <c r="H62" s="58">
        <f ca="1">_xll.RiskMean('Climate A'!I91)</f>
        <v>435145.86952016019</v>
      </c>
      <c r="I62" s="58">
        <f ca="1">_xll.RiskMean('Climate A'!J91)</f>
        <v>414535.45351886371</v>
      </c>
      <c r="J62" s="58">
        <f ca="1">_xll.RiskMean('Climate A'!K91)</f>
        <v>400570.0848462776</v>
      </c>
      <c r="K62" s="58">
        <f ca="1">_xll.RiskMean('Climate A'!L91)</f>
        <v>389190.6539437715</v>
      </c>
      <c r="L62" s="58">
        <f ca="1">_xll.RiskMean('Climate A'!M91)</f>
        <v>379281.3976029203</v>
      </c>
      <c r="M62" s="58" t="str">
        <f>'Base data'!$F$13</f>
        <v>ppb</v>
      </c>
    </row>
    <row r="63" spans="1:13" ht="13" x14ac:dyDescent="0.3">
      <c r="A63" s="212" t="s">
        <v>643</v>
      </c>
      <c r="B63" s="4"/>
      <c r="C63" s="4"/>
      <c r="D63" s="4"/>
      <c r="E63" s="4"/>
      <c r="F63" s="4"/>
      <c r="G63" s="4"/>
      <c r="H63" s="4"/>
      <c r="I63" s="4"/>
      <c r="J63" s="4"/>
      <c r="K63" s="4"/>
      <c r="L63" s="4"/>
      <c r="M63" s="4"/>
    </row>
    <row r="64" spans="1:13" ht="13" x14ac:dyDescent="0.3">
      <c r="A64" s="173" t="s">
        <v>638</v>
      </c>
      <c r="B64" s="4"/>
      <c r="C64" s="173">
        <v>412067.83</v>
      </c>
      <c r="D64" s="173">
        <v>430783.14999999997</v>
      </c>
      <c r="E64" s="173">
        <v>440222.39999999997</v>
      </c>
      <c r="F64" s="173">
        <v>442700.46</v>
      </c>
      <c r="G64" s="173">
        <v>434595</v>
      </c>
      <c r="H64" s="173">
        <v>420895.46</v>
      </c>
      <c r="I64" s="173">
        <v>399141.31</v>
      </c>
      <c r="J64" s="173">
        <v>383717.78</v>
      </c>
      <c r="K64" s="173">
        <v>371442.54000000004</v>
      </c>
      <c r="L64" s="173">
        <v>360665.57999999996</v>
      </c>
      <c r="M64" s="173" t="str">
        <f>'Base data'!$F$13</f>
        <v>ppb</v>
      </c>
    </row>
    <row r="65" spans="1:16" ht="13" x14ac:dyDescent="0.3">
      <c r="A65" s="173" t="s">
        <v>639</v>
      </c>
      <c r="B65" s="4"/>
      <c r="C65" s="173">
        <v>411128.68</v>
      </c>
      <c r="D65" s="173">
        <v>435045.93999999994</v>
      </c>
      <c r="E65" s="173">
        <v>460844.99</v>
      </c>
      <c r="F65" s="173">
        <v>486535.32</v>
      </c>
      <c r="G65" s="173">
        <v>529027.18000000005</v>
      </c>
      <c r="H65" s="173">
        <v>538358.29999999993</v>
      </c>
      <c r="I65" s="173">
        <v>542955.32000000007</v>
      </c>
      <c r="J65" s="173">
        <v>542955.32000000007</v>
      </c>
      <c r="K65" s="173">
        <v>542955.32000000007</v>
      </c>
      <c r="L65" s="173">
        <v>542955.32000000007</v>
      </c>
      <c r="M65" s="173" t="str">
        <f>'Base data'!$F$13</f>
        <v>ppb</v>
      </c>
    </row>
    <row r="66" spans="1:16" ht="13" x14ac:dyDescent="0.3">
      <c r="A66" s="173" t="s">
        <v>640</v>
      </c>
      <c r="B66" s="4"/>
      <c r="C66" s="173">
        <v>415780.22</v>
      </c>
      <c r="D66" s="173">
        <v>448834.85000000003</v>
      </c>
      <c r="E66" s="173">
        <v>489435.45</v>
      </c>
      <c r="F66" s="173">
        <v>540542.78999999992</v>
      </c>
      <c r="G66" s="173">
        <v>717015.48</v>
      </c>
      <c r="H66" s="173">
        <v>935874.37</v>
      </c>
      <c r="I66" s="173">
        <v>1429396.9</v>
      </c>
      <c r="J66" s="173">
        <v>1829055.5999999999</v>
      </c>
      <c r="K66" s="173">
        <v>1961577.4</v>
      </c>
      <c r="L66" s="173">
        <v>1961577.4</v>
      </c>
      <c r="M66" s="173" t="str">
        <f>'Base data'!$F$13</f>
        <v>ppb</v>
      </c>
      <c r="P66" s="6"/>
    </row>
    <row r="67" spans="1:16" x14ac:dyDescent="0.25">
      <c r="A67" s="3"/>
      <c r="C67" s="1"/>
      <c r="D67" s="1"/>
      <c r="E67" s="1"/>
      <c r="F67" s="1"/>
      <c r="G67" s="1"/>
      <c r="H67" s="1"/>
      <c r="I67" s="1"/>
      <c r="J67" s="1"/>
      <c r="K67" s="1"/>
      <c r="L67" s="1"/>
      <c r="M67" s="3"/>
      <c r="P67" s="57"/>
    </row>
    <row r="68" spans="1:16" x14ac:dyDescent="0.25">
      <c r="A68" s="3" t="s">
        <v>642</v>
      </c>
      <c r="B68" s="6"/>
      <c r="C68" s="6">
        <f ca="1">_xll.RiskMean('Climate A'!D$161)</f>
        <v>2.9755681754786885</v>
      </c>
      <c r="D68" s="6">
        <f ca="1">_xll.RiskMean('Climate A'!E$161)</f>
        <v>3.1998988837103379</v>
      </c>
      <c r="E68" s="6">
        <f ca="1">_xll.RiskMean('Climate A'!F$161)</f>
        <v>3.2264454136330589</v>
      </c>
      <c r="F68" s="6">
        <f ca="1">_xll.RiskMean('Climate A'!G$161)</f>
        <v>3.1694887999777972</v>
      </c>
      <c r="G68" s="6">
        <f ca="1">_xll.RiskMean('Climate A'!H$161)</f>
        <v>2.9974801988257518</v>
      </c>
      <c r="H68" s="160">
        <f ca="1">_xll.RiskMean('Climate A'!I$161)</f>
        <v>2.783546757312342</v>
      </c>
      <c r="I68" s="6">
        <f ca="1">_xll.RiskMean('Climate A'!J$161)</f>
        <v>2.5001503902508841</v>
      </c>
      <c r="J68" s="6">
        <f ca="1">_xll.RiskMean('Climate A'!K$161)</f>
        <v>2.3168561939618684</v>
      </c>
      <c r="K68" s="6">
        <f ca="1">_xll.RiskMean('Climate A'!L$161)</f>
        <v>2.1631573504290942</v>
      </c>
      <c r="L68" s="6">
        <f ca="1">_xll.RiskMean('Climate A'!M$161)</f>
        <v>2.0250199331574654</v>
      </c>
      <c r="M68" s="3" t="s">
        <v>44</v>
      </c>
      <c r="P68" s="6"/>
    </row>
    <row r="69" spans="1:16" x14ac:dyDescent="0.25">
      <c r="A69" s="3"/>
      <c r="B69" s="6"/>
      <c r="C69" s="6"/>
      <c r="D69" s="6"/>
      <c r="E69" s="6"/>
      <c r="F69" s="6"/>
      <c r="G69" s="6"/>
      <c r="H69" s="6"/>
      <c r="I69" s="6"/>
      <c r="J69" s="6"/>
      <c r="K69" s="6"/>
      <c r="L69" s="6"/>
      <c r="M69" s="3"/>
    </row>
    <row r="70" spans="1:16" x14ac:dyDescent="0.25">
      <c r="A70" s="3" t="s">
        <v>531</v>
      </c>
      <c r="B70" s="6">
        <f ca="1">RT_G_0</f>
        <v>0.94616666666666671</v>
      </c>
      <c r="C70" s="6">
        <f ca="1">_xll.RiskMean('Climate A'!D$172)</f>
        <v>1.1009056192677165</v>
      </c>
      <c r="D70" s="6">
        <f ca="1">_xll.RiskMean('Climate A'!E$172)</f>
        <v>1.5299212758617144</v>
      </c>
      <c r="E70" s="6">
        <f ca="1">_xll.RiskMean('Climate A'!F$172)</f>
        <v>1.7976742290886745</v>
      </c>
      <c r="F70" s="6">
        <f ca="1">_xll.RiskMean('Climate A'!G$172)</f>
        <v>1.9649506977411788</v>
      </c>
      <c r="G70" s="6">
        <f ca="1">_xll.RiskMean('Climate A'!H$172)</f>
        <v>2.133891334794713</v>
      </c>
      <c r="H70" s="160">
        <f ca="1">_xll.RiskMean('Climate A'!I$172)</f>
        <v>2.1321044595873193</v>
      </c>
      <c r="I70" s="6">
        <f ca="1">_xll.RiskMean('Climate A'!J$172)</f>
        <v>1.9112954980783501</v>
      </c>
      <c r="J70" s="6">
        <f ca="1">_xll.RiskMean('Climate A'!K$172)</f>
        <v>1.7650735698548121</v>
      </c>
      <c r="K70" s="6">
        <f ca="1">_xll.RiskMean('Climate A'!L$172)</f>
        <v>1.667559375282083</v>
      </c>
      <c r="L70" s="6">
        <f ca="1">_xll.RiskMean('Climate A'!M$172)</f>
        <v>1.5676886004434867</v>
      </c>
      <c r="M70" s="3" t="s">
        <v>43</v>
      </c>
      <c r="N70" s="3" t="s">
        <v>540</v>
      </c>
      <c r="O70" s="160">
        <f ca="1">MAX(B70:L70)</f>
        <v>2.133891334794713</v>
      </c>
      <c r="P70" s="3" t="s">
        <v>43</v>
      </c>
    </row>
    <row r="71" spans="1:16" x14ac:dyDescent="0.25">
      <c r="A71" t="s">
        <v>533</v>
      </c>
      <c r="B71" s="6">
        <f ca="1" xml:space="preserve"> RT_G_0</f>
        <v>0.94616666666666671</v>
      </c>
      <c r="C71" s="6">
        <f ca="1">_xll.RiskPercentile('Climate A'!D$172,0.5)</f>
        <v>1.1035560127643511</v>
      </c>
      <c r="D71" s="6">
        <f ca="1">_xll.RiskPercentile('Climate A'!E$172,0.5)</f>
        <v>1.5274558390626443</v>
      </c>
      <c r="E71" s="6">
        <f ca="1">_xll.RiskPercentile('Climate A'!F$172,0.5)</f>
        <v>1.8112570115854367</v>
      </c>
      <c r="F71" s="6">
        <f ca="1">_xll.RiskPercentile('Climate A'!G$172,0.5)</f>
        <v>1.9781734625517768</v>
      </c>
      <c r="G71" s="6">
        <f ca="1">_xll.RiskPercentile('Climate A'!H$172,0.5)</f>
        <v>2.1222149897318854</v>
      </c>
      <c r="H71" s="160">
        <f ca="1">_xll.RiskPercentile('Climate A'!I$172,0.5)</f>
        <v>2.1000567085970427</v>
      </c>
      <c r="I71" s="6">
        <f ca="1">_xll.RiskPercentile('Climate A'!J$172,0.5)</f>
        <v>1.8602618665501263</v>
      </c>
      <c r="J71" s="6">
        <f ca="1">_xll.RiskPercentile('Climate A'!K$172,0.5)</f>
        <v>1.7136131983121254</v>
      </c>
      <c r="K71" s="6">
        <f ca="1">_xll.RiskPercentile('Climate A'!L$172,0.5)</f>
        <v>1.6167887670934633</v>
      </c>
      <c r="L71" s="6">
        <f ca="1">_xll.RiskPercentile('Climate A'!M$172,0.5)</f>
        <v>1.5198065297710377</v>
      </c>
      <c r="M71" t="s">
        <v>43</v>
      </c>
      <c r="N71" s="3" t="s">
        <v>540</v>
      </c>
      <c r="O71" s="160">
        <f ca="1">MAX(B71:L71)</f>
        <v>2.1222149897318854</v>
      </c>
      <c r="P71" s="3" t="s">
        <v>43</v>
      </c>
    </row>
    <row r="72" spans="1:16" x14ac:dyDescent="0.25">
      <c r="B72" s="6"/>
      <c r="C72" s="6"/>
      <c r="D72" s="6"/>
      <c r="E72" s="6"/>
      <c r="F72" s="6"/>
      <c r="G72" s="6"/>
      <c r="H72" s="163"/>
      <c r="I72" s="6"/>
      <c r="J72" s="6"/>
      <c r="K72" s="6"/>
      <c r="L72" s="6"/>
      <c r="N72" s="3"/>
      <c r="O72" s="163"/>
      <c r="P72" s="3"/>
    </row>
    <row r="73" spans="1:16" x14ac:dyDescent="0.25">
      <c r="A73" s="3" t="s">
        <v>532</v>
      </c>
      <c r="B73" s="6">
        <f ca="1" xml:space="preserve"> S_0</f>
        <v>0.18999999999999997</v>
      </c>
      <c r="C73" s="6">
        <f ca="1">_xll.RiskMean('Climate A'!D$191)</f>
        <v>0.22723729531425443</v>
      </c>
      <c r="D73" s="6">
        <f ca="1">_xll.RiskMean('Climate A'!E$191)</f>
        <v>0.32028232073516683</v>
      </c>
      <c r="E73" s="6">
        <f ca="1">_xll.RiskMean('Climate A'!F$191)</f>
        <v>0.42323575936035523</v>
      </c>
      <c r="F73" s="6">
        <f ca="1">_xll.RiskMean('Climate A'!G$191)</f>
        <v>0.53108192193453241</v>
      </c>
      <c r="G73" s="6">
        <f ca="1">_xll.RiskMean('Climate A'!H$191)</f>
        <v>0.80672215745094267</v>
      </c>
      <c r="H73" s="162">
        <f ca="1">_xll.RiskMean('Climate A'!I$191)</f>
        <v>1.0627187527460251</v>
      </c>
      <c r="I73" s="6">
        <f ca="1">_xll.RiskMean('Climate A'!J$191)</f>
        <v>1.4730589773722009</v>
      </c>
      <c r="J73" s="6">
        <f ca="1">_xll.RiskMean('Climate A'!K$191)</f>
        <v>1.7959717688858541</v>
      </c>
      <c r="K73" s="6">
        <f ca="1">_xll.RiskMean('Climate A'!L$191)</f>
        <v>2.054529397145493</v>
      </c>
      <c r="L73" s="6">
        <f ca="1">_xll.RiskMean('Climate A'!M$191)</f>
        <v>2.2571689016739391</v>
      </c>
      <c r="M73" t="s">
        <v>182</v>
      </c>
    </row>
    <row r="74" spans="1:16" x14ac:dyDescent="0.25">
      <c r="A74" s="3"/>
      <c r="B74" s="6"/>
      <c r="C74" s="6"/>
      <c r="D74" s="6"/>
      <c r="E74" s="6"/>
      <c r="F74" s="6"/>
      <c r="G74" s="6"/>
      <c r="H74" s="6"/>
      <c r="I74" s="6"/>
      <c r="J74" s="6"/>
      <c r="K74" s="6"/>
      <c r="L74" s="6"/>
    </row>
    <row r="75" spans="1:16" x14ac:dyDescent="0.25">
      <c r="A75" s="3" t="s">
        <v>765</v>
      </c>
      <c r="B75" s="158"/>
      <c r="C75" s="158">
        <f ca="1" xml:space="preserve"> IF(switch_perm = 1, _xll.RiskMean('Climate A'!D$206), 0)</f>
        <v>2.1480876494890007E-2</v>
      </c>
      <c r="D75" s="158">
        <f ca="1" xml:space="preserve"> IF(switch_perm = 1, _xll.RiskMean('Climate A'!E$206), 0)</f>
        <v>2.1738847430491329E-2</v>
      </c>
      <c r="E75" s="158">
        <f ca="1" xml:space="preserve"> IF(switch_perm = 1, _xll.RiskMean('Climate A'!F$206), 0)</f>
        <v>2.3895038073575705E-2</v>
      </c>
      <c r="F75" s="158">
        <f ca="1" xml:space="preserve"> IF(switch_perm = 1, _xll.RiskMean('Climate A'!G$206), 0)</f>
        <v>2.7328799983252244E-2</v>
      </c>
      <c r="G75" s="158">
        <f ca="1" xml:space="preserve"> IF(switch_perm = 1, _xll.RiskMean('Climate A'!H$206), 0)</f>
        <v>3.142845693890467E-2</v>
      </c>
      <c r="H75" s="158">
        <f ca="1" xml:space="preserve"> IF(switch_perm = 1, _xll.RiskMean('Climate A'!I$206), 0)</f>
        <v>4.2837302092018907E-2</v>
      </c>
      <c r="I75" s="158">
        <f ca="1" xml:space="preserve"> IF(switch_perm = 1, _xll.RiskMean('Climate A'!J$206), 0)</f>
        <v>5.3739858492207859E-2</v>
      </c>
      <c r="J75" s="158">
        <f ca="1" xml:space="preserve"> IF(switch_perm = 1, _xll.RiskMean('Climate A'!K$206), 0)</f>
        <v>6.9208945752185072E-2</v>
      </c>
      <c r="K75" s="158">
        <f ca="1" xml:space="preserve"> IF(switch_perm = 1, _xll.RiskMean('Climate A'!L$206), 0)</f>
        <v>8.1283051025268227E-2</v>
      </c>
      <c r="L75" s="158">
        <f ca="1" xml:space="preserve"> IF(switch_perm = 1, _xll.RiskMean('Climate A'!M$206), 0)</f>
        <v>9.2325134173802226E-2</v>
      </c>
    </row>
    <row r="76" spans="1:16" x14ac:dyDescent="0.25">
      <c r="A76" s="3"/>
      <c r="B76" s="158"/>
      <c r="C76" s="158"/>
      <c r="D76" s="158"/>
      <c r="E76" s="158"/>
      <c r="F76" s="158"/>
      <c r="G76" s="158"/>
      <c r="H76" s="158"/>
      <c r="I76" s="158"/>
      <c r="J76" s="158"/>
      <c r="K76" s="158"/>
      <c r="L76" s="158"/>
    </row>
    <row r="77" spans="1:16" x14ac:dyDescent="0.25">
      <c r="A77" s="3"/>
      <c r="B77" s="188"/>
      <c r="C77">
        <f t="array" ref="C77:L77">Y</f>
        <v>2020</v>
      </c>
      <c r="D77">
        <v>2030</v>
      </c>
      <c r="E77">
        <v>2040</v>
      </c>
      <c r="F77">
        <v>2050</v>
      </c>
      <c r="G77">
        <v>2075</v>
      </c>
      <c r="H77">
        <v>2100</v>
      </c>
      <c r="I77">
        <v>2150</v>
      </c>
      <c r="J77">
        <v>2200</v>
      </c>
      <c r="K77">
        <v>2250</v>
      </c>
      <c r="L77">
        <v>2300</v>
      </c>
    </row>
    <row r="78" spans="1:16" x14ac:dyDescent="0.25">
      <c r="A78" s="3" t="s">
        <v>531</v>
      </c>
      <c r="B78" s="188"/>
      <c r="C78" s="6">
        <f t="shared" ref="C78:L78" ca="1" si="0">C70</f>
        <v>1.1009056192677165</v>
      </c>
      <c r="D78" s="6">
        <f t="shared" ca="1" si="0"/>
        <v>1.5299212758617144</v>
      </c>
      <c r="E78" s="6">
        <f t="shared" ca="1" si="0"/>
        <v>1.7976742290886745</v>
      </c>
      <c r="F78" s="6">
        <f t="shared" ca="1" si="0"/>
        <v>1.9649506977411788</v>
      </c>
      <c r="G78" s="6">
        <f t="shared" ca="1" si="0"/>
        <v>2.133891334794713</v>
      </c>
      <c r="H78" s="6">
        <f t="shared" ca="1" si="0"/>
        <v>2.1321044595873193</v>
      </c>
      <c r="I78" s="6">
        <f t="shared" ca="1" si="0"/>
        <v>1.9112954980783501</v>
      </c>
      <c r="J78" s="6">
        <f t="shared" ca="1" si="0"/>
        <v>1.7650735698548121</v>
      </c>
      <c r="K78" s="6">
        <f t="shared" ca="1" si="0"/>
        <v>1.667559375282083</v>
      </c>
      <c r="L78" s="6">
        <f t="shared" ca="1" si="0"/>
        <v>1.5676886004434867</v>
      </c>
      <c r="M78" s="3" t="s">
        <v>43</v>
      </c>
    </row>
    <row r="79" spans="1:16" ht="13" x14ac:dyDescent="0.3">
      <c r="A79" s="3" t="s">
        <v>930</v>
      </c>
      <c r="B79" s="189"/>
      <c r="C79" s="204">
        <f ca="1" xml:space="preserve">  IF(switch_seaice = 1, _xll.RiskMean('Climate A'!D$174), 0)</f>
        <v>0.39568500813597723</v>
      </c>
      <c r="D79" s="204">
        <f ca="1" xml:space="preserve">  IF(switch_seaice = 1, _xll.RiskMean('Climate A'!E$174), 0)</f>
        <v>0.54634332590914203</v>
      </c>
      <c r="E79" s="204">
        <f ca="1" xml:space="preserve">  IF(switch_seaice = 1, _xll.RiskMean('Climate A'!F$174), 0)</f>
        <v>0.63901014574865944</v>
      </c>
      <c r="F79" s="204">
        <f ca="1" xml:space="preserve">  IF(switch_seaice = 1, _xll.RiskMean('Climate A'!G$174), 0)</f>
        <v>0.69624957352991346</v>
      </c>
      <c r="G79" s="204">
        <f ca="1" xml:space="preserve">  IF(switch_seaice = 1, _xll.RiskMean('Climate A'!H$174), 0)</f>
        <v>0.75320496376623158</v>
      </c>
      <c r="H79" s="204">
        <f ca="1" xml:space="preserve">  IF(switch_seaice = 1, _xll.RiskMean('Climate A'!I$174), 0)</f>
        <v>0.7520922986807147</v>
      </c>
      <c r="I79" s="204">
        <f ca="1" xml:space="preserve">  IF(switch_seaice = 1, _xll.RiskMean('Climate A'!J$174), 0)</f>
        <v>0.6763421826591306</v>
      </c>
      <c r="J79" s="204">
        <f ca="1" xml:space="preserve">  IF(switch_seaice = 1, _xll.RiskMean('Climate A'!K$174), 0)</f>
        <v>0.62610210446382575</v>
      </c>
      <c r="K79" s="204">
        <f ca="1" xml:space="preserve">  IF(switch_seaice = 1, _xll.RiskMean('Climate A'!L$174), 0)</f>
        <v>0.59248623761863073</v>
      </c>
      <c r="L79" s="204">
        <f ca="1" xml:space="preserve">  IF(switch_seaice = 1, _xll.RiskMean('Climate A'!M$174), 0)</f>
        <v>0.55789955428930926</v>
      </c>
      <c r="M79" s="3" t="s">
        <v>44</v>
      </c>
      <c r="O79" s="124"/>
    </row>
    <row r="80" spans="1:16" ht="13" x14ac:dyDescent="0.3">
      <c r="A80" s="3" t="s">
        <v>931</v>
      </c>
      <c r="B80" s="189"/>
      <c r="C80" s="204">
        <f ca="1" xml:space="preserve">  IF(switch_seaice = 1, _xll.RiskMean('Climate A'!D$199), 0)</f>
        <v>0.38414046058342649</v>
      </c>
      <c r="D80" s="204">
        <f ca="1" xml:space="preserve">  IF(switch_seaice = 1, _xll.RiskMean('Climate A'!E$199), 0)</f>
        <v>0.53330951889717815</v>
      </c>
      <c r="E80" s="204">
        <f ca="1" xml:space="preserve">  IF(switch_seaice = 1, _xll.RiskMean('Climate A'!F$199), 0)</f>
        <v>0.62624487718513566</v>
      </c>
      <c r="F80" s="204">
        <f ca="1" xml:space="preserve">  IF(switch_seaice = 1, _xll.RiskMean('Climate A'!G$199), 0)</f>
        <v>0.68418589712100375</v>
      </c>
      <c r="G80" s="204">
        <f ca="1" xml:space="preserve">  IF(switch_seaice = 1, _xll.RiskMean('Climate A'!H$199), 0)</f>
        <v>0.74240482056288015</v>
      </c>
      <c r="H80" s="204">
        <f ca="1" xml:space="preserve">  IF(switch_seaice = 1, _xll.RiskMean('Climate A'!I$199), 0)</f>
        <v>0.74141760163786463</v>
      </c>
      <c r="I80" s="204">
        <f ca="1" xml:space="preserve">  IF(switch_seaice = 1, _xll.RiskMean('Climate A'!J$199), 0)</f>
        <v>0.6642468931137876</v>
      </c>
      <c r="J80" s="204">
        <f ca="1" xml:space="preserve">  IF(switch_seaice = 1, _xll.RiskMean('Climate A'!K$199), 0)</f>
        <v>0.61338230997523191</v>
      </c>
      <c r="K80" s="204">
        <f ca="1" xml:space="preserve">  IF(switch_seaice = 1, _xll.RiskMean('Climate A'!L$199), 0)</f>
        <v>0.57952361753838011</v>
      </c>
      <c r="L80" s="204">
        <f ca="1" xml:space="preserve">  IF(switch_seaice = 1, _xll.RiskMean('Climate A'!M$199), 0)</f>
        <v>0.5448305531906914</v>
      </c>
      <c r="M80" s="3" t="s">
        <v>44</v>
      </c>
      <c r="O80" s="124"/>
    </row>
    <row r="81" spans="1:13" x14ac:dyDescent="0.25">
      <c r="A81" s="3" t="s">
        <v>932</v>
      </c>
      <c r="B81" s="190"/>
      <c r="C81" s="104">
        <f ca="1" xml:space="preserve">  IF(switch_seaice = 1, _xll.RiskMean('Climate A'!D$167), 0)</f>
        <v>5.9680201374313407E-3</v>
      </c>
      <c r="D81" s="104">
        <f ca="1" xml:space="preserve">  IF(switch_seaice = 1, _xll.RiskMean('Climate A'!E$167), 0)</f>
        <v>2.7135074017960799E-3</v>
      </c>
      <c r="E81" s="104">
        <f ca="1" xml:space="preserve">  IF(switch_seaice = 1, _xll.RiskMean('Climate A'!F$167), 0)</f>
        <v>-1.610241517348697E-3</v>
      </c>
      <c r="F81" s="104">
        <f ca="1" xml:space="preserve">  IF(switch_seaice = 1, _xll.RiskMean('Climate A'!G$167), 0)</f>
        <v>-4.5944631060095813E-3</v>
      </c>
      <c r="G81" s="104">
        <f ca="1" xml:space="preserve">  IF(switch_seaice = 1, _xll.RiskMean('Climate A'!H$167), 0)</f>
        <v>-7.0938490600305527E-3</v>
      </c>
      <c r="H81" s="104">
        <f ca="1" xml:space="preserve">  IF(switch_seaice = 1, _xll.RiskMean('Climate A'!I$167), 0)</f>
        <v>-8.4669143119011671E-3</v>
      </c>
      <c r="I81" s="104">
        <f ca="1" xml:space="preserve">  IF(switch_seaice = 1, _xll.RiskMean('Climate A'!J$167), 0)</f>
        <v>-6.9339408989868281E-3</v>
      </c>
      <c r="J81" s="104">
        <f ca="1" xml:space="preserve">  IF(switch_seaice = 1, _xll.RiskMean('Climate A'!K$167), 0)</f>
        <v>-4.3707500209714725E-3</v>
      </c>
      <c r="K81" s="104">
        <f ca="1" xml:space="preserve">  IF(switch_seaice = 1, _xll.RiskMean('Climate A'!L$167), 0)</f>
        <v>-2.7028554793418601E-3</v>
      </c>
      <c r="L81" s="104">
        <f ca="1" xml:space="preserve">  IF(switch_seaice = 1, _xll.RiskMean('Climate A'!M$167), 0)</f>
        <v>-1.3929472829184108E-3</v>
      </c>
      <c r="M81" s="3" t="s">
        <v>544</v>
      </c>
    </row>
    <row r="82" spans="1:13" x14ac:dyDescent="0.25">
      <c r="A82" s="3" t="s">
        <v>942</v>
      </c>
      <c r="B82" s="191"/>
      <c r="C82" s="158">
        <f ca="1" xml:space="preserve"> IF(switch_seaice = 1, _xll.RiskMean('Climate A'!D$201), 0)</f>
        <v>1.268517660975301E-3</v>
      </c>
      <c r="D82" s="158">
        <f ca="1" xml:space="preserve"> IF(switch_seaice = 1, _xll.RiskMean('Climate A'!E$201), 0)</f>
        <v>2.4206317658930672E-3</v>
      </c>
      <c r="E82" s="158">
        <f ca="1" xml:space="preserve"> IF(switch_seaice = 1, _xll.RiskMean('Climate A'!F$201), 0)</f>
        <v>2.9856958722757209E-3</v>
      </c>
      <c r="F82" s="158">
        <f ca="1" xml:space="preserve"> IF(switch_seaice = 1, _xll.RiskMean('Climate A'!G$201), 0)</f>
        <v>3.2513203080948615E-3</v>
      </c>
      <c r="G82" s="158">
        <f ca="1" xml:space="preserve"> IF(switch_seaice = 1, _xll.RiskMean('Climate A'!H$201), 0)</f>
        <v>3.4502853716145568E-3</v>
      </c>
      <c r="H82" s="158">
        <f ca="1" xml:space="preserve"> IF(switch_seaice = 1, _xll.RiskMean('Climate A'!I$201), 0)</f>
        <v>3.5908710057534084E-3</v>
      </c>
      <c r="I82" s="158">
        <f ca="1" xml:space="preserve"> IF(switch_seaice = 1, _xll.RiskMean('Climate A'!J$201), 0)</f>
        <v>4.4300384282322585E-3</v>
      </c>
      <c r="J82" s="158">
        <f ca="1" xml:space="preserve"> IF(switch_seaice = 1, _xll.RiskMean('Climate A'!K$201), 0)</f>
        <v>5.2267600791972516E-3</v>
      </c>
      <c r="K82" s="158">
        <f ca="1" xml:space="preserve"> IF(switch_seaice = 1, _xll.RiskMean('Climate A'!L$201), 0)</f>
        <v>5.7860540536642194E-3</v>
      </c>
      <c r="L82" s="158">
        <f ca="1" xml:space="preserve"> IF(switch_seaice = 1, _xll.RiskMean('Climate A'!M$201), 0)</f>
        <v>6.2973255743465932E-3</v>
      </c>
    </row>
    <row r="83" spans="1:13" x14ac:dyDescent="0.25">
      <c r="A83" s="3" t="s">
        <v>941</v>
      </c>
      <c r="B83" s="191"/>
      <c r="C83" s="158">
        <f ca="1" xml:space="preserve"> IF(switch_seaice = 1, _xll.RiskMean('Climate A'!D$202), 0)</f>
        <v>5.4564606279149707E-3</v>
      </c>
      <c r="D83" s="158">
        <f ca="1" xml:space="preserve"> IF(switch_seaice = 1, _xll.RiskMean('Climate A'!E$202), 0)</f>
        <v>2.8140454180664875E-3</v>
      </c>
      <c r="E83" s="158">
        <f ca="1" xml:space="preserve"> IF(switch_seaice = 1, _xll.RiskMean('Climate A'!F$202), 0)</f>
        <v>-6.9896071828765775E-4</v>
      </c>
      <c r="F83" s="158">
        <f ca="1" xml:space="preserve"> IF(switch_seaice = 1, _xll.RiskMean('Climate A'!G$202), 0)</f>
        <v>-3.1774097350418034E-3</v>
      </c>
      <c r="G83" s="158">
        <f ca="1" xml:space="preserve"> IF(switch_seaice = 1, _xll.RiskMean('Climate A'!H$202), 0)</f>
        <v>-5.3483335231606739E-3</v>
      </c>
      <c r="H83" s="158">
        <f ca="1" xml:space="preserve"> IF(switch_seaice = 1, _xll.RiskMean('Climate A'!I$202), 0)</f>
        <v>-6.6552998658917905E-3</v>
      </c>
      <c r="I83" s="158">
        <f ca="1" xml:space="preserve"> IF(switch_seaice = 1, _xll.RiskMean('Climate A'!J$202), 0)</f>
        <v>-5.6048617072125976E-3</v>
      </c>
      <c r="J83" s="158">
        <f ca="1" xml:space="preserve"> IF(switch_seaice = 1, _xll.RiskMean('Climate A'!K$202), 0)</f>
        <v>-3.6397442533257726E-3</v>
      </c>
      <c r="K83" s="158">
        <f ca="1" xml:space="preserve"> IF(switch_seaice = 1, _xll.RiskMean('Climate A'!L$202), 0)</f>
        <v>-2.2918314849187421E-3</v>
      </c>
      <c r="L83" s="158">
        <f ca="1" xml:space="preserve"> IF(switch_seaice = 1, _xll.RiskMean('Climate A'!M$202), 0)</f>
        <v>-1.2154997425640694E-3</v>
      </c>
    </row>
    <row r="84" spans="1:13" x14ac:dyDescent="0.25">
      <c r="B84" s="158"/>
      <c r="C84" s="158"/>
      <c r="D84" s="158"/>
      <c r="E84" s="158"/>
      <c r="F84" s="158"/>
      <c r="G84" s="158"/>
      <c r="H84" s="158"/>
      <c r="I84" s="158"/>
      <c r="J84" s="158"/>
      <c r="K84" s="158"/>
      <c r="L84" s="158"/>
    </row>
    <row r="85" spans="1:13" ht="13" x14ac:dyDescent="0.3">
      <c r="A85" s="2" t="s">
        <v>937</v>
      </c>
    </row>
    <row r="86" spans="1:13" x14ac:dyDescent="0.25">
      <c r="A86" s="3" t="s">
        <v>937</v>
      </c>
      <c r="B86" s="3" t="s">
        <v>938</v>
      </c>
      <c r="C86" s="194">
        <f ca="1">_xll.RiskMean(ALB_SAF_ECS)</f>
        <v>0.34914360979047626</v>
      </c>
      <c r="D86" s="3" t="s">
        <v>544</v>
      </c>
      <c r="F86" s="3" t="s">
        <v>939</v>
      </c>
      <c r="G86">
        <f ca="1">_xll.RiskStdDev(ALB_SAF_ECS)</f>
        <v>4.4959385229043136E-2</v>
      </c>
      <c r="H86" s="3" t="s">
        <v>544</v>
      </c>
    </row>
    <row r="87" spans="1:13" x14ac:dyDescent="0.25">
      <c r="A87" s="3" t="s">
        <v>918</v>
      </c>
      <c r="B87" s="3" t="s">
        <v>938</v>
      </c>
      <c r="C87" s="194">
        <f ca="1" xml:space="preserve"> _xll.RiskMean(ALB_SAF_Y0)</f>
        <v>0.35678107596165431</v>
      </c>
      <c r="D87" s="3" t="s">
        <v>544</v>
      </c>
      <c r="F87" s="3" t="s">
        <v>939</v>
      </c>
      <c r="G87">
        <f ca="1" xml:space="preserve"> _xll.RiskStdDev(ALB_SAF_Y0)</f>
        <v>4.4558797289551276E-2</v>
      </c>
      <c r="H87" s="3" t="s">
        <v>544</v>
      </c>
    </row>
    <row r="88" spans="1:13" x14ac:dyDescent="0.25">
      <c r="A88" s="3" t="s">
        <v>940</v>
      </c>
      <c r="B88" s="3" t="s">
        <v>938</v>
      </c>
      <c r="C88" s="194">
        <f ca="1" xml:space="preserve"> _xll.RiskMean(ALB_FSAF_Y0)</f>
        <v>0.3407573346424837</v>
      </c>
      <c r="D88" s="3" t="s">
        <v>44</v>
      </c>
      <c r="F88" s="3" t="s">
        <v>939</v>
      </c>
      <c r="G88">
        <f ca="1" xml:space="preserve"> _xll.RiskStdDev(ALB_FSAF_Y0)</f>
        <v>4.2975797091191668E-2</v>
      </c>
      <c r="H88" s="3" t="s">
        <v>44</v>
      </c>
    </row>
    <row r="90" spans="1:13" x14ac:dyDescent="0.25">
      <c r="A90" s="3"/>
      <c r="B90" s="3"/>
      <c r="C90" s="3"/>
      <c r="D90" s="163"/>
      <c r="E90" s="3"/>
    </row>
    <row r="92" spans="1:13" ht="13" x14ac:dyDescent="0.3">
      <c r="A92" s="174" t="str">
        <f xml:space="preserve"> "Scenario = {"&amp;SCENARIO_PAIR&amp;"}, Experiment = {"&amp;EXPERIMENT&amp;"}, Economic Impacts = {"&amp;ECON_IMPF&amp;"}"</f>
        <v>Scenario = {2 degC Target}, Experiment = {Nonlinear PCF &amp; SAF}, Economic Impacts = {Burke, Pulled, Lag=1, Consum-Only}</v>
      </c>
      <c r="B92" s="174"/>
      <c r="C92" s="174"/>
      <c r="D92" s="174"/>
      <c r="E92" s="174"/>
      <c r="F92" s="174"/>
      <c r="G92" s="174"/>
    </row>
    <row r="93" spans="1:13" ht="13" x14ac:dyDescent="0.3">
      <c r="A93" s="2" t="s">
        <v>577</v>
      </c>
    </row>
    <row r="94" spans="1:13" ht="13" x14ac:dyDescent="0.3">
      <c r="A94" s="2"/>
    </row>
    <row r="95" spans="1:13" ht="13" x14ac:dyDescent="0.3">
      <c r="A95" s="2" t="s">
        <v>543</v>
      </c>
      <c r="C95">
        <f t="array" ref="C95:L95">Y</f>
        <v>2020</v>
      </c>
      <c r="D95">
        <v>2030</v>
      </c>
      <c r="E95">
        <v>2040</v>
      </c>
      <c r="F95">
        <v>2050</v>
      </c>
      <c r="G95">
        <v>2075</v>
      </c>
      <c r="H95">
        <v>2100</v>
      </c>
      <c r="I95">
        <v>2150</v>
      </c>
      <c r="J95">
        <v>2200</v>
      </c>
      <c r="K95">
        <v>2250</v>
      </c>
      <c r="L95">
        <v>2300</v>
      </c>
    </row>
    <row r="96" spans="1:13" x14ac:dyDescent="0.25">
      <c r="A96" s="3" t="s">
        <v>504</v>
      </c>
      <c r="B96" s="6"/>
      <c r="C96" s="6">
        <f ca="1">_xll.RiskPercentile('Climate A'!D$172,$H6)</f>
        <v>0.97334838396073076</v>
      </c>
      <c r="D96" s="6">
        <f ca="1">_xll.RiskPercentile('Climate A'!E$172,$H6)</f>
        <v>1.1436737588089156</v>
      </c>
      <c r="E96" s="6">
        <f ca="1">_xll.RiskPercentile('Climate A'!F$172,$H6)</f>
        <v>1.2428373661873997</v>
      </c>
      <c r="F96" s="6">
        <f ca="1">_xll.RiskPercentile('Climate A'!G$172,$H6)</f>
        <v>1.290529870704487</v>
      </c>
      <c r="G96" s="6">
        <f ca="1">_xll.RiskPercentile('Climate A'!H$172,$H6)</f>
        <v>1.2990159891239366</v>
      </c>
      <c r="H96" s="6">
        <f ca="1">_xll.RiskPercentile('Climate A'!I$172,$H6)</f>
        <v>1.2365348296143026</v>
      </c>
      <c r="I96" s="6">
        <f ca="1">_xll.RiskPercentile('Climate A'!J$172,$H6)</f>
        <v>1.0448633972460653</v>
      </c>
      <c r="J96" s="6">
        <f ca="1">_xll.RiskPercentile('Climate A'!K$172,$H6)</f>
        <v>0.94614054187777596</v>
      </c>
      <c r="K96" s="6">
        <f ca="1">_xll.RiskPercentile('Climate A'!L$172,$H6)</f>
        <v>0.88810752687866545</v>
      </c>
      <c r="L96" s="6">
        <f ca="1">_xll.RiskPercentile('Climate A'!M$172,$H6)</f>
        <v>0.81523936579876599</v>
      </c>
      <c r="M96" t="s">
        <v>43</v>
      </c>
    </row>
    <row r="97" spans="1:14" x14ac:dyDescent="0.25">
      <c r="A97" s="3" t="s">
        <v>740</v>
      </c>
      <c r="B97" s="6"/>
      <c r="C97" s="6">
        <f ca="1">_xll.RiskPercentile('Climate A'!D$172,$H7)</f>
        <v>1.0475771091199393</v>
      </c>
      <c r="D97" s="6">
        <f ca="1">_xll.RiskPercentile('Climate A'!E$172,$H7)</f>
        <v>1.3701532266827368</v>
      </c>
      <c r="E97" s="6">
        <f ca="1">_xll.RiskPercentile('Climate A'!F$172,$H7)</f>
        <v>1.5725170644572346</v>
      </c>
      <c r="F97" s="6">
        <f ca="1">_xll.RiskPercentile('Climate A'!G$172,$H7)</f>
        <v>1.6866586692127128</v>
      </c>
      <c r="G97" s="6">
        <f ca="1">_xll.RiskPercentile('Climate A'!H$172,$H7)</f>
        <v>1.7606426952217462</v>
      </c>
      <c r="H97" s="6">
        <f ca="1">_xll.RiskPercentile('Climate A'!I$172,$H7)</f>
        <v>1.7185653868329187</v>
      </c>
      <c r="I97" s="6">
        <f ca="1">_xll.RiskPercentile('Climate A'!J$172,$H7)</f>
        <v>1.4858788365224154</v>
      </c>
      <c r="J97" s="6">
        <f ca="1">_xll.RiskPercentile('Climate A'!K$172,$H7)</f>
        <v>1.3541707569976533</v>
      </c>
      <c r="K97" s="6">
        <f ca="1">_xll.RiskPercentile('Climate A'!L$172,$H7)</f>
        <v>1.2664544088896379</v>
      </c>
      <c r="L97" s="6">
        <f ca="1">_xll.RiskPercentile('Climate A'!M$172,$H7)</f>
        <v>1.1864072233986853</v>
      </c>
      <c r="M97" t="s">
        <v>43</v>
      </c>
    </row>
    <row r="98" spans="1:14" x14ac:dyDescent="0.25">
      <c r="A98" s="3" t="s">
        <v>578</v>
      </c>
      <c r="B98" s="6"/>
      <c r="C98" s="6">
        <f ca="1">_xll.RiskPercentile('Climate A'!D$172,$H8)</f>
        <v>1.1035560127643511</v>
      </c>
      <c r="D98" s="6">
        <f ca="1">_xll.RiskPercentile('Climate A'!E$172,$H8)</f>
        <v>1.5274558390626443</v>
      </c>
      <c r="E98" s="6">
        <f ca="1">_xll.RiskPercentile('Climate A'!F$172,$H8)</f>
        <v>1.8112570115854367</v>
      </c>
      <c r="F98" s="6">
        <f ca="1">_xll.RiskPercentile('Climate A'!G$172,$H8)</f>
        <v>1.9781734625517768</v>
      </c>
      <c r="G98" s="6">
        <f ca="1">_xll.RiskPercentile('Climate A'!H$172,$H8)</f>
        <v>2.1222149897318854</v>
      </c>
      <c r="H98" s="6">
        <f ca="1">_xll.RiskPercentile('Climate A'!I$172,$H8)</f>
        <v>2.1000567085970427</v>
      </c>
      <c r="I98" s="6">
        <f ca="1">_xll.RiskPercentile('Climate A'!J$172,$H8)</f>
        <v>1.8602618665501263</v>
      </c>
      <c r="J98" s="6">
        <f ca="1">_xll.RiskPercentile('Climate A'!K$172,$H8)</f>
        <v>1.7136131983121254</v>
      </c>
      <c r="K98" s="6">
        <f ca="1">_xll.RiskPercentile('Climate A'!L$172,$H8)</f>
        <v>1.6167887670934633</v>
      </c>
      <c r="L98" s="6">
        <f ca="1">_xll.RiskPercentile('Climate A'!M$172,$H8)</f>
        <v>1.5198065297710377</v>
      </c>
      <c r="M98" t="s">
        <v>43</v>
      </c>
    </row>
    <row r="99" spans="1:14" x14ac:dyDescent="0.25">
      <c r="A99" s="3" t="s">
        <v>741</v>
      </c>
      <c r="B99" s="6"/>
      <c r="C99" s="6">
        <f ca="1">_xll.RiskPercentile('Climate A'!D$172,$H9)</f>
        <v>1.1532993796850797</v>
      </c>
      <c r="D99" s="6">
        <f ca="1">_xll.RiskPercentile('Climate A'!E$172,$H9)</f>
        <v>1.6910890364093194</v>
      </c>
      <c r="E99" s="6">
        <f ca="1">_xll.RiskPercentile('Climate A'!F$172,$H9)</f>
        <v>2.0403630629278942</v>
      </c>
      <c r="F99" s="6">
        <f ca="1">_xll.RiskPercentile('Climate A'!G$172,$H9)</f>
        <v>2.2565938765262792</v>
      </c>
      <c r="G99" s="6">
        <f ca="1">_xll.RiskPercentile('Climate A'!H$172,$H9)</f>
        <v>2.5001695133676924</v>
      </c>
      <c r="H99" s="6">
        <f ca="1">_xll.RiskPercentile('Climate A'!I$172,$H9)</f>
        <v>2.5222314659846132</v>
      </c>
      <c r="I99" s="6">
        <f ca="1">_xll.RiskPercentile('Climate A'!J$172,$H9)</f>
        <v>2.2967379499276257</v>
      </c>
      <c r="J99" s="6">
        <f ca="1">_xll.RiskPercentile('Climate A'!K$172,$H9)</f>
        <v>2.120805917827747</v>
      </c>
      <c r="K99" s="6">
        <f ca="1">_xll.RiskPercentile('Climate A'!L$172,$H9)</f>
        <v>2.002110785698711</v>
      </c>
      <c r="L99" s="6">
        <f ca="1">_xll.RiskPercentile('Climate A'!M$172,$H9)</f>
        <v>1.8835243435760605</v>
      </c>
      <c r="M99" t="s">
        <v>43</v>
      </c>
      <c r="N99" s="4"/>
    </row>
    <row r="100" spans="1:14" x14ac:dyDescent="0.25">
      <c r="A100" s="3" t="s">
        <v>505</v>
      </c>
      <c r="B100" s="6"/>
      <c r="C100" s="6">
        <f ca="1">_xll.RiskPercentile('Climate A'!D$172,$H10)</f>
        <v>1.2238807277653732</v>
      </c>
      <c r="D100" s="6">
        <f ca="1">_xll.RiskPercentile('Climate A'!E$172,$H10)</f>
        <v>1.8935979993356307</v>
      </c>
      <c r="E100" s="6">
        <f ca="1">_xll.RiskPercentile('Climate A'!F$172,$H10)</f>
        <v>2.3158475881837632</v>
      </c>
      <c r="F100" s="6">
        <f ca="1">_xll.RiskPercentile('Climate A'!G$172,$H10)</f>
        <v>2.5973843450155356</v>
      </c>
      <c r="G100" s="6">
        <f ca="1">_xll.RiskPercentile('Climate A'!H$172,$H10)</f>
        <v>2.9487682292317552</v>
      </c>
      <c r="H100" s="6">
        <f ca="1">_xll.RiskPercentile('Climate A'!I$172,$H10)</f>
        <v>3.0683182639106814</v>
      </c>
      <c r="I100" s="6">
        <f ca="1">_xll.RiskPercentile('Climate A'!J$172,$H10)</f>
        <v>2.9265848667567931</v>
      </c>
      <c r="J100" s="6">
        <f ca="1">_xll.RiskPercentile('Climate A'!K$172,$H10)</f>
        <v>2.7455752221492871</v>
      </c>
      <c r="K100" s="6">
        <f ca="1">_xll.RiskPercentile('Climate A'!L$172,$H10)</f>
        <v>2.6335705680688211</v>
      </c>
      <c r="L100" s="6">
        <f ca="1">_xll.RiskPercentile('Climate A'!M$172,$H10)</f>
        <v>2.4817464444228627</v>
      </c>
      <c r="M100" t="s">
        <v>43</v>
      </c>
      <c r="N100" s="4"/>
    </row>
    <row r="101" spans="1:14" x14ac:dyDescent="0.25">
      <c r="A101" s="3"/>
      <c r="B101" s="6"/>
      <c r="C101" s="6"/>
      <c r="D101" s="6"/>
      <c r="E101" s="6"/>
      <c r="F101" s="6"/>
      <c r="G101" s="6"/>
      <c r="H101" s="6"/>
      <c r="I101" s="6"/>
      <c r="J101" s="6"/>
      <c r="K101" s="6"/>
      <c r="L101" s="6"/>
      <c r="N101" s="4"/>
    </row>
    <row r="102" spans="1:14" x14ac:dyDescent="0.25">
      <c r="A102" s="3" t="s">
        <v>430</v>
      </c>
      <c r="B102" s="6"/>
      <c r="C102" s="6">
        <f ca="1">_xll.RiskMean('Climate A'!D$172)</f>
        <v>1.1009056192677165</v>
      </c>
      <c r="D102" s="6">
        <f ca="1">_xll.RiskMean('Climate A'!E$172)</f>
        <v>1.5299212758617144</v>
      </c>
      <c r="E102" s="6">
        <f ca="1">_xll.RiskMean('Climate A'!F$172)</f>
        <v>1.7976742290886745</v>
      </c>
      <c r="F102" s="6">
        <f ca="1">_xll.RiskMean('Climate A'!G$172)</f>
        <v>1.9649506977411788</v>
      </c>
      <c r="G102" s="6">
        <f ca="1">_xll.RiskMean('Climate A'!H$172)</f>
        <v>2.133891334794713</v>
      </c>
      <c r="H102" s="6">
        <f ca="1">_xll.RiskMean('Climate A'!I$172)</f>
        <v>2.1321044595873193</v>
      </c>
      <c r="I102" s="6">
        <f ca="1">_xll.RiskMean('Climate A'!J$172)</f>
        <v>1.9112954980783501</v>
      </c>
      <c r="J102" s="6">
        <f ca="1">_xll.RiskMean('Climate A'!K$172)</f>
        <v>1.7650735698548121</v>
      </c>
      <c r="K102" s="6">
        <f ca="1">_xll.RiskMean('Climate A'!L$172)</f>
        <v>1.667559375282083</v>
      </c>
      <c r="L102" s="6">
        <f ca="1">_xll.RiskMean('Climate A'!M$172)</f>
        <v>1.5676886004434867</v>
      </c>
      <c r="M102" t="s">
        <v>43</v>
      </c>
      <c r="N102" s="4"/>
    </row>
    <row r="103" spans="1:14" x14ac:dyDescent="0.25">
      <c r="A103" s="3" t="s">
        <v>778</v>
      </c>
      <c r="B103" s="6"/>
      <c r="C103" s="6">
        <f ca="1">_xll.RiskStdDev('Climate A'!D$172)</f>
        <v>7.6854834820898332E-2</v>
      </c>
      <c r="D103" s="6">
        <f ca="1">_xll.RiskStdDev('Climate A'!E$172)</f>
        <v>0.22509423773843679</v>
      </c>
      <c r="E103" s="6">
        <f ca="1">_xll.RiskStdDev('Climate A'!F$172)</f>
        <v>0.32323901799329963</v>
      </c>
      <c r="F103" s="6">
        <f ca="1">_xll.RiskStdDev('Climate A'!G$172)</f>
        <v>0.39448192971212542</v>
      </c>
      <c r="G103" s="6">
        <f ca="1">_xll.RiskStdDev('Climate A'!H$172)</f>
        <v>0.50842384033623944</v>
      </c>
      <c r="H103" s="6">
        <f ca="1">_xll.RiskStdDev('Climate A'!I$172)</f>
        <v>0.56522073464095224</v>
      </c>
      <c r="I103" s="6">
        <f ca="1">_xll.RiskStdDev('Climate A'!J$172)</f>
        <v>0.58386482645570703</v>
      </c>
      <c r="J103" s="6">
        <f ca="1">_xll.RiskStdDev('Climate A'!K$172)</f>
        <v>0.56651397759189837</v>
      </c>
      <c r="K103" s="6">
        <f ca="1">_xll.RiskStdDev('Climate A'!L$172)</f>
        <v>0.54863112779505163</v>
      </c>
      <c r="L103" s="6">
        <f ca="1">_xll.RiskStdDev('Climate A'!M$172)</f>
        <v>0.53274805027615801</v>
      </c>
      <c r="M103" t="s">
        <v>43</v>
      </c>
      <c r="N103" s="4"/>
    </row>
    <row r="105" spans="1:14" ht="13" x14ac:dyDescent="0.3">
      <c r="A105" s="8" t="s">
        <v>881</v>
      </c>
      <c r="B105" s="4"/>
      <c r="C105" s="4">
        <f t="array" ref="C105:L105">Y</f>
        <v>2020</v>
      </c>
      <c r="D105" s="4">
        <v>2030</v>
      </c>
      <c r="E105" s="4">
        <v>2040</v>
      </c>
      <c r="F105" s="4">
        <v>2050</v>
      </c>
      <c r="G105" s="4">
        <v>2075</v>
      </c>
      <c r="H105" s="4">
        <v>2100</v>
      </c>
      <c r="I105" s="4">
        <v>2150</v>
      </c>
      <c r="J105" s="4">
        <v>2200</v>
      </c>
      <c r="K105" s="4">
        <v>2250</v>
      </c>
      <c r="L105" s="4">
        <v>2300</v>
      </c>
      <c r="M105" s="6"/>
    </row>
    <row r="106" spans="1:14" x14ac:dyDescent="0.25">
      <c r="A106" s="3" t="s">
        <v>504</v>
      </c>
      <c r="B106" s="6"/>
      <c r="C106" s="6">
        <f ca="1">_xll.RiskPercentile('Climate A'!D$38,$H6)</f>
        <v>1.6691722923211831</v>
      </c>
      <c r="D106" s="6">
        <f ca="1">_xll.RiskPercentile('Climate A'!E$38,$H6)</f>
        <v>2.0614599233051085</v>
      </c>
      <c r="E106" s="6">
        <f ca="1">_xll.RiskPercentile('Climate A'!F$38,$H6)</f>
        <v>2.2833786692851725</v>
      </c>
      <c r="F106" s="6">
        <f ca="1">_xll.RiskPercentile('Climate A'!G$38,$H6)</f>
        <v>2.3529558488368401</v>
      </c>
      <c r="G106" s="6">
        <f ca="1">_xll.RiskPercentile('Climate A'!H$38,$H6)</f>
        <v>2.3606939024395843</v>
      </c>
      <c r="H106" s="6">
        <f ca="1">_xll.RiskPercentile('Climate A'!I$38,$H6)</f>
        <v>2.2571654429557353</v>
      </c>
      <c r="I106" s="6">
        <f ca="1">_xll.RiskPercentile('Climate A'!J$38,$H6)</f>
        <v>1.9060039393553494</v>
      </c>
      <c r="J106" s="6">
        <f ca="1">_xll.RiskPercentile('Climate A'!K$38,$H6)</f>
        <v>1.7417220946200018</v>
      </c>
      <c r="K106" s="6">
        <f ca="1">_xll.RiskPercentile('Climate A'!L$38,$H6)</f>
        <v>1.6253563361288474</v>
      </c>
      <c r="L106" s="6">
        <f ca="1">_xll.RiskPercentile('Climate A'!M$38,$H6)</f>
        <v>1.5176137638123799</v>
      </c>
      <c r="M106" s="57" t="s">
        <v>43</v>
      </c>
    </row>
    <row r="107" spans="1:14" x14ac:dyDescent="0.25">
      <c r="A107" s="3" t="s">
        <v>740</v>
      </c>
      <c r="B107" s="6"/>
      <c r="C107" s="6">
        <f ca="1">_xll.RiskPercentile('Climate A'!D$38,$H7)</f>
        <v>1.8859520627067552</v>
      </c>
      <c r="D107" s="6">
        <f ca="1">_xll.RiskPercentile('Climate A'!E$38,$H7)</f>
        <v>2.4906102365104408</v>
      </c>
      <c r="E107" s="6">
        <f ca="1">_xll.RiskPercentile('Climate A'!F$38,$H7)</f>
        <v>2.87563887323808</v>
      </c>
      <c r="F107" s="6">
        <f ca="1">_xll.RiskPercentile('Climate A'!G$38,$H7)</f>
        <v>3.0994367302791872</v>
      </c>
      <c r="G107" s="6">
        <f ca="1">_xll.RiskPercentile('Climate A'!H$38,$H7)</f>
        <v>3.2531645435895484</v>
      </c>
      <c r="H107" s="6">
        <f ca="1">_xll.RiskPercentile('Climate A'!I$38,$H7)</f>
        <v>3.1720067408651591</v>
      </c>
      <c r="I107" s="6">
        <f ca="1">_xll.RiskPercentile('Climate A'!J$38,$H7)</f>
        <v>2.7532136791911261</v>
      </c>
      <c r="J107" s="6">
        <f ca="1">_xll.RiskPercentile('Climate A'!K$38,$H7)</f>
        <v>2.493920332981673</v>
      </c>
      <c r="K107" s="6">
        <f ca="1">_xll.RiskPercentile('Climate A'!L$38,$H7)</f>
        <v>2.3436821938648738</v>
      </c>
      <c r="L107" s="6">
        <f ca="1">_xll.RiskPercentile('Climate A'!M$38,$H7)</f>
        <v>2.1966571024299566</v>
      </c>
      <c r="M107" s="57" t="s">
        <v>43</v>
      </c>
    </row>
    <row r="108" spans="1:14" x14ac:dyDescent="0.25">
      <c r="A108" s="3" t="s">
        <v>578</v>
      </c>
      <c r="B108" s="6"/>
      <c r="C108" s="6">
        <f ca="1">_xll.RiskPercentile('Climate A'!D$38,$H8)</f>
        <v>2.0591638982281428</v>
      </c>
      <c r="D108" s="6">
        <f ca="1">_xll.RiskPercentile('Climate A'!E$38,$H8)</f>
        <v>2.8412140684355869</v>
      </c>
      <c r="E108" s="6">
        <f ca="1">_xll.RiskPercentile('Climate A'!F$38,$H8)</f>
        <v>3.3338317912349611</v>
      </c>
      <c r="F108" s="6">
        <f ca="1">_xll.RiskPercentile('Climate A'!G$38,$H8)</f>
        <v>3.6500812758895598</v>
      </c>
      <c r="G108" s="6">
        <f ca="1">_xll.RiskPercentile('Climate A'!H$38,$H8)</f>
        <v>3.9440517565019517</v>
      </c>
      <c r="H108" s="6">
        <f ca="1">_xll.RiskPercentile('Climate A'!I$38,$H8)</f>
        <v>3.9144796575985046</v>
      </c>
      <c r="I108" s="6">
        <f ca="1">_xll.RiskPercentile('Climate A'!J$38,$H8)</f>
        <v>3.4416441782328819</v>
      </c>
      <c r="J108" s="6">
        <f ca="1">_xll.RiskPercentile('Climate A'!K$38,$H8)</f>
        <v>3.1607718616862588</v>
      </c>
      <c r="K108" s="6">
        <f ca="1">_xll.RiskPercentile('Climate A'!L$38,$H8)</f>
        <v>2.9672634472679205</v>
      </c>
      <c r="L108" s="6">
        <f ca="1">_xll.RiskPercentile('Climate A'!M$38,$H8)</f>
        <v>2.7998548314179352</v>
      </c>
      <c r="M108" s="57" t="s">
        <v>43</v>
      </c>
    </row>
    <row r="109" spans="1:14" x14ac:dyDescent="0.25">
      <c r="A109" s="3" t="s">
        <v>741</v>
      </c>
      <c r="B109" s="6"/>
      <c r="C109" s="6">
        <f ca="1">_xll.RiskPercentile('Climate A'!D$38,$H9)</f>
        <v>2.2344044470813924</v>
      </c>
      <c r="D109" s="6">
        <f ca="1">_xll.RiskPercentile('Climate A'!E$38,$H9)</f>
        <v>3.2214302739003799</v>
      </c>
      <c r="E109" s="6">
        <f ca="1">_xll.RiskPercentile('Climate A'!F$38,$H9)</f>
        <v>3.8599696605527494</v>
      </c>
      <c r="F109" s="6">
        <f ca="1">_xll.RiskPercentile('Climate A'!G$38,$H9)</f>
        <v>4.2628857358823238</v>
      </c>
      <c r="G109" s="6">
        <f ca="1">_xll.RiskPercentile('Climate A'!H$38,$H9)</f>
        <v>4.7496385229011278</v>
      </c>
      <c r="H109" s="6">
        <f ca="1">_xll.RiskPercentile('Climate A'!I$38,$H9)</f>
        <v>4.7923397106047112</v>
      </c>
      <c r="I109" s="6">
        <f ca="1">_xll.RiskPercentile('Climate A'!J$38,$H9)</f>
        <v>4.3420136379742731</v>
      </c>
      <c r="J109" s="6">
        <f ca="1">_xll.RiskPercentile('Climate A'!K$38,$H9)</f>
        <v>3.9926746204971892</v>
      </c>
      <c r="K109" s="6">
        <f ca="1">_xll.RiskPercentile('Climate A'!L$38,$H9)</f>
        <v>3.7797517742641058</v>
      </c>
      <c r="L109" s="6">
        <f ca="1">_xll.RiskPercentile('Climate A'!M$38,$H9)</f>
        <v>3.5705743862881838</v>
      </c>
      <c r="M109" s="57" t="s">
        <v>43</v>
      </c>
    </row>
    <row r="110" spans="1:14" x14ac:dyDescent="0.25">
      <c r="A110" s="3" t="s">
        <v>505</v>
      </c>
      <c r="B110" s="6"/>
      <c r="C110" s="6">
        <f ca="1">_xll.RiskPercentile('Climate A'!D$38,$H10)</f>
        <v>2.4971954655827266</v>
      </c>
      <c r="D110" s="6">
        <f ca="1">_xll.RiskPercentile('Climate A'!E$38,$H10)</f>
        <v>3.7532445400138408</v>
      </c>
      <c r="E110" s="6">
        <f ca="1">_xll.RiskPercentile('Climate A'!F$38,$H10)</f>
        <v>4.5529144237921448</v>
      </c>
      <c r="F110" s="6">
        <f ca="1">_xll.RiskPercentile('Climate A'!G$38,$H10)</f>
        <v>5.0831038009647624</v>
      </c>
      <c r="G110" s="6">
        <f ca="1">_xll.RiskPercentile('Climate A'!H$38,$H10)</f>
        <v>5.7444226299326298</v>
      </c>
      <c r="H110" s="6">
        <f ca="1">_xll.RiskPercentile('Climate A'!I$38,$H10)</f>
        <v>5.9959071130786148</v>
      </c>
      <c r="I110" s="6">
        <f ca="1">_xll.RiskPercentile('Climate A'!J$38,$H10)</f>
        <v>5.7749639984582704</v>
      </c>
      <c r="J110" s="6">
        <f ca="1">_xll.RiskPercentile('Climate A'!K$38,$H10)</f>
        <v>5.431210877754296</v>
      </c>
      <c r="K110" s="6">
        <f ca="1">_xll.RiskPercentile('Climate A'!L$38,$H10)</f>
        <v>5.1582161321340116</v>
      </c>
      <c r="L110" s="6">
        <f ca="1">_xll.RiskPercentile('Climate A'!M$38,$H10)</f>
        <v>4.8584738704543255</v>
      </c>
      <c r="M110" s="57" t="s">
        <v>43</v>
      </c>
    </row>
    <row r="111" spans="1:14" x14ac:dyDescent="0.25">
      <c r="A111" s="4"/>
      <c r="B111" s="4"/>
      <c r="C111" s="4"/>
      <c r="D111" s="4"/>
      <c r="E111" s="4"/>
      <c r="F111" s="4"/>
      <c r="G111" s="4"/>
      <c r="H111" s="4"/>
      <c r="I111" s="4"/>
      <c r="J111" s="4"/>
      <c r="K111" s="4"/>
      <c r="L111" s="4"/>
      <c r="M111" s="4"/>
    </row>
    <row r="112" spans="1:14" ht="13" x14ac:dyDescent="0.3">
      <c r="A112" s="5" t="s">
        <v>882</v>
      </c>
      <c r="B112" s="4"/>
      <c r="C112" s="4">
        <f t="array" ref="C112:L112">Y</f>
        <v>2020</v>
      </c>
      <c r="D112" s="4">
        <v>2030</v>
      </c>
      <c r="E112" s="4">
        <v>2040</v>
      </c>
      <c r="F112" s="4">
        <v>2050</v>
      </c>
      <c r="G112" s="4">
        <v>2075</v>
      </c>
      <c r="H112" s="4">
        <v>2100</v>
      </c>
      <c r="I112" s="4">
        <v>2150</v>
      </c>
      <c r="J112" s="4">
        <v>2200</v>
      </c>
      <c r="K112" s="4">
        <v>2250</v>
      </c>
      <c r="L112" s="4">
        <v>2300</v>
      </c>
      <c r="M112" s="4"/>
      <c r="N112" s="4"/>
    </row>
    <row r="113" spans="1:14" x14ac:dyDescent="0.25">
      <c r="A113" s="3" t="s">
        <v>504</v>
      </c>
      <c r="B113" s="1"/>
      <c r="C113" s="1">
        <f ca="1" xml:space="preserve"> (_xll.RiskPercentile('Climate A'!D$67,$H6) / 10^3) / (44/12)</f>
        <v>11.663183501310623</v>
      </c>
      <c r="D113" s="1">
        <f ca="1" xml:space="preserve"> (_xll.RiskPercentile('Climate A'!E$67,$H6) / 10^3) / (44/12)</f>
        <v>14.148257326394084</v>
      </c>
      <c r="E113" s="1">
        <f ca="1" xml:space="preserve"> (_xll.RiskPercentile('Climate A'!F$67,$H6) / 10^3) / (44/12)</f>
        <v>16.540227166851924</v>
      </c>
      <c r="F113" s="1">
        <f ca="1" xml:space="preserve"> (_xll.RiskPercentile('Climate A'!G$67,$H6) / 10^3) / (44/12)</f>
        <v>18.895451000282076</v>
      </c>
      <c r="G113" s="1">
        <f ca="1" xml:space="preserve"> (_xll.RiskPercentile('Climate A'!H$67,$H6) / 10^3) / (44/12)</f>
        <v>24.146561217424779</v>
      </c>
      <c r="H113" s="1">
        <f ca="1" xml:space="preserve"> (_xll.RiskPercentile('Climate A'!I$67,$H6) / 10^3) / (44/12)</f>
        <v>28.209694147616556</v>
      </c>
      <c r="I113" s="1">
        <f ca="1" xml:space="preserve"> (_xll.RiskPercentile('Climate A'!J$67,$H6) / 10^3) / (44/12)</f>
        <v>33.114467406960671</v>
      </c>
      <c r="J113" s="1">
        <f ca="1" xml:space="preserve"> (_xll.RiskPercentile('Climate A'!K$67,$H6) / 10^3) / (44/12)</f>
        <v>36.803618921318773</v>
      </c>
      <c r="K113" s="1">
        <f ca="1" xml:space="preserve"> (_xll.RiskPercentile('Climate A'!L$67,$H6) / 10^3) / (44/12)</f>
        <v>40.137383130194848</v>
      </c>
      <c r="L113" s="1">
        <f ca="1" xml:space="preserve"> (_xll.RiskPercentile('Climate A'!M$67,$H6) / 10^3) / (44/12)</f>
        <v>42.592998600755053</v>
      </c>
      <c r="M113" s="58" t="s">
        <v>506</v>
      </c>
      <c r="N113" s="4" t="s">
        <v>513</v>
      </c>
    </row>
    <row r="114" spans="1:14" x14ac:dyDescent="0.25">
      <c r="A114" s="3" t="s">
        <v>740</v>
      </c>
      <c r="B114" s="1"/>
      <c r="C114" s="1">
        <f ca="1" xml:space="preserve"> (_xll.RiskPercentile('Climate A'!D$67,$H7) / 10^3) / (44/12)</f>
        <v>12.449450096498325</v>
      </c>
      <c r="D114" s="1">
        <f ca="1" xml:space="preserve"> (_xll.RiskPercentile('Climate A'!E$67,$H7) / 10^3) / (44/12)</f>
        <v>15.469009465650583</v>
      </c>
      <c r="E114" s="1">
        <f ca="1" xml:space="preserve"> (_xll.RiskPercentile('Climate A'!F$67,$H7) / 10^3) / (44/12)</f>
        <v>18.636178237734363</v>
      </c>
      <c r="F114" s="1">
        <f ca="1" xml:space="preserve"> (_xll.RiskPercentile('Climate A'!G$67,$H7) / 10^3) / (44/12)</f>
        <v>21.900414134883516</v>
      </c>
      <c r="G114" s="1">
        <f ca="1" xml:space="preserve"> (_xll.RiskPercentile('Climate A'!H$67,$H7) / 10^3) / (44/12)</f>
        <v>29.566027891845593</v>
      </c>
      <c r="H114" s="1">
        <f ca="1" xml:space="preserve"> (_xll.RiskPercentile('Climate A'!I$67,$H7) / 10^3) / (44/12)</f>
        <v>35.867479549798098</v>
      </c>
      <c r="I114" s="1">
        <f ca="1" xml:space="preserve"> (_xll.RiskPercentile('Climate A'!J$67,$H7) / 10^3) / (44/12)</f>
        <v>43.446871046485739</v>
      </c>
      <c r="J114" s="1">
        <f ca="1" xml:space="preserve"> (_xll.RiskPercentile('Climate A'!K$67,$H7) / 10^3) / (44/12)</f>
        <v>48.525447966050159</v>
      </c>
      <c r="K114" s="1">
        <f ca="1" xml:space="preserve"> (_xll.RiskPercentile('Climate A'!L$67,$H7) / 10^3) / (44/12)</f>
        <v>53.036619960024048</v>
      </c>
      <c r="L114" s="1">
        <f ca="1" xml:space="preserve"> (_xll.RiskPercentile('Climate A'!M$67,$H7) / 10^3) / (44/12)</f>
        <v>56.982491692438096</v>
      </c>
      <c r="M114" s="58" t="s">
        <v>506</v>
      </c>
      <c r="N114" s="4"/>
    </row>
    <row r="115" spans="1:14" x14ac:dyDescent="0.25">
      <c r="A115" s="3" t="s">
        <v>578</v>
      </c>
      <c r="B115" s="1"/>
      <c r="C115" s="1">
        <f ca="1" xml:space="preserve"> (_xll.RiskPercentile('Climate A'!D$67,$H8) / 10^3) / (44/12)</f>
        <v>13.094485120733498</v>
      </c>
      <c r="D115" s="1">
        <f ca="1" xml:space="preserve"> (_xll.RiskPercentile('Climate A'!E$67,$H8) / 10^3) / (44/12)</f>
        <v>16.515246717258798</v>
      </c>
      <c r="E115" s="1">
        <f ca="1" xml:space="preserve"> (_xll.RiskPercentile('Climate A'!F$67,$H8) / 10^3) / (44/12)</f>
        <v>20.620631082705483</v>
      </c>
      <c r="F115" s="1">
        <f ca="1" xml:space="preserve"> (_xll.RiskPercentile('Climate A'!G$67,$H8) / 10^3) / (44/12)</f>
        <v>24.903840766673337</v>
      </c>
      <c r="G115" s="1">
        <f ca="1" xml:space="preserve"> (_xll.RiskPercentile('Climate A'!H$67,$H8) / 10^3) / (44/12)</f>
        <v>35.614842596407186</v>
      </c>
      <c r="H115" s="1">
        <f ca="1" xml:space="preserve"> (_xll.RiskPercentile('Climate A'!I$67,$H8) / 10^3) / (44/12)</f>
        <v>44.046163654236466</v>
      </c>
      <c r="I115" s="1">
        <f ca="1" xml:space="preserve"> (_xll.RiskPercentile('Climate A'!J$67,$H8) / 10^3) / (44/12)</f>
        <v>53.784164742138778</v>
      </c>
      <c r="J115" s="1">
        <f ca="1" xml:space="preserve"> (_xll.RiskPercentile('Climate A'!K$67,$H8) / 10^3) / (44/12)</f>
        <v>60.501541538431148</v>
      </c>
      <c r="K115" s="1">
        <f ca="1" xml:space="preserve"> (_xll.RiskPercentile('Climate A'!L$67,$H8) / 10^3) / (44/12)</f>
        <v>65.968315013548789</v>
      </c>
      <c r="L115" s="1">
        <f ca="1" xml:space="preserve"> (_xll.RiskPercentile('Climate A'!M$67,$H8) / 10^3) / (44/12)</f>
        <v>70.655552403907194</v>
      </c>
      <c r="M115" s="58" t="s">
        <v>506</v>
      </c>
      <c r="N115" s="4"/>
    </row>
    <row r="116" spans="1:14" x14ac:dyDescent="0.25">
      <c r="A116" s="3" t="s">
        <v>741</v>
      </c>
      <c r="B116" s="1"/>
      <c r="C116" s="1">
        <f ca="1" xml:space="preserve"> (_xll.RiskPercentile('Climate A'!D$67,$H9) / 10^3) / (44/12)</f>
        <v>13.729327008536615</v>
      </c>
      <c r="D116" s="1">
        <f ca="1" xml:space="preserve"> (_xll.RiskPercentile('Climate A'!E$67,$H9) / 10^3) / (44/12)</f>
        <v>17.709045974621926</v>
      </c>
      <c r="E116" s="1">
        <f ca="1" xml:space="preserve"> (_xll.RiskPercentile('Climate A'!F$67,$H9) / 10^3) / (44/12)</f>
        <v>22.598102595034792</v>
      </c>
      <c r="F116" s="1">
        <f ca="1" xml:space="preserve"> (_xll.RiskPercentile('Climate A'!G$67,$H9) / 10^3) / (44/12)</f>
        <v>28.022236785846989</v>
      </c>
      <c r="G116" s="1">
        <f ca="1" xml:space="preserve"> (_xll.RiskPercentile('Climate A'!H$67,$H9) / 10^3) / (44/12)</f>
        <v>41.675743762319996</v>
      </c>
      <c r="H116" s="1">
        <f ca="1" xml:space="preserve"> (_xll.RiskPercentile('Climate A'!I$67,$H9) / 10^3) / (44/12)</f>
        <v>52.783081603856949</v>
      </c>
      <c r="I116" s="1">
        <f ca="1" xml:space="preserve"> (_xll.RiskPercentile('Climate A'!J$67,$H9) / 10^3) / (44/12)</f>
        <v>66.455371876766108</v>
      </c>
      <c r="J116" s="1">
        <f ca="1" xml:space="preserve"> (_xll.RiskPercentile('Climate A'!K$67,$H9) / 10^3) / (44/12)</f>
        <v>75.171538861327406</v>
      </c>
      <c r="K116" s="1">
        <f ca="1" xml:space="preserve"> (_xll.RiskPercentile('Climate A'!L$67,$H9) / 10^3) / (44/12)</f>
        <v>82.649772574892069</v>
      </c>
      <c r="L116" s="1">
        <f ca="1" xml:space="preserve"> (_xll.RiskPercentile('Climate A'!M$67,$H9) / 10^3) / (44/12)</f>
        <v>89.083262160423658</v>
      </c>
      <c r="M116" s="58" t="s">
        <v>506</v>
      </c>
      <c r="N116" s="4"/>
    </row>
    <row r="117" spans="1:14" x14ac:dyDescent="0.25">
      <c r="A117" s="3" t="s">
        <v>505</v>
      </c>
      <c r="B117" s="1"/>
      <c r="C117" s="1">
        <f ca="1" xml:space="preserve"> (_xll.RiskPercentile('Climate A'!D$67,$H10) / 10^3) / (44/12)</f>
        <v>14.559512215297097</v>
      </c>
      <c r="D117" s="1">
        <f ca="1" xml:space="preserve"> (_xll.RiskPercentile('Climate A'!E$67,$H10) / 10^3) / (44/12)</f>
        <v>19.5553922121032</v>
      </c>
      <c r="E117" s="1">
        <f ca="1" xml:space="preserve"> (_xll.RiskPercentile('Climate A'!F$67,$H10) / 10^3) / (44/12)</f>
        <v>26.000238406274207</v>
      </c>
      <c r="F117" s="1">
        <f ca="1" xml:space="preserve"> (_xll.RiskPercentile('Climate A'!G$67,$H10) / 10^3) / (44/12)</f>
        <v>32.850494231667511</v>
      </c>
      <c r="G117" s="1">
        <f ca="1" xml:space="preserve"> (_xll.RiskPercentile('Climate A'!H$67,$H10) / 10^3) / (44/12)</f>
        <v>51.519299604601585</v>
      </c>
      <c r="H117" s="1">
        <f ca="1" xml:space="preserve"> (_xll.RiskPercentile('Climate A'!I$67,$H10) / 10^3) / (44/12)</f>
        <v>66.891143224380954</v>
      </c>
      <c r="I117" s="1">
        <f ca="1" xml:space="preserve"> (_xll.RiskPercentile('Climate A'!J$67,$H10) / 10^3) / (44/12)</f>
        <v>87.402556056417737</v>
      </c>
      <c r="J117" s="1">
        <f ca="1" xml:space="preserve"> (_xll.RiskPercentile('Climate A'!K$67,$H10) / 10^3) / (44/12)</f>
        <v>100.73976525389193</v>
      </c>
      <c r="K117" s="1">
        <f ca="1" xml:space="preserve"> (_xll.RiskPercentile('Climate A'!L$67,$H10) / 10^3) / (44/12)</f>
        <v>111.07060961831304</v>
      </c>
      <c r="L117" s="1">
        <f ca="1" xml:space="preserve"> (_xll.RiskPercentile('Climate A'!M$67,$H10) / 10^3) / (44/12)</f>
        <v>119.90808279710281</v>
      </c>
      <c r="M117" s="58" t="s">
        <v>506</v>
      </c>
      <c r="N117" s="4"/>
    </row>
    <row r="118" spans="1:14" x14ac:dyDescent="0.25">
      <c r="A118" s="3"/>
      <c r="B118" s="1"/>
      <c r="C118" s="1"/>
      <c r="D118" s="1"/>
      <c r="E118" s="1"/>
      <c r="F118" s="1"/>
      <c r="G118" s="1"/>
      <c r="H118" s="1"/>
      <c r="I118" s="1"/>
      <c r="J118" s="1"/>
      <c r="K118" s="1"/>
      <c r="L118" s="1"/>
      <c r="M118" s="58"/>
      <c r="N118" s="4"/>
    </row>
    <row r="119" spans="1:14" x14ac:dyDescent="0.25">
      <c r="A119" s="3" t="s">
        <v>430</v>
      </c>
      <c r="B119" s="1"/>
      <c r="C119" s="1">
        <f ca="1" xml:space="preserve"> (_xll.RiskMean('Climate A'!D$67) / 10^3) / (44/12)</f>
        <v>13.097767457967359</v>
      </c>
      <c r="D119" s="1">
        <f ca="1" xml:space="preserve"> (_xll.RiskMean('Climate A'!E$67) / 10^3) / (44/12)</f>
        <v>16.663841317795811</v>
      </c>
      <c r="E119" s="1">
        <f ca="1" xml:space="preserve"> (_xll.RiskMean('Climate A'!F$67) / 10^3) / (44/12)</f>
        <v>20.845456654644043</v>
      </c>
      <c r="F119" s="1">
        <f ca="1" xml:space="preserve"> (_xll.RiskMean('Climate A'!G$67) / 10^3) / (44/12)</f>
        <v>25.2713621518918</v>
      </c>
      <c r="G119" s="1">
        <f ca="1" xml:space="preserve"> (_xll.RiskMean('Climate A'!H$67) / 10^3) / (44/12)</f>
        <v>36.276494405201639</v>
      </c>
      <c r="H119" s="1">
        <f ca="1" xml:space="preserve"> (_xll.RiskMean('Climate A'!I$67) / 10^3) / (44/12)</f>
        <v>45.225656658442588</v>
      </c>
      <c r="I119" s="1">
        <f ca="1" xml:space="preserve"> (_xll.RiskMean('Climate A'!J$67) / 10^3) / (44/12)</f>
        <v>56.306737131303713</v>
      </c>
      <c r="J119" s="1">
        <f ca="1" xml:space="preserve"> (_xll.RiskMean('Climate A'!K$67) / 10^3) / (44/12)</f>
        <v>63.854351654898757</v>
      </c>
      <c r="K119" s="1">
        <f ca="1" xml:space="preserve"> (_xll.RiskMean('Climate A'!L$67) / 10^3) / (44/12)</f>
        <v>69.944141589309723</v>
      </c>
      <c r="L119" s="1">
        <f ca="1" xml:space="preserve"> (_xll.RiskMean('Climate A'!M$67) / 10^3) / (44/12)</f>
        <v>75.111768983571565</v>
      </c>
      <c r="M119" s="58" t="s">
        <v>506</v>
      </c>
      <c r="N119" s="4"/>
    </row>
    <row r="120" spans="1:14" x14ac:dyDescent="0.25">
      <c r="A120" s="3" t="s">
        <v>778</v>
      </c>
      <c r="B120" s="1"/>
      <c r="C120" s="1">
        <f ca="1" xml:space="preserve"> (_xll.RiskStdDev('Climate A'!D$67) / 10^3) / (44/12)</f>
        <v>0.88698875952471412</v>
      </c>
      <c r="D120" s="1">
        <f ca="1" xml:space="preserve"> (_xll.RiskStdDev('Climate A'!E$67) / 10^3) / (44/12)</f>
        <v>1.6862929713360015</v>
      </c>
      <c r="E120" s="1">
        <f ca="1" xml:space="preserve"> (_xll.RiskStdDev('Climate A'!F$67) / 10^3) / (44/12)</f>
        <v>2.9543929566580829</v>
      </c>
      <c r="F120" s="1">
        <f ca="1" xml:space="preserve"> (_xll.RiskStdDev('Climate A'!G$67) / 10^3) / (44/12)</f>
        <v>4.4339774319870715</v>
      </c>
      <c r="G120" s="1">
        <f ca="1" xml:space="preserve"> (_xll.RiskStdDev('Climate A'!H$67) / 10^3) / (44/12)</f>
        <v>8.6142481289965236</v>
      </c>
      <c r="H120" s="1">
        <f ca="1" xml:space="preserve"> (_xll.RiskStdDev('Climate A'!I$67) / 10^3) / (44/12)</f>
        <v>12.298587883034568</v>
      </c>
      <c r="I120" s="1">
        <f ca="1" xml:space="preserve"> (_xll.RiskStdDev('Climate A'!J$67) / 10^3) / (44/12)</f>
        <v>17.367429074440121</v>
      </c>
      <c r="J120" s="1">
        <f ca="1" xml:space="preserve"> (_xll.RiskStdDev('Climate A'!K$67) / 10^3) / (44/12)</f>
        <v>20.698820955928664</v>
      </c>
      <c r="K120" s="1">
        <f ca="1" xml:space="preserve"> (_xll.RiskStdDev('Climate A'!L$67) / 10^3) / (44/12)</f>
        <v>23.201222482888362</v>
      </c>
      <c r="L120" s="1">
        <f ca="1" xml:space="preserve"> (_xll.RiskStdDev('Climate A'!M$67) / 10^3) / (44/12)</f>
        <v>25.25833539853507</v>
      </c>
      <c r="M120" s="58" t="s">
        <v>506</v>
      </c>
      <c r="N120" s="4"/>
    </row>
    <row r="121" spans="1:14" x14ac:dyDescent="0.25">
      <c r="A121" s="4"/>
      <c r="B121" s="4"/>
      <c r="C121" s="4"/>
      <c r="D121" s="4"/>
      <c r="E121" s="4"/>
      <c r="F121" s="4"/>
      <c r="G121" s="4"/>
      <c r="H121" s="4"/>
      <c r="I121" s="4"/>
      <c r="J121" s="4"/>
      <c r="K121" s="4"/>
      <c r="L121" s="4"/>
      <c r="M121" s="4"/>
      <c r="N121" s="4"/>
    </row>
    <row r="122" spans="1:14" ht="13" x14ac:dyDescent="0.3">
      <c r="A122" s="5" t="s">
        <v>883</v>
      </c>
      <c r="B122" s="4"/>
      <c r="C122" s="4">
        <f t="array" ref="C122:L122">Y</f>
        <v>2020</v>
      </c>
      <c r="D122" s="4">
        <v>2030</v>
      </c>
      <c r="E122" s="4">
        <v>2040</v>
      </c>
      <c r="F122" s="4">
        <v>2050</v>
      </c>
      <c r="G122" s="4">
        <v>2075</v>
      </c>
      <c r="H122" s="4">
        <v>2100</v>
      </c>
      <c r="I122" s="4">
        <v>2150</v>
      </c>
      <c r="J122" s="4">
        <v>2200</v>
      </c>
      <c r="K122" s="4">
        <v>2250</v>
      </c>
      <c r="L122" s="4">
        <v>2300</v>
      </c>
      <c r="M122" s="59"/>
      <c r="N122" s="59"/>
    </row>
    <row r="123" spans="1:14" x14ac:dyDescent="0.25">
      <c r="A123" s="3" t="s">
        <v>504</v>
      </c>
      <c r="C123" s="1">
        <f ca="1" xml:space="preserve"> (_xll.RiskPercentile('Climate A'!D$70,$H6) / 10^3) / (16/12)</f>
        <v>0.4862098185364977</v>
      </c>
      <c r="D123" s="1">
        <f ca="1" xml:space="preserve"> (_xll.RiskPercentile('Climate A'!E$70,$H6) / 10^3) / (16/12)</f>
        <v>0.57751225137323636</v>
      </c>
      <c r="E123" s="1">
        <f ca="1" xml:space="preserve"> (_xll.RiskPercentile('Climate A'!F$70,$H6) / 10^3) / (16/12)</f>
        <v>0.66640995639665135</v>
      </c>
      <c r="F123" s="1">
        <f ca="1" xml:space="preserve"> (_xll.RiskPercentile('Climate A'!G$70,$H6) / 10^3) / (16/12)</f>
        <v>0.75728478345414341</v>
      </c>
      <c r="G123" s="1">
        <f ca="1" xml:space="preserve"> (_xll.RiskPercentile('Climate A'!H$70,$H6) / 10^3) / (16/12)</f>
        <v>0.97802345834064652</v>
      </c>
      <c r="H123" s="1">
        <f ca="1" xml:space="preserve"> (_xll.RiskPercentile('Climate A'!I$70,$H6) / 10^3) / (16/12)</f>
        <v>1.1769174336931389</v>
      </c>
      <c r="I123" s="1">
        <f ca="1" xml:space="preserve"> (_xll.RiskPercentile('Climate A'!J$70,$H6) / 10^3) / (16/12)</f>
        <v>1.4646592639879779</v>
      </c>
      <c r="J123" s="1">
        <f ca="1" xml:space="preserve"> (_xll.RiskPercentile('Climate A'!K$70,$H6) / 10^3) / (16/12)</f>
        <v>1.7075300905100448</v>
      </c>
      <c r="K123" s="1">
        <f ca="1" xml:space="preserve"> (_xll.RiskPercentile('Climate A'!L$70,$H6) / 10^3) / (16/12)</f>
        <v>1.9207053631167228</v>
      </c>
      <c r="L123" s="1">
        <f ca="1" xml:space="preserve"> (_xll.RiskPercentile('Climate A'!M$70,$H6) / 10^3) / (16/12)</f>
        <v>2.1035743759028143</v>
      </c>
      <c r="M123" s="58" t="s">
        <v>506</v>
      </c>
      <c r="N123" s="4" t="s">
        <v>513</v>
      </c>
    </row>
    <row r="124" spans="1:14" x14ac:dyDescent="0.25">
      <c r="A124" s="3" t="s">
        <v>740</v>
      </c>
      <c r="C124" s="1">
        <f ca="1" xml:space="preserve"> (_xll.RiskPercentile('Climate A'!D$70,$H7) / 10^3) / (16/12)</f>
        <v>0.62999799923394051</v>
      </c>
      <c r="D124" s="1">
        <f ca="1" xml:space="preserve"> (_xll.RiskPercentile('Climate A'!E$70,$H7) / 10^3) / (16/12)</f>
        <v>0.727085813515289</v>
      </c>
      <c r="E124" s="1">
        <f ca="1" xml:space="preserve"> (_xll.RiskPercentile('Climate A'!F$70,$H7) / 10^3) / (16/12)</f>
        <v>0.83620916344787855</v>
      </c>
      <c r="F124" s="1">
        <f ca="1" xml:space="preserve"> (_xll.RiskPercentile('Climate A'!G$70,$H7) / 10^3) / (16/12)</f>
        <v>0.96178454582329498</v>
      </c>
      <c r="G124" s="1">
        <f ca="1" xml:space="preserve"> (_xll.RiskPercentile('Climate A'!H$70,$H7) / 10^3) / (16/12)</f>
        <v>1.2787679134257741</v>
      </c>
      <c r="H124" s="1">
        <f ca="1" xml:space="preserve"> (_xll.RiskPercentile('Climate A'!I$70,$H7) / 10^3) / (16/12)</f>
        <v>1.566855716617521</v>
      </c>
      <c r="I124" s="1">
        <f ca="1" xml:space="preserve"> (_xll.RiskPercentile('Climate A'!J$70,$H7) / 10^3) / (16/12)</f>
        <v>2.0227702127436635</v>
      </c>
      <c r="J124" s="1">
        <f ca="1" xml:space="preserve"> (_xll.RiskPercentile('Climate A'!K$70,$H7) / 10^3) / (16/12)</f>
        <v>2.419030027650507</v>
      </c>
      <c r="K124" s="1">
        <f ca="1" xml:space="preserve"> (_xll.RiskPercentile('Climate A'!L$70,$H7) / 10^3) / (16/12)</f>
        <v>2.7613819976206897</v>
      </c>
      <c r="L124" s="1">
        <f ca="1" xml:space="preserve"> (_xll.RiskPercentile('Climate A'!M$70,$H7) / 10^3) / (16/12)</f>
        <v>3.0601622074011505</v>
      </c>
      <c r="M124" s="58" t="s">
        <v>506</v>
      </c>
      <c r="N124" s="6"/>
    </row>
    <row r="125" spans="1:14" x14ac:dyDescent="0.25">
      <c r="A125" s="3" t="s">
        <v>578</v>
      </c>
      <c r="C125" s="1">
        <f ca="1" xml:space="preserve"> (_xll.RiskPercentile('Climate A'!D$70,$H8) / 10^3) / (16/12)</f>
        <v>0.73776718404017483</v>
      </c>
      <c r="D125" s="1">
        <f ca="1" xml:space="preserve"> (_xll.RiskPercentile('Climate A'!E$70,$H8) / 10^3) / (16/12)</f>
        <v>0.85501427367140415</v>
      </c>
      <c r="E125" s="1">
        <f ca="1" xml:space="preserve"> (_xll.RiskPercentile('Climate A'!F$70,$H8) / 10^3) / (16/12)</f>
        <v>0.99092258922297483</v>
      </c>
      <c r="F125" s="1">
        <f ca="1" xml:space="preserve"> (_xll.RiskPercentile('Climate A'!G$70,$H8) / 10^3) / (16/12)</f>
        <v>1.1391221305671126</v>
      </c>
      <c r="G125" s="1">
        <f ca="1" xml:space="preserve"> (_xll.RiskPercentile('Climate A'!H$70,$H8) / 10^3) / (16/12)</f>
        <v>1.5428646021578769</v>
      </c>
      <c r="H125" s="1">
        <f ca="1" xml:space="preserve"> (_xll.RiskPercentile('Climate A'!I$70,$H8) / 10^3) / (16/12)</f>
        <v>1.9295756076484212</v>
      </c>
      <c r="I125" s="1">
        <f ca="1" xml:space="preserve"> (_xll.RiskPercentile('Climate A'!J$70,$H8) / 10^3) / (16/12)</f>
        <v>2.5576208306353352</v>
      </c>
      <c r="J125" s="1">
        <f ca="1" xml:space="preserve"> (_xll.RiskPercentile('Climate A'!K$70,$H8) / 10^3) / (16/12)</f>
        <v>3.1000871238821852</v>
      </c>
      <c r="K125" s="1">
        <f ca="1" xml:space="preserve"> (_xll.RiskPercentile('Climate A'!L$70,$H8) / 10^3) / (16/12)</f>
        <v>3.5616020479300299</v>
      </c>
      <c r="L125" s="1">
        <f ca="1" xml:space="preserve"> (_xll.RiskPercentile('Climate A'!M$70,$H8) / 10^3) / (16/12)</f>
        <v>3.9591677843327724</v>
      </c>
      <c r="M125" s="58" t="s">
        <v>506</v>
      </c>
      <c r="N125" s="6"/>
    </row>
    <row r="126" spans="1:14" x14ac:dyDescent="0.25">
      <c r="A126" s="3" t="s">
        <v>741</v>
      </c>
      <c r="C126" s="1">
        <f ca="1" xml:space="preserve"> (_xll.RiskPercentile('Climate A'!D$70,$H9) / 10^3) / (16/12)</f>
        <v>0.84629369299296409</v>
      </c>
      <c r="D126" s="1">
        <f ca="1" xml:space="preserve"> (_xll.RiskPercentile('Climate A'!E$70,$H9) / 10^3) / (16/12)</f>
        <v>0.9840774218433942</v>
      </c>
      <c r="E126" s="1">
        <f ca="1" xml:space="preserve"> (_xll.RiskPercentile('Climate A'!F$70,$H9) / 10^3) / (16/12)</f>
        <v>1.1561024845713883</v>
      </c>
      <c r="F126" s="1">
        <f ca="1" xml:space="preserve"> (_xll.RiskPercentile('Climate A'!G$70,$H9) / 10^3) / (16/12)</f>
        <v>1.3368000719870738</v>
      </c>
      <c r="G126" s="1">
        <f ca="1" xml:space="preserve"> (_xll.RiskPercentile('Climate A'!H$70,$H9) / 10^3) / (16/12)</f>
        <v>1.8660446754725457</v>
      </c>
      <c r="H126" s="1">
        <f ca="1" xml:space="preserve"> (_xll.RiskPercentile('Climate A'!I$70,$H9) / 10^3) / (16/12)</f>
        <v>2.3757928130763739</v>
      </c>
      <c r="I126" s="1">
        <f ca="1" xml:space="preserve"> (_xll.RiskPercentile('Climate A'!J$70,$H9) / 10^3) / (16/12)</f>
        <v>3.2377981503747661</v>
      </c>
      <c r="J126" s="1">
        <f ca="1" xml:space="preserve"> (_xll.RiskPercentile('Climate A'!K$70,$H9) / 10^3) / (16/12)</f>
        <v>3.989773245651687</v>
      </c>
      <c r="K126" s="1">
        <f ca="1" xml:space="preserve"> (_xll.RiskPercentile('Climate A'!L$70,$H9) / 10^3) / (16/12)</f>
        <v>4.6610706525498813</v>
      </c>
      <c r="L126" s="1">
        <f ca="1" xml:space="preserve"> (_xll.RiskPercentile('Climate A'!M$70,$H9) / 10^3) / (16/12)</f>
        <v>5.250891020112272</v>
      </c>
      <c r="M126" s="58" t="s">
        <v>506</v>
      </c>
      <c r="N126" s="4"/>
    </row>
    <row r="127" spans="1:14" x14ac:dyDescent="0.25">
      <c r="A127" s="3" t="s">
        <v>505</v>
      </c>
      <c r="C127" s="1">
        <f ca="1" xml:space="preserve"> (_xll.RiskPercentile('Climate A'!D$70,$H10) / 10^3) / (16/12)</f>
        <v>1.0018514758223878</v>
      </c>
      <c r="D127" s="1">
        <f ca="1" xml:space="preserve"> (_xll.RiskPercentile('Climate A'!E$70,$H10) / 10^3) / (16/12)</f>
        <v>1.1657760415475842</v>
      </c>
      <c r="E127" s="1">
        <f ca="1" xml:space="preserve"> (_xll.RiskPercentile('Climate A'!F$70,$H10) / 10^3) / (16/12)</f>
        <v>1.3763360461254697</v>
      </c>
      <c r="F127" s="1">
        <f ca="1" xml:space="preserve"> (_xll.RiskPercentile('Climate A'!G$70,$H10) / 10^3) / (16/12)</f>
        <v>1.6501718396644034</v>
      </c>
      <c r="G127" s="1">
        <f ca="1" xml:space="preserve"> (_xll.RiskPercentile('Climate A'!H$70,$H10) / 10^3) / (16/12)</f>
        <v>2.4094850514431494</v>
      </c>
      <c r="H127" s="1">
        <f ca="1" xml:space="preserve"> (_xll.RiskPercentile('Climate A'!I$70,$H10) / 10^3) / (16/12)</f>
        <v>3.1670516930167194</v>
      </c>
      <c r="I127" s="1">
        <f ca="1" xml:space="preserve"> (_xll.RiskPercentile('Climate A'!J$70,$H10) / 10^3) / (16/12)</f>
        <v>4.4579010841311169</v>
      </c>
      <c r="J127" s="1">
        <f ca="1" xml:space="preserve"> (_xll.RiskPercentile('Climate A'!K$70,$H10) / 10^3) / (16/12)</f>
        <v>5.5998268512927094</v>
      </c>
      <c r="K127" s="1">
        <f ca="1" xml:space="preserve"> (_xll.RiskPercentile('Climate A'!L$70,$H10) / 10^3) / (16/12)</f>
        <v>6.6064317195301996</v>
      </c>
      <c r="L127" s="1">
        <f ca="1" xml:space="preserve"> (_xll.RiskPercentile('Climate A'!M$70,$H10) / 10^3) / (16/12)</f>
        <v>7.3715690628031325</v>
      </c>
      <c r="M127" s="58" t="s">
        <v>506</v>
      </c>
      <c r="N127" s="4"/>
    </row>
    <row r="128" spans="1:14" x14ac:dyDescent="0.25">
      <c r="A128" s="3"/>
      <c r="B128" s="1"/>
      <c r="C128" s="1"/>
      <c r="D128" s="1"/>
      <c r="E128" s="1"/>
      <c r="F128" s="1"/>
      <c r="G128" s="1"/>
      <c r="H128" s="1"/>
      <c r="I128" s="1"/>
      <c r="J128" s="1"/>
      <c r="K128" s="1"/>
      <c r="L128" s="1"/>
      <c r="M128" s="58"/>
      <c r="N128" s="4"/>
    </row>
    <row r="129" spans="1:14" x14ac:dyDescent="0.25">
      <c r="A129" s="3" t="s">
        <v>430</v>
      </c>
      <c r="B129" s="1"/>
      <c r="C129" s="1">
        <f ca="1" xml:space="preserve"> (_xll.RiskMean('Climate A'!D$70) / 10^3) / (16/12)</f>
        <v>0.74160527066976545</v>
      </c>
      <c r="D129" s="1">
        <f ca="1" xml:space="preserve"> (_xll.RiskMean('Climate A'!E$70) / 10^3) / (16/12)</f>
        <v>0.86055561012734172</v>
      </c>
      <c r="E129" s="1">
        <f ca="1" xml:space="preserve"> (_xll.RiskMean('Climate A'!F$70) / 10^3) / (16/12)</f>
        <v>1.0043397848611337</v>
      </c>
      <c r="F129" s="1">
        <f ca="1" xml:space="preserve"> (_xll.RiskMean('Climate A'!G$70) / 10^3) / (16/12)</f>
        <v>1.1638978180117894</v>
      </c>
      <c r="G129" s="1">
        <f ca="1" xml:space="preserve"> (_xll.RiskMean('Climate A'!H$70) / 10^3) / (16/12)</f>
        <v>1.6009555219058551</v>
      </c>
      <c r="H129" s="1">
        <f ca="1" xml:space="preserve"> (_xll.RiskMean('Climate A'!I$70) / 10^3) / (16/12)</f>
        <v>2.0260078402830901</v>
      </c>
      <c r="I129" s="1">
        <f ca="1" xml:space="preserve"> (_xll.RiskMean('Climate A'!J$70) / 10^3) / (16/12)</f>
        <v>2.733880338055751</v>
      </c>
      <c r="J129" s="1">
        <f ca="1" xml:space="preserve"> (_xll.RiskMean('Climate A'!K$70) / 10^3) / (16/12)</f>
        <v>3.3343851693687943</v>
      </c>
      <c r="K129" s="1">
        <f ca="1" xml:space="preserve"> (_xll.RiskMean('Climate A'!L$70) / 10^3) / (16/12)</f>
        <v>3.858058844880889</v>
      </c>
      <c r="L129" s="1">
        <f ca="1" xml:space="preserve"> (_xll.RiskMean('Climate A'!M$70) / 10^3) / (16/12)</f>
        <v>4.3092973289358332</v>
      </c>
      <c r="M129" s="58" t="s">
        <v>506</v>
      </c>
      <c r="N129" s="4"/>
    </row>
    <row r="130" spans="1:14" x14ac:dyDescent="0.25">
      <c r="A130" s="3" t="s">
        <v>778</v>
      </c>
      <c r="B130" s="1"/>
      <c r="C130" s="1">
        <f ca="1" xml:space="preserve"> (_xll.RiskStdDev('Climate A'!D$70) / 10^3) / (16/12)</f>
        <v>0.15355339993435216</v>
      </c>
      <c r="D130" s="1">
        <f ca="1" xml:space="preserve"> (_xll.RiskStdDev('Climate A'!E$70) / 10^3) / (16/12)</f>
        <v>0.18127142549160757</v>
      </c>
      <c r="E130" s="1">
        <f ca="1" xml:space="preserve"> (_xll.RiskStdDev('Climate A'!F$70) / 10^3) / (16/12)</f>
        <v>0.22319301342508813</v>
      </c>
      <c r="F130" s="1">
        <f ca="1" xml:space="preserve"> (_xll.RiskStdDev('Climate A'!G$70) / 10^3) / (16/12)</f>
        <v>0.27775084348395757</v>
      </c>
      <c r="G130" s="1">
        <f ca="1" xml:space="preserve"> (_xll.RiskStdDev('Climate A'!H$70) / 10^3) / (16/12)</f>
        <v>0.45532782761374813</v>
      </c>
      <c r="H130" s="1">
        <f ca="1" xml:space="preserve"> (_xll.RiskStdDev('Climate A'!I$70) / 10^3) / (16/12)</f>
        <v>0.64765653379467825</v>
      </c>
      <c r="I130" s="1">
        <f ca="1" xml:space="preserve"> (_xll.RiskStdDev('Climate A'!J$70) / 10^3) / (16/12)</f>
        <v>0.99346835998579974</v>
      </c>
      <c r="J130" s="1">
        <f ca="1" xml:space="preserve"> (_xll.RiskStdDev('Climate A'!K$70) / 10^3) / (16/12)</f>
        <v>1.2895898066758256</v>
      </c>
      <c r="K130" s="1">
        <f ca="1" xml:space="preserve"> (_xll.RiskStdDev('Climate A'!L$70) / 10^3) / (16/12)</f>
        <v>1.5437933219486599</v>
      </c>
      <c r="L130" s="1">
        <f ca="1" xml:space="preserve"> (_xll.RiskStdDev('Climate A'!M$70) / 10^3) / (16/12)</f>
        <v>1.7605366076315312</v>
      </c>
      <c r="M130" s="58" t="s">
        <v>506</v>
      </c>
      <c r="N130" s="4"/>
    </row>
    <row r="132" spans="1:14" ht="13" x14ac:dyDescent="0.3">
      <c r="A132" s="2" t="s">
        <v>933</v>
      </c>
      <c r="C132">
        <f t="array" ref="C132:L132">Y</f>
        <v>2020</v>
      </c>
      <c r="D132">
        <v>2030</v>
      </c>
      <c r="E132">
        <v>2040</v>
      </c>
      <c r="F132">
        <v>2050</v>
      </c>
      <c r="G132">
        <v>2075</v>
      </c>
      <c r="H132">
        <v>2100</v>
      </c>
      <c r="I132">
        <v>2150</v>
      </c>
      <c r="J132">
        <v>2200</v>
      </c>
      <c r="K132">
        <v>2250</v>
      </c>
      <c r="L132">
        <v>2300</v>
      </c>
    </row>
    <row r="133" spans="1:14" x14ac:dyDescent="0.25">
      <c r="A133" s="3" t="s">
        <v>504</v>
      </c>
      <c r="B133" s="158"/>
      <c r="C133" s="158">
        <f ca="1">_xll.RiskPercentile('Climate A'!D$201,$H6)</f>
        <v>2.7848469266888998E-4</v>
      </c>
      <c r="D133" s="158">
        <f ca="1">_xll.RiskPercentile('Climate A'!E$201,$H6)</f>
        <v>5.572490516549955E-4</v>
      </c>
      <c r="E133" s="158">
        <f ca="1">_xll.RiskPercentile('Climate A'!F$201,$H6)</f>
        <v>6.3635623337043867E-4</v>
      </c>
      <c r="F133" s="158">
        <f ca="1">_xll.RiskPercentile('Climate A'!G$201,$H6)</f>
        <v>6.7941932714643549E-4</v>
      </c>
      <c r="G133" s="158">
        <f ca="1">_xll.RiskPercentile('Climate A'!H$201,$H6)</f>
        <v>6.8968417523040948E-4</v>
      </c>
      <c r="H133" s="158">
        <f ca="1">_xll.RiskPercentile('Climate A'!I$201,$H6)</f>
        <v>7.7244587920355379E-4</v>
      </c>
      <c r="I133" s="158">
        <f ca="1">_xll.RiskPercentile('Climate A'!J$201,$H6)</f>
        <v>1.078908514267285E-3</v>
      </c>
      <c r="J133" s="158">
        <f ca="1">_xll.RiskPercentile('Climate A'!K$201,$H6)</f>
        <v>1.2762129036221204E-3</v>
      </c>
      <c r="K133" s="158">
        <f ca="1">_xll.RiskPercentile('Climate A'!L$201,$H6)</f>
        <v>1.4170176051371275E-3</v>
      </c>
      <c r="L133" s="158">
        <f ca="1">_xll.RiskPercentile('Climate A'!M$201,$H6)</f>
        <v>1.5077573637078956E-3</v>
      </c>
      <c r="N133" s="4" t="s">
        <v>513</v>
      </c>
    </row>
    <row r="134" spans="1:14" x14ac:dyDescent="0.25">
      <c r="A134" s="3" t="s">
        <v>740</v>
      </c>
      <c r="B134" s="158"/>
      <c r="C134" s="158">
        <f ca="1">_xll.RiskPercentile('Climate A'!D$201,$H7)</f>
        <v>7.1571672422110488E-4</v>
      </c>
      <c r="D134" s="158">
        <f ca="1">_xll.RiskPercentile('Climate A'!E$201,$H7)</f>
        <v>1.3626241064412792E-3</v>
      </c>
      <c r="E134" s="158">
        <f ca="1">_xll.RiskPercentile('Climate A'!F$201,$H7)</f>
        <v>1.5652666219880818E-3</v>
      </c>
      <c r="F134" s="158">
        <f ca="1">_xll.RiskPercentile('Climate A'!G$201,$H7)</f>
        <v>1.6412232859452924E-3</v>
      </c>
      <c r="G134" s="158">
        <f ca="1">_xll.RiskPercentile('Climate A'!H$201,$H7)</f>
        <v>1.6506405476868213E-3</v>
      </c>
      <c r="H134" s="158">
        <f ca="1">_xll.RiskPercentile('Climate A'!I$201,$H7)</f>
        <v>1.7524296817823526E-3</v>
      </c>
      <c r="I134" s="158">
        <f ca="1">_xll.RiskPercentile('Climate A'!J$201,$H7)</f>
        <v>2.3245672487413049E-3</v>
      </c>
      <c r="J134" s="158">
        <f ca="1">_xll.RiskPercentile('Climate A'!K$201,$H7)</f>
        <v>2.7932354995086062E-3</v>
      </c>
      <c r="K134" s="158">
        <f ca="1">_xll.RiskPercentile('Climate A'!L$201,$H7)</f>
        <v>3.0582782575903078E-3</v>
      </c>
      <c r="L134" s="158">
        <f ca="1">_xll.RiskPercentile('Climate A'!M$201,$H7)</f>
        <v>3.3202756075936257E-3</v>
      </c>
    </row>
    <row r="135" spans="1:14" x14ac:dyDescent="0.25">
      <c r="A135" s="3" t="s">
        <v>578</v>
      </c>
      <c r="B135" s="172"/>
      <c r="C135" s="158">
        <f ca="1">_xll.RiskPercentile('Climate A'!D$201,$H8)</f>
        <v>1.1499421096681228E-3</v>
      </c>
      <c r="D135" s="158">
        <f ca="1">_xll.RiskPercentile('Climate A'!E$201,$H8)</f>
        <v>2.1652897175243879E-3</v>
      </c>
      <c r="E135" s="158">
        <f ca="1">_xll.RiskPercentile('Climate A'!F$201,$H8)</f>
        <v>2.5957862800021214E-3</v>
      </c>
      <c r="F135" s="158">
        <f ca="1">_xll.RiskPercentile('Climate A'!G$201,$H8)</f>
        <v>2.7584434858429763E-3</v>
      </c>
      <c r="G135" s="158">
        <f ca="1">_xll.RiskPercentile('Climate A'!H$201,$H8)</f>
        <v>2.7723625913718131E-3</v>
      </c>
      <c r="H135" s="158">
        <f ca="1">_xll.RiskPercentile('Climate A'!I$201,$H8)</f>
        <v>2.8630530626096995E-3</v>
      </c>
      <c r="I135" s="158">
        <f ca="1">_xll.RiskPercentile('Climate A'!J$201,$H8)</f>
        <v>3.696651661003747E-3</v>
      </c>
      <c r="J135" s="158">
        <f ca="1">_xll.RiskPercentile('Climate A'!K$201,$H8)</f>
        <v>4.4053510342729751E-3</v>
      </c>
      <c r="K135" s="158">
        <f ca="1">_xll.RiskPercentile('Climate A'!L$201,$H8)</f>
        <v>4.9281977452586556E-3</v>
      </c>
      <c r="L135" s="158">
        <f ca="1">_xll.RiskPercentile('Climate A'!M$201,$H8)</f>
        <v>5.349839791619182E-3</v>
      </c>
    </row>
    <row r="136" spans="1:14" x14ac:dyDescent="0.25">
      <c r="A136" s="3" t="s">
        <v>741</v>
      </c>
      <c r="B136" s="158"/>
      <c r="C136" s="158">
        <f ca="1">_xll.RiskPercentile('Climate A'!D$201,$H9)</f>
        <v>1.7292288735804018E-3</v>
      </c>
      <c r="D136" s="158">
        <f ca="1">_xll.RiskPercentile('Climate A'!E$201,$H9)</f>
        <v>3.2805422492625524E-3</v>
      </c>
      <c r="E136" s="158">
        <f ca="1">_xll.RiskPercentile('Climate A'!F$201,$H9)</f>
        <v>4.0817100268366602E-3</v>
      </c>
      <c r="F136" s="158">
        <f ca="1">_xll.RiskPercentile('Climate A'!G$201,$H9)</f>
        <v>4.4312705834623767E-3</v>
      </c>
      <c r="G136" s="158">
        <f ca="1">_xll.RiskPercentile('Climate A'!H$201,$H9)</f>
        <v>4.6407444969536193E-3</v>
      </c>
      <c r="H136" s="158">
        <f ca="1">_xll.RiskPercentile('Climate A'!I$201,$H9)</f>
        <v>4.8261064525558783E-3</v>
      </c>
      <c r="I136" s="158">
        <f ca="1">_xll.RiskPercentile('Climate A'!J$201,$H9)</f>
        <v>5.864024178812377E-3</v>
      </c>
      <c r="J136" s="158">
        <f ca="1">_xll.RiskPercentile('Climate A'!K$201,$H9)</f>
        <v>6.9681921843265382E-3</v>
      </c>
      <c r="K136" s="158">
        <f ca="1">_xll.RiskPercentile('Climate A'!L$201,$H9)</f>
        <v>7.7174076292447769E-3</v>
      </c>
      <c r="L136" s="158">
        <f ca="1">_xll.RiskPercentile('Climate A'!M$201,$H9)</f>
        <v>8.3047423165654166E-3</v>
      </c>
    </row>
    <row r="137" spans="1:14" x14ac:dyDescent="0.25">
      <c r="A137" s="3" t="s">
        <v>505</v>
      </c>
      <c r="B137" s="158"/>
      <c r="C137" s="158">
        <f ca="1">_xll.RiskPercentile('Climate A'!D$201,$H10)</f>
        <v>2.6042553762806175E-3</v>
      </c>
      <c r="D137" s="158">
        <f ca="1">_xll.RiskPercentile('Climate A'!E$201,$H10)</f>
        <v>5.1732672995579154E-3</v>
      </c>
      <c r="E137" s="158">
        <f ca="1">_xll.RiskPercentile('Climate A'!F$201,$H10)</f>
        <v>6.5637384593202341E-3</v>
      </c>
      <c r="F137" s="158">
        <f ca="1">_xll.RiskPercentile('Climate A'!G$201,$H10)</f>
        <v>7.4378635627312395E-3</v>
      </c>
      <c r="G137" s="158">
        <f ca="1">_xll.RiskPercentile('Climate A'!H$201,$H10)</f>
        <v>8.423353991529714E-3</v>
      </c>
      <c r="H137" s="158">
        <f ca="1">_xll.RiskPercentile('Climate A'!I$201,$H10)</f>
        <v>8.634238590644383E-3</v>
      </c>
      <c r="I137" s="158">
        <f ca="1">_xll.RiskPercentile('Climate A'!J$201,$H10)</f>
        <v>1.0066189269371417E-2</v>
      </c>
      <c r="J137" s="158">
        <f ca="1">_xll.RiskPercentile('Climate A'!K$201,$H10)</f>
        <v>1.1658357888256976E-2</v>
      </c>
      <c r="K137" s="158">
        <f ca="1">_xll.RiskPercentile('Climate A'!L$201,$H10)</f>
        <v>1.290598257817166E-2</v>
      </c>
      <c r="L137" s="158">
        <f ca="1">_xll.RiskPercentile('Climate A'!M$201,$H10)</f>
        <v>1.4096297874003794E-2</v>
      </c>
    </row>
    <row r="139" spans="1:14" ht="13" x14ac:dyDescent="0.3">
      <c r="A139" s="2" t="s">
        <v>935</v>
      </c>
      <c r="C139">
        <f t="array" ref="C139:L139">Y</f>
        <v>2020</v>
      </c>
      <c r="D139">
        <v>2030</v>
      </c>
      <c r="E139">
        <v>2040</v>
      </c>
      <c r="F139">
        <v>2050</v>
      </c>
      <c r="G139">
        <v>2075</v>
      </c>
      <c r="H139">
        <v>2100</v>
      </c>
      <c r="I139">
        <v>2150</v>
      </c>
      <c r="J139">
        <v>2200</v>
      </c>
      <c r="K139">
        <v>2250</v>
      </c>
      <c r="L139">
        <v>2300</v>
      </c>
    </row>
    <row r="140" spans="1:14" x14ac:dyDescent="0.25">
      <c r="A140" s="3" t="s">
        <v>504</v>
      </c>
      <c r="B140" s="1"/>
      <c r="C140" s="1">
        <f ca="1">_xll.RiskPercentile('Climate A'!D$200,$H6)</f>
        <v>3.2125499932983415E-3</v>
      </c>
      <c r="D140" s="1">
        <f ca="1">_xll.RiskPercentile('Climate A'!E$200,$H6)</f>
        <v>2.7834111568929565E-3</v>
      </c>
      <c r="E140" s="1">
        <f ca="1">_xll.RiskPercentile('Climate A'!F$200,$H6)</f>
        <v>2.4543476222634864E-3</v>
      </c>
      <c r="F140" s="1">
        <f ca="1">_xll.RiskPercentile('Climate A'!G$200,$H6)</f>
        <v>2.2311321046266652E-3</v>
      </c>
      <c r="G140" s="1">
        <f ca="1">_xll.RiskPercentile('Climate A'!H$200,$H6)</f>
        <v>2.2074275507102947E-3</v>
      </c>
      <c r="H140" s="1">
        <f ca="1">_xll.RiskPercentile('Climate A'!I$200,$H6)</f>
        <v>2.3890744113141404E-3</v>
      </c>
      <c r="I140" s="1">
        <f ca="1">_xll.RiskPercentile('Climate A'!J$200,$H6)</f>
        <v>3.017982161406918E-3</v>
      </c>
      <c r="J140" s="1">
        <f ca="1">_xll.RiskPercentile('Climate A'!K$200,$H6)</f>
        <v>3.1924946977507918E-3</v>
      </c>
      <c r="K140" s="1">
        <f ca="1">_xll.RiskPercentile('Climate A'!L$200,$H6)</f>
        <v>3.1752995690013663E-3</v>
      </c>
      <c r="L140" s="1">
        <f ca="1">_xll.RiskPercentile('Climate A'!M$200,$H6)</f>
        <v>3.2105057882449439E-3</v>
      </c>
      <c r="M140" s="3" t="s">
        <v>44</v>
      </c>
    </row>
    <row r="141" spans="1:14" x14ac:dyDescent="0.25">
      <c r="A141" s="3" t="s">
        <v>740</v>
      </c>
      <c r="B141" s="1"/>
      <c r="C141" s="1">
        <f ca="1">_xll.RiskPercentile('Climate A'!D$200,$H7)</f>
        <v>6.8873911795344633E-3</v>
      </c>
      <c r="D141" s="1">
        <f ca="1">_xll.RiskPercentile('Climate A'!E$200,$H7)</f>
        <v>6.6906241526622501E-3</v>
      </c>
      <c r="E141" s="1">
        <f ca="1">_xll.RiskPercentile('Climate A'!F$200,$H7)</f>
        <v>5.9406431605403265E-3</v>
      </c>
      <c r="F141" s="1">
        <f ca="1">_xll.RiskPercentile('Climate A'!G$200,$H7)</f>
        <v>5.4482674093258021E-3</v>
      </c>
      <c r="G141" s="1">
        <f ca="1">_xll.RiskPercentile('Climate A'!H$200,$H7)</f>
        <v>5.0067344473820885E-3</v>
      </c>
      <c r="H141" s="1">
        <f ca="1">_xll.RiskPercentile('Climate A'!I$200,$H7)</f>
        <v>5.3264770618827173E-3</v>
      </c>
      <c r="I141" s="1">
        <f ca="1">_xll.RiskPercentile('Climate A'!J$200,$H7)</f>
        <v>6.4089484016860432E-3</v>
      </c>
      <c r="J141" s="1">
        <f ca="1">_xll.RiskPercentile('Climate A'!K$200,$H7)</f>
        <v>6.7045783985136276E-3</v>
      </c>
      <c r="K141" s="1">
        <f ca="1">_xll.RiskPercentile('Climate A'!L$200,$H7)</f>
        <v>6.8135985761857976E-3</v>
      </c>
      <c r="L141" s="1">
        <f ca="1">_xll.RiskPercentile('Climate A'!M$200,$H7)</f>
        <v>6.8240873476849151E-3</v>
      </c>
      <c r="M141" s="3" t="s">
        <v>44</v>
      </c>
    </row>
    <row r="142" spans="1:14" x14ac:dyDescent="0.25">
      <c r="A142" s="3" t="s">
        <v>578</v>
      </c>
      <c r="B142" s="1"/>
      <c r="C142" s="1">
        <f ca="1">_xll.RiskPercentile('Climate A'!D$200,$H8)</f>
        <v>1.0544877755614912E-2</v>
      </c>
      <c r="D142" s="1">
        <f ca="1">_xll.RiskPercentile('Climate A'!E$200,$H8)</f>
        <v>1.1143543289734104E-2</v>
      </c>
      <c r="E142" s="1">
        <f ca="1">_xll.RiskPercentile('Climate A'!F$200,$H8)</f>
        <v>1.033701665578235E-2</v>
      </c>
      <c r="F142" s="1">
        <f ca="1">_xll.RiskPercentile('Climate A'!G$200,$H8)</f>
        <v>9.5235468370427068E-3</v>
      </c>
      <c r="G142" s="1">
        <f ca="1">_xll.RiskPercentile('Climate A'!H$200,$H8)</f>
        <v>8.32800605437789E-3</v>
      </c>
      <c r="H142" s="1">
        <f ca="1">_xll.RiskPercentile('Climate A'!I$200,$H8)</f>
        <v>8.6169295266349533E-3</v>
      </c>
      <c r="I142" s="1">
        <f ca="1">_xll.RiskPercentile('Climate A'!J$200,$H8)</f>
        <v>1.0108205937647163E-2</v>
      </c>
      <c r="J142" s="1">
        <f ca="1">_xll.RiskPercentile('Climate A'!K$200,$H8)</f>
        <v>1.0711829543010198E-2</v>
      </c>
      <c r="K142" s="1">
        <f ca="1">_xll.RiskPercentile('Climate A'!L$200,$H8)</f>
        <v>1.0953782805621648E-2</v>
      </c>
      <c r="L142" s="1">
        <f ca="1">_xll.RiskPercentile('Climate A'!M$200,$H8)</f>
        <v>1.0972868977230488E-2</v>
      </c>
      <c r="M142" s="3" t="s">
        <v>44</v>
      </c>
    </row>
    <row r="143" spans="1:14" x14ac:dyDescent="0.25">
      <c r="A143" s="3" t="s">
        <v>741</v>
      </c>
      <c r="B143" s="1"/>
      <c r="C143" s="1">
        <f ca="1">_xll.RiskPercentile('Climate A'!D$200,$H9)</f>
        <v>1.5373278912344912E-2</v>
      </c>
      <c r="D143" s="1">
        <f ca="1">_xll.RiskPercentile('Climate A'!E$200,$H9)</f>
        <v>1.761014829430263E-2</v>
      </c>
      <c r="E143" s="1">
        <f ca="1">_xll.RiskPercentile('Climate A'!F$200,$H9)</f>
        <v>1.7462283370975884E-2</v>
      </c>
      <c r="F143" s="1">
        <f ca="1">_xll.RiskPercentile('Climate A'!G$200,$H9)</f>
        <v>1.6307366330095219E-2</v>
      </c>
      <c r="G143" s="1">
        <f ca="1">_xll.RiskPercentile('Climate A'!H$200,$H9)</f>
        <v>1.4342488369273987E-2</v>
      </c>
      <c r="H143" s="1">
        <f ca="1">_xll.RiskPercentile('Climate A'!I$200,$H9)</f>
        <v>1.4124126399738923E-2</v>
      </c>
      <c r="I143" s="1">
        <f ca="1">_xll.RiskPercentile('Climate A'!J$200,$H9)</f>
        <v>1.5855551785570299E-2</v>
      </c>
      <c r="J143" s="1">
        <f ca="1">_xll.RiskPercentile('Climate A'!K$200,$H9)</f>
        <v>1.6819078089006956E-2</v>
      </c>
      <c r="K143" s="1">
        <f ca="1">_xll.RiskPercentile('Climate A'!L$200,$H9)</f>
        <v>1.7120209479580817E-2</v>
      </c>
      <c r="L143" s="1">
        <f ca="1">_xll.RiskPercentile('Climate A'!M$200,$H9)</f>
        <v>1.7389710205281128E-2</v>
      </c>
      <c r="M143" s="3" t="s">
        <v>44</v>
      </c>
    </row>
    <row r="144" spans="1:14" x14ac:dyDescent="0.25">
      <c r="A144" s="3" t="s">
        <v>505</v>
      </c>
      <c r="B144" s="1"/>
      <c r="C144" s="1">
        <f ca="1">_xll.RiskPercentile('Climate A'!D$200,$H10)</f>
        <v>2.3001356397942541E-2</v>
      </c>
      <c r="D144" s="1">
        <f ca="1">_xll.RiskPercentile('Climate A'!E$200,$H10)</f>
        <v>2.8898769458186702E-2</v>
      </c>
      <c r="E144" s="1">
        <f ca="1">_xll.RiskPercentile('Climate A'!F$200,$H10)</f>
        <v>3.0874947446102974E-2</v>
      </c>
      <c r="F144" s="1">
        <f ca="1">_xll.RiskPercentile('Climate A'!G$200,$H10)</f>
        <v>3.0259909267499108E-2</v>
      </c>
      <c r="G144" s="1">
        <f ca="1">_xll.RiskPercentile('Climate A'!H$200,$H10)</f>
        <v>2.7197873730273714E-2</v>
      </c>
      <c r="H144" s="1">
        <f ca="1">_xll.RiskPercentile('Climate A'!I$200,$H10)</f>
        <v>2.5195355067293979E-2</v>
      </c>
      <c r="I144" s="1">
        <f ca="1">_xll.RiskPercentile('Climate A'!J$200,$H10)</f>
        <v>2.719879503213396E-2</v>
      </c>
      <c r="J144" s="1">
        <f ca="1">_xll.RiskPercentile('Climate A'!K$200,$H10)</f>
        <v>2.8512573252144735E-2</v>
      </c>
      <c r="K144" s="1">
        <f ca="1">_xll.RiskPercentile('Climate A'!L$200,$H10)</f>
        <v>2.9442857534220379E-2</v>
      </c>
      <c r="L144" s="1">
        <f ca="1">_xll.RiskPercentile('Climate A'!M$200,$H10)</f>
        <v>3.014151044386737E-2</v>
      </c>
      <c r="M144" s="3" t="s">
        <v>44</v>
      </c>
    </row>
    <row r="145" spans="1:13" x14ac:dyDescent="0.25">
      <c r="A145" s="3"/>
      <c r="B145" s="1"/>
      <c r="C145" s="1"/>
      <c r="D145" s="1"/>
      <c r="E145" s="1"/>
      <c r="F145" s="1"/>
      <c r="G145" s="1"/>
      <c r="H145" s="1"/>
      <c r="I145" s="1"/>
      <c r="J145" s="1"/>
      <c r="K145" s="1"/>
      <c r="L145" s="1"/>
      <c r="M145" s="3"/>
    </row>
    <row r="146" spans="1:13" x14ac:dyDescent="0.25">
      <c r="A146" s="3" t="s">
        <v>430</v>
      </c>
      <c r="B146" s="1"/>
      <c r="C146" s="1">
        <f ca="1">_xll.RiskMean('Climate A'!D$200)</f>
        <v>1.1544547552550643E-2</v>
      </c>
      <c r="D146" s="1">
        <f ca="1">_xll.RiskMean('Climate A'!E$200)</f>
        <v>1.3033807011964799E-2</v>
      </c>
      <c r="E146" s="1">
        <f ca="1">_xll.RiskMean('Climate A'!F$200)</f>
        <v>1.2765268563523937E-2</v>
      </c>
      <c r="F146" s="1">
        <f ca="1">_xll.RiskMean('Climate A'!G$200)</f>
        <v>1.2063676408909334E-2</v>
      </c>
      <c r="G146" s="1">
        <f ca="1">_xll.RiskMean('Climate A'!H$200)</f>
        <v>1.0800143203351436E-2</v>
      </c>
      <c r="H146" s="1">
        <f ca="1">_xll.RiskMean('Climate A'!I$200)</f>
        <v>1.0674697042852075E-2</v>
      </c>
      <c r="I146" s="1">
        <f ca="1">_xll.RiskMean('Climate A'!J$200)</f>
        <v>1.2095289545343604E-2</v>
      </c>
      <c r="J146" s="1">
        <f ca="1">_xll.RiskMean('Climate A'!K$200)</f>
        <v>1.2719794488592348E-2</v>
      </c>
      <c r="K146" s="1">
        <f ca="1">_xll.RiskMean('Climate A'!L$200)</f>
        <v>1.2962620080251267E-2</v>
      </c>
      <c r="L146" s="1">
        <f ca="1">_xll.RiskMean('Climate A'!M$200)</f>
        <v>1.3069001098618036E-2</v>
      </c>
      <c r="M146" s="3" t="s">
        <v>44</v>
      </c>
    </row>
    <row r="147" spans="1:13" x14ac:dyDescent="0.25">
      <c r="A147" s="3" t="s">
        <v>778</v>
      </c>
      <c r="B147" s="1"/>
      <c r="C147" s="1">
        <f ca="1">_xll.RiskStdDev('Climate A'!D$200)</f>
        <v>6.150249440604323E-3</v>
      </c>
      <c r="D147" s="1">
        <f ca="1">_xll.RiskStdDev('Climate A'!E$200)</f>
        <v>8.3274641177540874E-3</v>
      </c>
      <c r="E147" s="1">
        <f ca="1">_xll.RiskStdDev('Climate A'!F$200)</f>
        <v>9.1110593110687744E-3</v>
      </c>
      <c r="F147" s="1">
        <f ca="1">_xll.RiskStdDev('Climate A'!G$200)</f>
        <v>9.1751797124810536E-3</v>
      </c>
      <c r="G147" s="1">
        <f ca="1">_xll.RiskStdDev('Climate A'!H$200)</f>
        <v>8.3452001798504892E-3</v>
      </c>
      <c r="H147" s="1">
        <f ca="1">_xll.RiskStdDev('Climate A'!I$200)</f>
        <v>7.6799474572323114E-3</v>
      </c>
      <c r="I147" s="1">
        <f ca="1">_xll.RiskStdDev('Climate A'!J$200)</f>
        <v>7.8418824057734805E-3</v>
      </c>
      <c r="J147" s="1">
        <f ca="1">_xll.RiskStdDev('Climate A'!K$200)</f>
        <v>8.1801938985257838E-3</v>
      </c>
      <c r="K147" s="1">
        <f ca="1">_xll.RiskStdDev('Climate A'!L$200)</f>
        <v>8.3762438030802935E-3</v>
      </c>
      <c r="L147" s="1">
        <f ca="1">_xll.RiskStdDev('Climate A'!M$200)</f>
        <v>8.4963910521575377E-3</v>
      </c>
      <c r="M147" s="3" t="s">
        <v>44</v>
      </c>
    </row>
    <row r="148" spans="1:13" x14ac:dyDescent="0.25">
      <c r="M148" s="3"/>
    </row>
    <row r="149" spans="1:13" ht="13" x14ac:dyDescent="0.3">
      <c r="A149" s="2" t="s">
        <v>936</v>
      </c>
      <c r="C149">
        <f t="array" ref="C149:L149">Y</f>
        <v>2020</v>
      </c>
      <c r="D149">
        <v>2030</v>
      </c>
      <c r="E149">
        <v>2040</v>
      </c>
      <c r="F149">
        <v>2050</v>
      </c>
      <c r="G149">
        <v>2075</v>
      </c>
      <c r="H149">
        <v>2100</v>
      </c>
      <c r="I149">
        <v>2150</v>
      </c>
      <c r="J149">
        <v>2200</v>
      </c>
      <c r="K149">
        <v>2250</v>
      </c>
      <c r="L149">
        <v>2300</v>
      </c>
    </row>
    <row r="150" spans="1:13" x14ac:dyDescent="0.25">
      <c r="A150" s="3" t="s">
        <v>504</v>
      </c>
      <c r="B150" s="1"/>
      <c r="C150" s="1">
        <f ca="1">_xll.RiskPercentile('Climate A'!D$167,$H6)</f>
        <v>-9.9491922878158778E-4</v>
      </c>
      <c r="D150" s="1">
        <f ca="1">_xll.RiskPercentile('Climate A'!E$167,$H6)</f>
        <v>-2.3903789245357521E-3</v>
      </c>
      <c r="E150" s="1">
        <f ca="1">_xll.RiskPercentile('Climate A'!F$167,$H6)</f>
        <v>-5.5711843366056391E-3</v>
      </c>
      <c r="F150" s="1">
        <f ca="1">_xll.RiskPercentile('Climate A'!G$167,$H6)</f>
        <v>-8.8403067011708081E-3</v>
      </c>
      <c r="G150" s="1">
        <f ca="1">_xll.RiskPercentile('Climate A'!H$167,$H6)</f>
        <v>-1.1637046511730864E-2</v>
      </c>
      <c r="H150" s="1">
        <f ca="1">_xll.RiskPercentile('Climate A'!I$167,$H6)</f>
        <v>-1.4322571813260576E-2</v>
      </c>
      <c r="I150" s="1">
        <f ca="1">_xll.RiskPercentile('Climate A'!J$167,$H6)</f>
        <v>-1.331816394359675E-2</v>
      </c>
      <c r="J150" s="1">
        <f ca="1">_xll.RiskPercentile('Climate A'!K$167,$H6)</f>
        <v>-1.0908246058567717E-2</v>
      </c>
      <c r="K150" s="1">
        <f ca="1">_xll.RiskPercentile('Climate A'!L$167,$H6)</f>
        <v>-8.9392659967945653E-3</v>
      </c>
      <c r="L150" s="1">
        <f ca="1">_xll.RiskPercentile('Climate A'!M$167,$H6)</f>
        <v>-7.310010931670885E-3</v>
      </c>
      <c r="M150" s="3" t="s">
        <v>544</v>
      </c>
    </row>
    <row r="151" spans="1:13" x14ac:dyDescent="0.25">
      <c r="A151" s="3" t="s">
        <v>740</v>
      </c>
      <c r="B151" s="1"/>
      <c r="C151" s="1">
        <f ca="1">_xll.RiskPercentile('Climate A'!D$167,$H7)</f>
        <v>2.2396297210697247E-3</v>
      </c>
      <c r="D151" s="1">
        <f ca="1">_xll.RiskPercentile('Climate A'!E$167,$H7)</f>
        <v>-3.833889965529913E-4</v>
      </c>
      <c r="E151" s="1">
        <f ca="1">_xll.RiskPercentile('Climate A'!F$167,$H7)</f>
        <v>-3.8459807844283267E-3</v>
      </c>
      <c r="F151" s="1">
        <f ca="1">_xll.RiskPercentile('Climate A'!G$167,$H7)</f>
        <v>-6.3368786794697485E-3</v>
      </c>
      <c r="G151" s="1">
        <f ca="1">_xll.RiskPercentile('Climate A'!H$167,$H7)</f>
        <v>-8.7263975217866108E-3</v>
      </c>
      <c r="H151" s="1">
        <f ca="1">_xll.RiskPercentile('Climate A'!I$167,$H7)</f>
        <v>-1.0721496429520971E-2</v>
      </c>
      <c r="I151" s="1">
        <f ca="1">_xll.RiskPercentile('Climate A'!J$167,$H7)</f>
        <v>-9.0526103590913287E-3</v>
      </c>
      <c r="J151" s="1">
        <f ca="1">_xll.RiskPercentile('Climate A'!K$167,$H7)</f>
        <v>-6.0639692787666788E-3</v>
      </c>
      <c r="K151" s="1">
        <f ca="1">_xll.RiskPercentile('Climate A'!L$167,$H7)</f>
        <v>-4.450636701143984E-3</v>
      </c>
      <c r="L151" s="1">
        <f ca="1">_xll.RiskPercentile('Climate A'!M$167,$H7)</f>
        <v>-3.0568122860446523E-3</v>
      </c>
      <c r="M151" s="3" t="s">
        <v>544</v>
      </c>
    </row>
    <row r="152" spans="1:13" x14ac:dyDescent="0.25">
      <c r="A152" s="3" t="s">
        <v>578</v>
      </c>
      <c r="B152" s="1"/>
      <c r="C152" s="1">
        <f ca="1">_xll.RiskPercentile('Climate A'!D$167,$H8)</f>
        <v>5.2024558707969293E-3</v>
      </c>
      <c r="D152" s="1">
        <f ca="1">_xll.RiskPercentile('Climate A'!E$167,$H8)</f>
        <v>1.6599048318686749E-3</v>
      </c>
      <c r="E152" s="1">
        <f ca="1">_xll.RiskPercentile('Climate A'!F$167,$H8)</f>
        <v>-2.4537246855622641E-3</v>
      </c>
      <c r="F152" s="1">
        <f ca="1">_xll.RiskPercentile('Climate A'!G$167,$H8)</f>
        <v>-4.7187445482894663E-3</v>
      </c>
      <c r="G152" s="1">
        <f ca="1">_xll.RiskPercentile('Climate A'!H$167,$H8)</f>
        <v>-6.8088906444847552E-3</v>
      </c>
      <c r="H152" s="1">
        <f ca="1">_xll.RiskPercentile('Climate A'!I$167,$H8)</f>
        <v>-8.1632419784984367E-3</v>
      </c>
      <c r="I152" s="1">
        <f ca="1">_xll.RiskPercentile('Climate A'!J$167,$H8)</f>
        <v>-6.4635791677079557E-3</v>
      </c>
      <c r="J152" s="1">
        <f ca="1">_xll.RiskPercentile('Climate A'!K$167,$H8)</f>
        <v>-3.8262884750162596E-3</v>
      </c>
      <c r="K152" s="1">
        <f ca="1">_xll.RiskPercentile('Climate A'!L$167,$H8)</f>
        <v>-2.2348086096832809E-3</v>
      </c>
      <c r="L152" s="1">
        <f ca="1">_xll.RiskPercentile('Climate A'!M$167,$H8)</f>
        <v>-1.1384839590851126E-3</v>
      </c>
      <c r="M152" s="3" t="s">
        <v>544</v>
      </c>
    </row>
    <row r="153" spans="1:13" x14ac:dyDescent="0.25">
      <c r="A153" s="3" t="s">
        <v>741</v>
      </c>
      <c r="B153" s="1"/>
      <c r="C153" s="1">
        <f ca="1">_xll.RiskPercentile('Climate A'!D$167,$H9)</f>
        <v>8.9759838591161323E-3</v>
      </c>
      <c r="D153" s="1">
        <f ca="1">_xll.RiskPercentile('Climate A'!E$167,$H9)</f>
        <v>4.9766076911870738E-3</v>
      </c>
      <c r="E153" s="1">
        <f ca="1">_xll.RiskPercentile('Climate A'!F$167,$H9)</f>
        <v>-7.5865090296001192E-6</v>
      </c>
      <c r="F153" s="1">
        <f ca="1">_xll.RiskPercentile('Climate A'!G$167,$H9)</f>
        <v>-3.2480901604494128E-3</v>
      </c>
      <c r="G153" s="1">
        <f ca="1">_xll.RiskPercentile('Climate A'!H$167,$H9)</f>
        <v>-5.1822417903124585E-3</v>
      </c>
      <c r="H153" s="1">
        <f ca="1">_xll.RiskPercentile('Climate A'!I$167,$H9)</f>
        <v>-5.9714947773929494E-3</v>
      </c>
      <c r="I153" s="1">
        <f ca="1">_xll.RiskPercentile('Climate A'!J$167,$H9)</f>
        <v>-4.0448919172330067E-3</v>
      </c>
      <c r="J153" s="1">
        <f ca="1">_xll.RiskPercentile('Climate A'!K$167,$H9)</f>
        <v>-1.8770959478799365E-3</v>
      </c>
      <c r="K153" s="1">
        <f ca="1">_xll.RiskPercentile('Climate A'!L$167,$H9)</f>
        <v>-5.1878760804752178E-4</v>
      </c>
      <c r="L153" s="1">
        <f ca="1">_xll.RiskPercentile('Climate A'!M$167,$H9)</f>
        <v>7.3152995126468667E-4</v>
      </c>
      <c r="M153" s="3" t="s">
        <v>544</v>
      </c>
    </row>
    <row r="154" spans="1:13" x14ac:dyDescent="0.25">
      <c r="A154" s="3" t="s">
        <v>505</v>
      </c>
      <c r="B154" s="1"/>
      <c r="C154" s="1">
        <f ca="1">_xll.RiskPercentile('Climate A'!D$167,$H10)</f>
        <v>1.5289799350996225E-2</v>
      </c>
      <c r="D154" s="1">
        <f ca="1">_xll.RiskPercentile('Climate A'!E$167,$H10)</f>
        <v>1.0924666705110331E-2</v>
      </c>
      <c r="E154" s="1">
        <f ca="1">_xll.RiskPercentile('Climate A'!F$167,$H10)</f>
        <v>4.9962279266304588E-3</v>
      </c>
      <c r="F154" s="1">
        <f ca="1">_xll.RiskPercentile('Climate A'!G$167,$H10)</f>
        <v>6.0714605762302032E-4</v>
      </c>
      <c r="G154" s="1">
        <f ca="1">_xll.RiskPercentile('Climate A'!H$167,$H10)</f>
        <v>-3.6029461557732234E-3</v>
      </c>
      <c r="H154" s="1">
        <f ca="1">_xll.RiskPercentile('Climate A'!I$167,$H10)</f>
        <v>-3.8692896050229186E-3</v>
      </c>
      <c r="I154" s="1">
        <f ca="1">_xll.RiskPercentile('Climate A'!J$167,$H10)</f>
        <v>-2.1407965888878833E-3</v>
      </c>
      <c r="J154" s="1">
        <f ca="1">_xll.RiskPercentile('Climate A'!K$167,$H10)</f>
        <v>5.0891287279919428E-4</v>
      </c>
      <c r="K154" s="1">
        <f ca="1">_xll.RiskPercentile('Climate A'!L$167,$H10)</f>
        <v>2.3303459791846892E-3</v>
      </c>
      <c r="L154" s="1">
        <f ca="1">_xll.RiskPercentile('Climate A'!M$167,$H10)</f>
        <v>4.3392684263412473E-3</v>
      </c>
      <c r="M154" s="3" t="s">
        <v>544</v>
      </c>
    </row>
    <row r="157" spans="1:13" ht="13" x14ac:dyDescent="0.3">
      <c r="A157" s="174" t="str">
        <f xml:space="preserve"> "Scenario = {"&amp;SCENARIO_PAIR&amp;"}, Experiment = {"&amp;EXPERIMENT&amp;"}, Economic Impacts = {"&amp;ECON_IMPF&amp;"}"</f>
        <v>Scenario = {2 degC Target}, Experiment = {Nonlinear PCF &amp; SAF}, Economic Impacts = {Burke, Pulled, Lag=1, Consum-Only}</v>
      </c>
      <c r="B157" s="174"/>
      <c r="C157" s="174"/>
      <c r="D157" s="174"/>
      <c r="E157" s="174"/>
      <c r="F157" s="174"/>
      <c r="G157" s="174"/>
    </row>
    <row r="158" spans="1:13" ht="13" x14ac:dyDescent="0.3">
      <c r="A158" s="2" t="s">
        <v>583</v>
      </c>
    </row>
    <row r="159" spans="1:13" ht="13" x14ac:dyDescent="0.3">
      <c r="A159" s="2"/>
    </row>
    <row r="160" spans="1:13" ht="13" x14ac:dyDescent="0.3">
      <c r="A160" s="2" t="s">
        <v>543</v>
      </c>
      <c r="C160">
        <f t="array" ref="C160:L160">Y</f>
        <v>2020</v>
      </c>
      <c r="D160">
        <v>2030</v>
      </c>
      <c r="E160">
        <v>2040</v>
      </c>
      <c r="F160">
        <v>2050</v>
      </c>
      <c r="G160">
        <v>2075</v>
      </c>
      <c r="H160">
        <v>2100</v>
      </c>
      <c r="I160">
        <v>2150</v>
      </c>
      <c r="J160">
        <v>2200</v>
      </c>
      <c r="K160">
        <v>2250</v>
      </c>
      <c r="L160">
        <v>2300</v>
      </c>
    </row>
    <row r="161" spans="1:13" x14ac:dyDescent="0.25">
      <c r="A161" s="3" t="s">
        <v>504</v>
      </c>
      <c r="C161" s="6">
        <f ca="1">_xll.RiskPercentile('Climate B'!D$172,$H6)</f>
        <v>0.97295707594938063</v>
      </c>
      <c r="D161" s="6">
        <f ca="1">_xll.RiskPercentile('Climate B'!E$172,$H6)</f>
        <v>1.1401305456299011</v>
      </c>
      <c r="E161" s="6">
        <f ca="1">_xll.RiskPercentile('Climate B'!F$172,$H6)</f>
        <v>1.2364857223108974</v>
      </c>
      <c r="F161" s="6">
        <f ca="1">_xll.RiskPercentile('Climate B'!G$172,$H6)</f>
        <v>1.2803318404333104</v>
      </c>
      <c r="G161" s="6">
        <f ca="1">_xll.RiskPercentile('Climate B'!H$172,$H6)</f>
        <v>1.2784551758373643</v>
      </c>
      <c r="H161" s="6">
        <f ca="1">_xll.RiskPercentile('Climate B'!I$172,$H6)</f>
        <v>1.2035588397742165</v>
      </c>
      <c r="I161" s="6">
        <f ca="1">_xll.RiskPercentile('Climate B'!J$172,$H6)</f>
        <v>0.99966889984922935</v>
      </c>
      <c r="J161" s="6">
        <f ca="1">_xll.RiskPercentile('Climate B'!K$172,$H6)</f>
        <v>0.90310350388368743</v>
      </c>
      <c r="K161" s="6">
        <f ca="1">_xll.RiskPercentile('Climate B'!L$172,$H6)</f>
        <v>0.83252323457818933</v>
      </c>
      <c r="L161" s="6">
        <f ca="1">_xll.RiskPercentile('Climate B'!M$172,$H6)</f>
        <v>0.76267007929886621</v>
      </c>
      <c r="M161" t="s">
        <v>43</v>
      </c>
    </row>
    <row r="162" spans="1:13" x14ac:dyDescent="0.25">
      <c r="A162" s="3" t="s">
        <v>740</v>
      </c>
      <c r="C162" s="6">
        <f ca="1">_xll.RiskPercentile('Climate B'!D$172,$H7)</f>
        <v>1.0469971862660086</v>
      </c>
      <c r="D162" s="6">
        <f ca="1">_xll.RiskPercentile('Climate B'!E$172,$H7)</f>
        <v>1.363729515077551</v>
      </c>
      <c r="E162" s="6">
        <f ca="1">_xll.RiskPercentile('Climate B'!F$172,$H7)</f>
        <v>1.5605901420151298</v>
      </c>
      <c r="F162" s="6">
        <f ca="1">_xll.RiskPercentile('Climate B'!G$172,$H7)</f>
        <v>1.6651863153175293</v>
      </c>
      <c r="G162" s="6">
        <f ca="1">_xll.RiskPercentile('Climate B'!H$172,$H7)</f>
        <v>1.7176460115934504</v>
      </c>
      <c r="H162" s="6">
        <f ca="1">_xll.RiskPercentile('Climate B'!I$172,$H7)</f>
        <v>1.658027985405039</v>
      </c>
      <c r="I162" s="6">
        <f ca="1">_xll.RiskPercentile('Climate B'!J$172,$H7)</f>
        <v>1.4020016814014871</v>
      </c>
      <c r="J162" s="6">
        <f ca="1">_xll.RiskPercentile('Climate B'!K$172,$H7)</f>
        <v>1.2610934903501403</v>
      </c>
      <c r="K162" s="6">
        <f ca="1">_xll.RiskPercentile('Climate B'!L$172,$H7)</f>
        <v>1.1797336762215094</v>
      </c>
      <c r="L162" s="6">
        <f ca="1">_xll.RiskPercentile('Climate B'!M$172,$H7)</f>
        <v>1.0892870870443609</v>
      </c>
      <c r="M162" t="s">
        <v>43</v>
      </c>
    </row>
    <row r="163" spans="1:13" x14ac:dyDescent="0.25">
      <c r="A163" s="3" t="s">
        <v>578</v>
      </c>
      <c r="C163" s="6">
        <f ca="1">_xll.RiskPercentile('Climate B'!D$172,$H8)</f>
        <v>1.102206831452254</v>
      </c>
      <c r="D163" s="6">
        <f ca="1">_xll.RiskPercentile('Climate B'!E$172,$H8)</f>
        <v>1.5199105848463739</v>
      </c>
      <c r="E163" s="6">
        <f ca="1">_xll.RiskPercentile('Climate B'!F$172,$H8)</f>
        <v>1.7923088754799463</v>
      </c>
      <c r="F163" s="6">
        <f ca="1">_xll.RiskPercentile('Climate B'!G$172,$H8)</f>
        <v>1.9488020113908404</v>
      </c>
      <c r="G163" s="6">
        <f ca="1">_xll.RiskPercentile('Climate B'!H$172,$H8)</f>
        <v>2.0654181669941858</v>
      </c>
      <c r="H163" s="6">
        <f ca="1">_xll.RiskPercentile('Climate B'!I$172,$H8)</f>
        <v>2.0190108257683939</v>
      </c>
      <c r="I163" s="6">
        <f ca="1">_xll.RiskPercentile('Climate B'!J$172,$H8)</f>
        <v>1.7416855953043935</v>
      </c>
      <c r="J163" s="6">
        <f ca="1">_xll.RiskPercentile('Climate B'!K$172,$H8)</f>
        <v>1.5827665895347254</v>
      </c>
      <c r="K163" s="6">
        <f ca="1">_xll.RiskPercentile('Climate B'!L$172,$H8)</f>
        <v>1.4757383162258144</v>
      </c>
      <c r="L163" s="6">
        <f ca="1">_xll.RiskPercentile('Climate B'!M$172,$H8)</f>
        <v>1.3723895455542308</v>
      </c>
      <c r="M163" t="s">
        <v>43</v>
      </c>
    </row>
    <row r="164" spans="1:13" x14ac:dyDescent="0.25">
      <c r="A164" s="3" t="s">
        <v>741</v>
      </c>
      <c r="C164" s="6">
        <f ca="1">_xll.RiskPercentile('Climate B'!D$172,$H9)</f>
        <v>1.1511605041906856</v>
      </c>
      <c r="D164" s="6">
        <f ca="1">_xll.RiskPercentile('Climate B'!E$172,$H9)</f>
        <v>1.677563290173139</v>
      </c>
      <c r="E164" s="6">
        <f ca="1">_xll.RiskPercentile('Climate B'!F$172,$H9)</f>
        <v>2.0131236474261569</v>
      </c>
      <c r="F164" s="6">
        <f ca="1">_xll.RiskPercentile('Climate B'!G$172,$H9)</f>
        <v>2.2191154320542008</v>
      </c>
      <c r="G164" s="6">
        <f ca="1">_xll.RiskPercentile('Climate B'!H$172,$H9)</f>
        <v>2.4145202986004342</v>
      </c>
      <c r="H164" s="6">
        <f ca="1">_xll.RiskPercentile('Climate B'!I$172,$H9)</f>
        <v>2.4043207951406118</v>
      </c>
      <c r="I164" s="6">
        <f ca="1">_xll.RiskPercentile('Climate B'!J$172,$H9)</f>
        <v>2.104416010731025</v>
      </c>
      <c r="J164" s="6">
        <f ca="1">_xll.RiskPercentile('Climate B'!K$172,$H9)</f>
        <v>1.9175753095737686</v>
      </c>
      <c r="K164" s="6">
        <f ca="1">_xll.RiskPercentile('Climate B'!L$172,$H9)</f>
        <v>1.790276908355859</v>
      </c>
      <c r="L164" s="6">
        <f ca="1">_xll.RiskPercentile('Climate B'!M$172,$H9)</f>
        <v>1.6690261235325554</v>
      </c>
      <c r="M164" t="s">
        <v>43</v>
      </c>
    </row>
    <row r="165" spans="1:13" x14ac:dyDescent="0.25">
      <c r="A165" s="3" t="s">
        <v>505</v>
      </c>
      <c r="C165" s="6">
        <f ca="1">_xll.RiskPercentile('Climate B'!D$172,$H10)</f>
        <v>1.2209960749427058</v>
      </c>
      <c r="D165" s="6">
        <f ca="1">_xll.RiskPercentile('Climate B'!E$172,$H10)</f>
        <v>1.8804150679011435</v>
      </c>
      <c r="E165" s="6">
        <f ca="1">_xll.RiskPercentile('Climate B'!F$172,$H10)</f>
        <v>2.2741324429096621</v>
      </c>
      <c r="F165" s="6">
        <f ca="1">_xll.RiskPercentile('Climate B'!G$172,$H10)</f>
        <v>2.5474420489168974</v>
      </c>
      <c r="G165" s="6">
        <f ca="1">_xll.RiskPercentile('Climate B'!H$172,$H10)</f>
        <v>2.8452904746106147</v>
      </c>
      <c r="H165" s="6">
        <f ca="1">_xll.RiskPercentile('Climate B'!I$172,$H10)</f>
        <v>2.9094108229849631</v>
      </c>
      <c r="I165" s="6">
        <f ca="1">_xll.RiskPercentile('Climate B'!J$172,$H10)</f>
        <v>2.6431998039988995</v>
      </c>
      <c r="J165" s="6">
        <f ca="1">_xll.RiskPercentile('Climate B'!K$172,$H10)</f>
        <v>2.393790067024522</v>
      </c>
      <c r="K165" s="6">
        <f ca="1">_xll.RiskPercentile('Climate B'!L$172,$H10)</f>
        <v>2.267173872612303</v>
      </c>
      <c r="L165" s="6">
        <f ca="1">_xll.RiskPercentile('Climate B'!M$172,$H10)</f>
        <v>2.1306372418127033</v>
      </c>
      <c r="M165" t="s">
        <v>43</v>
      </c>
    </row>
    <row r="166" spans="1:13" x14ac:dyDescent="0.25">
      <c r="A166" s="3"/>
      <c r="C166" s="6"/>
      <c r="D166" s="6"/>
      <c r="E166" s="6"/>
      <c r="F166" s="6"/>
      <c r="G166" s="6"/>
      <c r="H166" s="6"/>
      <c r="I166" s="6"/>
      <c r="J166" s="6"/>
      <c r="K166" s="6"/>
      <c r="L166" s="6"/>
    </row>
    <row r="167" spans="1:13" x14ac:dyDescent="0.25">
      <c r="A167" s="3" t="s">
        <v>430</v>
      </c>
      <c r="C167" s="6">
        <f ca="1">_xll.RiskMean('Climate B'!D$172)</f>
        <v>1.099463738787142</v>
      </c>
      <c r="D167" s="6">
        <f ca="1">_xll.RiskMean('Climate B'!E$172)</f>
        <v>1.5203880642362975</v>
      </c>
      <c r="E167" s="6">
        <f ca="1">_xll.RiskMean('Climate B'!F$172)</f>
        <v>1.777350855607633</v>
      </c>
      <c r="F167" s="6">
        <f ca="1">_xll.RiskMean('Climate B'!G$172)</f>
        <v>1.9326066948639828</v>
      </c>
      <c r="G167" s="6">
        <f ca="1">_xll.RiskMean('Climate B'!H$172)</f>
        <v>2.0694004606693319</v>
      </c>
      <c r="H167" s="6">
        <f ca="1">_xll.RiskMean('Climate B'!I$172)</f>
        <v>2.0393451955772282</v>
      </c>
      <c r="I167" s="6">
        <f ca="1">_xll.RiskMean('Climate B'!J$172)</f>
        <v>1.7746225660227626</v>
      </c>
      <c r="J167" s="6">
        <f ca="1">_xll.RiskMean('Climate B'!K$172)</f>
        <v>1.6127955783153081</v>
      </c>
      <c r="K167" s="6">
        <f ca="1">_xll.RiskMean('Climate B'!L$172)</f>
        <v>1.5104422459105256</v>
      </c>
      <c r="L167" s="6">
        <f ca="1">_xll.RiskMean('Climate B'!M$172)</f>
        <v>1.4052038543322325</v>
      </c>
      <c r="M167" t="s">
        <v>43</v>
      </c>
    </row>
    <row r="168" spans="1:13" x14ac:dyDescent="0.25">
      <c r="A168" s="3" t="s">
        <v>778</v>
      </c>
      <c r="C168" s="6">
        <f ca="1">_xll.RiskStdDev('Climate B'!D$172)</f>
        <v>7.6071301915332804E-2</v>
      </c>
      <c r="D168" s="6">
        <f ca="1">_xll.RiskStdDev('Climate B'!E$172)</f>
        <v>0.22117732983138047</v>
      </c>
      <c r="E168" s="6">
        <f ca="1">_xll.RiskStdDev('Climate B'!F$172)</f>
        <v>0.31475567593742843</v>
      </c>
      <c r="F168" s="6">
        <f ca="1">_xll.RiskStdDev('Climate B'!G$172)</f>
        <v>0.38069094557508576</v>
      </c>
      <c r="G168" s="6">
        <f ca="1">_xll.RiskStdDev('Climate B'!H$172)</f>
        <v>0.47983042164044337</v>
      </c>
      <c r="H168" s="6">
        <f ca="1">_xll.RiskStdDev('Climate B'!I$172)</f>
        <v>0.52111218881835475</v>
      </c>
      <c r="I168" s="6">
        <f ca="1">_xll.RiskStdDev('Climate B'!J$172)</f>
        <v>0.51129143325482762</v>
      </c>
      <c r="J168" s="6">
        <f ca="1">_xll.RiskStdDev('Climate B'!K$172)</f>
        <v>0.47878108055337365</v>
      </c>
      <c r="K168" s="6">
        <f ca="1">_xll.RiskStdDev('Climate B'!L$172)</f>
        <v>0.45561584942705069</v>
      </c>
      <c r="L168" s="6">
        <f ca="1">_xll.RiskStdDev('Climate B'!M$172)</f>
        <v>0.43656400121973427</v>
      </c>
      <c r="M168" t="s">
        <v>43</v>
      </c>
    </row>
    <row r="171" spans="1:13" ht="13" x14ac:dyDescent="0.3">
      <c r="A171" s="174" t="str">
        <f xml:space="preserve"> "Scenario = {"&amp;SCENARIO_PAIR&amp;"}, Experiment = {"&amp;EXPERIMENT&amp;"}, Economic Impacts = {"&amp;ECON_IMPF&amp;"}"</f>
        <v>Scenario = {2 degC Target}, Experiment = {Nonlinear PCF &amp; SAF}, Economic Impacts = {Burke, Pulled, Lag=1, Consum-Only}</v>
      </c>
      <c r="B171" s="174"/>
      <c r="C171" s="174"/>
      <c r="D171" s="174"/>
      <c r="E171" s="174"/>
      <c r="F171" s="174"/>
      <c r="G171" s="174"/>
    </row>
    <row r="172" spans="1:13" ht="13" x14ac:dyDescent="0.3">
      <c r="A172" s="2" t="s">
        <v>579</v>
      </c>
    </row>
    <row r="174" spans="1:13" ht="13" x14ac:dyDescent="0.3">
      <c r="A174" s="2" t="s">
        <v>580</v>
      </c>
      <c r="C174">
        <f t="array" ref="C174:L174">Y</f>
        <v>2020</v>
      </c>
      <c r="D174">
        <v>2030</v>
      </c>
      <c r="E174">
        <v>2040</v>
      </c>
      <c r="F174">
        <v>2050</v>
      </c>
      <c r="G174">
        <v>2075</v>
      </c>
      <c r="H174">
        <v>2100</v>
      </c>
      <c r="I174">
        <v>2150</v>
      </c>
      <c r="J174">
        <v>2200</v>
      </c>
      <c r="K174">
        <v>2250</v>
      </c>
      <c r="L174">
        <v>2300</v>
      </c>
    </row>
    <row r="175" spans="1:13" x14ac:dyDescent="0.25">
      <c r="A175" s="3" t="s">
        <v>504</v>
      </c>
      <c r="C175" s="6">
        <f ca="1">_xll.RiskPercentile('Climate A-B'!D$172,$H6)</f>
        <v>2.7320977608069619E-4</v>
      </c>
      <c r="D175" s="6">
        <f ca="1">_xll.RiskPercentile('Climate A-B'!E$172,$H6)</f>
        <v>3.6105806296045095E-3</v>
      </c>
      <c r="E175" s="6">
        <f ca="1">_xll.RiskPercentile('Climate A-B'!F$172,$H6)</f>
        <v>7.3158328523168503E-3</v>
      </c>
      <c r="F175" s="6">
        <f ca="1">_xll.RiskPercentile('Climate A-B'!G$172,$H6)</f>
        <v>1.1314059132695675E-2</v>
      </c>
      <c r="G175" s="6">
        <f ca="1">_xll.RiskPercentile('Climate A-B'!H$172,$H6)</f>
        <v>2.1281203298294304E-2</v>
      </c>
      <c r="H175" s="6">
        <f ca="1">_xll.RiskPercentile('Climate A-B'!I$172,$H6)</f>
        <v>2.8795915064170563E-2</v>
      </c>
      <c r="I175" s="6">
        <f ca="1">_xll.RiskPercentile('Climate A-B'!J$172,$H6)</f>
        <v>3.8663996549940238E-2</v>
      </c>
      <c r="J175" s="6">
        <f ca="1">_xll.RiskPercentile('Climate A-B'!K$172,$H6)</f>
        <v>4.0552128316333258E-2</v>
      </c>
      <c r="K175" s="6">
        <f ca="1">_xll.RiskPercentile('Climate A-B'!L$172,$H6)</f>
        <v>4.158888694752727E-2</v>
      </c>
      <c r="L175" s="6">
        <f ca="1">_xll.RiskPercentile('Climate A-B'!M$172,$H6)</f>
        <v>4.3040812166272424E-2</v>
      </c>
      <c r="M175" t="s">
        <v>43</v>
      </c>
    </row>
    <row r="176" spans="1:13" x14ac:dyDescent="0.25">
      <c r="A176" s="3" t="s">
        <v>740</v>
      </c>
      <c r="C176" s="6">
        <f ca="1">_xll.RiskPercentile('Climate A-B'!D$172,$H7)</f>
        <v>7.5492715552649692E-4</v>
      </c>
      <c r="D176" s="6">
        <f ca="1">_xll.RiskPercentile('Climate A-B'!E$172,$H7)</f>
        <v>6.1821070349576956E-3</v>
      </c>
      <c r="E176" s="6">
        <f ca="1">_xll.RiskPercentile('Climate A-B'!F$172,$H7)</f>
        <v>1.2979628373347207E-2</v>
      </c>
      <c r="F176" s="6">
        <f ca="1">_xll.RiskPercentile('Climate A-B'!G$172,$H7)</f>
        <v>2.0185581723030088E-2</v>
      </c>
      <c r="G176" s="6">
        <f ca="1">_xll.RiskPercentile('Climate A-B'!H$172,$H7)</f>
        <v>3.8629681414241279E-2</v>
      </c>
      <c r="H176" s="6">
        <f ca="1">_xll.RiskPercentile('Climate A-B'!I$172,$H7)</f>
        <v>5.4229355930436984E-2</v>
      </c>
      <c r="I176" s="6">
        <f ca="1">_xll.RiskPercentile('Climate A-B'!J$172,$H7)</f>
        <v>7.6655117581138521E-2</v>
      </c>
      <c r="J176" s="6">
        <f ca="1">_xll.RiskPercentile('Climate A-B'!K$172,$H7)</f>
        <v>8.2477616524399444E-2</v>
      </c>
      <c r="K176" s="6">
        <f ca="1">_xll.RiskPercentile('Climate A-B'!L$172,$H7)</f>
        <v>8.2729438256881838E-2</v>
      </c>
      <c r="L176" s="6">
        <f ca="1">_xll.RiskPercentile('Climate A-B'!M$172,$H7)</f>
        <v>8.5229611839317321E-2</v>
      </c>
      <c r="M176" t="s">
        <v>43</v>
      </c>
    </row>
    <row r="177" spans="1:13" x14ac:dyDescent="0.25">
      <c r="A177" s="3" t="s">
        <v>578</v>
      </c>
      <c r="C177" s="6">
        <f ca="1">_xll.RiskPercentile('Climate A-B'!D$172,$H8)</f>
        <v>1.2771576069625645E-3</v>
      </c>
      <c r="D177" s="6">
        <f ca="1">_xll.RiskPercentile('Climate A-B'!E$172,$H8)</f>
        <v>8.9064218553982499E-3</v>
      </c>
      <c r="E177" s="6">
        <f ca="1">_xll.RiskPercentile('Climate A-B'!F$172,$H8)</f>
        <v>1.8823173776526314E-2</v>
      </c>
      <c r="F177" s="6">
        <f ca="1">_xll.RiskPercentile('Climate A-B'!G$172,$H8)</f>
        <v>3.0084526473748374E-2</v>
      </c>
      <c r="G177" s="6">
        <f ca="1">_xll.RiskPercentile('Climate A-B'!H$172,$H8)</f>
        <v>5.9305804053337852E-2</v>
      </c>
      <c r="H177" s="6">
        <f ca="1">_xll.RiskPercentile('Climate A-B'!I$172,$H8)</f>
        <v>8.4330346556988012E-2</v>
      </c>
      <c r="I177" s="6">
        <f ca="1">_xll.RiskPercentile('Climate A-B'!J$172,$H8)</f>
        <v>0.11884061239468435</v>
      </c>
      <c r="J177" s="6">
        <f ca="1">_xll.RiskPercentile('Climate A-B'!K$172,$H8)</f>
        <v>0.13075663447297736</v>
      </c>
      <c r="K177" s="6">
        <f ca="1">_xll.RiskPercentile('Climate A-B'!L$172,$H8)</f>
        <v>0.13263538179045442</v>
      </c>
      <c r="L177" s="6">
        <f ca="1">_xll.RiskPercentile('Climate A-B'!M$172,$H8)</f>
        <v>0.13793659346610587</v>
      </c>
      <c r="M177" t="s">
        <v>43</v>
      </c>
    </row>
    <row r="178" spans="1:13" x14ac:dyDescent="0.25">
      <c r="A178" s="3" t="s">
        <v>741</v>
      </c>
      <c r="C178" s="6">
        <f ca="1">_xll.RiskPercentile('Climate A-B'!D$172,$H9)</f>
        <v>1.9885806440826936E-3</v>
      </c>
      <c r="D178" s="6">
        <f ca="1">_xll.RiskPercentile('Climate A-B'!E$172,$H9)</f>
        <v>1.2147965601552624E-2</v>
      </c>
      <c r="E178" s="6">
        <f ca="1">_xll.RiskPercentile('Climate A-B'!F$172,$H9)</f>
        <v>2.5989336906892202E-2</v>
      </c>
      <c r="F178" s="6">
        <f ca="1">_xll.RiskPercentile('Climate A-B'!G$172,$H9)</f>
        <v>4.1886587485830518E-2</v>
      </c>
      <c r="G178" s="6">
        <f ca="1">_xll.RiskPercentile('Climate A-B'!H$172,$H9)</f>
        <v>8.4181056838188884E-2</v>
      </c>
      <c r="H178" s="6">
        <f ca="1">_xll.RiskPercentile('Climate A-B'!I$172,$H9)</f>
        <v>0.12109454457365043</v>
      </c>
      <c r="I178" s="6">
        <f ca="1">_xll.RiskPercentile('Climate A-B'!J$172,$H9)</f>
        <v>0.18174194998478477</v>
      </c>
      <c r="J178" s="6">
        <f ca="1">_xll.RiskPercentile('Climate A-B'!K$172,$H9)</f>
        <v>0.20072727909521637</v>
      </c>
      <c r="K178" s="6">
        <f ca="1">_xll.RiskPercentile('Climate A-B'!L$172,$H9)</f>
        <v>0.20498841625573849</v>
      </c>
      <c r="L178" s="6">
        <f ca="1">_xll.RiskPercentile('Climate A-B'!M$172,$H9)</f>
        <v>0.21092965799045982</v>
      </c>
      <c r="M178" t="s">
        <v>43</v>
      </c>
    </row>
    <row r="179" spans="1:13" x14ac:dyDescent="0.25">
      <c r="A179" s="3" t="s">
        <v>505</v>
      </c>
      <c r="C179" s="6">
        <f ca="1">_xll.RiskPercentile('Climate A-B'!D$172,$H10)</f>
        <v>3.1356832567150938E-3</v>
      </c>
      <c r="D179" s="6">
        <f ca="1">_xll.RiskPercentile('Climate A-B'!E$172,$H10)</f>
        <v>1.755327023502673E-2</v>
      </c>
      <c r="E179" s="6">
        <f ca="1">_xll.RiskPercentile('Climate A-B'!F$172,$H10)</f>
        <v>3.8307998320459724E-2</v>
      </c>
      <c r="F179" s="6">
        <f ca="1">_xll.RiskPercentile('Climate A-B'!G$172,$H10)</f>
        <v>6.1097664637574045E-2</v>
      </c>
      <c r="G179" s="6">
        <f ca="1">_xll.RiskPercentile('Climate A-B'!H$172,$H10)</f>
        <v>0.12661401945384254</v>
      </c>
      <c r="H179" s="6">
        <f ca="1">_xll.RiskPercentile('Climate A-B'!I$172,$H10)</f>
        <v>0.18486163160412827</v>
      </c>
      <c r="I179" s="6">
        <f ca="1">_xll.RiskPercentile('Climate A-B'!J$172,$H10)</f>
        <v>0.28267708769394773</v>
      </c>
      <c r="J179" s="6">
        <f ca="1">_xll.RiskPercentile('Climate A-B'!K$172,$H10)</f>
        <v>0.32763743224951147</v>
      </c>
      <c r="K179" s="6">
        <f ca="1">_xll.RiskPercentile('Climate A-B'!L$172,$H10)</f>
        <v>0.34682609843884826</v>
      </c>
      <c r="L179" s="6">
        <f ca="1">_xll.RiskPercentile('Climate A-B'!M$172,$H10)</f>
        <v>0.35718522475253911</v>
      </c>
      <c r="M179" t="s">
        <v>43</v>
      </c>
    </row>
    <row r="180" spans="1:13" x14ac:dyDescent="0.25">
      <c r="A180" s="3"/>
      <c r="C180" s="6"/>
      <c r="D180" s="6"/>
      <c r="E180" s="6"/>
      <c r="F180" s="6"/>
      <c r="G180" s="6"/>
      <c r="H180" s="6"/>
      <c r="I180" s="6"/>
      <c r="J180" s="6"/>
      <c r="K180" s="6"/>
      <c r="L180" s="6"/>
    </row>
    <row r="181" spans="1:13" x14ac:dyDescent="0.25">
      <c r="A181" s="3" t="s">
        <v>430</v>
      </c>
      <c r="C181" s="6">
        <f ca="1">_xll.RiskMean('Climate A-B'!D$172)</f>
        <v>1.4418804805758541E-3</v>
      </c>
      <c r="D181" s="6">
        <f ca="1">_xll.RiskMean('Climate A-B'!E$172)</f>
        <v>9.5332116254176862E-3</v>
      </c>
      <c r="E181" s="6">
        <f ca="1">_xll.RiskMean('Climate A-B'!F$172)</f>
        <v>2.0323373481044071E-2</v>
      </c>
      <c r="F181" s="6">
        <f ca="1">_xll.RiskMean('Climate A-B'!G$172)</f>
        <v>3.2344002877196305E-2</v>
      </c>
      <c r="G181" s="6">
        <f ca="1">_xll.RiskMean('Climate A-B'!H$172)</f>
        <v>6.4490874125380418E-2</v>
      </c>
      <c r="H181" s="6">
        <f ca="1">_xll.RiskMean('Climate A-B'!I$172)</f>
        <v>9.2759264010090062E-2</v>
      </c>
      <c r="I181" s="6">
        <f ca="1">_xll.RiskMean('Climate A-B'!J$172)</f>
        <v>0.13667293205558984</v>
      </c>
      <c r="J181" s="6">
        <f ca="1">_xll.RiskMean('Climate A-B'!K$172)</f>
        <v>0.15227799153950375</v>
      </c>
      <c r="K181" s="6">
        <f ca="1">_xll.RiskMean('Climate A-B'!L$172)</f>
        <v>0.15711712937155572</v>
      </c>
      <c r="L181" s="6">
        <f ca="1">_xll.RiskMean('Climate A-B'!M$172)</f>
        <v>0.16248474611125377</v>
      </c>
      <c r="M181" t="s">
        <v>43</v>
      </c>
    </row>
    <row r="182" spans="1:13" x14ac:dyDescent="0.25">
      <c r="A182" s="3" t="s">
        <v>778</v>
      </c>
      <c r="C182" s="6">
        <f ca="1">_xll.RiskStdDev('Climate A-B'!D$172)</f>
        <v>8.8658611706269404E-4</v>
      </c>
      <c r="D182" s="6">
        <f ca="1">_xll.RiskStdDev('Climate A-B'!E$172)</f>
        <v>4.3023734671530315E-3</v>
      </c>
      <c r="E182" s="6">
        <f ca="1">_xll.RiskStdDev('Climate A-B'!F$172)</f>
        <v>9.5216874722408289E-3</v>
      </c>
      <c r="F182" s="6">
        <f ca="1">_xll.RiskStdDev('Climate A-B'!G$172)</f>
        <v>1.5674475778815443E-2</v>
      </c>
      <c r="G182" s="6">
        <f ca="1">_xll.RiskStdDev('Climate A-B'!H$172)</f>
        <v>3.300722276312365E-2</v>
      </c>
      <c r="H182" s="6">
        <f ca="1">_xll.RiskStdDev('Climate A-B'!I$172)</f>
        <v>5.0126615121871824E-2</v>
      </c>
      <c r="I182" s="6">
        <f ca="1">_xll.RiskStdDev('Climate A-B'!J$172)</f>
        <v>8.0656568058352696E-2</v>
      </c>
      <c r="J182" s="6">
        <f ca="1">_xll.RiskStdDev('Climate A-B'!K$172)</f>
        <v>9.6319732606704289E-2</v>
      </c>
      <c r="K182" s="6">
        <f ca="1">_xll.RiskStdDev('Climate A-B'!L$172)</f>
        <v>0.10243556533026808</v>
      </c>
      <c r="L182" s="6">
        <f ca="1">_xll.RiskStdDev('Climate A-B'!M$172)</f>
        <v>0.10662939035932838</v>
      </c>
      <c r="M182" t="s">
        <v>43</v>
      </c>
    </row>
    <row r="184" spans="1:13" ht="13" x14ac:dyDescent="0.3">
      <c r="A184" s="2" t="s">
        <v>581</v>
      </c>
      <c r="C184">
        <f t="array" ref="C184:L184">Y</f>
        <v>2020</v>
      </c>
      <c r="D184">
        <v>2030</v>
      </c>
      <c r="E184">
        <v>2040</v>
      </c>
      <c r="F184">
        <v>2050</v>
      </c>
      <c r="G184">
        <v>2075</v>
      </c>
      <c r="H184">
        <v>2100</v>
      </c>
      <c r="I184">
        <v>2150</v>
      </c>
      <c r="J184">
        <v>2200</v>
      </c>
      <c r="K184">
        <v>2250</v>
      </c>
      <c r="L184">
        <v>2300</v>
      </c>
      <c r="M184" s="6"/>
    </row>
    <row r="185" spans="1:13" x14ac:dyDescent="0.25">
      <c r="A185" s="3" t="s">
        <v>504</v>
      </c>
      <c r="C185" s="158">
        <f ca="1" xml:space="preserve"> _xll.RiskPercentile('Climate A-B'!D$195, $H6)</f>
        <v>2.7848469266898962E-4</v>
      </c>
      <c r="D185" s="158">
        <f ca="1" xml:space="preserve"> _xll.RiskPercentile('Climate A-B'!E$195, $H6)</f>
        <v>3.1336332934492521E-3</v>
      </c>
      <c r="E185" s="158">
        <f ca="1" xml:space="preserve"> _xll.RiskPercentile('Climate A-B'!F$195, $H6)</f>
        <v>5.9121783553686066E-3</v>
      </c>
      <c r="F185" s="158">
        <f ca="1" xml:space="preserve"> _xll.RiskPercentile('Climate A-B'!G$195, $H6)</f>
        <v>8.5830186489957196E-3</v>
      </c>
      <c r="G185" s="158">
        <f ca="1" xml:space="preserve"> _xll.RiskPercentile('Climate A-B'!H$195, $H6)</f>
        <v>1.5776985401330542E-2</v>
      </c>
      <c r="H185" s="158">
        <f ca="1" xml:space="preserve"> _xll.RiskPercentile('Climate A-B'!I$195, $H6)</f>
        <v>2.2496702385086234E-2</v>
      </c>
      <c r="I185" s="158">
        <f ca="1" xml:space="preserve"> _xll.RiskPercentile('Climate A-B'!J$195, $H6)</f>
        <v>3.6445422753936474E-2</v>
      </c>
      <c r="J185" s="158">
        <f ca="1" xml:space="preserve"> _xll.RiskPercentile('Climate A-B'!K$195, $H6)</f>
        <v>4.2877808664001121E-2</v>
      </c>
      <c r="K185" s="158">
        <f ca="1" xml:space="preserve"> _xll.RiskPercentile('Climate A-B'!L$195, $H6)</f>
        <v>4.6614055247148539E-2</v>
      </c>
      <c r="L185" s="158">
        <f ca="1" xml:space="preserve"> _xll.RiskPercentile('Climate A-B'!M$195, $H6)</f>
        <v>5.2484892575163568E-2</v>
      </c>
      <c r="M185" s="57"/>
    </row>
    <row r="186" spans="1:13" x14ac:dyDescent="0.25">
      <c r="A186" s="3" t="s">
        <v>740</v>
      </c>
      <c r="C186" s="158">
        <f ca="1" xml:space="preserve"> _xll.RiskPercentile('Climate A-B'!D$195, $H7)</f>
        <v>7.1571672422110781E-4</v>
      </c>
      <c r="D186" s="158">
        <f ca="1" xml:space="preserve"> _xll.RiskPercentile('Climate A-B'!E$195, $H7)</f>
        <v>4.5398474263956571E-3</v>
      </c>
      <c r="E186" s="158">
        <f ca="1" xml:space="preserve"> _xll.RiskPercentile('Climate A-B'!F$195, $H7)</f>
        <v>8.3209313247271308E-3</v>
      </c>
      <c r="F186" s="158">
        <f ca="1" xml:space="preserve"> _xll.RiskPercentile('Climate A-B'!G$195, $H7)</f>
        <v>1.2081536494151189E-2</v>
      </c>
      <c r="G186" s="158">
        <f ca="1" xml:space="preserve"> _xll.RiskPercentile('Climate A-B'!H$195, $H7)</f>
        <v>2.2186466866749424E-2</v>
      </c>
      <c r="H186" s="158">
        <f ca="1" xml:space="preserve"> _xll.RiskPercentile('Climate A-B'!I$195, $H7)</f>
        <v>3.1870120134899677E-2</v>
      </c>
      <c r="I186" s="158">
        <f ca="1" xml:space="preserve"> _xll.RiskPercentile('Climate A-B'!J$195, $H7)</f>
        <v>5.2364871300547747E-2</v>
      </c>
      <c r="J186" s="158">
        <f ca="1" xml:space="preserve"> _xll.RiskPercentile('Climate A-B'!K$195, $H7)</f>
        <v>6.293192796941692E-2</v>
      </c>
      <c r="K186" s="158">
        <f ca="1" xml:space="preserve"> _xll.RiskPercentile('Climate A-B'!L$195, $H7)</f>
        <v>6.8668315663941382E-2</v>
      </c>
      <c r="L186" s="158">
        <f ca="1" xml:space="preserve"> _xll.RiskPercentile('Climate A-B'!M$195, $H7)</f>
        <v>7.7178426558983201E-2</v>
      </c>
      <c r="M186" s="57"/>
    </row>
    <row r="187" spans="1:13" x14ac:dyDescent="0.25">
      <c r="A187" s="3" t="s">
        <v>578</v>
      </c>
      <c r="C187" s="158">
        <f ca="1" xml:space="preserve"> _xll.RiskPercentile('Climate A-B'!D$195, $H8)</f>
        <v>1.1499421096682195E-3</v>
      </c>
      <c r="D187" s="158">
        <f ca="1" xml:space="preserve"> _xll.RiskPercentile('Climate A-B'!E$195, $H8)</f>
        <v>5.8235305209808907E-3</v>
      </c>
      <c r="E187" s="158">
        <f ca="1" xml:space="preserve"> _xll.RiskPercentile('Climate A-B'!F$195, $H8)</f>
        <v>1.0494683441869631E-2</v>
      </c>
      <c r="F187" s="158">
        <f ca="1" xml:space="preserve"> _xll.RiskPercentile('Climate A-B'!G$195, $H8)</f>
        <v>1.5219672665303415E-2</v>
      </c>
      <c r="G187" s="158">
        <f ca="1" xml:space="preserve"> _xll.RiskPercentile('Climate A-B'!H$195, $H8)</f>
        <v>2.8439480500855152E-2</v>
      </c>
      <c r="H187" s="158">
        <f ca="1" xml:space="preserve"> _xll.RiskPercentile('Climate A-B'!I$195, $H8)</f>
        <v>4.1098041409702302E-2</v>
      </c>
      <c r="I187" s="158">
        <f ca="1" xml:space="preserve"> _xll.RiskPercentile('Climate A-B'!J$195, $H8)</f>
        <v>6.9341441378825808E-2</v>
      </c>
      <c r="J187" s="158">
        <f ca="1" xml:space="preserve"> _xll.RiskPercentile('Climate A-B'!K$195, $H8)</f>
        <v>8.3229600120189776E-2</v>
      </c>
      <c r="K187" s="158">
        <f ca="1" xml:space="preserve"> _xll.RiskPercentile('Climate A-B'!L$195, $H8)</f>
        <v>9.0900865416350757E-2</v>
      </c>
      <c r="L187" s="158">
        <f ca="1" xml:space="preserve"> _xll.RiskPercentile('Climate A-B'!M$195, $H8)</f>
        <v>0.10097593506461425</v>
      </c>
      <c r="M187" s="57"/>
    </row>
    <row r="188" spans="1:13" x14ac:dyDescent="0.25">
      <c r="A188" s="3" t="s">
        <v>741</v>
      </c>
      <c r="C188" s="158">
        <f ca="1" xml:space="preserve"> _xll.RiskPercentile('Climate A-B'!D$195, $H9)</f>
        <v>1.7292288735804096E-3</v>
      </c>
      <c r="D188" s="158">
        <f ca="1" xml:space="preserve"> _xll.RiskPercentile('Climate A-B'!E$195, $H9)</f>
        <v>7.3640317877043705E-3</v>
      </c>
      <c r="E188" s="158">
        <f ca="1" xml:space="preserve"> _xll.RiskPercentile('Climate A-B'!F$195, $H9)</f>
        <v>1.3183886896742242E-2</v>
      </c>
      <c r="F188" s="158">
        <f ca="1" xml:space="preserve"> _xll.RiskPercentile('Climate A-B'!G$195, $H9)</f>
        <v>1.9209870439988442E-2</v>
      </c>
      <c r="G188" s="158">
        <f ca="1" xml:space="preserve"> _xll.RiskPercentile('Climate A-B'!H$195, $H9)</f>
        <v>3.5825117496809375E-2</v>
      </c>
      <c r="H188" s="158">
        <f ca="1" xml:space="preserve"> _xll.RiskPercentile('Climate A-B'!I$195, $H9)</f>
        <v>5.2181343547351794E-2</v>
      </c>
      <c r="I188" s="158">
        <f ca="1" xml:space="preserve"> _xll.RiskPercentile('Climate A-B'!J$195, $H9)</f>
        <v>8.8072046462400952E-2</v>
      </c>
      <c r="J188" s="158">
        <f ca="1" xml:space="preserve"> _xll.RiskPercentile('Climate A-B'!K$195, $H9)</f>
        <v>0.10768111260707348</v>
      </c>
      <c r="K188" s="158">
        <f ca="1" xml:space="preserve"> _xll.RiskPercentile('Climate A-B'!L$195, $H9)</f>
        <v>0.11765754991075972</v>
      </c>
      <c r="L188" s="158">
        <f ca="1" xml:space="preserve"> _xll.RiskPercentile('Climate A-B'!M$195, $H9)</f>
        <v>0.1305445992999251</v>
      </c>
      <c r="M188" s="57"/>
    </row>
    <row r="189" spans="1:13" x14ac:dyDescent="0.25">
      <c r="A189" s="3" t="s">
        <v>505</v>
      </c>
      <c r="C189" s="158">
        <f ca="1" xml:space="preserve"> _xll.RiskPercentile('Climate A-B'!D$195, $H10)</f>
        <v>2.6042553762805976E-3</v>
      </c>
      <c r="D189" s="158">
        <f ca="1" xml:space="preserve"> _xll.RiskPercentile('Climate A-B'!E$195, $H10)</f>
        <v>9.5082466146182727E-3</v>
      </c>
      <c r="E189" s="158">
        <f ca="1" xml:space="preserve"> _xll.RiskPercentile('Climate A-B'!F$195, $H10)</f>
        <v>1.7178087470733135E-2</v>
      </c>
      <c r="F189" s="158">
        <f ca="1" xml:space="preserve"> _xll.RiskPercentile('Climate A-B'!G$195, $H10)</f>
        <v>2.5245156469451403E-2</v>
      </c>
      <c r="G189" s="158">
        <f ca="1" xml:space="preserve"> _xll.RiskPercentile('Climate A-B'!H$195, $H10)</f>
        <v>4.7615369598787184E-2</v>
      </c>
      <c r="H189" s="158">
        <f ca="1" xml:space="preserve"> _xll.RiskPercentile('Climate A-B'!I$195, $H10)</f>
        <v>6.8735229632247458E-2</v>
      </c>
      <c r="I189" s="158">
        <f ca="1" xml:space="preserve"> _xll.RiskPercentile('Climate A-B'!J$195, $H10)</f>
        <v>0.11619680645925563</v>
      </c>
      <c r="J189" s="158">
        <f ca="1" xml:space="preserve"> _xll.RiskPercentile('Climate A-B'!K$195, $H10)</f>
        <v>0.14454134841749447</v>
      </c>
      <c r="K189" s="158">
        <f ca="1" xml:space="preserve"> _xll.RiskPercentile('Climate A-B'!L$195, $H10)</f>
        <v>0.16233921381377853</v>
      </c>
      <c r="L189" s="158">
        <f ca="1" xml:space="preserve"> _xll.RiskPercentile('Climate A-B'!M$195, $H10)</f>
        <v>0.18069382268195566</v>
      </c>
      <c r="M189" s="57"/>
    </row>
    <row r="191" spans="1:13" x14ac:dyDescent="0.25">
      <c r="A191" s="3" t="s">
        <v>430</v>
      </c>
      <c r="C191" s="158">
        <f ca="1" xml:space="preserve"> _xll.RiskMean('Climate A-B'!D$195)</f>
        <v>1.2685176609752999E-3</v>
      </c>
      <c r="D191" s="158">
        <f ca="1" xml:space="preserve"> _xll.RiskMean('Climate A-B'!E$195)</f>
        <v>6.0263512668824867E-3</v>
      </c>
      <c r="E191" s="158">
        <f ca="1" xml:space="preserve"> _xll.RiskMean('Climate A-B'!F$195)</f>
        <v>1.094039235037798E-2</v>
      </c>
      <c r="F191" s="158">
        <f ca="1" xml:space="preserve"> _xll.RiskMean('Climate A-B'!G$195)</f>
        <v>1.5963806468925229E-2</v>
      </c>
      <c r="G191" s="158">
        <f ca="1" xml:space="preserve"> _xll.RiskMean('Climate A-B'!H$195)</f>
        <v>2.9602981885773424E-2</v>
      </c>
      <c r="H191" s="158">
        <f ca="1" xml:space="preserve"> _xll.RiskMean('Climate A-B'!I$195)</f>
        <v>4.2915617551755839E-2</v>
      </c>
      <c r="I191" s="158">
        <f ca="1" xml:space="preserve"> _xll.RiskMean('Climate A-B'!J$195)</f>
        <v>7.1868184024570764E-2</v>
      </c>
      <c r="J191" s="158">
        <f ca="1" xml:space="preserve"> _xll.RiskMean('Climate A-B'!K$195)</f>
        <v>8.7271440434122688E-2</v>
      </c>
      <c r="K191" s="158">
        <f ca="1" xml:space="preserve"> _xll.RiskMean('Climate A-B'!L$195)</f>
        <v>9.5948163687765445E-2</v>
      </c>
      <c r="L191" s="158">
        <f ca="1" xml:space="preserve"> _xll.RiskMean('Climate A-B'!M$195)</f>
        <v>0.10688135622449632</v>
      </c>
    </row>
    <row r="192" spans="1:13" x14ac:dyDescent="0.25">
      <c r="A192" s="3" t="s">
        <v>778</v>
      </c>
      <c r="C192" s="158">
        <f ca="1" xml:space="preserve"> _xll.RiskStdDev('Climate A-B'!D$195)</f>
        <v>7.1626043296704094E-4</v>
      </c>
      <c r="D192" s="158">
        <f ca="1" xml:space="preserve"> _xll.RiskStdDev('Climate A-B'!E$195)</f>
        <v>1.9821000145269991E-3</v>
      </c>
      <c r="E192" s="158">
        <f ca="1" xml:space="preserve"> _xll.RiskStdDev('Climate A-B'!F$195)</f>
        <v>3.5471663694749919E-3</v>
      </c>
      <c r="F192" s="158">
        <f ca="1" xml:space="preserve"> _xll.RiskStdDev('Climate A-B'!G$195)</f>
        <v>5.2480418799797108E-3</v>
      </c>
      <c r="G192" s="158">
        <f ca="1" xml:space="preserve"> _xll.RiskStdDev('Climate A-B'!H$195)</f>
        <v>9.9893453103916379E-3</v>
      </c>
      <c r="H192" s="158">
        <f ca="1" xml:space="preserve"> _xll.RiskStdDev('Climate A-B'!I$195)</f>
        <v>1.4719164693474285E-2</v>
      </c>
      <c r="I192" s="158">
        <f ca="1" xml:space="preserve"> _xll.RiskStdDev('Climate A-B'!J$195)</f>
        <v>2.5452874880934256E-2</v>
      </c>
      <c r="J192" s="158">
        <f ca="1" xml:space="preserve"> _xll.RiskStdDev('Climate A-B'!K$195)</f>
        <v>3.2417814747227033E-2</v>
      </c>
      <c r="K192" s="158">
        <f ca="1" xml:space="preserve"> _xll.RiskStdDev('Climate A-B'!L$195)</f>
        <v>3.6452133931726138E-2</v>
      </c>
      <c r="L192" s="158">
        <f ca="1" xml:space="preserve"> _xll.RiskStdDev('Climate A-B'!M$195)</f>
        <v>4.0439858858873579E-2</v>
      </c>
    </row>
    <row r="196" spans="1:13" ht="13" x14ac:dyDescent="0.3">
      <c r="A196" s="174" t="str">
        <f xml:space="preserve"> "Scenario = {"&amp;SCENARIO_PAIR&amp;"}, Experiment = {"&amp;EXPERIMENT&amp;"}, Economic Impacts = {"&amp;ECON_IMPF&amp;"}"</f>
        <v>Scenario = {2 degC Target}, Experiment = {Nonlinear PCF &amp; SAF}, Economic Impacts = {Burke, Pulled, Lag=1, Consum-Only}</v>
      </c>
      <c r="B196" s="174"/>
      <c r="C196" s="174"/>
      <c r="D196" s="174"/>
      <c r="E196" s="174"/>
      <c r="F196" s="174"/>
      <c r="G196" s="174"/>
    </row>
    <row r="197" spans="1:13" ht="13" x14ac:dyDescent="0.3">
      <c r="A197" s="2" t="s">
        <v>590</v>
      </c>
    </row>
    <row r="198" spans="1:13" ht="13" x14ac:dyDescent="0.3">
      <c r="A198" s="2" t="s">
        <v>788</v>
      </c>
      <c r="C198">
        <f t="array" ref="C198:L198">Y</f>
        <v>2020</v>
      </c>
      <c r="D198">
        <v>2030</v>
      </c>
      <c r="E198">
        <v>2040</v>
      </c>
      <c r="F198">
        <v>2050</v>
      </c>
      <c r="G198">
        <v>2075</v>
      </c>
      <c r="H198">
        <v>2100</v>
      </c>
      <c r="I198">
        <v>2150</v>
      </c>
      <c r="J198">
        <v>2200</v>
      </c>
      <c r="K198">
        <v>2250</v>
      </c>
      <c r="L198">
        <v>2300</v>
      </c>
    </row>
    <row r="199" spans="1:13" x14ac:dyDescent="0.25">
      <c r="A199" s="3" t="s">
        <v>785</v>
      </c>
      <c r="C199" s="243">
        <f ca="1">_xll.RiskMean('Climate A-B'!D213)</f>
        <v>-195.22492631819841</v>
      </c>
      <c r="D199" s="4">
        <f ca="1">_xll.RiskMean('Climate A-B'!E213)</f>
        <v>-195.22492631819841</v>
      </c>
      <c r="E199" s="4">
        <f ca="1">_xll.RiskMean('Climate A-B'!F213)</f>
        <v>-235.45214789483913</v>
      </c>
      <c r="F199" s="4">
        <f ca="1">_xll.RiskMean('Climate A-B'!G213)</f>
        <v>-284.05817033066916</v>
      </c>
      <c r="G199" s="4">
        <f ca="1">_xll.RiskMean('Climate A-B'!H213)</f>
        <v>-403.17391042844343</v>
      </c>
      <c r="H199" s="4">
        <f ca="1">_xll.RiskMean('Climate A-B'!I213)</f>
        <v>-392.20854823836845</v>
      </c>
      <c r="I199" s="4">
        <f ca="1">_xll.RiskMean('Climate A-B'!J213)</f>
        <v>-279.74389842936199</v>
      </c>
      <c r="J199" s="4">
        <f ca="1">_xll.RiskMean('Climate A-B'!K213)</f>
        <v>-275.76279736347266</v>
      </c>
      <c r="K199" s="4">
        <f ca="1">_xll.RiskMean('Climate A-B'!L213)</f>
        <v>-244.33008483042946</v>
      </c>
      <c r="L199" s="4">
        <f ca="1">_xll.RiskMean('Climate A-B'!M213)</f>
        <v>-214.13133114864681</v>
      </c>
      <c r="M199" s="3" t="s">
        <v>591</v>
      </c>
    </row>
    <row r="200" spans="1:13" x14ac:dyDescent="0.25">
      <c r="A200" s="3" t="s">
        <v>593</v>
      </c>
      <c r="C200" s="4">
        <f ca="1">_xll.RiskMean('Climate A-B'!D68)</f>
        <v>858.49777372651181</v>
      </c>
      <c r="D200" s="4">
        <f ca="1">_xll.RiskMean('Climate A-B'!E68)</f>
        <v>1245.0642056140127</v>
      </c>
      <c r="E200" s="4">
        <f ca="1">_xll.RiskMean('Climate A-B'!F68)</f>
        <v>1457.3568311616473</v>
      </c>
      <c r="F200" s="4">
        <f ca="1">_xll.RiskMean('Climate A-B'!G68)</f>
        <v>1543.1810049189698</v>
      </c>
      <c r="G200" s="4">
        <f ca="1">_xll.RiskMean('Climate A-B'!H68)</f>
        <v>1435.3718300238017</v>
      </c>
      <c r="H200" s="4">
        <f ca="1">_xll.RiskMean('Climate A-B'!I68)</f>
        <v>1192.0802756077233</v>
      </c>
      <c r="I200" s="4">
        <f ca="1">_xll.RiskMean('Climate A-B'!J68)</f>
        <v>727.8650196103747</v>
      </c>
      <c r="J200" s="4">
        <f ca="1">_xll.RiskMean('Climate A-B'!K68)</f>
        <v>523.6818073375922</v>
      </c>
      <c r="K200" s="4">
        <f ca="1">_xll.RiskMean('Climate A-B'!L68)</f>
        <v>430.21372692602785</v>
      </c>
      <c r="L200" s="4">
        <f ca="1">_xll.RiskMean('Climate A-B'!M68)</f>
        <v>366.63860146429192</v>
      </c>
      <c r="M200" s="3" t="s">
        <v>591</v>
      </c>
    </row>
    <row r="201" spans="1:13" x14ac:dyDescent="0.25">
      <c r="A201" s="3" t="s">
        <v>783</v>
      </c>
      <c r="C201" s="4">
        <f ca="1">_xll.RiskMean('Climate A-B'!D218)</f>
        <v>663.27284740831408</v>
      </c>
      <c r="D201" s="4">
        <f ca="1">_xll.RiskMean('Climate A-B'!E218)</f>
        <v>1049.8392792958152</v>
      </c>
      <c r="E201" s="4">
        <f ca="1">_xll.RiskMean('Climate A-B'!F218)</f>
        <v>1221.9046832668089</v>
      </c>
      <c r="F201" s="4">
        <f ca="1">_xll.RiskMean('Climate A-B'!G218)</f>
        <v>1259.1228345883001</v>
      </c>
      <c r="G201" s="4">
        <f ca="1">_xll.RiskMean('Climate A-B'!H218)</f>
        <v>1032.1979195953566</v>
      </c>
      <c r="H201" s="4">
        <f ca="1">_xll.RiskMean('Climate A-B'!I218)</f>
        <v>799.8717273693544</v>
      </c>
      <c r="I201" s="4">
        <f ca="1">_xll.RiskMean('Climate A-B'!J218)</f>
        <v>448.12112118101288</v>
      </c>
      <c r="J201" s="4">
        <f ca="1">_xll.RiskMean('Climate A-B'!K218)</f>
        <v>247.9190099741198</v>
      </c>
      <c r="K201" s="4">
        <f ca="1">_xll.RiskMean('Climate A-B'!L218)</f>
        <v>185.88364209559822</v>
      </c>
      <c r="L201" s="4">
        <f ca="1">_xll.RiskMean('Climate A-B'!M218)</f>
        <v>152.50727031564597</v>
      </c>
      <c r="M201" s="3" t="s">
        <v>591</v>
      </c>
    </row>
  </sheetData>
  <pageMargins left="0.7" right="0.7" top="0.75" bottom="0.75" header="0.3" footer="0.3"/>
  <pageSetup paperSize="9" orientation="portrait" verticalDpi="12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D795"/>
  <sheetViews>
    <sheetView zoomScaleNormal="100" workbookViewId="0">
      <selection activeCell="J2" sqref="J2"/>
    </sheetView>
  </sheetViews>
  <sheetFormatPr defaultRowHeight="12.5" x14ac:dyDescent="0.25"/>
  <cols>
    <col min="1" max="1" width="34.7265625" customWidth="1"/>
    <col min="2" max="2" width="9.1796875" customWidth="1"/>
    <col min="3" max="12" width="8.81640625" customWidth="1"/>
    <col min="13" max="13" width="10" bestFit="1" customWidth="1"/>
    <col min="14" max="15" width="3.81640625" customWidth="1"/>
    <col min="17" max="17" width="11" bestFit="1" customWidth="1"/>
  </cols>
  <sheetData>
    <row r="1" spans="1:15" ht="13" x14ac:dyDescent="0.3">
      <c r="A1" s="2" t="s">
        <v>976</v>
      </c>
      <c r="B1" s="3" t="s">
        <v>1059</v>
      </c>
      <c r="C1" s="51" t="str">
        <f>"6.22"</f>
        <v>6.22</v>
      </c>
      <c r="E1" t="s">
        <v>118</v>
      </c>
      <c r="F1" s="46">
        <v>1</v>
      </c>
      <c r="H1" t="s">
        <v>595</v>
      </c>
      <c r="J1" s="229" t="s">
        <v>1093</v>
      </c>
      <c r="L1" s="3" t="s">
        <v>1076</v>
      </c>
      <c r="N1" t="str">
        <f>"6.21 of PAGE-ICE Nonlinear Arctic Feedbacks"</f>
        <v>6.21 of PAGE-ICE Nonlinear Arctic Feedbacks</v>
      </c>
      <c r="O1" s="3"/>
    </row>
    <row r="2" spans="1:15" x14ac:dyDescent="0.25">
      <c r="A2" t="s">
        <v>17</v>
      </c>
      <c r="B2" s="93">
        <v>2015</v>
      </c>
    </row>
    <row r="3" spans="1:15" x14ac:dyDescent="0.25">
      <c r="A3" t="s">
        <v>16</v>
      </c>
      <c r="C3" s="17">
        <v>2020</v>
      </c>
      <c r="D3" s="17">
        <v>2030</v>
      </c>
      <c r="E3" s="17">
        <v>2040</v>
      </c>
      <c r="F3" s="17">
        <v>2050</v>
      </c>
      <c r="G3" s="17">
        <v>2075</v>
      </c>
      <c r="H3" s="93">
        <v>2100</v>
      </c>
      <c r="I3" s="106">
        <v>2150</v>
      </c>
      <c r="J3" s="106">
        <v>2200</v>
      </c>
      <c r="K3" s="106">
        <v>2250</v>
      </c>
      <c r="L3" s="106">
        <v>2300</v>
      </c>
      <c r="M3" s="3" t="s">
        <v>422</v>
      </c>
    </row>
    <row r="4" spans="1:15" x14ac:dyDescent="0.25">
      <c r="A4" s="3" t="s">
        <v>418</v>
      </c>
      <c r="B4" s="83">
        <v>2020</v>
      </c>
      <c r="C4" s="84">
        <f t="shared" ref="C4:L4" si="0">IF(Y_SCC=C3,1,0)</f>
        <v>1</v>
      </c>
      <c r="D4" s="84">
        <f t="shared" si="0"/>
        <v>0</v>
      </c>
      <c r="E4" s="84">
        <f t="shared" si="0"/>
        <v>0</v>
      </c>
      <c r="F4" s="84">
        <f t="shared" si="0"/>
        <v>0</v>
      </c>
      <c r="G4" s="84">
        <f t="shared" si="0"/>
        <v>0</v>
      </c>
      <c r="H4" s="84">
        <f t="shared" si="0"/>
        <v>0</v>
      </c>
      <c r="I4" s="84">
        <f t="shared" si="0"/>
        <v>0</v>
      </c>
      <c r="J4" s="84">
        <f t="shared" si="0"/>
        <v>0</v>
      </c>
      <c r="K4" s="84">
        <f t="shared" si="0"/>
        <v>0</v>
      </c>
      <c r="L4" s="84">
        <f t="shared" si="0"/>
        <v>0</v>
      </c>
      <c r="M4" s="129">
        <f xml:space="preserve"> IF(EXPERIMENT = EXPERIMENT_SCC_LEGFEED, 10^5, 0) + IF(EXPERIMENT = EXPERIMENT_SCC_LANDPERM, 10^5, 0) + IF(EXPERIMENT = EXPERIMENT_SCC_SAF, 10^5, 0) + IF(EXPERIMENT = EXPERIMENT_SCC_BOTHFEED, 10^5, 0)</f>
        <v>0</v>
      </c>
    </row>
    <row r="5" spans="1:15" x14ac:dyDescent="0.25">
      <c r="A5" t="s">
        <v>18</v>
      </c>
      <c r="M5" t="str">
        <f>EMIT_NAME</f>
        <v>Mtonne</v>
      </c>
    </row>
    <row r="6" spans="1:15" x14ac:dyDescent="0.25">
      <c r="A6" s="3" t="s">
        <v>696</v>
      </c>
      <c r="B6" s="17" t="s">
        <v>368</v>
      </c>
    </row>
    <row r="7" spans="1:15" x14ac:dyDescent="0.25">
      <c r="A7" t="s">
        <v>19</v>
      </c>
      <c r="B7" s="17" t="s">
        <v>20</v>
      </c>
    </row>
    <row r="8" spans="1:15" x14ac:dyDescent="0.25">
      <c r="A8" t="s">
        <v>21</v>
      </c>
      <c r="B8" s="17" t="s">
        <v>108</v>
      </c>
    </row>
    <row r="9" spans="1:15" x14ac:dyDescent="0.25">
      <c r="A9" s="3" t="s">
        <v>697</v>
      </c>
      <c r="B9" s="221" t="s">
        <v>695</v>
      </c>
      <c r="H9" s="3" t="s">
        <v>451</v>
      </c>
      <c r="I9" s="3" t="s">
        <v>452</v>
      </c>
      <c r="J9" s="3" t="s">
        <v>453</v>
      </c>
    </row>
    <row r="10" spans="1:15" ht="13" thickBot="1" x14ac:dyDescent="0.3">
      <c r="A10" t="s">
        <v>404</v>
      </c>
      <c r="B10" s="19">
        <f ca="1">_xll.RiskTriang(H10,I10,J10)</f>
        <v>1.0333333333333334</v>
      </c>
      <c r="C10" t="s">
        <v>48</v>
      </c>
      <c r="H10" s="93">
        <v>0.1</v>
      </c>
      <c r="I10" s="93">
        <v>1</v>
      </c>
      <c r="J10" s="93">
        <v>2</v>
      </c>
      <c r="K10" t="s">
        <v>48</v>
      </c>
    </row>
    <row r="11" spans="1:15" ht="13.5" thickTop="1" thickBot="1" x14ac:dyDescent="0.3">
      <c r="A11" t="s">
        <v>145</v>
      </c>
      <c r="B11" s="19">
        <f ca="1">_xll.RiskTriang(H11,I11,J11)</f>
        <v>1.1666666666666667</v>
      </c>
      <c r="H11" s="93">
        <v>0.5</v>
      </c>
      <c r="I11" s="93">
        <v>1</v>
      </c>
      <c r="J11" s="93">
        <v>2</v>
      </c>
    </row>
    <row r="12" spans="1:15" ht="13" thickTop="1" x14ac:dyDescent="0.25">
      <c r="B12" t="s">
        <v>14</v>
      </c>
      <c r="C12" t="s">
        <v>15</v>
      </c>
      <c r="D12" t="s">
        <v>146</v>
      </c>
      <c r="E12" s="3" t="s">
        <v>414</v>
      </c>
    </row>
    <row r="13" spans="1:15" x14ac:dyDescent="0.25">
      <c r="A13" t="s">
        <v>29</v>
      </c>
      <c r="B13" s="20">
        <v>278000</v>
      </c>
      <c r="C13" s="20">
        <v>700</v>
      </c>
      <c r="D13" s="49">
        <v>270</v>
      </c>
      <c r="E13" s="49">
        <v>0</v>
      </c>
      <c r="F13" t="s">
        <v>50</v>
      </c>
    </row>
    <row r="14" spans="1:15" x14ac:dyDescent="0.25">
      <c r="A14" t="s">
        <v>28</v>
      </c>
      <c r="B14" s="21">
        <v>7.8</v>
      </c>
      <c r="C14" s="21">
        <v>2.78</v>
      </c>
      <c r="D14" s="21">
        <v>7.8</v>
      </c>
      <c r="E14" s="50">
        <v>100000</v>
      </c>
      <c r="F14" t="s">
        <v>111</v>
      </c>
      <c r="I14" s="255"/>
      <c r="J14" s="256"/>
    </row>
    <row r="15" spans="1:15" x14ac:dyDescent="0.25">
      <c r="A15" t="s">
        <v>30</v>
      </c>
      <c r="B15" s="21">
        <v>5.5</v>
      </c>
      <c r="C15" s="21">
        <v>3.5999999999999997E-2</v>
      </c>
      <c r="D15" s="50">
        <v>0.12</v>
      </c>
      <c r="E15" s="50">
        <v>0.2</v>
      </c>
      <c r="F15" s="3" t="s">
        <v>44</v>
      </c>
      <c r="I15" s="255"/>
      <c r="J15" s="256"/>
    </row>
    <row r="16" spans="1:15" x14ac:dyDescent="0.25">
      <c r="A16" t="s">
        <v>568</v>
      </c>
      <c r="C16" s="21">
        <v>0</v>
      </c>
      <c r="D16" s="50">
        <v>0</v>
      </c>
      <c r="E16" s="50">
        <v>0</v>
      </c>
      <c r="F16" s="3" t="s">
        <v>423</v>
      </c>
      <c r="I16" s="255"/>
      <c r="J16" s="256"/>
    </row>
    <row r="17" spans="1:16" x14ac:dyDescent="0.25">
      <c r="A17" t="s">
        <v>569</v>
      </c>
      <c r="C17" s="21">
        <v>100</v>
      </c>
      <c r="D17" s="50">
        <v>100</v>
      </c>
      <c r="E17" s="50">
        <v>100</v>
      </c>
      <c r="F17" t="s">
        <v>40</v>
      </c>
    </row>
    <row r="18" spans="1:16" x14ac:dyDescent="0.25">
      <c r="A18" t="s">
        <v>570</v>
      </c>
      <c r="C18" s="21">
        <v>10.5</v>
      </c>
      <c r="D18" s="50">
        <v>114</v>
      </c>
      <c r="E18" s="50">
        <v>1000</v>
      </c>
      <c r="F18" t="s">
        <v>41</v>
      </c>
      <c r="J18" s="4"/>
    </row>
    <row r="19" spans="1:16" ht="13" x14ac:dyDescent="0.3">
      <c r="A19" t="s">
        <v>31</v>
      </c>
      <c r="B19" s="152">
        <v>400859.58333333337</v>
      </c>
      <c r="C19" s="143">
        <v>1803</v>
      </c>
      <c r="D19" s="143">
        <v>324</v>
      </c>
      <c r="E19" s="21">
        <v>0.11</v>
      </c>
      <c r="F19" t="str">
        <f>F13</f>
        <v>ppb</v>
      </c>
      <c r="H19" s="3" t="s">
        <v>451</v>
      </c>
      <c r="I19" s="3" t="s">
        <v>452</v>
      </c>
      <c r="J19" s="3" t="s">
        <v>453</v>
      </c>
      <c r="L19" s="124" t="s">
        <v>752</v>
      </c>
    </row>
    <row r="20" spans="1:16" ht="13" x14ac:dyDescent="0.3">
      <c r="A20" t="s">
        <v>571</v>
      </c>
      <c r="B20" s="148">
        <f ca="1">_xll.RiskTriang(H20,I20,J20)</f>
        <v>2035000</v>
      </c>
      <c r="F20" t="s">
        <v>51</v>
      </c>
      <c r="H20" s="148">
        <v>1833333</v>
      </c>
      <c r="I20" s="148">
        <v>2035000</v>
      </c>
      <c r="J20" s="148">
        <v>2236667</v>
      </c>
      <c r="K20" t="s">
        <v>51</v>
      </c>
      <c r="L20" s="124" t="s">
        <v>751</v>
      </c>
    </row>
    <row r="21" spans="1:16" ht="13" thickBot="1" x14ac:dyDescent="0.3">
      <c r="A21" t="s">
        <v>32</v>
      </c>
      <c r="B21" s="95">
        <v>1.68</v>
      </c>
      <c r="C21" s="95">
        <v>0.48</v>
      </c>
      <c r="D21" s="95">
        <v>0.17</v>
      </c>
      <c r="E21" s="80">
        <v>2.1999999999999999E-2</v>
      </c>
      <c r="F21" t="s">
        <v>44</v>
      </c>
    </row>
    <row r="22" spans="1:16" ht="13" thickTop="1" x14ac:dyDescent="0.25">
      <c r="B22" s="211"/>
      <c r="C22" s="211"/>
      <c r="D22" s="211"/>
      <c r="E22" s="211"/>
    </row>
    <row r="23" spans="1:16" x14ac:dyDescent="0.25">
      <c r="A23" s="3" t="s">
        <v>480</v>
      </c>
      <c r="B23" s="82">
        <v>0.85</v>
      </c>
      <c r="F23" t="s">
        <v>44</v>
      </c>
    </row>
    <row r="25" spans="1:16" x14ac:dyDescent="0.25">
      <c r="A25" t="s">
        <v>38</v>
      </c>
      <c r="C25" t="s">
        <v>22</v>
      </c>
      <c r="D25" t="s">
        <v>23</v>
      </c>
      <c r="E25" t="s">
        <v>139</v>
      </c>
      <c r="F25" t="s">
        <v>33</v>
      </c>
      <c r="G25" t="s">
        <v>34</v>
      </c>
      <c r="H25" t="s">
        <v>147</v>
      </c>
      <c r="I25" t="s">
        <v>412</v>
      </c>
      <c r="J25" t="s">
        <v>36</v>
      </c>
      <c r="K25" t="s">
        <v>35</v>
      </c>
      <c r="L25" t="s">
        <v>78</v>
      </c>
    </row>
    <row r="26" spans="1:16" ht="13" x14ac:dyDescent="0.3">
      <c r="A26" s="25" t="s">
        <v>0</v>
      </c>
      <c r="B26" s="17" t="s">
        <v>0</v>
      </c>
      <c r="C26" s="22">
        <v>4500000</v>
      </c>
      <c r="D26" s="87">
        <v>17276714.501653694</v>
      </c>
      <c r="E26" s="88">
        <v>503.70991113625911</v>
      </c>
      <c r="F26" s="151">
        <v>4392.7955908011572</v>
      </c>
      <c r="G26" s="151">
        <v>23.703862910418515</v>
      </c>
      <c r="H26" s="154">
        <v>1.3997649292509671</v>
      </c>
      <c r="I26" s="154">
        <v>83.163436219332326</v>
      </c>
      <c r="J26" s="154">
        <v>3.5378789924804637</v>
      </c>
      <c r="K26" s="96">
        <v>7.0000000000000005E-8</v>
      </c>
      <c r="L26" s="105">
        <f t="array" aca="1" ref="L26:L33" ca="1" xml:space="preserve"> RT_G_0 * AMPF</f>
        <v>1.2016316666666669</v>
      </c>
      <c r="M26" t="s">
        <v>115</v>
      </c>
      <c r="P26" s="124" t="s">
        <v>953</v>
      </c>
    </row>
    <row r="27" spans="1:16" x14ac:dyDescent="0.25">
      <c r="A27" s="25" t="s">
        <v>3</v>
      </c>
      <c r="B27" s="17" t="s">
        <v>2</v>
      </c>
      <c r="C27" s="23">
        <v>9363000</v>
      </c>
      <c r="D27" s="89">
        <v>16755755.949456695</v>
      </c>
      <c r="E27" s="90">
        <v>317.53104237015043</v>
      </c>
      <c r="F27" s="152">
        <v>6172.5016891339619</v>
      </c>
      <c r="G27" s="152">
        <v>28.819854489575487</v>
      </c>
      <c r="H27" s="155">
        <v>1.2346196875715312</v>
      </c>
      <c r="I27" s="155">
        <v>216.49202882076008</v>
      </c>
      <c r="J27" s="155">
        <v>4.813835350424239</v>
      </c>
      <c r="K27" s="97">
        <v>7.0000000000000005E-8</v>
      </c>
      <c r="L27" s="106">
        <f ca="1"/>
        <v>1.2678633333333336</v>
      </c>
    </row>
    <row r="28" spans="1:16" x14ac:dyDescent="0.25">
      <c r="A28" s="25" t="s">
        <v>13</v>
      </c>
      <c r="B28" s="17" t="s">
        <v>12</v>
      </c>
      <c r="C28" s="23">
        <v>14207000</v>
      </c>
      <c r="D28" s="89">
        <v>9422720.364817122</v>
      </c>
      <c r="E28" s="90">
        <v>276.85575414398255</v>
      </c>
      <c r="F28" s="152">
        <v>2433.951770163234</v>
      </c>
      <c r="G28" s="152">
        <v>22.040189599972457</v>
      </c>
      <c r="H28" s="155">
        <v>0.66362652353510987</v>
      </c>
      <c r="I28" s="155">
        <v>77.97264727156184</v>
      </c>
      <c r="J28" s="155">
        <v>1.5079484230244602</v>
      </c>
      <c r="K28" s="97">
        <v>7.0000000000000005E-8</v>
      </c>
      <c r="L28" s="106">
        <f ca="1"/>
        <v>1.1543233333333334</v>
      </c>
    </row>
    <row r="29" spans="1:16" x14ac:dyDescent="0.25">
      <c r="A29" s="25" t="s">
        <v>413</v>
      </c>
      <c r="B29" s="17" t="s">
        <v>1</v>
      </c>
      <c r="C29" s="23">
        <v>22900000</v>
      </c>
      <c r="D29" s="89">
        <v>4163916.6260164022</v>
      </c>
      <c r="E29" s="90">
        <v>307.4627436558867</v>
      </c>
      <c r="F29" s="152">
        <v>3379.0269604765044</v>
      </c>
      <c r="G29" s="152">
        <v>38.946354314074185</v>
      </c>
      <c r="H29" s="155">
        <v>0.45491034192878316</v>
      </c>
      <c r="I29" s="155">
        <v>27.885191768681864</v>
      </c>
      <c r="J29" s="155">
        <v>11.162373048339608</v>
      </c>
      <c r="K29" s="97">
        <v>7.0000000000000005E-8</v>
      </c>
      <c r="L29" s="106">
        <f ca="1"/>
        <v>1.5611749999999998</v>
      </c>
    </row>
    <row r="30" spans="1:16" ht="13" x14ac:dyDescent="0.3">
      <c r="A30" s="25" t="s">
        <v>5</v>
      </c>
      <c r="B30" s="17" t="s">
        <v>4</v>
      </c>
      <c r="C30" s="23">
        <v>11729000</v>
      </c>
      <c r="D30" s="89">
        <v>15042627.818163713</v>
      </c>
      <c r="E30" s="90">
        <v>1551.0220066521085</v>
      </c>
      <c r="F30" s="152">
        <v>9909.7682384326108</v>
      </c>
      <c r="G30" s="152">
        <v>58</v>
      </c>
      <c r="H30" s="155">
        <v>2.489921384411371</v>
      </c>
      <c r="I30" s="155">
        <v>90.160537630361432</v>
      </c>
      <c r="J30" s="155">
        <v>32.348309271684244</v>
      </c>
      <c r="K30" s="97">
        <v>7.0000000000000005E-8</v>
      </c>
      <c r="L30" s="106">
        <f ca="1"/>
        <v>1.1070150000000001</v>
      </c>
      <c r="P30" s="124" t="s">
        <v>636</v>
      </c>
    </row>
    <row r="31" spans="1:16" ht="13" x14ac:dyDescent="0.3">
      <c r="A31" s="25" t="s">
        <v>7</v>
      </c>
      <c r="B31" s="17" t="s">
        <v>6</v>
      </c>
      <c r="C31" s="23">
        <v>8899000</v>
      </c>
      <c r="D31" s="89">
        <v>11780218.688261595</v>
      </c>
      <c r="E31" s="90">
        <v>2212.9144884903135</v>
      </c>
      <c r="F31" s="152">
        <v>6027.524173801391</v>
      </c>
      <c r="G31" s="152">
        <v>73</v>
      </c>
      <c r="H31" s="155">
        <v>1.043859725383347</v>
      </c>
      <c r="I31" s="155">
        <v>62.980214929817301</v>
      </c>
      <c r="J31" s="155">
        <v>6.6237014222972492</v>
      </c>
      <c r="K31" s="97">
        <v>7.0000000000000005E-8</v>
      </c>
      <c r="L31" s="106">
        <f ca="1"/>
        <v>0.95562833333333341</v>
      </c>
      <c r="P31" s="124" t="s">
        <v>636</v>
      </c>
    </row>
    <row r="32" spans="1:16" x14ac:dyDescent="0.25">
      <c r="A32" s="25" t="s">
        <v>9</v>
      </c>
      <c r="B32" s="17" t="s">
        <v>8</v>
      </c>
      <c r="C32" s="23">
        <v>36337000</v>
      </c>
      <c r="D32" s="89">
        <v>7107101.8428517561</v>
      </c>
      <c r="E32" s="90">
        <v>1322.8725553904035</v>
      </c>
      <c r="F32" s="152">
        <v>5185.4499997143866</v>
      </c>
      <c r="G32" s="152">
        <v>67.960443867520937</v>
      </c>
      <c r="H32" s="155">
        <v>2.0063001511278067</v>
      </c>
      <c r="I32" s="155">
        <v>39.11973074395469</v>
      </c>
      <c r="J32" s="155">
        <v>11.230293878466096</v>
      </c>
      <c r="K32" s="97">
        <v>7.0000000000000005E-8</v>
      </c>
      <c r="L32" s="106">
        <f ca="1"/>
        <v>1.1448616666666667</v>
      </c>
    </row>
    <row r="33" spans="1:15" ht="13" thickBot="1" x14ac:dyDescent="0.3">
      <c r="A33" s="25" t="s">
        <v>11</v>
      </c>
      <c r="B33" s="17" t="s">
        <v>10</v>
      </c>
      <c r="C33" s="24">
        <v>34747000</v>
      </c>
      <c r="D33" s="91">
        <v>7712450.7265316742</v>
      </c>
      <c r="E33" s="92">
        <v>608.72716292867517</v>
      </c>
      <c r="F33" s="153">
        <v>3722.8412632553154</v>
      </c>
      <c r="G33" s="153">
        <v>58.668570714259417</v>
      </c>
      <c r="H33" s="156">
        <v>1.9298107374456253</v>
      </c>
      <c r="I33" s="156">
        <v>33.442510938201117</v>
      </c>
      <c r="J33" s="156">
        <v>7.032523133427417</v>
      </c>
      <c r="K33" s="98">
        <v>7.0000000000000005E-8</v>
      </c>
      <c r="L33" s="107">
        <f ca="1"/>
        <v>0.98401333333333341</v>
      </c>
    </row>
    <row r="34" spans="1:15" ht="13.5" thickTop="1" thickBot="1" x14ac:dyDescent="0.3">
      <c r="A34" s="169" t="s">
        <v>206</v>
      </c>
      <c r="B34" s="17"/>
      <c r="C34" s="24">
        <f>SUM(C26:C33)</f>
        <v>142682000</v>
      </c>
      <c r="D34" s="91">
        <f t="shared" ref="D34:J34" si="1">SUM(D26:D33)</f>
        <v>89261506.517752647</v>
      </c>
      <c r="E34" s="91">
        <f t="shared" si="1"/>
        <v>7101.0956647677795</v>
      </c>
      <c r="F34" s="153">
        <f>SUM(F26:F33)</f>
        <v>41223.85968577856</v>
      </c>
      <c r="G34" s="153">
        <f t="shared" si="1"/>
        <v>371.13927589582102</v>
      </c>
      <c r="H34" s="153">
        <f t="shared" si="1"/>
        <v>11.222813480654541</v>
      </c>
      <c r="I34" s="153">
        <f t="shared" si="1"/>
        <v>631.21629832267081</v>
      </c>
      <c r="J34" s="153">
        <f t="shared" si="1"/>
        <v>78.256863520143781</v>
      </c>
      <c r="K34" s="170"/>
      <c r="L34" s="171"/>
    </row>
    <row r="35" spans="1:15" ht="13" thickTop="1" x14ac:dyDescent="0.25">
      <c r="C35" t="s">
        <v>52</v>
      </c>
      <c r="D35" s="135" t="str">
        <f>"$M("&amp;Y_0&amp;")"</f>
        <v>$M(2015)</v>
      </c>
      <c r="E35" s="18" t="s">
        <v>140</v>
      </c>
      <c r="F35" s="18" t="s">
        <v>266</v>
      </c>
      <c r="G35" t="str">
        <f>EMIT_NAME</f>
        <v>Mtonne</v>
      </c>
      <c r="H35" t="str">
        <f>EMIT_NAME</f>
        <v>Mtonne</v>
      </c>
      <c r="I35" t="str">
        <f>EMIT_NAME</f>
        <v>Mtonne</v>
      </c>
      <c r="J35" t="s">
        <v>53</v>
      </c>
      <c r="K35" s="1" t="s">
        <v>110</v>
      </c>
      <c r="L35" t="s">
        <v>43</v>
      </c>
    </row>
    <row r="36" spans="1:15" x14ac:dyDescent="0.25">
      <c r="D36" s="59"/>
      <c r="E36" s="1"/>
      <c r="F36" s="1"/>
      <c r="K36" s="1"/>
    </row>
    <row r="37" spans="1:15" ht="13" x14ac:dyDescent="0.3">
      <c r="D37" s="1"/>
      <c r="E37" s="1"/>
      <c r="F37" s="1"/>
      <c r="H37" s="3" t="s">
        <v>451</v>
      </c>
      <c r="I37" s="3" t="s">
        <v>452</v>
      </c>
      <c r="J37" s="3" t="s">
        <v>453</v>
      </c>
      <c r="K37" s="1"/>
      <c r="L37" s="124" t="s">
        <v>693</v>
      </c>
    </row>
    <row r="38" spans="1:15" ht="13" x14ac:dyDescent="0.3">
      <c r="A38" s="3" t="s">
        <v>702</v>
      </c>
      <c r="B38" s="3"/>
      <c r="C38" s="3"/>
      <c r="D38" s="103">
        <f ca="1">_xll.RiskTriang(H38,I38,J38)</f>
        <v>0.94616666666666671</v>
      </c>
      <c r="E38" s="3" t="s">
        <v>43</v>
      </c>
      <c r="H38" s="148">
        <v>0.90296172867728097</v>
      </c>
      <c r="I38" s="148">
        <v>0.94616666666666671</v>
      </c>
      <c r="J38" s="148">
        <v>0.98937160465605245</v>
      </c>
      <c r="K38" s="1" t="s">
        <v>43</v>
      </c>
      <c r="L38" s="124" t="s">
        <v>666</v>
      </c>
    </row>
    <row r="39" spans="1:15" ht="13" x14ac:dyDescent="0.3">
      <c r="A39" s="3" t="s">
        <v>703</v>
      </c>
      <c r="B39" s="3"/>
      <c r="C39" s="3"/>
      <c r="D39" s="103">
        <v>0.56255555555555559</v>
      </c>
      <c r="E39" s="3" t="s">
        <v>43</v>
      </c>
      <c r="F39" s="124"/>
      <c r="K39" s="1"/>
      <c r="L39" s="124" t="s">
        <v>667</v>
      </c>
      <c r="O39" s="124"/>
    </row>
    <row r="40" spans="1:15" ht="13" x14ac:dyDescent="0.3">
      <c r="A40" s="3"/>
      <c r="B40" s="3"/>
      <c r="C40" s="3"/>
      <c r="D40" s="3"/>
      <c r="E40" s="3"/>
      <c r="F40" s="124"/>
      <c r="K40" s="1"/>
      <c r="L40" s="124" t="s">
        <v>668</v>
      </c>
      <c r="O40" s="124"/>
    </row>
    <row r="41" spans="1:15" ht="13" x14ac:dyDescent="0.3">
      <c r="A41" s="3" t="s">
        <v>704</v>
      </c>
      <c r="B41" s="3"/>
      <c r="C41" s="3"/>
      <c r="D41" s="3"/>
      <c r="E41" s="3"/>
      <c r="F41" s="124"/>
      <c r="H41" s="3" t="s">
        <v>451</v>
      </c>
      <c r="I41" s="3" t="s">
        <v>452</v>
      </c>
      <c r="J41" s="3" t="s">
        <v>453</v>
      </c>
      <c r="K41" s="1"/>
      <c r="L41" s="124"/>
      <c r="O41" s="124"/>
    </row>
    <row r="42" spans="1:15" ht="13" x14ac:dyDescent="0.3">
      <c r="A42" s="3" t="str">
        <f t="array" ref="A42:A49">R_NAME</f>
        <v>EU</v>
      </c>
      <c r="B42" s="3"/>
      <c r="C42" s="3"/>
      <c r="D42" s="103">
        <f ca="1">_xll.RiskTriang(H42,I42,J42)</f>
        <v>10.122200565725677</v>
      </c>
      <c r="E42" s="3" t="s">
        <v>43</v>
      </c>
      <c r="F42" s="124"/>
      <c r="H42" s="175">
        <v>6.7623149676703278</v>
      </c>
      <c r="I42" s="175">
        <v>10.122200565725677</v>
      </c>
      <c r="J42" s="175">
        <v>13.482086163781027</v>
      </c>
      <c r="K42" s="59" t="s">
        <v>43</v>
      </c>
      <c r="L42" s="124" t="s">
        <v>742</v>
      </c>
      <c r="O42" s="124"/>
    </row>
    <row r="43" spans="1:15" ht="13" x14ac:dyDescent="0.3">
      <c r="A43" s="3" t="str">
        <v>USA</v>
      </c>
      <c r="B43" s="3"/>
      <c r="C43" s="3"/>
      <c r="D43" s="103">
        <f ca="1">_xll.RiskTriang(H43,I43,J43)</f>
        <v>13.428620197528687</v>
      </c>
      <c r="E43" s="3" t="s">
        <v>43</v>
      </c>
      <c r="F43" s="124"/>
      <c r="H43" s="175">
        <v>9.5421008588382605</v>
      </c>
      <c r="I43" s="175">
        <v>13.428620197528687</v>
      </c>
      <c r="J43" s="175">
        <v>17.315139536219114</v>
      </c>
      <c r="K43" s="59" t="s">
        <v>43</v>
      </c>
      <c r="L43" s="124" t="s">
        <v>743</v>
      </c>
      <c r="O43" s="124"/>
    </row>
    <row r="44" spans="1:15" ht="13" x14ac:dyDescent="0.3">
      <c r="A44" s="3" t="str">
        <v xml:space="preserve">Other OECD </v>
      </c>
      <c r="B44" s="3"/>
      <c r="C44" s="3"/>
      <c r="D44" s="103">
        <f ca="1">_xll.RiskTriang(H44,I44,J44)</f>
        <v>12.063354162339635</v>
      </c>
      <c r="E44" s="3" t="s">
        <v>43</v>
      </c>
      <c r="F44" s="124"/>
      <c r="H44" s="175">
        <v>9.0759605302808666</v>
      </c>
      <c r="I44" s="175">
        <v>12.063354162339635</v>
      </c>
      <c r="J44" s="175">
        <v>15.050747794398404</v>
      </c>
      <c r="K44" s="59" t="s">
        <v>43</v>
      </c>
      <c r="L44" s="124" t="s">
        <v>744</v>
      </c>
      <c r="O44" s="124"/>
    </row>
    <row r="45" spans="1:15" ht="13" x14ac:dyDescent="0.3">
      <c r="A45" s="3" t="str">
        <v>FSU &amp; ROE</v>
      </c>
      <c r="B45" s="3"/>
      <c r="C45" s="3"/>
      <c r="D45" s="103">
        <f ca="1">_xll.RiskTriang(H45,I45,J45)</f>
        <v>7.1132129583974688</v>
      </c>
      <c r="E45" s="3" t="s">
        <v>43</v>
      </c>
      <c r="F45" s="124"/>
      <c r="H45" s="175">
        <v>3.0132054801690265</v>
      </c>
      <c r="I45" s="175">
        <v>7.1132129583974688</v>
      </c>
      <c r="J45" s="175">
        <v>11.21322043662591</v>
      </c>
      <c r="K45" s="59" t="s">
        <v>43</v>
      </c>
      <c r="L45" s="124"/>
      <c r="O45" s="124"/>
    </row>
    <row r="46" spans="1:15" ht="13" x14ac:dyDescent="0.3">
      <c r="A46" s="3" t="str">
        <v>China &amp; CP Asia</v>
      </c>
      <c r="B46" s="3"/>
      <c r="C46" s="3"/>
      <c r="D46" s="103">
        <f ca="1">_xll.RiskTriang(H46,I46,J46)</f>
        <v>15.012957611724232</v>
      </c>
      <c r="E46" s="3" t="s">
        <v>43</v>
      </c>
      <c r="F46" s="124"/>
      <c r="H46" s="175">
        <v>12.233040280691181</v>
      </c>
      <c r="I46" s="175">
        <v>15.012957611724232</v>
      </c>
      <c r="J46" s="175">
        <v>17.792874942757283</v>
      </c>
      <c r="K46" s="59" t="s">
        <v>43</v>
      </c>
      <c r="L46" s="124" t="s">
        <v>736</v>
      </c>
      <c r="O46" s="124"/>
    </row>
    <row r="47" spans="1:15" ht="13" x14ac:dyDescent="0.3">
      <c r="A47" s="3" t="str">
        <v>India &amp; SE Asia</v>
      </c>
      <c r="B47" s="3"/>
      <c r="C47" s="3"/>
      <c r="D47" s="103">
        <f ca="1">_xll.RiskTriang(H47,I47,J47)</f>
        <v>24.949978982341236</v>
      </c>
      <c r="E47" s="3" t="s">
        <v>43</v>
      </c>
      <c r="F47" s="124"/>
      <c r="H47" s="175">
        <v>23.386334826335187</v>
      </c>
      <c r="I47" s="175">
        <v>24.949978982341236</v>
      </c>
      <c r="J47" s="175">
        <v>26.513623138347285</v>
      </c>
      <c r="K47" s="59" t="s">
        <v>43</v>
      </c>
      <c r="L47" s="124"/>
      <c r="O47" s="124"/>
    </row>
    <row r="48" spans="1:15" ht="13" x14ac:dyDescent="0.3">
      <c r="A48" s="3" t="str">
        <v>Africa &amp; ME</v>
      </c>
      <c r="B48" s="3"/>
      <c r="C48" s="3"/>
      <c r="D48" s="103">
        <f ca="1">_xll.RiskTriang(H48,I48,J48)</f>
        <v>21.892251349427966</v>
      </c>
      <c r="E48" s="3" t="s">
        <v>43</v>
      </c>
      <c r="F48" s="124"/>
      <c r="H48" s="175">
        <v>20.186694049110667</v>
      </c>
      <c r="I48" s="175">
        <v>21.892251349427966</v>
      </c>
      <c r="J48" s="175">
        <v>23.597808649745264</v>
      </c>
      <c r="K48" s="59" t="s">
        <v>43</v>
      </c>
      <c r="L48" s="124"/>
      <c r="O48" s="124"/>
    </row>
    <row r="49" spans="1:15" ht="13" x14ac:dyDescent="0.3">
      <c r="A49" s="3" t="str">
        <v>Latin America</v>
      </c>
      <c r="B49" s="3"/>
      <c r="C49" s="3"/>
      <c r="D49" s="103">
        <f ca="1">_xll.RiskTriang(H49,I49,J49)</f>
        <v>21.120399019403749</v>
      </c>
      <c r="E49" s="3" t="s">
        <v>43</v>
      </c>
      <c r="F49" s="124"/>
      <c r="H49" s="175">
        <v>19.484684975010218</v>
      </c>
      <c r="I49" s="175">
        <v>21.120399019403749</v>
      </c>
      <c r="J49" s="175">
        <v>22.756113063797279</v>
      </c>
      <c r="K49" s="59" t="s">
        <v>43</v>
      </c>
      <c r="L49" s="124"/>
      <c r="O49" s="124"/>
    </row>
    <row r="50" spans="1:15" ht="13" x14ac:dyDescent="0.3">
      <c r="A50" s="3"/>
      <c r="B50" s="3"/>
      <c r="C50" s="3"/>
      <c r="D50" s="3"/>
      <c r="E50" s="3"/>
      <c r="F50" s="124"/>
      <c r="K50" s="59"/>
      <c r="L50" s="124"/>
      <c r="O50" s="124"/>
    </row>
    <row r="51" spans="1:15" ht="13" x14ac:dyDescent="0.3">
      <c r="A51" s="3" t="s">
        <v>694</v>
      </c>
      <c r="B51" s="3"/>
      <c r="C51" s="3"/>
      <c r="D51" s="103">
        <v>21</v>
      </c>
      <c r="E51" s="3" t="s">
        <v>43</v>
      </c>
      <c r="F51" s="124"/>
      <c r="K51" s="3"/>
      <c r="L51" s="124"/>
      <c r="O51" s="124"/>
    </row>
    <row r="52" spans="1:15" ht="13" x14ac:dyDescent="0.3">
      <c r="A52" s="3"/>
      <c r="B52" s="3"/>
      <c r="C52" s="3"/>
      <c r="D52" s="3"/>
      <c r="E52" s="3"/>
      <c r="F52" s="124"/>
      <c r="O52" s="124"/>
    </row>
    <row r="53" spans="1:15" ht="13" x14ac:dyDescent="0.3">
      <c r="A53" s="3"/>
      <c r="B53" s="3"/>
      <c r="C53" s="3"/>
      <c r="D53" s="3"/>
      <c r="E53" s="3"/>
      <c r="F53" s="124"/>
    </row>
    <row r="54" spans="1:15" x14ac:dyDescent="0.25">
      <c r="D54" s="1"/>
      <c r="E54" s="1"/>
      <c r="F54" s="1"/>
      <c r="K54" s="1"/>
    </row>
    <row r="55" spans="1:15" x14ac:dyDescent="0.25">
      <c r="A55" s="103" t="s">
        <v>429</v>
      </c>
      <c r="B55" s="86"/>
      <c r="C55" s="86"/>
      <c r="D55" s="104">
        <v>510000000</v>
      </c>
      <c r="E55" t="s">
        <v>52</v>
      </c>
    </row>
    <row r="56" spans="1:15" x14ac:dyDescent="0.25">
      <c r="A56" s="3" t="s">
        <v>168</v>
      </c>
      <c r="B56" s="3"/>
      <c r="C56" s="3"/>
      <c r="D56" s="52">
        <f>SUM(AREA)</f>
        <v>142682000</v>
      </c>
      <c r="E56" s="3" t="str">
        <f>'Base data'!$C$35</f>
        <v>Km2</v>
      </c>
      <c r="F56" s="3"/>
    </row>
    <row r="57" spans="1:15" x14ac:dyDescent="0.25">
      <c r="A57" s="3" t="s">
        <v>169</v>
      </c>
      <c r="B57" s="3"/>
      <c r="C57" s="3"/>
      <c r="D57" s="52">
        <f>1-(AREA_L/AREA_E)</f>
        <v>0.72023137254901959</v>
      </c>
      <c r="E57" s="3"/>
      <c r="F57" s="3"/>
    </row>
    <row r="58" spans="1:15" x14ac:dyDescent="0.25">
      <c r="A58" s="3" t="s">
        <v>428</v>
      </c>
      <c r="B58" s="3">
        <f>Y_0</f>
        <v>2015</v>
      </c>
      <c r="C58" s="3"/>
      <c r="D58" s="102">
        <f t="array" aca="1" ref="D58" ca="1">SUM(AREA*RTL_0)/AREA_L</f>
        <v>1.1683981941310047</v>
      </c>
      <c r="E58" s="3" t="str">
        <f>'Base data'!$L$35</f>
        <v>degC</v>
      </c>
      <c r="F58" s="3"/>
    </row>
    <row r="59" spans="1:15" x14ac:dyDescent="0.25">
      <c r="D59" s="1"/>
      <c r="E59" s="1"/>
      <c r="F59" s="1"/>
      <c r="K59" s="1"/>
    </row>
    <row r="60" spans="1:15" x14ac:dyDescent="0.25">
      <c r="D60" s="1"/>
      <c r="E60" s="1"/>
      <c r="F60" s="1"/>
      <c r="K60" s="1"/>
    </row>
    <row r="62" spans="1:15" ht="13" x14ac:dyDescent="0.3">
      <c r="A62" s="114" t="s">
        <v>549</v>
      </c>
      <c r="B62" s="86"/>
      <c r="C62" s="86"/>
      <c r="D62" s="86"/>
      <c r="E62" s="86"/>
      <c r="F62" s="86"/>
      <c r="G62" s="86"/>
      <c r="H62" s="86"/>
      <c r="I62" s="86"/>
      <c r="J62" s="86"/>
      <c r="K62" s="86"/>
      <c r="L62" s="249" t="s">
        <v>909</v>
      </c>
      <c r="M62" s="249"/>
    </row>
    <row r="63" spans="1:15" x14ac:dyDescent="0.25">
      <c r="A63" s="3"/>
      <c r="B63" s="1"/>
      <c r="C63" s="3"/>
      <c r="F63" s="3"/>
    </row>
    <row r="64" spans="1:15" ht="13" x14ac:dyDescent="0.3">
      <c r="A64" s="2" t="s">
        <v>823</v>
      </c>
      <c r="B64" s="2"/>
      <c r="C64" s="2"/>
      <c r="D64" s="2"/>
      <c r="E64" s="2"/>
      <c r="F64" s="3" t="s">
        <v>451</v>
      </c>
      <c r="G64" s="3" t="s">
        <v>452</v>
      </c>
      <c r="H64" s="3" t="s">
        <v>453</v>
      </c>
      <c r="L64" s="3" t="s">
        <v>879</v>
      </c>
    </row>
    <row r="65" spans="1:12" ht="13" x14ac:dyDescent="0.3">
      <c r="A65" s="3" t="s">
        <v>610</v>
      </c>
      <c r="D65" s="18">
        <f ca="1">_xll.RiskTriang(F65,G65,H65)</f>
        <v>3764.0529347349998</v>
      </c>
      <c r="E65" s="3" t="s">
        <v>454</v>
      </c>
      <c r="F65" s="104">
        <v>3728.584092208881</v>
      </c>
      <c r="G65" s="104">
        <v>3764.0529347349998</v>
      </c>
      <c r="H65" s="104">
        <v>3799.5217772611181</v>
      </c>
      <c r="I65" s="3" t="s">
        <v>455</v>
      </c>
      <c r="L65" s="124" t="s">
        <v>847</v>
      </c>
    </row>
    <row r="66" spans="1:12" ht="13" x14ac:dyDescent="0.3">
      <c r="A66" s="3" t="s">
        <v>611</v>
      </c>
      <c r="D66" s="18">
        <f ca="1">_xll.RiskTriang(F66,G66,H66)</f>
        <v>175.56164558499998</v>
      </c>
      <c r="E66" s="3" t="s">
        <v>454</v>
      </c>
      <c r="F66" s="104">
        <v>174.78831151126414</v>
      </c>
      <c r="G66" s="104">
        <v>175.56164558499998</v>
      </c>
      <c r="H66" s="104">
        <v>176.33497965873582</v>
      </c>
      <c r="I66" s="3" t="s">
        <v>456</v>
      </c>
      <c r="L66" s="124" t="s">
        <v>859</v>
      </c>
    </row>
    <row r="67" spans="1:12" x14ac:dyDescent="0.25">
      <c r="F67" s="1"/>
      <c r="G67" s="1"/>
      <c r="H67" s="1"/>
      <c r="I67" s="3"/>
    </row>
    <row r="68" spans="1:12" ht="13" x14ac:dyDescent="0.3">
      <c r="A68" s="103" t="s">
        <v>508</v>
      </c>
      <c r="D68" s="104">
        <v>560000</v>
      </c>
      <c r="E68" s="3" t="s">
        <v>454</v>
      </c>
      <c r="L68" s="124" t="s">
        <v>826</v>
      </c>
    </row>
    <row r="69" spans="1:12" ht="13" x14ac:dyDescent="0.3">
      <c r="A69" s="103" t="s">
        <v>838</v>
      </c>
      <c r="D69" s="241">
        <v>22.206606297204385</v>
      </c>
      <c r="E69" s="3" t="s">
        <v>43</v>
      </c>
      <c r="L69" s="124" t="s">
        <v>826</v>
      </c>
    </row>
    <row r="70" spans="1:12" ht="13" x14ac:dyDescent="0.3">
      <c r="A70" s="3"/>
      <c r="D70" s="51"/>
      <c r="E70" s="3"/>
      <c r="L70" s="124"/>
    </row>
    <row r="71" spans="1:12" ht="13" x14ac:dyDescent="0.3">
      <c r="A71" s="103" t="s">
        <v>860</v>
      </c>
      <c r="D71" s="241" t="s">
        <v>839</v>
      </c>
      <c r="E71" s="3"/>
      <c r="L71" s="124" t="s">
        <v>865</v>
      </c>
    </row>
    <row r="72" spans="1:12" ht="13" x14ac:dyDescent="0.3">
      <c r="A72" s="103" t="s">
        <v>861</v>
      </c>
      <c r="D72" s="241" t="s">
        <v>841</v>
      </c>
      <c r="E72" s="3"/>
      <c r="L72" s="124" t="s">
        <v>865</v>
      </c>
    </row>
    <row r="73" spans="1:12" x14ac:dyDescent="0.25">
      <c r="A73" s="3"/>
      <c r="D73" s="1"/>
      <c r="E73" s="3"/>
    </row>
    <row r="74" spans="1:12" ht="13" x14ac:dyDescent="0.3">
      <c r="A74" s="103" t="s">
        <v>747</v>
      </c>
      <c r="D74" s="228">
        <v>1.3953528485263331</v>
      </c>
      <c r="E74" s="57" t="s">
        <v>509</v>
      </c>
      <c r="L74" s="124" t="s">
        <v>825</v>
      </c>
    </row>
    <row r="75" spans="1:12" ht="13" x14ac:dyDescent="0.3">
      <c r="A75" s="103" t="s">
        <v>748</v>
      </c>
      <c r="D75" s="228">
        <v>0.82921299512839475</v>
      </c>
      <c r="E75" s="57" t="s">
        <v>509</v>
      </c>
      <c r="L75" s="124" t="s">
        <v>825</v>
      </c>
    </row>
    <row r="76" spans="1:12" ht="13" x14ac:dyDescent="0.3">
      <c r="A76" s="103" t="s">
        <v>746</v>
      </c>
      <c r="D76" s="228">
        <v>-3.3347097448352278E-2</v>
      </c>
      <c r="E76" s="57" t="s">
        <v>509</v>
      </c>
      <c r="L76" s="124" t="s">
        <v>825</v>
      </c>
    </row>
    <row r="77" spans="1:12" x14ac:dyDescent="0.25">
      <c r="A77" s="3"/>
      <c r="D77" s="6"/>
      <c r="E77" s="57"/>
    </row>
    <row r="78" spans="1:12" ht="13" x14ac:dyDescent="0.3">
      <c r="A78" s="103" t="s">
        <v>521</v>
      </c>
      <c r="D78" s="228">
        <v>-6.1634027375886635E-2</v>
      </c>
      <c r="E78" s="57" t="s">
        <v>509</v>
      </c>
      <c r="L78" s="124" t="s">
        <v>864</v>
      </c>
    </row>
    <row r="79" spans="1:12" ht="13" x14ac:dyDescent="0.3">
      <c r="A79" s="103" t="s">
        <v>862</v>
      </c>
      <c r="D79" s="228">
        <v>-2.5752200686097426</v>
      </c>
      <c r="E79" s="57" t="s">
        <v>509</v>
      </c>
      <c r="L79" s="124" t="s">
        <v>864</v>
      </c>
    </row>
    <row r="80" spans="1:12" ht="13" x14ac:dyDescent="0.3">
      <c r="A80" s="103" t="s">
        <v>863</v>
      </c>
      <c r="D80" s="228">
        <v>1.3992129787187544</v>
      </c>
      <c r="E80" s="57" t="s">
        <v>509</v>
      </c>
      <c r="L80" s="124" t="s">
        <v>864</v>
      </c>
    </row>
    <row r="81" spans="1:12" x14ac:dyDescent="0.25">
      <c r="A81" s="3"/>
      <c r="D81" s="6"/>
      <c r="E81" s="57"/>
    </row>
    <row r="82" spans="1:12" x14ac:dyDescent="0.25">
      <c r="A82" s="3"/>
      <c r="D82" s="6"/>
      <c r="E82" s="57"/>
    </row>
    <row r="83" spans="1:12" ht="13" x14ac:dyDescent="0.3">
      <c r="A83" s="2" t="s">
        <v>824</v>
      </c>
      <c r="D83" s="2"/>
      <c r="E83" s="2"/>
      <c r="F83" s="3" t="s">
        <v>451</v>
      </c>
      <c r="G83" s="3" t="s">
        <v>452</v>
      </c>
      <c r="H83" s="3" t="s">
        <v>453</v>
      </c>
      <c r="L83" s="3" t="s">
        <v>843</v>
      </c>
    </row>
    <row r="84" spans="1:12" ht="13" x14ac:dyDescent="0.3">
      <c r="A84" s="3" t="s">
        <v>610</v>
      </c>
      <c r="D84" s="18">
        <f ca="1">_xll.RiskTriang(F84,G84,H84)</f>
        <v>20040.996860659488</v>
      </c>
      <c r="E84" s="3" t="s">
        <v>454</v>
      </c>
      <c r="F84" s="104">
        <v>18834.751352671523</v>
      </c>
      <c r="G84" s="104">
        <v>20040.996860659485</v>
      </c>
      <c r="H84" s="104">
        <v>21247.24236864745</v>
      </c>
      <c r="I84" s="3" t="s">
        <v>455</v>
      </c>
      <c r="L84" s="124" t="s">
        <v>848</v>
      </c>
    </row>
    <row r="85" spans="1:12" x14ac:dyDescent="0.25">
      <c r="D85" s="1"/>
      <c r="F85" s="1"/>
      <c r="G85" s="1"/>
      <c r="H85" s="1"/>
      <c r="I85" s="3"/>
    </row>
    <row r="86" spans="1:12" ht="13" x14ac:dyDescent="0.3">
      <c r="A86" s="103" t="s">
        <v>508</v>
      </c>
      <c r="D86" s="104">
        <v>738145.32839317073</v>
      </c>
      <c r="E86" s="3" t="s">
        <v>454</v>
      </c>
      <c r="L86" s="124" t="s">
        <v>826</v>
      </c>
    </row>
    <row r="87" spans="1:12" ht="13" x14ac:dyDescent="0.3">
      <c r="A87" s="103" t="s">
        <v>838</v>
      </c>
      <c r="D87" s="241">
        <v>18.86448815404626</v>
      </c>
      <c r="E87" s="3" t="s">
        <v>43</v>
      </c>
      <c r="L87" s="124" t="s">
        <v>826</v>
      </c>
    </row>
    <row r="88" spans="1:12" ht="13" x14ac:dyDescent="0.3">
      <c r="A88" s="3"/>
      <c r="D88" s="51"/>
      <c r="E88" s="3"/>
      <c r="L88" s="124"/>
    </row>
    <row r="89" spans="1:12" ht="13" x14ac:dyDescent="0.3">
      <c r="A89" s="103" t="s">
        <v>840</v>
      </c>
      <c r="D89" s="205" t="s">
        <v>841</v>
      </c>
      <c r="E89" s="3"/>
      <c r="L89" s="124" t="s">
        <v>826</v>
      </c>
    </row>
    <row r="90" spans="1:12" x14ac:dyDescent="0.25">
      <c r="A90" s="3"/>
      <c r="D90" s="1"/>
      <c r="E90" s="3"/>
    </row>
    <row r="91" spans="1:12" ht="13" x14ac:dyDescent="0.3">
      <c r="A91" s="103" t="s">
        <v>747</v>
      </c>
      <c r="D91" s="228">
        <v>-0.12186871366342877</v>
      </c>
      <c r="E91" s="57" t="s">
        <v>509</v>
      </c>
      <c r="L91" s="124" t="s">
        <v>827</v>
      </c>
    </row>
    <row r="92" spans="1:12" ht="13" x14ac:dyDescent="0.3">
      <c r="A92" s="103" t="s">
        <v>748</v>
      </c>
      <c r="D92" s="228">
        <v>-0.65501154335850142</v>
      </c>
      <c r="E92" s="57" t="s">
        <v>509</v>
      </c>
      <c r="L92" s="124" t="s">
        <v>827</v>
      </c>
    </row>
    <row r="93" spans="1:12" ht="13" x14ac:dyDescent="0.3">
      <c r="A93" s="103" t="s">
        <v>746</v>
      </c>
      <c r="D93" s="228">
        <v>1.6188763472782459</v>
      </c>
      <c r="E93" s="57" t="s">
        <v>509</v>
      </c>
      <c r="L93" s="124" t="s">
        <v>827</v>
      </c>
    </row>
    <row r="94" spans="1:12" x14ac:dyDescent="0.25">
      <c r="A94" s="3"/>
      <c r="D94" s="6"/>
      <c r="E94" s="57"/>
    </row>
    <row r="95" spans="1:12" ht="13" x14ac:dyDescent="0.3">
      <c r="A95" s="124" t="s">
        <v>866</v>
      </c>
      <c r="D95" s="6"/>
      <c r="E95" s="57"/>
    </row>
    <row r="96" spans="1:12" x14ac:dyDescent="0.25">
      <c r="A96" s="3"/>
      <c r="D96" s="6"/>
      <c r="E96" s="57"/>
    </row>
    <row r="97" spans="1:13" x14ac:dyDescent="0.25">
      <c r="A97" s="3"/>
      <c r="D97" s="6"/>
      <c r="E97" s="57"/>
    </row>
    <row r="98" spans="1:13" x14ac:dyDescent="0.25">
      <c r="A98" s="3"/>
      <c r="D98" s="6"/>
      <c r="E98" s="57"/>
    </row>
    <row r="99" spans="1:13" ht="13" x14ac:dyDescent="0.3">
      <c r="A99" s="127" t="s">
        <v>955</v>
      </c>
      <c r="B99" s="126"/>
      <c r="C99" s="126"/>
      <c r="D99" s="245"/>
      <c r="E99" s="246"/>
      <c r="F99" s="126"/>
      <c r="G99" s="126"/>
      <c r="H99" s="126"/>
      <c r="I99" s="126"/>
      <c r="J99" s="126"/>
      <c r="K99" s="126"/>
      <c r="L99" s="250" t="s">
        <v>910</v>
      </c>
      <c r="M99" s="126"/>
    </row>
    <row r="100" spans="1:13" x14ac:dyDescent="0.25">
      <c r="A100" s="3"/>
      <c r="D100" s="6"/>
      <c r="E100" s="57"/>
    </row>
    <row r="101" spans="1:13" ht="13" x14ac:dyDescent="0.3">
      <c r="A101" s="2" t="s">
        <v>954</v>
      </c>
      <c r="D101" s="6"/>
      <c r="E101" s="57"/>
      <c r="L101" s="3" t="s">
        <v>911</v>
      </c>
    </row>
    <row r="102" spans="1:13" ht="13" x14ac:dyDescent="0.3">
      <c r="A102" s="103" t="s">
        <v>894</v>
      </c>
      <c r="D102" s="204">
        <v>10</v>
      </c>
      <c r="E102" s="57" t="s">
        <v>43</v>
      </c>
      <c r="L102" s="249" t="s">
        <v>948</v>
      </c>
    </row>
    <row r="103" spans="1:13" ht="13" x14ac:dyDescent="0.3">
      <c r="A103" s="103" t="s">
        <v>895</v>
      </c>
      <c r="D103" s="261">
        <v>-1.9584773435079722E-3</v>
      </c>
      <c r="E103" s="57" t="s">
        <v>896</v>
      </c>
      <c r="I103" s="158"/>
      <c r="L103" s="263" t="s">
        <v>962</v>
      </c>
    </row>
    <row r="104" spans="1:13" x14ac:dyDescent="0.25">
      <c r="A104" s="103" t="s">
        <v>897</v>
      </c>
      <c r="D104" s="261">
        <v>-6.3871916875607613E-3</v>
      </c>
      <c r="E104" s="57" t="s">
        <v>898</v>
      </c>
      <c r="I104" s="158"/>
    </row>
    <row r="105" spans="1:13" ht="13" x14ac:dyDescent="0.3">
      <c r="A105" s="103" t="s">
        <v>899</v>
      </c>
      <c r="D105" s="262">
        <v>0.36369635494689273</v>
      </c>
      <c r="E105" s="57" t="s">
        <v>900</v>
      </c>
      <c r="I105" s="158"/>
      <c r="L105" s="124" t="s">
        <v>956</v>
      </c>
    </row>
    <row r="106" spans="1:13" x14ac:dyDescent="0.25">
      <c r="A106" s="103" t="s">
        <v>901</v>
      </c>
      <c r="D106" s="262">
        <v>0.10909664286527315</v>
      </c>
      <c r="E106" s="57" t="s">
        <v>900</v>
      </c>
      <c r="I106" s="158"/>
    </row>
    <row r="107" spans="1:13" x14ac:dyDescent="0.25">
      <c r="A107" s="103" t="s">
        <v>902</v>
      </c>
      <c r="D107" s="262">
        <v>5.6213044115084952E-2</v>
      </c>
      <c r="E107" s="57" t="s">
        <v>900</v>
      </c>
      <c r="I107" s="158"/>
    </row>
    <row r="108" spans="1:13" x14ac:dyDescent="0.25">
      <c r="A108" s="103" t="s">
        <v>903</v>
      </c>
      <c r="D108" s="262">
        <v>3.4336423855005412E-2</v>
      </c>
      <c r="E108" s="57" t="s">
        <v>900</v>
      </c>
      <c r="I108" s="158"/>
    </row>
    <row r="109" spans="1:13" x14ac:dyDescent="0.25">
      <c r="A109" s="3"/>
      <c r="B109" s="6"/>
      <c r="C109" s="57"/>
    </row>
    <row r="110" spans="1:13" x14ac:dyDescent="0.25">
      <c r="A110" s="3"/>
      <c r="B110" s="6"/>
      <c r="C110" s="57"/>
    </row>
    <row r="111" spans="1:13" x14ac:dyDescent="0.25">
      <c r="A111" s="3"/>
      <c r="B111" s="6"/>
      <c r="C111" s="57"/>
    </row>
    <row r="112" spans="1:13" ht="13" x14ac:dyDescent="0.3">
      <c r="A112" s="167" t="str">
        <f>"Alternative "&amp;I_1_NAME&amp;" Damage Fucntions"</f>
        <v>Alternative Economic Damage Fucntions</v>
      </c>
      <c r="B112" s="164"/>
      <c r="C112" s="165"/>
      <c r="D112" s="166"/>
      <c r="E112" s="166"/>
      <c r="F112" s="166"/>
      <c r="G112" s="166"/>
      <c r="H112" s="166"/>
      <c r="I112" s="166"/>
      <c r="J112" s="166"/>
      <c r="K112" s="166"/>
      <c r="L112" s="166"/>
      <c r="M112" s="166"/>
    </row>
    <row r="113" spans="1:13" x14ac:dyDescent="0.25">
      <c r="A113" s="3"/>
      <c r="B113" s="125"/>
      <c r="C113" s="57"/>
    </row>
    <row r="114" spans="1:13" ht="13" x14ac:dyDescent="0.3">
      <c r="A114" s="2" t="str">
        <f>ECON_IMPF_PAGE09_DEFAULT</f>
        <v>PAGE09 Default</v>
      </c>
      <c r="B114" s="125"/>
      <c r="C114" s="57"/>
      <c r="F114" t="s">
        <v>451</v>
      </c>
      <c r="G114" t="s">
        <v>452</v>
      </c>
      <c r="H114" t="s">
        <v>453</v>
      </c>
    </row>
    <row r="115" spans="1:13" x14ac:dyDescent="0.25">
      <c r="A115" t="str">
        <f>I_1_NAME&amp;" initial benefit"</f>
        <v>Economic initial benefit</v>
      </c>
      <c r="B115" s="125"/>
      <c r="C115" s="57"/>
      <c r="F115" s="9">
        <v>0</v>
      </c>
      <c r="G115" s="9">
        <v>0.1</v>
      </c>
      <c r="H115" s="9">
        <v>0.3</v>
      </c>
      <c r="I115" t="s">
        <v>215</v>
      </c>
    </row>
    <row r="116" spans="1:13" x14ac:dyDescent="0.25">
      <c r="A116" t="str">
        <f>I_1_NAME&amp;" impact at calibration temperature"</f>
        <v>Economic impact at calibration temperature</v>
      </c>
      <c r="B116" s="125"/>
      <c r="C116" s="57"/>
      <c r="F116" s="9">
        <v>0.2</v>
      </c>
      <c r="G116" s="94">
        <v>0.6</v>
      </c>
      <c r="H116" s="94">
        <v>1</v>
      </c>
      <c r="I116" t="s">
        <v>134</v>
      </c>
    </row>
    <row r="117" spans="1:13" x14ac:dyDescent="0.25">
      <c r="A117" t="str">
        <f>I_1_NAME&amp;" impact function exponent"</f>
        <v>Economic impact function exponent</v>
      </c>
      <c r="B117" s="125"/>
      <c r="C117" s="57"/>
      <c r="F117" s="9">
        <v>1.5</v>
      </c>
      <c r="G117" s="9">
        <v>2</v>
      </c>
      <c r="H117" s="9">
        <v>3</v>
      </c>
    </row>
    <row r="118" spans="1:13" x14ac:dyDescent="0.25">
      <c r="A118" t="str">
        <f>I_1_NAME&amp;" exponent with income"</f>
        <v>Economic exponent with income</v>
      </c>
      <c r="B118" s="125"/>
      <c r="C118" s="57"/>
      <c r="F118" s="9">
        <v>-0.3</v>
      </c>
      <c r="G118" s="9">
        <v>-0.1</v>
      </c>
      <c r="H118" s="9">
        <v>0</v>
      </c>
    </row>
    <row r="119" spans="1:13" x14ac:dyDescent="0.25">
      <c r="A119" s="3"/>
      <c r="B119" s="125"/>
      <c r="C119" s="57"/>
    </row>
    <row r="120" spans="1:13" ht="13" x14ac:dyDescent="0.3">
      <c r="A120" s="2" t="str">
        <f xml:space="preserve"> ECON_IMPF_PAGE09_IPCCAR5_BURKE</f>
        <v>PAGE09 &amp; IPCC AR5 &amp; Burke</v>
      </c>
      <c r="B120" s="125"/>
      <c r="C120" s="57"/>
      <c r="F120" t="s">
        <v>451</v>
      </c>
      <c r="G120" t="s">
        <v>452</v>
      </c>
      <c r="H120" t="s">
        <v>453</v>
      </c>
    </row>
    <row r="121" spans="1:13" ht="13" x14ac:dyDescent="0.3">
      <c r="A121" t="str">
        <f>I_1_NAME&amp;" initial benefit"</f>
        <v>Economic initial benefit</v>
      </c>
      <c r="B121" s="125"/>
      <c r="C121" s="57"/>
      <c r="F121" s="225">
        <v>1.8552006189683041</v>
      </c>
      <c r="G121" s="225">
        <v>1.9261981968052977</v>
      </c>
      <c r="H121" s="225">
        <v>2.2156990185928334</v>
      </c>
      <c r="I121" t="s">
        <v>215</v>
      </c>
      <c r="K121" s="6"/>
      <c r="L121" s="128" t="s">
        <v>737</v>
      </c>
      <c r="M121" s="6"/>
    </row>
    <row r="122" spans="1:13" ht="13" x14ac:dyDescent="0.3">
      <c r="A122" t="str">
        <f>I_1_NAME&amp;" impact at calibration temperature"</f>
        <v>Economic impact at calibration temperature</v>
      </c>
      <c r="B122" s="125"/>
      <c r="C122" s="57"/>
      <c r="F122" s="225">
        <v>1.2340908716858805</v>
      </c>
      <c r="G122" s="225">
        <v>2.404937016038553</v>
      </c>
      <c r="H122" s="225">
        <v>3.0258046425140006</v>
      </c>
      <c r="I122" t="s">
        <v>134</v>
      </c>
      <c r="K122" s="6"/>
      <c r="L122" s="128" t="s">
        <v>738</v>
      </c>
      <c r="M122" s="6"/>
    </row>
    <row r="123" spans="1:13" ht="13" x14ac:dyDescent="0.3">
      <c r="A123" t="str">
        <f>I_1_NAME&amp;" impact function exponent"</f>
        <v>Economic impact function exponent</v>
      </c>
      <c r="B123" s="125"/>
      <c r="C123" s="57"/>
      <c r="F123" s="225">
        <v>1.3664954452300262</v>
      </c>
      <c r="G123" s="225">
        <v>1.9712252777547403</v>
      </c>
      <c r="H123" s="225">
        <v>3.4774286391537856</v>
      </c>
      <c r="K123" s="6"/>
      <c r="L123" s="128" t="s">
        <v>739</v>
      </c>
      <c r="M123" s="6"/>
    </row>
    <row r="124" spans="1:13" x14ac:dyDescent="0.25">
      <c r="A124" t="str">
        <f>I_1_NAME&amp;" exponent with income"</f>
        <v>Economic exponent with income</v>
      </c>
      <c r="B124" s="125"/>
      <c r="C124" s="57"/>
      <c r="F124" s="9">
        <v>-0.3</v>
      </c>
      <c r="G124" s="9">
        <v>-0.1</v>
      </c>
      <c r="H124" s="9">
        <v>0</v>
      </c>
    </row>
    <row r="125" spans="1:13" x14ac:dyDescent="0.25">
      <c r="B125" s="125"/>
      <c r="C125" s="57"/>
    </row>
    <row r="126" spans="1:13" ht="13" x14ac:dyDescent="0.3">
      <c r="A126" s="2" t="str">
        <f>ECON_IMPF_PAGE09_DELL_MIMIC</f>
        <v>PAGE09 Dell Mimic</v>
      </c>
      <c r="B126" s="125"/>
      <c r="C126" s="57"/>
      <c r="F126" t="s">
        <v>451</v>
      </c>
      <c r="G126" t="s">
        <v>452</v>
      </c>
      <c r="H126" t="s">
        <v>453</v>
      </c>
    </row>
    <row r="127" spans="1:13" x14ac:dyDescent="0.25">
      <c r="A127" t="str">
        <f>I_1_NAME&amp;" initial benefit"</f>
        <v>Economic initial benefit</v>
      </c>
      <c r="B127" s="125"/>
      <c r="C127" s="57"/>
      <c r="F127" s="168">
        <v>0</v>
      </c>
      <c r="G127" s="168">
        <v>0.1</v>
      </c>
      <c r="H127" s="168">
        <v>0.3</v>
      </c>
      <c r="I127" t="s">
        <v>215</v>
      </c>
    </row>
    <row r="128" spans="1:13" x14ac:dyDescent="0.25">
      <c r="A128" t="str">
        <f>I_1_NAME&amp;" impact at calibration temperature"</f>
        <v>Economic impact at calibration temperature</v>
      </c>
      <c r="B128" s="125"/>
      <c r="C128" s="57"/>
      <c r="F128" s="142">
        <v>4</v>
      </c>
      <c r="G128" s="142">
        <v>8</v>
      </c>
      <c r="H128" s="142">
        <v>12</v>
      </c>
      <c r="I128" t="s">
        <v>134</v>
      </c>
    </row>
    <row r="129" spans="1:18" x14ac:dyDescent="0.25">
      <c r="A129" t="str">
        <f>I_1_NAME&amp;" impact function exponent"</f>
        <v>Economic impact function exponent</v>
      </c>
      <c r="B129" s="125"/>
      <c r="C129" s="57"/>
      <c r="F129" s="142">
        <v>0.8</v>
      </c>
      <c r="G129" s="142">
        <v>1.2</v>
      </c>
      <c r="H129" s="142">
        <v>1.5</v>
      </c>
    </row>
    <row r="130" spans="1:18" x14ac:dyDescent="0.25">
      <c r="A130" t="str">
        <f>I_1_NAME&amp;" exponent with income"</f>
        <v>Economic exponent with income</v>
      </c>
      <c r="B130" s="125"/>
      <c r="C130" s="57"/>
      <c r="F130" s="142">
        <v>-2</v>
      </c>
      <c r="G130" s="142">
        <v>-1.5</v>
      </c>
      <c r="H130" s="142">
        <v>-1</v>
      </c>
    </row>
    <row r="131" spans="1:18" x14ac:dyDescent="0.25">
      <c r="B131" s="125"/>
      <c r="C131" s="57"/>
    </row>
    <row r="132" spans="1:18" ht="13" x14ac:dyDescent="0.3">
      <c r="A132" s="2" t="str">
        <f>ECON_IMPF_PAGE09_BURKE_MIMIC</f>
        <v>PAGE09 Burke Mimic</v>
      </c>
      <c r="B132" s="125"/>
      <c r="C132" s="57"/>
      <c r="F132" t="s">
        <v>451</v>
      </c>
      <c r="G132" t="s">
        <v>452</v>
      </c>
      <c r="H132" t="s">
        <v>453</v>
      </c>
    </row>
    <row r="133" spans="1:18" x14ac:dyDescent="0.25">
      <c r="A133" t="str">
        <f>I_1_NAME&amp;" initial benefit"</f>
        <v>Economic initial benefit</v>
      </c>
      <c r="B133" s="125"/>
      <c r="C133" s="57"/>
      <c r="F133" s="168">
        <v>0</v>
      </c>
      <c r="G133" s="168">
        <v>0.1</v>
      </c>
      <c r="H133" s="168">
        <v>0.3</v>
      </c>
      <c r="I133" t="s">
        <v>215</v>
      </c>
    </row>
    <row r="134" spans="1:18" x14ac:dyDescent="0.25">
      <c r="A134" t="str">
        <f>I_1_NAME&amp;" impact at calibration temperature"</f>
        <v>Economic impact at calibration temperature</v>
      </c>
      <c r="B134" s="125"/>
      <c r="C134" s="57"/>
      <c r="F134" s="142">
        <v>-15</v>
      </c>
      <c r="G134" s="142">
        <v>20</v>
      </c>
      <c r="H134" s="142">
        <v>40</v>
      </c>
      <c r="I134" t="s">
        <v>134</v>
      </c>
    </row>
    <row r="135" spans="1:18" x14ac:dyDescent="0.25">
      <c r="A135" t="str">
        <f>I_1_NAME&amp;" impact function exponent"</f>
        <v>Economic impact function exponent</v>
      </c>
      <c r="B135" s="125"/>
      <c r="C135" s="57"/>
      <c r="F135" s="142">
        <v>0.8</v>
      </c>
      <c r="G135" s="142">
        <v>1.2</v>
      </c>
      <c r="H135" s="142">
        <v>1.5</v>
      </c>
    </row>
    <row r="136" spans="1:18" x14ac:dyDescent="0.25">
      <c r="A136" t="str">
        <f>I_1_NAME&amp;" exponent with income"</f>
        <v>Economic exponent with income</v>
      </c>
      <c r="B136" s="125"/>
      <c r="C136" s="57"/>
      <c r="F136" s="142">
        <v>-0.5</v>
      </c>
      <c r="G136" s="142">
        <v>-0.4</v>
      </c>
      <c r="H136" s="142">
        <v>-0.3</v>
      </c>
    </row>
    <row r="137" spans="1:18" x14ac:dyDescent="0.25">
      <c r="A137" s="3"/>
      <c r="B137" s="6"/>
      <c r="C137" s="57"/>
    </row>
    <row r="138" spans="1:18" x14ac:dyDescent="0.25">
      <c r="A138" s="3"/>
      <c r="B138" s="6"/>
      <c r="C138" s="57"/>
    </row>
    <row r="139" spans="1:18" x14ac:dyDescent="0.25">
      <c r="A139" s="3"/>
      <c r="B139" s="6"/>
      <c r="C139" s="57"/>
    </row>
    <row r="140" spans="1:18" ht="13" x14ac:dyDescent="0.3">
      <c r="A140" s="114" t="s">
        <v>1034</v>
      </c>
      <c r="B140" s="86"/>
      <c r="C140" s="104"/>
      <c r="D140" s="114" t="str">
        <f>SCENARIO_PAIR</f>
        <v>2 degC Target</v>
      </c>
      <c r="E140" s="86"/>
      <c r="F140" s="86"/>
    </row>
    <row r="141" spans="1:18" x14ac:dyDescent="0.25">
      <c r="A141" t="s">
        <v>24</v>
      </c>
      <c r="B141" t="s">
        <v>25</v>
      </c>
      <c r="C141">
        <f>Y_0</f>
        <v>2015</v>
      </c>
      <c r="D141">
        <f t="array" ref="D141:L141">Y</f>
        <v>2020</v>
      </c>
      <c r="E141">
        <v>2030</v>
      </c>
      <c r="F141">
        <v>2040</v>
      </c>
      <c r="G141">
        <v>2050</v>
      </c>
      <c r="H141">
        <v>2075</v>
      </c>
      <c r="I141">
        <v>2100</v>
      </c>
      <c r="J141">
        <v>2150</v>
      </c>
      <c r="K141">
        <v>2200</v>
      </c>
      <c r="L141">
        <v>2250</v>
      </c>
    </row>
    <row r="142" spans="1:18" ht="13" x14ac:dyDescent="0.3">
      <c r="B142" t="s">
        <v>26</v>
      </c>
      <c r="C142">
        <f t="array" ref="C142:L142">Y</f>
        <v>2020</v>
      </c>
      <c r="D142">
        <v>2030</v>
      </c>
      <c r="E142">
        <v>2040</v>
      </c>
      <c r="F142">
        <v>2050</v>
      </c>
      <c r="G142">
        <v>2075</v>
      </c>
      <c r="H142">
        <v>2100</v>
      </c>
      <c r="I142">
        <v>2150</v>
      </c>
      <c r="J142">
        <v>2200</v>
      </c>
      <c r="K142">
        <v>2250</v>
      </c>
      <c r="L142">
        <v>2300</v>
      </c>
      <c r="P142" s="2" t="str">
        <f>Cockpit!D18</f>
        <v>Scenario pairs</v>
      </c>
      <c r="Q142" s="2"/>
    </row>
    <row r="143" spans="1:18" ht="13" x14ac:dyDescent="0.3">
      <c r="B143" t="str">
        <f t="array" ref="B143:B150">R_CODE</f>
        <v>EU</v>
      </c>
      <c r="C143" s="99">
        <f t="array" ref="C143:L150" xml:space="preserve"> IF(SCENARIO_SWITCH = 0, SSP1_GDP_RATE, 0) + IF(SCENARIO_SWITCH = 1, SSP1_GDP_RATE, 0) + IF(SCENARIO_SWITCH = 2, SSPW_GDP_RATE, 0) + IF(SCENARIO_SWITCH = 3, ( IF(SCENARIO_PAIR = PAIR_RCP26, SSP1_GDP_RATE, 0) + IF(SCENARIO_PAIR = PAIR_RCP45, SSP2_GDP_RATE, 0) +  IF(SCENARIO_PAIR = PAIR_RCP85, SSP5_GDP_RATE, 0) ), 0)</f>
        <v>1.63</v>
      </c>
      <c r="D143" s="99">
        <v>1.56</v>
      </c>
      <c r="E143" s="99">
        <v>1.68</v>
      </c>
      <c r="F143" s="99">
        <v>1.62</v>
      </c>
      <c r="G143" s="99">
        <v>1.51</v>
      </c>
      <c r="H143" s="99">
        <v>1.37</v>
      </c>
      <c r="I143" s="99">
        <v>1.3049455089991131</v>
      </c>
      <c r="J143" s="99">
        <v>1.0741863189511145</v>
      </c>
      <c r="K143" s="99">
        <v>0.88423328013654967</v>
      </c>
      <c r="L143" s="99">
        <v>0.72787046335173478</v>
      </c>
      <c r="M143" s="3" t="s">
        <v>419</v>
      </c>
      <c r="P143" s="3" t="str">
        <f>Cockpit!D19</f>
        <v>Scenario pair 0:</v>
      </c>
      <c r="R143" s="2" t="str">
        <f>Cockpit!E19</f>
        <v>Zero Emissions &amp; SSP1</v>
      </c>
    </row>
    <row r="144" spans="1:18" ht="13" x14ac:dyDescent="0.3">
      <c r="B144" t="str">
        <v>US</v>
      </c>
      <c r="C144" s="100">
        <v>2.7</v>
      </c>
      <c r="D144" s="100">
        <v>2.1</v>
      </c>
      <c r="E144" s="100">
        <v>1.72</v>
      </c>
      <c r="F144" s="100">
        <v>1.57</v>
      </c>
      <c r="G144" s="100">
        <v>1.53</v>
      </c>
      <c r="H144" s="100">
        <v>1.45</v>
      </c>
      <c r="I144" s="100">
        <v>1.4115825726740621</v>
      </c>
      <c r="J144" s="100">
        <v>1.2678253488176405</v>
      </c>
      <c r="K144" s="100">
        <v>1.1387085291507919</v>
      </c>
      <c r="L144" s="100">
        <v>1.0227411177493868</v>
      </c>
      <c r="M144" s="3" t="s">
        <v>419</v>
      </c>
      <c r="P144" s="3" t="str">
        <f>Cockpit!D20</f>
        <v>Scenario pair 1:</v>
      </c>
      <c r="R144" s="2" t="str">
        <f>Cockpit!E20</f>
        <v>1.5 degC Target</v>
      </c>
    </row>
    <row r="145" spans="1:18" ht="13" x14ac:dyDescent="0.3">
      <c r="B145" t="str">
        <v>OT</v>
      </c>
      <c r="C145" s="100">
        <v>2.17</v>
      </c>
      <c r="D145" s="100">
        <v>1.93</v>
      </c>
      <c r="E145" s="100">
        <v>1.68</v>
      </c>
      <c r="F145" s="100">
        <v>1.54</v>
      </c>
      <c r="G145" s="100">
        <v>1.33</v>
      </c>
      <c r="H145" s="100">
        <v>1.06</v>
      </c>
      <c r="I145" s="100">
        <v>0.94630901500498199</v>
      </c>
      <c r="J145" s="100">
        <v>0.60109266168782727</v>
      </c>
      <c r="K145" s="100">
        <v>0.38181226449909134</v>
      </c>
      <c r="L145" s="100">
        <v>0.24252601073615182</v>
      </c>
      <c r="M145" s="3" t="s">
        <v>419</v>
      </c>
      <c r="P145" s="3" t="str">
        <f>Cockpit!D21</f>
        <v>Scenario pair 2:</v>
      </c>
      <c r="R145" s="2" t="str">
        <f>Cockpit!E21</f>
        <v>2 degC Target</v>
      </c>
    </row>
    <row r="146" spans="1:18" ht="13" x14ac:dyDescent="0.3">
      <c r="B146" t="str">
        <v>EE</v>
      </c>
      <c r="C146" s="100">
        <v>4.21</v>
      </c>
      <c r="D146" s="100">
        <v>3.88</v>
      </c>
      <c r="E146" s="100">
        <v>2.98</v>
      </c>
      <c r="F146" s="100">
        <v>1.77</v>
      </c>
      <c r="G146" s="100">
        <v>1.18</v>
      </c>
      <c r="H146" s="100">
        <v>0.78</v>
      </c>
      <c r="I146" s="100">
        <v>0.63416300102135159</v>
      </c>
      <c r="J146" s="100">
        <v>0.2770933423020614</v>
      </c>
      <c r="K146" s="100">
        <v>0.12107410906102713</v>
      </c>
      <c r="L146" s="100">
        <v>5.290253372071884E-2</v>
      </c>
      <c r="M146" s="3" t="s">
        <v>419</v>
      </c>
      <c r="P146" s="3" t="str">
        <f>Cockpit!D22</f>
        <v>Scenario pair 3:</v>
      </c>
      <c r="R146" s="2" t="str">
        <f>Cockpit!E22</f>
        <v>2.5 degC Target</v>
      </c>
    </row>
    <row r="147" spans="1:18" ht="13" x14ac:dyDescent="0.3">
      <c r="B147" t="str">
        <v>CA</v>
      </c>
      <c r="C147" s="100">
        <v>8.83</v>
      </c>
      <c r="D147" s="100">
        <v>6.39</v>
      </c>
      <c r="E147" s="100">
        <v>3.93</v>
      </c>
      <c r="F147" s="100">
        <v>2.2999999999999998</v>
      </c>
      <c r="G147" s="100">
        <v>0.65</v>
      </c>
      <c r="H147" s="100">
        <v>-7.0000000000000007E-2</v>
      </c>
      <c r="I147" s="100">
        <v>-7.0000000000000007E-2</v>
      </c>
      <c r="J147" s="100">
        <v>-7.0000000000000007E-2</v>
      </c>
      <c r="K147" s="100">
        <v>-7.0000000000000007E-2</v>
      </c>
      <c r="L147" s="100">
        <v>-7.0000000000000007E-2</v>
      </c>
      <c r="M147" s="3" t="s">
        <v>419</v>
      </c>
      <c r="P147" s="3" t="str">
        <f>Cockpit!D23</f>
        <v>Scenario pair 4:</v>
      </c>
      <c r="R147" s="2" t="str">
        <f>Cockpit!E23</f>
        <v>NDCs</v>
      </c>
    </row>
    <row r="148" spans="1:18" ht="13" x14ac:dyDescent="0.3">
      <c r="B148" t="str">
        <v>IA</v>
      </c>
      <c r="C148" s="100">
        <v>6.59</v>
      </c>
      <c r="D148" s="100">
        <v>6.28</v>
      </c>
      <c r="E148" s="100">
        <v>5.5</v>
      </c>
      <c r="F148" s="100">
        <v>4.43</v>
      </c>
      <c r="G148" s="100">
        <v>2.84</v>
      </c>
      <c r="H148" s="100">
        <v>1.43</v>
      </c>
      <c r="I148" s="100">
        <v>1.0147168827375819</v>
      </c>
      <c r="J148" s="100">
        <v>0.25726474825308487</v>
      </c>
      <c r="K148" s="100">
        <v>6.5225238507083561E-2</v>
      </c>
      <c r="L148" s="100">
        <v>1.6536784643812641E-2</v>
      </c>
      <c r="M148" s="3" t="s">
        <v>419</v>
      </c>
      <c r="P148" s="3" t="str">
        <f>Cockpit!D24</f>
        <v>Scenario pair 5:</v>
      </c>
      <c r="R148" s="2" t="str">
        <f>Cockpit!E24</f>
        <v>NDCs Partial</v>
      </c>
    </row>
    <row r="149" spans="1:18" ht="13" x14ac:dyDescent="0.3">
      <c r="B149" t="str">
        <v>AF</v>
      </c>
      <c r="C149" s="100">
        <v>4.6900000000000004</v>
      </c>
      <c r="D149" s="100">
        <v>4.83</v>
      </c>
      <c r="E149" s="100">
        <v>5.15</v>
      </c>
      <c r="F149" s="100">
        <v>5.12</v>
      </c>
      <c r="G149" s="100">
        <v>4.5999999999999996</v>
      </c>
      <c r="H149" s="100">
        <v>3.21</v>
      </c>
      <c r="I149" s="100">
        <v>2.6815051338024127</v>
      </c>
      <c r="J149" s="100">
        <v>1.3057890855015803</v>
      </c>
      <c r="K149" s="100">
        <v>0.63586868222669346</v>
      </c>
      <c r="L149" s="100">
        <v>0.30964340683043812</v>
      </c>
      <c r="M149" s="3" t="s">
        <v>419</v>
      </c>
      <c r="P149" s="3" t="str">
        <f>Cockpit!D25</f>
        <v>Scenario pair 6:</v>
      </c>
      <c r="R149" s="2" t="str">
        <f>Cockpit!E25</f>
        <v>BAU</v>
      </c>
    </row>
    <row r="150" spans="1:18" ht="13.5" thickBot="1" x14ac:dyDescent="0.35">
      <c r="B150" t="str">
        <v>LA</v>
      </c>
      <c r="C150" s="101">
        <v>3.85</v>
      </c>
      <c r="D150" s="101">
        <v>3.72</v>
      </c>
      <c r="E150" s="101">
        <v>3.56</v>
      </c>
      <c r="F150" s="101">
        <v>3.16</v>
      </c>
      <c r="G150" s="101">
        <v>2.41</v>
      </c>
      <c r="H150" s="101">
        <v>1.52</v>
      </c>
      <c r="I150" s="101">
        <v>1.2071378308787235</v>
      </c>
      <c r="J150" s="101">
        <v>0.48018650582156003</v>
      </c>
      <c r="K150" s="101">
        <v>0.19101305126463602</v>
      </c>
      <c r="L150" s="101">
        <v>7.5982946857288083E-2</v>
      </c>
      <c r="M150" s="3" t="s">
        <v>419</v>
      </c>
      <c r="P150" s="3" t="str">
        <f>Cockpit!D26</f>
        <v>Extra pair 1:</v>
      </c>
      <c r="R150" s="2" t="str">
        <f>Cockpit!E26</f>
        <v>RCP2.6 &amp; SSP1</v>
      </c>
    </row>
    <row r="151" spans="1:18" ht="13.5" thickTop="1" x14ac:dyDescent="0.3">
      <c r="A151" s="3" t="s">
        <v>462</v>
      </c>
      <c r="P151" s="3" t="str">
        <f>Cockpit!D27</f>
        <v>Extra pair 2:</v>
      </c>
      <c r="R151" s="2" t="str">
        <f>Cockpit!E27</f>
        <v>RCP4.5 &amp; SSP2</v>
      </c>
    </row>
    <row r="152" spans="1:18" ht="13" x14ac:dyDescent="0.3">
      <c r="B152" t="str">
        <f t="array" ref="B152:B159">R_CODE</f>
        <v>EU</v>
      </c>
      <c r="C152" s="99">
        <f t="array" ref="C152:L159" xml:space="preserve"> IF(SCENARIO_SWITCH = 0, SSP1_POP_RATE, 0) + IF(SCENARIO_SWITCH = 1, SSP1_POP_RATE, 0) + IF(SCENARIO_SWITCH = 2, SSPW_POP_RATE, 0) + IF(SCENARIO_SWITCH = 3, ( IF(SCENARIO_PAIR = PAIR_RCP26, SSP1_POP_RATE, 0) + IF(SCENARIO_PAIR = PAIR_RCP45, SSP2_POP_RATE, 0) +  IF(SCENARIO_PAIR = PAIR_RCP85, SSP5_POP_RATE, 0) ), 0)</f>
        <v>0.18</v>
      </c>
      <c r="D152" s="99">
        <v>0.12</v>
      </c>
      <c r="E152" s="99">
        <v>0.03</v>
      </c>
      <c r="F152" s="99">
        <v>-0.04</v>
      </c>
      <c r="G152" s="99">
        <v>-0.2</v>
      </c>
      <c r="H152" s="99">
        <v>-0.32</v>
      </c>
      <c r="I152" s="99">
        <v>0</v>
      </c>
      <c r="J152" s="99">
        <v>0</v>
      </c>
      <c r="K152" s="99">
        <v>0</v>
      </c>
      <c r="L152" s="99">
        <v>0</v>
      </c>
      <c r="M152" s="3" t="s">
        <v>419</v>
      </c>
      <c r="P152" s="3" t="str">
        <f>Cockpit!D28</f>
        <v>Extra pair 3:</v>
      </c>
      <c r="R152" s="2" t="str">
        <f>Cockpit!E28</f>
        <v>RCP8.5 &amp; SSP5</v>
      </c>
    </row>
    <row r="153" spans="1:18" ht="13" x14ac:dyDescent="0.3">
      <c r="B153" t="str">
        <v>US</v>
      </c>
      <c r="C153" s="100">
        <v>0.76</v>
      </c>
      <c r="D153" s="100">
        <v>0.7</v>
      </c>
      <c r="E153" s="100">
        <v>0.59</v>
      </c>
      <c r="F153" s="100">
        <v>0.48</v>
      </c>
      <c r="G153" s="100">
        <v>0.36</v>
      </c>
      <c r="H153" s="100">
        <v>7.0000000000000007E-2</v>
      </c>
      <c r="I153" s="100">
        <v>0</v>
      </c>
      <c r="J153" s="100">
        <v>0</v>
      </c>
      <c r="K153" s="100">
        <v>0</v>
      </c>
      <c r="L153" s="100">
        <v>0</v>
      </c>
      <c r="M153" s="3" t="s">
        <v>419</v>
      </c>
      <c r="P153" s="2"/>
      <c r="Q153" s="2"/>
    </row>
    <row r="154" spans="1:18" x14ac:dyDescent="0.25">
      <c r="B154" t="str">
        <v>OT</v>
      </c>
      <c r="C154" s="100">
        <v>0.37</v>
      </c>
      <c r="D154" s="100">
        <v>0.2</v>
      </c>
      <c r="E154" s="100">
        <v>0.04</v>
      </c>
      <c r="F154" s="100">
        <v>-0.1</v>
      </c>
      <c r="G154" s="100">
        <v>-0.36</v>
      </c>
      <c r="H154" s="100">
        <v>-0.61</v>
      </c>
      <c r="I154" s="100">
        <v>0</v>
      </c>
      <c r="J154" s="100">
        <v>0</v>
      </c>
      <c r="K154" s="100">
        <v>0</v>
      </c>
      <c r="L154" s="100">
        <v>0</v>
      </c>
      <c r="M154" s="3" t="s">
        <v>419</v>
      </c>
    </row>
    <row r="155" spans="1:18" x14ac:dyDescent="0.25">
      <c r="B155" t="str">
        <v>EE</v>
      </c>
      <c r="C155" s="100">
        <v>-0.05</v>
      </c>
      <c r="D155" s="100">
        <v>-0.22</v>
      </c>
      <c r="E155" s="100">
        <v>-0.3</v>
      </c>
      <c r="F155" s="100">
        <v>-0.42</v>
      </c>
      <c r="G155" s="100">
        <v>-0.67</v>
      </c>
      <c r="H155" s="100">
        <v>-0.82</v>
      </c>
      <c r="I155" s="100">
        <v>0</v>
      </c>
      <c r="J155" s="100">
        <v>0</v>
      </c>
      <c r="K155" s="100">
        <v>0</v>
      </c>
      <c r="L155" s="100">
        <v>0</v>
      </c>
      <c r="M155" s="3" t="s">
        <v>419</v>
      </c>
    </row>
    <row r="156" spans="1:18" ht="13" x14ac:dyDescent="0.3">
      <c r="B156" t="str">
        <v>CA</v>
      </c>
      <c r="C156" s="100">
        <v>0.19</v>
      </c>
      <c r="D156" s="100">
        <v>-7.0000000000000007E-2</v>
      </c>
      <c r="E156" s="100">
        <v>-0.36</v>
      </c>
      <c r="F156" s="100">
        <v>-0.67</v>
      </c>
      <c r="G156" s="100">
        <v>-1.0900000000000001</v>
      </c>
      <c r="H156" s="100">
        <v>-1.43</v>
      </c>
      <c r="I156" s="100">
        <v>0</v>
      </c>
      <c r="J156" s="100">
        <v>0</v>
      </c>
      <c r="K156" s="100">
        <v>0</v>
      </c>
      <c r="L156" s="100">
        <v>0</v>
      </c>
      <c r="M156" s="3" t="s">
        <v>419</v>
      </c>
      <c r="P156" s="128" t="s">
        <v>690</v>
      </c>
    </row>
    <row r="157" spans="1:18" x14ac:dyDescent="0.25">
      <c r="B157" t="str">
        <v>IA</v>
      </c>
      <c r="C157" s="100">
        <v>0.94</v>
      </c>
      <c r="D157" s="100">
        <v>0.67</v>
      </c>
      <c r="E157" s="100">
        <v>0.39</v>
      </c>
      <c r="F157" s="100">
        <v>0.1</v>
      </c>
      <c r="G157" s="100">
        <v>-0.34</v>
      </c>
      <c r="H157" s="100">
        <v>-0.82</v>
      </c>
      <c r="I157" s="100">
        <v>0</v>
      </c>
      <c r="J157" s="100">
        <v>0</v>
      </c>
      <c r="K157" s="100">
        <v>0</v>
      </c>
      <c r="L157" s="100">
        <v>0</v>
      </c>
      <c r="M157" s="3" t="s">
        <v>419</v>
      </c>
    </row>
    <row r="158" spans="1:18" x14ac:dyDescent="0.25">
      <c r="B158" t="str">
        <v>AF</v>
      </c>
      <c r="C158" s="100">
        <v>1.77</v>
      </c>
      <c r="D158" s="100">
        <v>1.51</v>
      </c>
      <c r="E158" s="100">
        <v>1.3</v>
      </c>
      <c r="F158" s="100">
        <v>1.03</v>
      </c>
      <c r="G158" s="100">
        <v>0.62</v>
      </c>
      <c r="H158" s="100">
        <v>0.1</v>
      </c>
      <c r="I158" s="100">
        <v>0</v>
      </c>
      <c r="J158" s="100">
        <v>0</v>
      </c>
      <c r="K158" s="100">
        <v>0</v>
      </c>
      <c r="L158" s="100">
        <v>0</v>
      </c>
      <c r="M158" s="3" t="s">
        <v>419</v>
      </c>
    </row>
    <row r="159" spans="1:18" ht="13" thickBot="1" x14ac:dyDescent="0.3">
      <c r="B159" t="str">
        <v>LA</v>
      </c>
      <c r="C159" s="101">
        <v>0.81</v>
      </c>
      <c r="D159" s="101">
        <v>0.62</v>
      </c>
      <c r="E159" s="101">
        <v>0.38</v>
      </c>
      <c r="F159" s="101">
        <v>0.08</v>
      </c>
      <c r="G159" s="101">
        <v>-0.27</v>
      </c>
      <c r="H159" s="101">
        <v>-0.67</v>
      </c>
      <c r="I159" s="101">
        <v>0</v>
      </c>
      <c r="J159" s="101">
        <v>0</v>
      </c>
      <c r="K159" s="101">
        <v>0</v>
      </c>
      <c r="L159" s="101">
        <v>0</v>
      </c>
      <c r="M159" s="3" t="s">
        <v>419</v>
      </c>
    </row>
    <row r="160" spans="1:18" ht="13" thickTop="1" x14ac:dyDescent="0.25"/>
    <row r="161" spans="1:16" x14ac:dyDescent="0.25">
      <c r="A161" t="s">
        <v>27</v>
      </c>
      <c r="B161" t="s">
        <v>25</v>
      </c>
      <c r="C161">
        <f>Y_0</f>
        <v>2015</v>
      </c>
      <c r="D161">
        <f t="array" ref="D161:L161">Y</f>
        <v>2020</v>
      </c>
      <c r="E161">
        <v>2030</v>
      </c>
      <c r="F161">
        <v>2040</v>
      </c>
      <c r="G161">
        <v>2050</v>
      </c>
      <c r="H161">
        <v>2075</v>
      </c>
      <c r="I161">
        <v>2100</v>
      </c>
      <c r="J161">
        <v>2150</v>
      </c>
      <c r="K161">
        <v>2200</v>
      </c>
      <c r="L161">
        <v>2250</v>
      </c>
    </row>
    <row r="162" spans="1:16" x14ac:dyDescent="0.25">
      <c r="B162" t="s">
        <v>26</v>
      </c>
      <c r="C162">
        <f t="array" ref="C162:L162">Y</f>
        <v>2020</v>
      </c>
      <c r="D162">
        <v>2030</v>
      </c>
      <c r="E162">
        <v>2040</v>
      </c>
      <c r="F162">
        <v>2050</v>
      </c>
      <c r="G162">
        <v>2075</v>
      </c>
      <c r="H162">
        <v>2100</v>
      </c>
      <c r="I162">
        <v>2150</v>
      </c>
      <c r="J162">
        <v>2200</v>
      </c>
      <c r="K162">
        <v>2250</v>
      </c>
      <c r="L162">
        <v>2300</v>
      </c>
    </row>
    <row r="163" spans="1:16" x14ac:dyDescent="0.25">
      <c r="B163" t="str">
        <f t="array" ref="B163:B170">R_CODE</f>
        <v>EU</v>
      </c>
      <c r="C163" s="29">
        <f t="array" aca="1" ref="C163:L170" ca="1">PTP+(EMUC*(GRW-POP_GRW))</f>
        <v>2.7250000000000001</v>
      </c>
      <c r="D163" s="29">
        <f ca="1"/>
        <v>2.7133333333333334</v>
      </c>
      <c r="E163" s="29">
        <f ca="1"/>
        <v>2.9583333333333335</v>
      </c>
      <c r="F163" s="29">
        <f ca="1"/>
        <v>2.9700000000000006</v>
      </c>
      <c r="G163" s="29">
        <f ca="1"/>
        <v>3.0283333333333333</v>
      </c>
      <c r="H163" s="29">
        <f ca="1"/>
        <v>3.0050000000000003</v>
      </c>
      <c r="I163" s="29">
        <f ca="1"/>
        <v>2.5557697604989658</v>
      </c>
      <c r="J163" s="29">
        <f ca="1"/>
        <v>2.2865507054429672</v>
      </c>
      <c r="K163" s="29">
        <f ca="1"/>
        <v>2.0649388268259745</v>
      </c>
      <c r="L163" s="29">
        <f ca="1"/>
        <v>1.8825155405770242</v>
      </c>
      <c r="M163" s="3" t="s">
        <v>419</v>
      </c>
    </row>
    <row r="164" spans="1:16" x14ac:dyDescent="0.25">
      <c r="B164" t="str">
        <v>US</v>
      </c>
      <c r="C164" s="26">
        <f ca="1"/>
        <v>3.2966666666666669</v>
      </c>
      <c r="D164" s="26">
        <f ca="1"/>
        <v>2.666666666666667</v>
      </c>
      <c r="E164" s="26">
        <f ca="1"/>
        <v>2.3516666666666666</v>
      </c>
      <c r="F164" s="26">
        <f ca="1"/>
        <v>2.3050000000000006</v>
      </c>
      <c r="G164" s="26">
        <f ca="1"/>
        <v>2.3983333333333334</v>
      </c>
      <c r="H164" s="26">
        <f ca="1"/>
        <v>2.6433333333333335</v>
      </c>
      <c r="I164" s="26">
        <f ca="1"/>
        <v>2.680179668119739</v>
      </c>
      <c r="J164" s="26">
        <f ca="1"/>
        <v>2.5124629069539139</v>
      </c>
      <c r="K164" s="26">
        <f ca="1"/>
        <v>2.361826617342591</v>
      </c>
      <c r="L164" s="26">
        <f ca="1"/>
        <v>2.2265313040409516</v>
      </c>
      <c r="M164" s="3" t="s">
        <v>419</v>
      </c>
    </row>
    <row r="165" spans="1:16" x14ac:dyDescent="0.25">
      <c r="B165" t="str">
        <v>OT</v>
      </c>
      <c r="C165" s="26">
        <f ca="1"/>
        <v>3.1333333333333337</v>
      </c>
      <c r="D165" s="26">
        <f ca="1"/>
        <v>3.0516666666666667</v>
      </c>
      <c r="E165" s="26">
        <f ca="1"/>
        <v>2.9466666666666668</v>
      </c>
      <c r="F165" s="26">
        <f ca="1"/>
        <v>2.9466666666666672</v>
      </c>
      <c r="G165" s="26">
        <f ca="1"/>
        <v>3.0049999999999999</v>
      </c>
      <c r="H165" s="26">
        <f ca="1"/>
        <v>2.9816666666666669</v>
      </c>
      <c r="I165" s="26">
        <f ca="1"/>
        <v>2.1373605175058126</v>
      </c>
      <c r="J165" s="26">
        <f ca="1"/>
        <v>1.7346081053024653</v>
      </c>
      <c r="K165" s="26">
        <f ca="1"/>
        <v>1.47878097524894</v>
      </c>
      <c r="L165" s="26">
        <f ca="1"/>
        <v>1.3162803458588439</v>
      </c>
      <c r="M165" s="3" t="s">
        <v>419</v>
      </c>
    </row>
    <row r="166" spans="1:16" x14ac:dyDescent="0.25">
      <c r="B166" t="str">
        <v>EE</v>
      </c>
      <c r="C166" s="26">
        <f ca="1"/>
        <v>6.003333333333333</v>
      </c>
      <c r="D166" s="26">
        <f ca="1"/>
        <v>5.8166666666666664</v>
      </c>
      <c r="E166" s="26">
        <f ca="1"/>
        <v>4.8600000000000003</v>
      </c>
      <c r="F166" s="26">
        <f ca="1"/>
        <v>3.5883333333333338</v>
      </c>
      <c r="G166" s="26">
        <f ca="1"/>
        <v>3.1916666666666673</v>
      </c>
      <c r="H166" s="26">
        <f ca="1"/>
        <v>2.9000000000000004</v>
      </c>
      <c r="I166" s="26">
        <f ca="1"/>
        <v>1.7731901678582438</v>
      </c>
      <c r="J166" s="26">
        <f ca="1"/>
        <v>1.356608899352405</v>
      </c>
      <c r="K166" s="26">
        <f ca="1"/>
        <v>1.1745864605711984</v>
      </c>
      <c r="L166" s="26">
        <f ca="1"/>
        <v>1.0950529560075055</v>
      </c>
      <c r="M166" s="3" t="s">
        <v>419</v>
      </c>
    </row>
    <row r="167" spans="1:16" x14ac:dyDescent="0.25">
      <c r="B167" t="str">
        <v>CA</v>
      </c>
      <c r="C167" s="26">
        <f ca="1"/>
        <v>11.113333333333335</v>
      </c>
      <c r="D167" s="26">
        <f ca="1"/>
        <v>8.57</v>
      </c>
      <c r="E167" s="26">
        <f ca="1"/>
        <v>6.038333333333334</v>
      </c>
      <c r="F167" s="26">
        <f ca="1"/>
        <v>4.4983333333333331</v>
      </c>
      <c r="G167" s="26">
        <f ca="1"/>
        <v>3.0633333333333335</v>
      </c>
      <c r="H167" s="26">
        <f ca="1"/>
        <v>2.62</v>
      </c>
      <c r="I167" s="26">
        <f ca="1"/>
        <v>0.95166666666666677</v>
      </c>
      <c r="J167" s="26">
        <f ca="1"/>
        <v>0.95166666666666677</v>
      </c>
      <c r="K167" s="26">
        <f ca="1"/>
        <v>0.95166666666666677</v>
      </c>
      <c r="L167" s="26">
        <f ca="1"/>
        <v>0.95166666666666677</v>
      </c>
      <c r="M167" s="3" t="s">
        <v>419</v>
      </c>
    </row>
    <row r="168" spans="1:16" x14ac:dyDescent="0.25">
      <c r="B168" t="str">
        <v>IA</v>
      </c>
      <c r="C168" s="26">
        <f ca="1"/>
        <v>7.6250000000000009</v>
      </c>
      <c r="D168" s="26">
        <f ca="1"/>
        <v>7.578333333333334</v>
      </c>
      <c r="E168" s="26">
        <f ca="1"/>
        <v>6.995000000000001</v>
      </c>
      <c r="F168" s="26">
        <f ca="1"/>
        <v>6.085</v>
      </c>
      <c r="G168" s="26">
        <f ca="1"/>
        <v>4.7433333333333332</v>
      </c>
      <c r="H168" s="26">
        <f ca="1"/>
        <v>3.6583333333333332</v>
      </c>
      <c r="I168" s="26">
        <f ca="1"/>
        <v>2.2171696965271792</v>
      </c>
      <c r="J168" s="26">
        <f ca="1"/>
        <v>1.3334755396285991</v>
      </c>
      <c r="K168" s="26">
        <f ca="1"/>
        <v>1.1094294449249309</v>
      </c>
      <c r="L168" s="26">
        <f ca="1"/>
        <v>1.0526262487511149</v>
      </c>
      <c r="M168" s="3" t="s">
        <v>419</v>
      </c>
    </row>
    <row r="169" spans="1:16" x14ac:dyDescent="0.25">
      <c r="B169" t="str">
        <v>AF</v>
      </c>
      <c r="C169" s="26">
        <f ca="1"/>
        <v>4.4400000000000004</v>
      </c>
      <c r="D169" s="26">
        <f ca="1"/>
        <v>4.9066666666666672</v>
      </c>
      <c r="E169" s="26">
        <f ca="1"/>
        <v>5.5250000000000004</v>
      </c>
      <c r="F169" s="26">
        <f ca="1"/>
        <v>5.8049999999999997</v>
      </c>
      <c r="G169" s="26">
        <f ca="1"/>
        <v>5.6766666666666659</v>
      </c>
      <c r="H169" s="26">
        <f ca="1"/>
        <v>4.6616666666666671</v>
      </c>
      <c r="I169" s="26">
        <f ca="1"/>
        <v>4.1617559894361484</v>
      </c>
      <c r="J169" s="26">
        <f ca="1"/>
        <v>2.5567539330851772</v>
      </c>
      <c r="K169" s="26">
        <f ca="1"/>
        <v>1.7751801292644758</v>
      </c>
      <c r="L169" s="26">
        <f ca="1"/>
        <v>1.3945839746355113</v>
      </c>
      <c r="M169" s="3" t="s">
        <v>419</v>
      </c>
    </row>
    <row r="170" spans="1:16" ht="13" thickBot="1" x14ac:dyDescent="0.3">
      <c r="B170" t="str">
        <v>LA</v>
      </c>
      <c r="C170" s="35">
        <f ca="1"/>
        <v>4.58</v>
      </c>
      <c r="D170" s="35">
        <f ca="1"/>
        <v>4.6500000000000004</v>
      </c>
      <c r="E170" s="35">
        <f ca="1"/>
        <v>4.7433333333333341</v>
      </c>
      <c r="F170" s="35">
        <f ca="1"/>
        <v>4.6266666666666669</v>
      </c>
      <c r="G170" s="35">
        <f ca="1"/>
        <v>4.16</v>
      </c>
      <c r="H170" s="35">
        <f ca="1"/>
        <v>3.5883333333333338</v>
      </c>
      <c r="I170" s="35">
        <f ca="1"/>
        <v>2.4416608026918443</v>
      </c>
      <c r="J170" s="35">
        <f ca="1"/>
        <v>1.5935509234584868</v>
      </c>
      <c r="K170" s="35">
        <f ca="1"/>
        <v>1.2561818931420754</v>
      </c>
      <c r="L170" s="35">
        <f ca="1"/>
        <v>1.1219801046668363</v>
      </c>
      <c r="M170" s="3" t="s">
        <v>419</v>
      </c>
    </row>
    <row r="171" spans="1:16" ht="13" thickTop="1" x14ac:dyDescent="0.25">
      <c r="C171" s="6"/>
      <c r="D171" s="6"/>
      <c r="E171" s="6"/>
      <c r="F171" s="6"/>
      <c r="G171" s="6"/>
      <c r="H171" s="6"/>
      <c r="I171" s="6"/>
      <c r="J171" s="6"/>
      <c r="K171" s="6"/>
      <c r="L171" s="6"/>
      <c r="M171" s="3"/>
    </row>
    <row r="172" spans="1:16" x14ac:dyDescent="0.25">
      <c r="C172" s="6"/>
      <c r="D172" s="6"/>
      <c r="E172" s="6"/>
      <c r="F172" s="6"/>
      <c r="G172" s="6"/>
      <c r="H172" s="6"/>
      <c r="I172" s="6"/>
      <c r="J172" s="6"/>
      <c r="K172" s="6"/>
      <c r="L172" s="6"/>
      <c r="M172" s="3"/>
    </row>
    <row r="173" spans="1:16" ht="13" x14ac:dyDescent="0.3">
      <c r="A173" s="114" t="s">
        <v>1035</v>
      </c>
      <c r="B173" s="86"/>
      <c r="C173" s="104"/>
      <c r="D173" s="114" t="str">
        <f>SCENARIO_PAIR_B</f>
        <v>2 degC Target</v>
      </c>
      <c r="E173" s="6"/>
      <c r="F173" s="6"/>
      <c r="G173" s="6"/>
      <c r="H173" s="6"/>
      <c r="I173" s="6"/>
      <c r="J173" s="6"/>
      <c r="K173" s="6"/>
      <c r="L173" s="6"/>
      <c r="M173" s="3"/>
    </row>
    <row r="174" spans="1:16" x14ac:dyDescent="0.25">
      <c r="A174" t="s">
        <v>24</v>
      </c>
      <c r="B174" t="s">
        <v>25</v>
      </c>
      <c r="C174">
        <f>Y_0</f>
        <v>2015</v>
      </c>
      <c r="D174">
        <f t="array" ref="D174:L174">Y</f>
        <v>2020</v>
      </c>
      <c r="E174">
        <v>2030</v>
      </c>
      <c r="F174">
        <v>2040</v>
      </c>
      <c r="G174">
        <v>2050</v>
      </c>
      <c r="H174">
        <v>2075</v>
      </c>
      <c r="I174">
        <v>2100</v>
      </c>
      <c r="J174">
        <v>2150</v>
      </c>
      <c r="K174">
        <v>2200</v>
      </c>
      <c r="L174">
        <v>2250</v>
      </c>
      <c r="M174" s="3"/>
    </row>
    <row r="175" spans="1:16" x14ac:dyDescent="0.25">
      <c r="B175" t="s">
        <v>26</v>
      </c>
      <c r="C175">
        <f t="array" ref="C175:L175">Y</f>
        <v>2020</v>
      </c>
      <c r="D175">
        <v>2030</v>
      </c>
      <c r="E175">
        <v>2040</v>
      </c>
      <c r="F175">
        <v>2050</v>
      </c>
      <c r="G175">
        <v>2075</v>
      </c>
      <c r="H175">
        <v>2100</v>
      </c>
      <c r="I175">
        <v>2150</v>
      </c>
      <c r="J175">
        <v>2200</v>
      </c>
      <c r="K175">
        <v>2250</v>
      </c>
      <c r="L175">
        <v>2300</v>
      </c>
      <c r="M175" s="3"/>
    </row>
    <row r="176" spans="1:16" ht="13" x14ac:dyDescent="0.3">
      <c r="B176" t="str">
        <f t="array" ref="B176:B183">R_CODE</f>
        <v>EU</v>
      </c>
      <c r="C176" s="99">
        <f t="array" ref="C176:L183" xml:space="preserve"> IF(WORLDB_GDPPOP_SWITCH = 1, ( IF(SCENARIO_SWITCH_B = 0, SSP1_GDP_RATE, 0) + IF(SCENARIO_SWITCH_B = 1, SSP1_GDP_RATE, 0) + IF(SCENARIO_SWITCH_B = 2, SSPW_GDP_RATE_B, 0) + IF(SCENARIO_SWITCH_B = 3, ( IF(SCENARIO_PAIR_B = PAIR_RCP26, SSP1_GDP_RATE, 0) + IF(SCENARIO_PAIR_B = PAIR_RCP45, SSP2_GDP_RATE, 0) +  IF(SCENARIO_PAIR_B = PAIR_RCP85, SSP5_GDP_RATE, 0) ), 0) ), GRW)</f>
        <v>1.63</v>
      </c>
      <c r="D176" s="99">
        <v>1.56</v>
      </c>
      <c r="E176" s="99">
        <v>1.68</v>
      </c>
      <c r="F176" s="99">
        <v>1.62</v>
      </c>
      <c r="G176" s="99">
        <v>1.51</v>
      </c>
      <c r="H176" s="99">
        <v>1.37</v>
      </c>
      <c r="I176" s="99">
        <v>1.3049455089991131</v>
      </c>
      <c r="J176" s="99">
        <v>1.0741863189511145</v>
      </c>
      <c r="K176" s="99">
        <v>0.88423328013654967</v>
      </c>
      <c r="L176" s="99">
        <v>0.72787046335173478</v>
      </c>
      <c r="M176" s="3" t="s">
        <v>419</v>
      </c>
      <c r="P176" s="128" t="s">
        <v>1081</v>
      </c>
    </row>
    <row r="177" spans="1:16" ht="13" x14ac:dyDescent="0.3">
      <c r="B177" t="str">
        <v>US</v>
      </c>
      <c r="C177" s="100">
        <v>2.7</v>
      </c>
      <c r="D177" s="100">
        <v>2.1</v>
      </c>
      <c r="E177" s="100">
        <v>1.72</v>
      </c>
      <c r="F177" s="100">
        <v>1.57</v>
      </c>
      <c r="G177" s="100">
        <v>1.53</v>
      </c>
      <c r="H177" s="100">
        <v>1.45</v>
      </c>
      <c r="I177" s="100">
        <v>1.4115825726740621</v>
      </c>
      <c r="J177" s="100">
        <v>1.2678253488176405</v>
      </c>
      <c r="K177" s="100">
        <v>1.1387085291507919</v>
      </c>
      <c r="L177" s="100">
        <v>1.0227411177493868</v>
      </c>
      <c r="M177" s="3" t="s">
        <v>419</v>
      </c>
      <c r="P177" s="124" t="s">
        <v>1082</v>
      </c>
    </row>
    <row r="178" spans="1:16" x14ac:dyDescent="0.25">
      <c r="B178" t="str">
        <v>OT</v>
      </c>
      <c r="C178" s="100">
        <v>2.17</v>
      </c>
      <c r="D178" s="100">
        <v>1.93</v>
      </c>
      <c r="E178" s="100">
        <v>1.68</v>
      </c>
      <c r="F178" s="100">
        <v>1.54</v>
      </c>
      <c r="G178" s="100">
        <v>1.33</v>
      </c>
      <c r="H178" s="100">
        <v>1.06</v>
      </c>
      <c r="I178" s="100">
        <v>0.94630901500498199</v>
      </c>
      <c r="J178" s="100">
        <v>0.60109266168782727</v>
      </c>
      <c r="K178" s="100">
        <v>0.38181226449909134</v>
      </c>
      <c r="L178" s="100">
        <v>0.24252601073615182</v>
      </c>
      <c r="M178" s="3" t="s">
        <v>419</v>
      </c>
    </row>
    <row r="179" spans="1:16" x14ac:dyDescent="0.25">
      <c r="B179" t="str">
        <v>EE</v>
      </c>
      <c r="C179" s="100">
        <v>4.21</v>
      </c>
      <c r="D179" s="100">
        <v>3.88</v>
      </c>
      <c r="E179" s="100">
        <v>2.98</v>
      </c>
      <c r="F179" s="100">
        <v>1.77</v>
      </c>
      <c r="G179" s="100">
        <v>1.18</v>
      </c>
      <c r="H179" s="100">
        <v>0.78</v>
      </c>
      <c r="I179" s="100">
        <v>0.63416300102135159</v>
      </c>
      <c r="J179" s="100">
        <v>0.2770933423020614</v>
      </c>
      <c r="K179" s="100">
        <v>0.12107410906102713</v>
      </c>
      <c r="L179" s="100">
        <v>5.290253372071884E-2</v>
      </c>
      <c r="M179" s="3" t="s">
        <v>419</v>
      </c>
    </row>
    <row r="180" spans="1:16" x14ac:dyDescent="0.25">
      <c r="B180" t="str">
        <v>CA</v>
      </c>
      <c r="C180" s="100">
        <v>8.83</v>
      </c>
      <c r="D180" s="100">
        <v>6.39</v>
      </c>
      <c r="E180" s="100">
        <v>3.93</v>
      </c>
      <c r="F180" s="100">
        <v>2.2999999999999998</v>
      </c>
      <c r="G180" s="100">
        <v>0.65</v>
      </c>
      <c r="H180" s="100">
        <v>-7.0000000000000007E-2</v>
      </c>
      <c r="I180" s="100">
        <v>-7.0000000000000007E-2</v>
      </c>
      <c r="J180" s="100">
        <v>-7.0000000000000007E-2</v>
      </c>
      <c r="K180" s="100">
        <v>-7.0000000000000007E-2</v>
      </c>
      <c r="L180" s="100">
        <v>-7.0000000000000007E-2</v>
      </c>
      <c r="M180" s="3" t="s">
        <v>419</v>
      </c>
    </row>
    <row r="181" spans="1:16" x14ac:dyDescent="0.25">
      <c r="B181" t="str">
        <v>IA</v>
      </c>
      <c r="C181" s="100">
        <v>6.59</v>
      </c>
      <c r="D181" s="100">
        <v>6.28</v>
      </c>
      <c r="E181" s="100">
        <v>5.5</v>
      </c>
      <c r="F181" s="100">
        <v>4.43</v>
      </c>
      <c r="G181" s="100">
        <v>2.84</v>
      </c>
      <c r="H181" s="100">
        <v>1.43</v>
      </c>
      <c r="I181" s="100">
        <v>1.0147168827375819</v>
      </c>
      <c r="J181" s="100">
        <v>0.25726474825308487</v>
      </c>
      <c r="K181" s="100">
        <v>6.5225238507083561E-2</v>
      </c>
      <c r="L181" s="100">
        <v>1.6536784643812641E-2</v>
      </c>
      <c r="M181" s="3" t="s">
        <v>419</v>
      </c>
    </row>
    <row r="182" spans="1:16" x14ac:dyDescent="0.25">
      <c r="B182" t="str">
        <v>AF</v>
      </c>
      <c r="C182" s="100">
        <v>4.6900000000000004</v>
      </c>
      <c r="D182" s="100">
        <v>4.83</v>
      </c>
      <c r="E182" s="100">
        <v>5.15</v>
      </c>
      <c r="F182" s="100">
        <v>5.12</v>
      </c>
      <c r="G182" s="100">
        <v>4.5999999999999996</v>
      </c>
      <c r="H182" s="100">
        <v>3.21</v>
      </c>
      <c r="I182" s="100">
        <v>2.6815051338024127</v>
      </c>
      <c r="J182" s="100">
        <v>1.3057890855015803</v>
      </c>
      <c r="K182" s="100">
        <v>0.63586868222669346</v>
      </c>
      <c r="L182" s="100">
        <v>0.30964340683043812</v>
      </c>
      <c r="M182" s="3" t="s">
        <v>419</v>
      </c>
    </row>
    <row r="183" spans="1:16" ht="13" thickBot="1" x14ac:dyDescent="0.3">
      <c r="B183" t="str">
        <v>LA</v>
      </c>
      <c r="C183" s="101">
        <v>3.85</v>
      </c>
      <c r="D183" s="101">
        <v>3.72</v>
      </c>
      <c r="E183" s="101">
        <v>3.56</v>
      </c>
      <c r="F183" s="101">
        <v>3.16</v>
      </c>
      <c r="G183" s="101">
        <v>2.41</v>
      </c>
      <c r="H183" s="101">
        <v>1.52</v>
      </c>
      <c r="I183" s="101">
        <v>1.2071378308787235</v>
      </c>
      <c r="J183" s="101">
        <v>0.48018650582156003</v>
      </c>
      <c r="K183" s="101">
        <v>0.19101305126463602</v>
      </c>
      <c r="L183" s="101">
        <v>7.5982946857288083E-2</v>
      </c>
      <c r="M183" s="3" t="s">
        <v>419</v>
      </c>
    </row>
    <row r="184" spans="1:16" ht="13" thickTop="1" x14ac:dyDescent="0.25">
      <c r="A184" s="3" t="s">
        <v>462</v>
      </c>
    </row>
    <row r="185" spans="1:16" x14ac:dyDescent="0.25">
      <c r="B185" t="str">
        <f t="array" ref="B185:B192">R_CODE</f>
        <v>EU</v>
      </c>
      <c r="C185" s="99">
        <f t="array" ref="C185:L192" xml:space="preserve"> IF(WORLDB_GDPPOP_SWITCH = 1, ( IF(SCENARIO_SWITCH_B = 0, SSP1_POP_RATE, 0) + IF(SCENARIO_SWITCH_B = 1, SSP1_POP_RATE, 0) + IF(SCENARIO_SWITCH_B = 2, SSPW_POP_RATE_B, 0) + IF(SCENARIO_SWITCH_B = 3, ( IF(SCENARIO_PAIR_B = PAIR_RCP26, SSP1_POP_RATE, 0) + IF(SCENARIO_PAIR_B = PAIR_RCP45, SSP2_POP_RATE, 0) +  IF(SCENARIO_PAIR_B = PAIR_RCP85, SSP5_POP_RATE, 0) ), 0) ), POP_GRW)</f>
        <v>0.18</v>
      </c>
      <c r="D185" s="99">
        <v>0.12</v>
      </c>
      <c r="E185" s="99">
        <v>0.03</v>
      </c>
      <c r="F185" s="99">
        <v>-0.04</v>
      </c>
      <c r="G185" s="99">
        <v>-0.2</v>
      </c>
      <c r="H185" s="99">
        <v>-0.32</v>
      </c>
      <c r="I185" s="99">
        <v>0</v>
      </c>
      <c r="J185" s="99">
        <v>0</v>
      </c>
      <c r="K185" s="99">
        <v>0</v>
      </c>
      <c r="L185" s="99">
        <v>0</v>
      </c>
      <c r="M185" s="3" t="s">
        <v>419</v>
      </c>
    </row>
    <row r="186" spans="1:16" x14ac:dyDescent="0.25">
      <c r="B186" t="str">
        <v>US</v>
      </c>
      <c r="C186" s="100">
        <v>0.76</v>
      </c>
      <c r="D186" s="100">
        <v>0.7</v>
      </c>
      <c r="E186" s="100">
        <v>0.59</v>
      </c>
      <c r="F186" s="100">
        <v>0.48</v>
      </c>
      <c r="G186" s="100">
        <v>0.36</v>
      </c>
      <c r="H186" s="100">
        <v>7.0000000000000007E-2</v>
      </c>
      <c r="I186" s="100">
        <v>0</v>
      </c>
      <c r="J186" s="100">
        <v>0</v>
      </c>
      <c r="K186" s="100">
        <v>0</v>
      </c>
      <c r="L186" s="100">
        <v>0</v>
      </c>
      <c r="M186" s="3" t="s">
        <v>419</v>
      </c>
    </row>
    <row r="187" spans="1:16" x14ac:dyDescent="0.25">
      <c r="B187" t="str">
        <v>OT</v>
      </c>
      <c r="C187" s="100">
        <v>0.37</v>
      </c>
      <c r="D187" s="100">
        <v>0.2</v>
      </c>
      <c r="E187" s="100">
        <v>0.04</v>
      </c>
      <c r="F187" s="100">
        <v>-0.1</v>
      </c>
      <c r="G187" s="100">
        <v>-0.36</v>
      </c>
      <c r="H187" s="100">
        <v>-0.61</v>
      </c>
      <c r="I187" s="100">
        <v>0</v>
      </c>
      <c r="J187" s="100">
        <v>0</v>
      </c>
      <c r="K187" s="100">
        <v>0</v>
      </c>
      <c r="L187" s="100">
        <v>0</v>
      </c>
      <c r="M187" s="3" t="s">
        <v>419</v>
      </c>
    </row>
    <row r="188" spans="1:16" x14ac:dyDescent="0.25">
      <c r="B188" t="str">
        <v>EE</v>
      </c>
      <c r="C188" s="100">
        <v>-0.05</v>
      </c>
      <c r="D188" s="100">
        <v>-0.22</v>
      </c>
      <c r="E188" s="100">
        <v>-0.3</v>
      </c>
      <c r="F188" s="100">
        <v>-0.42</v>
      </c>
      <c r="G188" s="100">
        <v>-0.67</v>
      </c>
      <c r="H188" s="100">
        <v>-0.82</v>
      </c>
      <c r="I188" s="100">
        <v>0</v>
      </c>
      <c r="J188" s="100">
        <v>0</v>
      </c>
      <c r="K188" s="100">
        <v>0</v>
      </c>
      <c r="L188" s="100">
        <v>0</v>
      </c>
      <c r="M188" s="3" t="s">
        <v>419</v>
      </c>
    </row>
    <row r="189" spans="1:16" x14ac:dyDescent="0.25">
      <c r="B189" t="str">
        <v>CA</v>
      </c>
      <c r="C189" s="100">
        <v>0.19</v>
      </c>
      <c r="D189" s="100">
        <v>-7.0000000000000007E-2</v>
      </c>
      <c r="E189" s="100">
        <v>-0.36</v>
      </c>
      <c r="F189" s="100">
        <v>-0.67</v>
      </c>
      <c r="G189" s="100">
        <v>-1.0900000000000001</v>
      </c>
      <c r="H189" s="100">
        <v>-1.43</v>
      </c>
      <c r="I189" s="100">
        <v>0</v>
      </c>
      <c r="J189" s="100">
        <v>0</v>
      </c>
      <c r="K189" s="100">
        <v>0</v>
      </c>
      <c r="L189" s="100">
        <v>0</v>
      </c>
      <c r="M189" s="3" t="s">
        <v>419</v>
      </c>
    </row>
    <row r="190" spans="1:16" x14ac:dyDescent="0.25">
      <c r="B190" t="str">
        <v>IA</v>
      </c>
      <c r="C190" s="100">
        <v>0.94</v>
      </c>
      <c r="D190" s="100">
        <v>0.67</v>
      </c>
      <c r="E190" s="100">
        <v>0.39</v>
      </c>
      <c r="F190" s="100">
        <v>0.1</v>
      </c>
      <c r="G190" s="100">
        <v>-0.34</v>
      </c>
      <c r="H190" s="100">
        <v>-0.82</v>
      </c>
      <c r="I190" s="100">
        <v>0</v>
      </c>
      <c r="J190" s="100">
        <v>0</v>
      </c>
      <c r="K190" s="100">
        <v>0</v>
      </c>
      <c r="L190" s="100">
        <v>0</v>
      </c>
      <c r="M190" s="3" t="s">
        <v>419</v>
      </c>
    </row>
    <row r="191" spans="1:16" x14ac:dyDescent="0.25">
      <c r="B191" t="str">
        <v>AF</v>
      </c>
      <c r="C191" s="100">
        <v>1.77</v>
      </c>
      <c r="D191" s="100">
        <v>1.51</v>
      </c>
      <c r="E191" s="100">
        <v>1.3</v>
      </c>
      <c r="F191" s="100">
        <v>1.03</v>
      </c>
      <c r="G191" s="100">
        <v>0.62</v>
      </c>
      <c r="H191" s="100">
        <v>0.1</v>
      </c>
      <c r="I191" s="100">
        <v>0</v>
      </c>
      <c r="J191" s="100">
        <v>0</v>
      </c>
      <c r="K191" s="100">
        <v>0</v>
      </c>
      <c r="L191" s="100">
        <v>0</v>
      </c>
      <c r="M191" s="3" t="s">
        <v>419</v>
      </c>
    </row>
    <row r="192" spans="1:16" ht="13" thickBot="1" x14ac:dyDescent="0.3">
      <c r="B192" t="str">
        <v>LA</v>
      </c>
      <c r="C192" s="101">
        <v>0.81</v>
      </c>
      <c r="D192" s="101">
        <v>0.62</v>
      </c>
      <c r="E192" s="101">
        <v>0.38</v>
      </c>
      <c r="F192" s="101">
        <v>0.08</v>
      </c>
      <c r="G192" s="101">
        <v>-0.27</v>
      </c>
      <c r="H192" s="101">
        <v>-0.67</v>
      </c>
      <c r="I192" s="101">
        <v>0</v>
      </c>
      <c r="J192" s="101">
        <v>0</v>
      </c>
      <c r="K192" s="101">
        <v>0</v>
      </c>
      <c r="L192" s="101">
        <v>0</v>
      </c>
      <c r="M192" s="3" t="s">
        <v>419</v>
      </c>
    </row>
    <row r="193" spans="1:17" ht="13" thickTop="1" x14ac:dyDescent="0.25"/>
    <row r="194" spans="1:17" x14ac:dyDescent="0.25">
      <c r="A194" t="s">
        <v>27</v>
      </c>
      <c r="B194" t="s">
        <v>25</v>
      </c>
      <c r="C194">
        <f>Y_0</f>
        <v>2015</v>
      </c>
      <c r="D194">
        <f t="array" ref="D194:L194">Y</f>
        <v>2020</v>
      </c>
      <c r="E194">
        <v>2030</v>
      </c>
      <c r="F194">
        <v>2040</v>
      </c>
      <c r="G194">
        <v>2050</v>
      </c>
      <c r="H194">
        <v>2075</v>
      </c>
      <c r="I194">
        <v>2100</v>
      </c>
      <c r="J194">
        <v>2150</v>
      </c>
      <c r="K194">
        <v>2200</v>
      </c>
      <c r="L194">
        <v>2250</v>
      </c>
    </row>
    <row r="195" spans="1:17" x14ac:dyDescent="0.25">
      <c r="B195" t="s">
        <v>26</v>
      </c>
      <c r="C195">
        <f t="array" ref="C195:L195">Y</f>
        <v>2020</v>
      </c>
      <c r="D195">
        <v>2030</v>
      </c>
      <c r="E195">
        <v>2040</v>
      </c>
      <c r="F195">
        <v>2050</v>
      </c>
      <c r="G195">
        <v>2075</v>
      </c>
      <c r="H195">
        <v>2100</v>
      </c>
      <c r="I195">
        <v>2150</v>
      </c>
      <c r="J195">
        <v>2200</v>
      </c>
      <c r="K195">
        <v>2250</v>
      </c>
      <c r="L195">
        <v>2300</v>
      </c>
    </row>
    <row r="196" spans="1:17" x14ac:dyDescent="0.25">
      <c r="B196" t="str">
        <f t="array" ref="B196:B203">R_CODE</f>
        <v>EU</v>
      </c>
      <c r="C196" s="29">
        <f t="array" aca="1" ref="C196:L203" ca="1" xml:space="preserve"> IF(WORLDB_GDPPOP_SWITCH = 1, (PTP+(EMUC*(GRW_B-POP_GRW_B))), DR)</f>
        <v>2.7250000000000001</v>
      </c>
      <c r="D196" s="29">
        <f ca="1"/>
        <v>2.7133333333333334</v>
      </c>
      <c r="E196" s="29">
        <f ca="1"/>
        <v>2.9583333333333335</v>
      </c>
      <c r="F196" s="29">
        <f ca="1"/>
        <v>2.9700000000000006</v>
      </c>
      <c r="G196" s="29">
        <f ca="1"/>
        <v>3.0283333333333333</v>
      </c>
      <c r="H196" s="29">
        <f ca="1"/>
        <v>3.0050000000000003</v>
      </c>
      <c r="I196" s="29">
        <f ca="1"/>
        <v>2.5557697604989658</v>
      </c>
      <c r="J196" s="29">
        <f ca="1"/>
        <v>2.2865507054429672</v>
      </c>
      <c r="K196" s="29">
        <f ca="1"/>
        <v>2.0649388268259745</v>
      </c>
      <c r="L196" s="29">
        <f ca="1"/>
        <v>1.8825155405770242</v>
      </c>
      <c r="M196" s="3" t="s">
        <v>419</v>
      </c>
    </row>
    <row r="197" spans="1:17" x14ac:dyDescent="0.25">
      <c r="B197" t="str">
        <v>US</v>
      </c>
      <c r="C197" s="26">
        <f ca="1"/>
        <v>3.2966666666666669</v>
      </c>
      <c r="D197" s="26">
        <f ca="1"/>
        <v>2.666666666666667</v>
      </c>
      <c r="E197" s="26">
        <f ca="1"/>
        <v>2.3516666666666666</v>
      </c>
      <c r="F197" s="26">
        <f ca="1"/>
        <v>2.3050000000000006</v>
      </c>
      <c r="G197" s="26">
        <f ca="1"/>
        <v>2.3983333333333334</v>
      </c>
      <c r="H197" s="26">
        <f ca="1"/>
        <v>2.6433333333333335</v>
      </c>
      <c r="I197" s="26">
        <f ca="1"/>
        <v>2.680179668119739</v>
      </c>
      <c r="J197" s="26">
        <f ca="1"/>
        <v>2.5124629069539139</v>
      </c>
      <c r="K197" s="26">
        <f ca="1"/>
        <v>2.361826617342591</v>
      </c>
      <c r="L197" s="26">
        <f ca="1"/>
        <v>2.2265313040409516</v>
      </c>
      <c r="M197" s="3" t="s">
        <v>419</v>
      </c>
    </row>
    <row r="198" spans="1:17" x14ac:dyDescent="0.25">
      <c r="B198" t="str">
        <v>OT</v>
      </c>
      <c r="C198" s="26">
        <f ca="1"/>
        <v>3.1333333333333337</v>
      </c>
      <c r="D198" s="26">
        <f ca="1"/>
        <v>3.0516666666666667</v>
      </c>
      <c r="E198" s="26">
        <f ca="1"/>
        <v>2.9466666666666668</v>
      </c>
      <c r="F198" s="26">
        <f ca="1"/>
        <v>2.9466666666666672</v>
      </c>
      <c r="G198" s="26">
        <f ca="1"/>
        <v>3.0049999999999999</v>
      </c>
      <c r="H198" s="26">
        <f ca="1"/>
        <v>2.9816666666666669</v>
      </c>
      <c r="I198" s="26">
        <f ca="1"/>
        <v>2.1373605175058126</v>
      </c>
      <c r="J198" s="26">
        <f ca="1"/>
        <v>1.7346081053024653</v>
      </c>
      <c r="K198" s="26">
        <f ca="1"/>
        <v>1.47878097524894</v>
      </c>
      <c r="L198" s="26">
        <f ca="1"/>
        <v>1.3162803458588439</v>
      </c>
      <c r="M198" s="3" t="s">
        <v>419</v>
      </c>
    </row>
    <row r="199" spans="1:17" x14ac:dyDescent="0.25">
      <c r="B199" t="str">
        <v>EE</v>
      </c>
      <c r="C199" s="26">
        <f ca="1"/>
        <v>6.003333333333333</v>
      </c>
      <c r="D199" s="26">
        <f ca="1"/>
        <v>5.8166666666666664</v>
      </c>
      <c r="E199" s="26">
        <f ca="1"/>
        <v>4.8600000000000003</v>
      </c>
      <c r="F199" s="26">
        <f ca="1"/>
        <v>3.5883333333333338</v>
      </c>
      <c r="G199" s="26">
        <f ca="1"/>
        <v>3.1916666666666673</v>
      </c>
      <c r="H199" s="26">
        <f ca="1"/>
        <v>2.9000000000000004</v>
      </c>
      <c r="I199" s="26">
        <f ca="1"/>
        <v>1.7731901678582438</v>
      </c>
      <c r="J199" s="26">
        <f ca="1"/>
        <v>1.356608899352405</v>
      </c>
      <c r="K199" s="26">
        <f ca="1"/>
        <v>1.1745864605711984</v>
      </c>
      <c r="L199" s="26">
        <f ca="1"/>
        <v>1.0950529560075055</v>
      </c>
      <c r="M199" s="3" t="s">
        <v>419</v>
      </c>
    </row>
    <row r="200" spans="1:17" x14ac:dyDescent="0.25">
      <c r="B200" t="str">
        <v>CA</v>
      </c>
      <c r="C200" s="26">
        <f ca="1"/>
        <v>11.113333333333335</v>
      </c>
      <c r="D200" s="26">
        <f ca="1"/>
        <v>8.57</v>
      </c>
      <c r="E200" s="26">
        <f ca="1"/>
        <v>6.038333333333334</v>
      </c>
      <c r="F200" s="26">
        <f ca="1"/>
        <v>4.4983333333333331</v>
      </c>
      <c r="G200" s="26">
        <f ca="1"/>
        <v>3.0633333333333335</v>
      </c>
      <c r="H200" s="26">
        <f ca="1"/>
        <v>2.62</v>
      </c>
      <c r="I200" s="26">
        <f ca="1"/>
        <v>0.95166666666666677</v>
      </c>
      <c r="J200" s="26">
        <f ca="1"/>
        <v>0.95166666666666677</v>
      </c>
      <c r="K200" s="26">
        <f ca="1"/>
        <v>0.95166666666666677</v>
      </c>
      <c r="L200" s="26">
        <f ca="1"/>
        <v>0.95166666666666677</v>
      </c>
      <c r="M200" s="3" t="s">
        <v>419</v>
      </c>
    </row>
    <row r="201" spans="1:17" x14ac:dyDescent="0.25">
      <c r="B201" t="str">
        <v>IA</v>
      </c>
      <c r="C201" s="26">
        <f ca="1"/>
        <v>7.6250000000000009</v>
      </c>
      <c r="D201" s="26">
        <f ca="1"/>
        <v>7.578333333333334</v>
      </c>
      <c r="E201" s="26">
        <f ca="1"/>
        <v>6.995000000000001</v>
      </c>
      <c r="F201" s="26">
        <f ca="1"/>
        <v>6.085</v>
      </c>
      <c r="G201" s="26">
        <f ca="1"/>
        <v>4.7433333333333332</v>
      </c>
      <c r="H201" s="26">
        <f ca="1"/>
        <v>3.6583333333333332</v>
      </c>
      <c r="I201" s="26">
        <f ca="1"/>
        <v>2.2171696965271792</v>
      </c>
      <c r="J201" s="26">
        <f ca="1"/>
        <v>1.3334755396285991</v>
      </c>
      <c r="K201" s="26">
        <f ca="1"/>
        <v>1.1094294449249309</v>
      </c>
      <c r="L201" s="26">
        <f ca="1"/>
        <v>1.0526262487511149</v>
      </c>
      <c r="M201" s="3" t="s">
        <v>419</v>
      </c>
    </row>
    <row r="202" spans="1:17" x14ac:dyDescent="0.25">
      <c r="B202" t="str">
        <v>AF</v>
      </c>
      <c r="C202" s="26">
        <f ca="1"/>
        <v>4.4400000000000004</v>
      </c>
      <c r="D202" s="26">
        <f ca="1"/>
        <v>4.9066666666666672</v>
      </c>
      <c r="E202" s="26">
        <f ca="1"/>
        <v>5.5250000000000004</v>
      </c>
      <c r="F202" s="26">
        <f ca="1"/>
        <v>5.8049999999999997</v>
      </c>
      <c r="G202" s="26">
        <f ca="1"/>
        <v>5.6766666666666659</v>
      </c>
      <c r="H202" s="26">
        <f ca="1"/>
        <v>4.6616666666666671</v>
      </c>
      <c r="I202" s="26">
        <f ca="1"/>
        <v>4.1617559894361484</v>
      </c>
      <c r="J202" s="26">
        <f ca="1"/>
        <v>2.5567539330851772</v>
      </c>
      <c r="K202" s="26">
        <f ca="1"/>
        <v>1.7751801292644758</v>
      </c>
      <c r="L202" s="26">
        <f ca="1"/>
        <v>1.3945839746355113</v>
      </c>
      <c r="M202" s="3" t="s">
        <v>419</v>
      </c>
    </row>
    <row r="203" spans="1:17" ht="13" thickBot="1" x14ac:dyDescent="0.3">
      <c r="B203" t="str">
        <v>LA</v>
      </c>
      <c r="C203" s="35">
        <f ca="1"/>
        <v>4.58</v>
      </c>
      <c r="D203" s="35">
        <f ca="1"/>
        <v>4.6500000000000004</v>
      </c>
      <c r="E203" s="35">
        <f ca="1"/>
        <v>4.7433333333333341</v>
      </c>
      <c r="F203" s="35">
        <f ca="1"/>
        <v>4.6266666666666669</v>
      </c>
      <c r="G203" s="35">
        <f ca="1"/>
        <v>4.16</v>
      </c>
      <c r="H203" s="35">
        <f ca="1"/>
        <v>3.5883333333333338</v>
      </c>
      <c r="I203" s="35">
        <f ca="1"/>
        <v>2.4416608026918443</v>
      </c>
      <c r="J203" s="35">
        <f ca="1"/>
        <v>1.5935509234584868</v>
      </c>
      <c r="K203" s="35">
        <f ca="1"/>
        <v>1.2561818931420754</v>
      </c>
      <c r="L203" s="35">
        <f ca="1"/>
        <v>1.1219801046668363</v>
      </c>
      <c r="M203" s="3" t="s">
        <v>419</v>
      </c>
    </row>
    <row r="204" spans="1:17" ht="13" thickTop="1" x14ac:dyDescent="0.25">
      <c r="C204" s="6"/>
      <c r="D204" s="6"/>
      <c r="E204" s="6"/>
      <c r="F204" s="6"/>
      <c r="G204" s="6"/>
      <c r="H204" s="6"/>
      <c r="I204" s="6"/>
      <c r="J204" s="6"/>
      <c r="K204" s="6"/>
      <c r="L204" s="6"/>
      <c r="M204" s="3"/>
    </row>
    <row r="205" spans="1:17" x14ac:dyDescent="0.25">
      <c r="C205" s="6"/>
      <c r="D205" s="6"/>
      <c r="E205" s="6"/>
      <c r="F205" s="6"/>
      <c r="G205" s="6"/>
      <c r="H205" s="6"/>
      <c r="I205" s="6"/>
      <c r="J205" s="6"/>
      <c r="K205" s="6"/>
      <c r="L205" s="6"/>
      <c r="M205" s="3"/>
    </row>
    <row r="206" spans="1:17" x14ac:dyDescent="0.25">
      <c r="C206" s="6"/>
      <c r="D206" s="6"/>
      <c r="E206" s="6"/>
      <c r="F206" s="6"/>
      <c r="G206" s="6"/>
      <c r="H206" s="6"/>
      <c r="I206" s="6"/>
      <c r="J206" s="6"/>
      <c r="K206" s="6"/>
      <c r="L206" s="6"/>
      <c r="M206" s="3"/>
    </row>
    <row r="207" spans="1:17" x14ac:dyDescent="0.25">
      <c r="C207" s="6"/>
      <c r="D207" s="6"/>
      <c r="E207" s="6"/>
      <c r="F207" s="6"/>
      <c r="G207" s="6"/>
      <c r="H207" s="6"/>
      <c r="I207" s="6"/>
      <c r="J207" s="6"/>
      <c r="K207" s="6"/>
      <c r="L207" s="6"/>
      <c r="M207" s="3"/>
    </row>
    <row r="208" spans="1:17" ht="13" x14ac:dyDescent="0.3">
      <c r="A208" s="285" t="s">
        <v>776</v>
      </c>
      <c r="B208" s="286"/>
      <c r="C208" s="286"/>
      <c r="Q208" s="2" t="s">
        <v>464</v>
      </c>
    </row>
    <row r="209" spans="1:17" x14ac:dyDescent="0.25">
      <c r="C209">
        <f t="array" ref="C209:L209">Y</f>
        <v>2020</v>
      </c>
      <c r="D209">
        <v>2030</v>
      </c>
      <c r="E209">
        <v>2040</v>
      </c>
      <c r="F209">
        <v>2050</v>
      </c>
      <c r="G209">
        <v>2075</v>
      </c>
      <c r="H209">
        <v>2100</v>
      </c>
      <c r="I209">
        <v>2150</v>
      </c>
      <c r="J209">
        <v>2200</v>
      </c>
      <c r="K209">
        <v>2250</v>
      </c>
      <c r="L209">
        <v>2300</v>
      </c>
    </row>
    <row r="210" spans="1:17" ht="13" x14ac:dyDescent="0.3">
      <c r="A210" t="s">
        <v>14</v>
      </c>
      <c r="B210" t="str">
        <f t="array" ref="B210:B217">R_CODE</f>
        <v>EU</v>
      </c>
      <c r="C210" s="88">
        <f t="array" ref="C210:L217">RCP85_CO2</f>
        <v>111.11224846097589</v>
      </c>
      <c r="D210" s="88">
        <v>130.68257483841464</v>
      </c>
      <c r="E210" s="88">
        <v>143.45123856723364</v>
      </c>
      <c r="F210" s="88">
        <v>157.66812303066322</v>
      </c>
      <c r="G210" s="88">
        <v>185.37087214014736</v>
      </c>
      <c r="H210" s="88">
        <v>177.1140793068472</v>
      </c>
      <c r="I210" s="88">
        <v>177.1140793068472</v>
      </c>
      <c r="J210" s="88">
        <v>177.1140793068472</v>
      </c>
      <c r="K210" s="88">
        <v>177.1140793068472</v>
      </c>
      <c r="L210" s="88">
        <v>177.1140793068472</v>
      </c>
      <c r="M210" s="3" t="s">
        <v>482</v>
      </c>
      <c r="Q210" s="124" t="s">
        <v>777</v>
      </c>
    </row>
    <row r="211" spans="1:17" x14ac:dyDescent="0.25">
      <c r="A211" t="s">
        <v>14</v>
      </c>
      <c r="B211" t="str">
        <v>US</v>
      </c>
      <c r="C211" s="90">
        <v>111.11224846097592</v>
      </c>
      <c r="D211" s="90">
        <v>130.68257483841467</v>
      </c>
      <c r="E211" s="90">
        <v>143.45123856723367</v>
      </c>
      <c r="F211" s="90">
        <v>157.66812303066325</v>
      </c>
      <c r="G211" s="90">
        <v>185.37087214014741</v>
      </c>
      <c r="H211" s="90">
        <v>177.11407930684726</v>
      </c>
      <c r="I211" s="90">
        <v>177.11407930684726</v>
      </c>
      <c r="J211" s="90">
        <v>177.11407930684726</v>
      </c>
      <c r="K211" s="90">
        <v>177.11407930684726</v>
      </c>
      <c r="L211" s="90">
        <v>177.11407930684726</v>
      </c>
      <c r="M211" s="3" t="s">
        <v>482</v>
      </c>
    </row>
    <row r="212" spans="1:17" x14ac:dyDescent="0.25">
      <c r="A212" t="s">
        <v>14</v>
      </c>
      <c r="B212" t="str">
        <v>OT</v>
      </c>
      <c r="C212" s="90">
        <v>111.11224846097589</v>
      </c>
      <c r="D212" s="90">
        <v>130.68257483841464</v>
      </c>
      <c r="E212" s="90">
        <v>143.45123856723364</v>
      </c>
      <c r="F212" s="90">
        <v>157.66812303066322</v>
      </c>
      <c r="G212" s="90">
        <v>185.37087214014736</v>
      </c>
      <c r="H212" s="90">
        <v>177.11407930684723</v>
      </c>
      <c r="I212" s="90">
        <v>177.11407930684723</v>
      </c>
      <c r="J212" s="90">
        <v>177.11407930684723</v>
      </c>
      <c r="K212" s="90">
        <v>177.11407930684723</v>
      </c>
      <c r="L212" s="90">
        <v>177.11407930684723</v>
      </c>
      <c r="M212" s="3" t="s">
        <v>482</v>
      </c>
    </row>
    <row r="213" spans="1:17" x14ac:dyDescent="0.25">
      <c r="A213" t="s">
        <v>14</v>
      </c>
      <c r="B213" t="str">
        <v>EE</v>
      </c>
      <c r="C213" s="90">
        <v>125.99974786659207</v>
      </c>
      <c r="D213" s="90">
        <v>155.66086188133073</v>
      </c>
      <c r="E213" s="90">
        <v>193.04641660245903</v>
      </c>
      <c r="F213" s="90">
        <v>235.3324229545226</v>
      </c>
      <c r="G213" s="90">
        <v>322.69612420546332</v>
      </c>
      <c r="H213" s="90">
        <v>430.66756272924528</v>
      </c>
      <c r="I213" s="90">
        <v>430.66756272924528</v>
      </c>
      <c r="J213" s="90">
        <v>430.66756272924528</v>
      </c>
      <c r="K213" s="90">
        <v>430.66756272924528</v>
      </c>
      <c r="L213" s="90">
        <v>430.66756272924528</v>
      </c>
      <c r="M213" s="3" t="s">
        <v>482</v>
      </c>
    </row>
    <row r="214" spans="1:17" x14ac:dyDescent="0.25">
      <c r="A214" t="s">
        <v>14</v>
      </c>
      <c r="B214" t="str">
        <v>CA</v>
      </c>
      <c r="C214" s="90">
        <v>116.3638868950908</v>
      </c>
      <c r="D214" s="90">
        <v>130.47581145688622</v>
      </c>
      <c r="E214" s="90">
        <v>160.03129168373621</v>
      </c>
      <c r="F214" s="90">
        <v>193.96144448808036</v>
      </c>
      <c r="G214" s="90">
        <v>251.69029684724239</v>
      </c>
      <c r="H214" s="90">
        <v>263.98024239049909</v>
      </c>
      <c r="I214" s="90">
        <v>263.98024239049909</v>
      </c>
      <c r="J214" s="90">
        <v>263.98024239049909</v>
      </c>
      <c r="K214" s="90">
        <v>263.98024239049909</v>
      </c>
      <c r="L214" s="90">
        <v>263.98024239049909</v>
      </c>
      <c r="M214" s="3" t="s">
        <v>482</v>
      </c>
    </row>
    <row r="215" spans="1:17" x14ac:dyDescent="0.25">
      <c r="A215" t="s">
        <v>14</v>
      </c>
      <c r="B215" t="str">
        <v>IA</v>
      </c>
      <c r="C215" s="90">
        <v>116.36388689509083</v>
      </c>
      <c r="D215" s="90">
        <v>130.47581145688625</v>
      </c>
      <c r="E215" s="90">
        <v>160.0312916837363</v>
      </c>
      <c r="F215" s="90">
        <v>193.96144448808036</v>
      </c>
      <c r="G215" s="90">
        <v>251.69029684724239</v>
      </c>
      <c r="H215" s="90">
        <v>263.98024239049909</v>
      </c>
      <c r="I215" s="90">
        <v>263.98024239049909</v>
      </c>
      <c r="J215" s="90">
        <v>263.98024239049909</v>
      </c>
      <c r="K215" s="90">
        <v>263.98024239049909</v>
      </c>
      <c r="L215" s="90">
        <v>263.98024239049909</v>
      </c>
      <c r="M215" s="3" t="s">
        <v>482</v>
      </c>
    </row>
    <row r="216" spans="1:17" x14ac:dyDescent="0.25">
      <c r="A216" t="s">
        <v>14</v>
      </c>
      <c r="B216" t="str">
        <v>AF</v>
      </c>
      <c r="C216" s="90">
        <v>122.57065403179783</v>
      </c>
      <c r="D216" s="90">
        <v>154.99543618611244</v>
      </c>
      <c r="E216" s="90">
        <v>204.16591175564878</v>
      </c>
      <c r="F216" s="90">
        <v>263.25581081318262</v>
      </c>
      <c r="G216" s="90">
        <v>395.6747813545694</v>
      </c>
      <c r="H216" s="90">
        <v>477.38558791833424</v>
      </c>
      <c r="I216" s="90">
        <v>477.38558791833424</v>
      </c>
      <c r="J216" s="90">
        <v>477.38558791833424</v>
      </c>
      <c r="K216" s="90">
        <v>477.38558791833424</v>
      </c>
      <c r="L216" s="90">
        <v>477.38558791833424</v>
      </c>
      <c r="M216" s="3" t="s">
        <v>482</v>
      </c>
    </row>
    <row r="217" spans="1:17" ht="13" thickBot="1" x14ac:dyDescent="0.3">
      <c r="A217" t="s">
        <v>14</v>
      </c>
      <c r="B217" t="str">
        <v>LA</v>
      </c>
      <c r="C217" s="92">
        <v>116.6138310405105</v>
      </c>
      <c r="D217" s="92">
        <v>134.5169684076985</v>
      </c>
      <c r="E217" s="92">
        <v>166.17783915184765</v>
      </c>
      <c r="F217" s="92">
        <v>207.91009408701777</v>
      </c>
      <c r="G217" s="92">
        <v>266.82908267965553</v>
      </c>
      <c r="H217" s="92">
        <v>193.17860809490276</v>
      </c>
      <c r="I217" s="92">
        <v>193.17860809490276</v>
      </c>
      <c r="J217" s="92">
        <v>193.17860809490276</v>
      </c>
      <c r="K217" s="92">
        <v>193.17860809490276</v>
      </c>
      <c r="L217" s="92">
        <v>193.17860809490276</v>
      </c>
      <c r="M217" s="3" t="s">
        <v>482</v>
      </c>
    </row>
    <row r="218" spans="1:17" ht="13" thickTop="1" x14ac:dyDescent="0.25">
      <c r="M218" s="3"/>
    </row>
    <row r="219" spans="1:17" x14ac:dyDescent="0.25">
      <c r="A219" t="s">
        <v>15</v>
      </c>
      <c r="B219" t="str">
        <f t="array" ref="B219:B226">R_CODE</f>
        <v>EU</v>
      </c>
      <c r="C219" s="88">
        <f t="array" ref="C219:L226">RCP85_CH4</f>
        <v>103.04875262329291</v>
      </c>
      <c r="D219" s="88">
        <v>110.41781151752825</v>
      </c>
      <c r="E219" s="88">
        <v>118.60629629892365</v>
      </c>
      <c r="F219" s="88">
        <v>128.32658122222972</v>
      </c>
      <c r="G219" s="88">
        <v>155.23637393074159</v>
      </c>
      <c r="H219" s="88">
        <v>180.47654721283843</v>
      </c>
      <c r="I219" s="88">
        <v>180.47654721283843</v>
      </c>
      <c r="J219" s="88">
        <v>180.47654721283843</v>
      </c>
      <c r="K219" s="88">
        <v>180.47654721283843</v>
      </c>
      <c r="L219" s="88">
        <v>180.47654721283843</v>
      </c>
      <c r="M219" s="3" t="s">
        <v>482</v>
      </c>
    </row>
    <row r="220" spans="1:17" x14ac:dyDescent="0.25">
      <c r="A220" t="s">
        <v>15</v>
      </c>
      <c r="B220" t="str">
        <v>US</v>
      </c>
      <c r="C220" s="90">
        <v>103.04875262329291</v>
      </c>
      <c r="D220" s="90">
        <v>110.41781151752825</v>
      </c>
      <c r="E220" s="90">
        <v>118.60629629892365</v>
      </c>
      <c r="F220" s="90">
        <v>128.32658122222972</v>
      </c>
      <c r="G220" s="90">
        <v>155.23637393074159</v>
      </c>
      <c r="H220" s="90">
        <v>180.47654721283843</v>
      </c>
      <c r="I220" s="90">
        <v>180.47654721283843</v>
      </c>
      <c r="J220" s="90">
        <v>180.47654721283843</v>
      </c>
      <c r="K220" s="90">
        <v>180.47654721283843</v>
      </c>
      <c r="L220" s="90">
        <v>180.47654721283843</v>
      </c>
      <c r="M220" s="3" t="s">
        <v>482</v>
      </c>
    </row>
    <row r="221" spans="1:17" x14ac:dyDescent="0.25">
      <c r="A221" t="s">
        <v>15</v>
      </c>
      <c r="B221" t="str">
        <v>OT</v>
      </c>
      <c r="C221" s="90">
        <v>103.04875262329291</v>
      </c>
      <c r="D221" s="90">
        <v>110.41781151752825</v>
      </c>
      <c r="E221" s="90">
        <v>118.60629629892365</v>
      </c>
      <c r="F221" s="90">
        <v>128.32658122222972</v>
      </c>
      <c r="G221" s="90">
        <v>155.23637393074159</v>
      </c>
      <c r="H221" s="90">
        <v>180.47654721283843</v>
      </c>
      <c r="I221" s="90">
        <v>180.47654721283843</v>
      </c>
      <c r="J221" s="90">
        <v>180.47654721283843</v>
      </c>
      <c r="K221" s="90">
        <v>180.47654721283843</v>
      </c>
      <c r="L221" s="90">
        <v>180.47654721283843</v>
      </c>
      <c r="M221" s="3" t="s">
        <v>482</v>
      </c>
    </row>
    <row r="222" spans="1:17" x14ac:dyDescent="0.25">
      <c r="A222" t="s">
        <v>15</v>
      </c>
      <c r="B222" t="str">
        <v>EE</v>
      </c>
      <c r="C222" s="90">
        <v>122.80411351273929</v>
      </c>
      <c r="D222" s="90">
        <v>133.26490131228758</v>
      </c>
      <c r="E222" s="90">
        <v>158.71891460864012</v>
      </c>
      <c r="F222" s="90">
        <v>180.9772128190385</v>
      </c>
      <c r="G222" s="90">
        <v>207.8208963102162</v>
      </c>
      <c r="H222" s="90">
        <v>280.29896183592746</v>
      </c>
      <c r="I222" s="90">
        <v>280.29896183592746</v>
      </c>
      <c r="J222" s="90">
        <v>280.29896183592746</v>
      </c>
      <c r="K222" s="90">
        <v>280.29896183592746</v>
      </c>
      <c r="L222" s="90">
        <v>280.29896183592746</v>
      </c>
      <c r="M222" s="3" t="s">
        <v>482</v>
      </c>
    </row>
    <row r="223" spans="1:17" x14ac:dyDescent="0.25">
      <c r="A223" t="s">
        <v>15</v>
      </c>
      <c r="B223" t="str">
        <v>CA</v>
      </c>
      <c r="C223" s="90">
        <v>116.10459352138349</v>
      </c>
      <c r="D223" s="90">
        <v>127.24236102404683</v>
      </c>
      <c r="E223" s="90">
        <v>149.74280267064273</v>
      </c>
      <c r="F223" s="90">
        <v>178.55783420654893</v>
      </c>
      <c r="G223" s="90">
        <v>224.61609910366028</v>
      </c>
      <c r="H223" s="90">
        <v>245.58992703459316</v>
      </c>
      <c r="I223" s="90">
        <v>245.58992703459316</v>
      </c>
      <c r="J223" s="90">
        <v>245.58992703459316</v>
      </c>
      <c r="K223" s="90">
        <v>245.58992703459316</v>
      </c>
      <c r="L223" s="90">
        <v>245.58992703459316</v>
      </c>
      <c r="M223" s="3" t="s">
        <v>482</v>
      </c>
    </row>
    <row r="224" spans="1:17" x14ac:dyDescent="0.25">
      <c r="A224" t="s">
        <v>15</v>
      </c>
      <c r="B224" t="str">
        <v>IA</v>
      </c>
      <c r="C224" s="90">
        <v>116.10459352138349</v>
      </c>
      <c r="D224" s="90">
        <v>127.24236102404683</v>
      </c>
      <c r="E224" s="90">
        <v>149.74280267064273</v>
      </c>
      <c r="F224" s="90">
        <v>178.55783420654893</v>
      </c>
      <c r="G224" s="90">
        <v>224.61609910366028</v>
      </c>
      <c r="H224" s="90">
        <v>245.58992703459316</v>
      </c>
      <c r="I224" s="90">
        <v>245.58992703459316</v>
      </c>
      <c r="J224" s="90">
        <v>245.58992703459316</v>
      </c>
      <c r="K224" s="90">
        <v>245.58992703459316</v>
      </c>
      <c r="L224" s="90">
        <v>245.58992703459316</v>
      </c>
      <c r="M224" s="3" t="s">
        <v>482</v>
      </c>
    </row>
    <row r="225" spans="1:13" x14ac:dyDescent="0.25">
      <c r="A225" t="s">
        <v>15</v>
      </c>
      <c r="B225" t="str">
        <v>AF</v>
      </c>
      <c r="C225" s="90">
        <v>135.08802144976019</v>
      </c>
      <c r="D225" s="90">
        <v>173.43935358623511</v>
      </c>
      <c r="E225" s="90">
        <v>217.62495711563554</v>
      </c>
      <c r="F225" s="90">
        <v>254.19255802995087</v>
      </c>
      <c r="G225" s="90">
        <v>288.25171640793673</v>
      </c>
      <c r="H225" s="90">
        <v>312.88583872172217</v>
      </c>
      <c r="I225" s="90">
        <v>312.88583872172217</v>
      </c>
      <c r="J225" s="90">
        <v>312.88583872172217</v>
      </c>
      <c r="K225" s="90">
        <v>312.88583872172217</v>
      </c>
      <c r="L225" s="90">
        <v>312.88583872172217</v>
      </c>
      <c r="M225" s="3" t="s">
        <v>482</v>
      </c>
    </row>
    <row r="226" spans="1:13" ht="13" thickBot="1" x14ac:dyDescent="0.3">
      <c r="A226" t="s">
        <v>15</v>
      </c>
      <c r="B226" t="str">
        <v>LA</v>
      </c>
      <c r="C226" s="92">
        <v>125.06395419788407</v>
      </c>
      <c r="D226" s="92">
        <v>148.04707880087574</v>
      </c>
      <c r="E226" s="92">
        <v>168.70067057251597</v>
      </c>
      <c r="F226" s="92">
        <v>184.22960302816321</v>
      </c>
      <c r="G226" s="92">
        <v>186.30585366311581</v>
      </c>
      <c r="H226" s="92">
        <v>180.78169834562908</v>
      </c>
      <c r="I226" s="92">
        <v>180.78169834562908</v>
      </c>
      <c r="J226" s="92">
        <v>180.78169834562908</v>
      </c>
      <c r="K226" s="92">
        <v>180.78169834562908</v>
      </c>
      <c r="L226" s="92">
        <v>180.78169834562908</v>
      </c>
      <c r="M226" s="3" t="s">
        <v>482</v>
      </c>
    </row>
    <row r="227" spans="1:13" ht="13" thickTop="1" x14ac:dyDescent="0.25">
      <c r="M227" s="3"/>
    </row>
    <row r="228" spans="1:13" x14ac:dyDescent="0.25">
      <c r="A228" s="3" t="s">
        <v>146</v>
      </c>
      <c r="B228" t="str">
        <f t="array" ref="B228:B235">R_CODE</f>
        <v>EU</v>
      </c>
      <c r="C228" s="88">
        <f t="array" ref="C228:L235">RCP85_N2O</f>
        <v>106.07313900377422</v>
      </c>
      <c r="D228" s="88">
        <v>113.35145572167744</v>
      </c>
      <c r="E228" s="88">
        <v>122.48624779060475</v>
      </c>
      <c r="F228" s="88">
        <v>126.22603207196063</v>
      </c>
      <c r="G228" s="88">
        <v>131.05709719005759</v>
      </c>
      <c r="H228" s="88">
        <v>133.29376352616566</v>
      </c>
      <c r="I228" s="88">
        <v>133.29376352616566</v>
      </c>
      <c r="J228" s="88">
        <v>133.29376352616566</v>
      </c>
      <c r="K228" s="88">
        <v>133.29376352616566</v>
      </c>
      <c r="L228" s="88">
        <v>133.29376352616566</v>
      </c>
      <c r="M228" s="3" t="s">
        <v>482</v>
      </c>
    </row>
    <row r="229" spans="1:13" x14ac:dyDescent="0.25">
      <c r="A229" s="3" t="s">
        <v>146</v>
      </c>
      <c r="B229" t="str">
        <v>US</v>
      </c>
      <c r="C229" s="90">
        <v>106.07313900377422</v>
      </c>
      <c r="D229" s="90">
        <v>113.35145572167744</v>
      </c>
      <c r="E229" s="90">
        <v>122.48624779060475</v>
      </c>
      <c r="F229" s="90">
        <v>126.22603207196063</v>
      </c>
      <c r="G229" s="90">
        <v>131.05709719005759</v>
      </c>
      <c r="H229" s="90">
        <v>133.29376352616566</v>
      </c>
      <c r="I229" s="90">
        <v>133.29376352616566</v>
      </c>
      <c r="J229" s="90">
        <v>133.29376352616566</v>
      </c>
      <c r="K229" s="90">
        <v>133.29376352616566</v>
      </c>
      <c r="L229" s="90">
        <v>133.29376352616566</v>
      </c>
      <c r="M229" s="3" t="s">
        <v>482</v>
      </c>
    </row>
    <row r="230" spans="1:13" x14ac:dyDescent="0.25">
      <c r="A230" s="3" t="s">
        <v>146</v>
      </c>
      <c r="B230" t="str">
        <v>OT</v>
      </c>
      <c r="C230" s="90">
        <v>106.07313900377422</v>
      </c>
      <c r="D230" s="90">
        <v>113.35145572167744</v>
      </c>
      <c r="E230" s="90">
        <v>122.48624779060475</v>
      </c>
      <c r="F230" s="90">
        <v>126.22603207196063</v>
      </c>
      <c r="G230" s="90">
        <v>131.05709719005759</v>
      </c>
      <c r="H230" s="90">
        <v>133.29376352616566</v>
      </c>
      <c r="I230" s="90">
        <v>133.29376352616566</v>
      </c>
      <c r="J230" s="90">
        <v>133.29376352616566</v>
      </c>
      <c r="K230" s="90">
        <v>133.29376352616566</v>
      </c>
      <c r="L230" s="90">
        <v>133.29376352616566</v>
      </c>
      <c r="M230" s="3" t="s">
        <v>482</v>
      </c>
    </row>
    <row r="231" spans="1:13" x14ac:dyDescent="0.25">
      <c r="A231" s="3" t="s">
        <v>146</v>
      </c>
      <c r="B231" t="str">
        <v>EE</v>
      </c>
      <c r="C231" s="90">
        <v>125.05797571254018</v>
      </c>
      <c r="D231" s="90">
        <v>138.36121985886339</v>
      </c>
      <c r="E231" s="90">
        <v>149.25441986883769</v>
      </c>
      <c r="F231" s="90">
        <v>154.60314689674087</v>
      </c>
      <c r="G231" s="90">
        <v>164.5668653217964</v>
      </c>
      <c r="H231" s="90">
        <v>202.99728199885294</v>
      </c>
      <c r="I231" s="90">
        <v>202.99728199885294</v>
      </c>
      <c r="J231" s="90">
        <v>202.99728199885294</v>
      </c>
      <c r="K231" s="90">
        <v>202.99728199885294</v>
      </c>
      <c r="L231" s="90">
        <v>202.99728199885294</v>
      </c>
      <c r="M231" s="3" t="s">
        <v>482</v>
      </c>
    </row>
    <row r="232" spans="1:13" x14ac:dyDescent="0.25">
      <c r="A232" s="3" t="s">
        <v>146</v>
      </c>
      <c r="B232" t="str">
        <v>CA</v>
      </c>
      <c r="C232" s="90">
        <v>116.26319835925089</v>
      </c>
      <c r="D232" s="90">
        <v>130.32830402322776</v>
      </c>
      <c r="E232" s="90">
        <v>145.45632783259424</v>
      </c>
      <c r="F232" s="90">
        <v>154.75449344515451</v>
      </c>
      <c r="G232" s="90">
        <v>169.80629555953553</v>
      </c>
      <c r="H232" s="90">
        <v>196.89804136679157</v>
      </c>
      <c r="I232" s="90">
        <v>196.89804136679157</v>
      </c>
      <c r="J232" s="90">
        <v>196.89804136679157</v>
      </c>
      <c r="K232" s="90">
        <v>196.89804136679157</v>
      </c>
      <c r="L232" s="90">
        <v>196.89804136679157</v>
      </c>
      <c r="M232" s="3" t="s">
        <v>482</v>
      </c>
    </row>
    <row r="233" spans="1:13" x14ac:dyDescent="0.25">
      <c r="A233" s="3" t="s">
        <v>146</v>
      </c>
      <c r="B233" t="str">
        <v>IA</v>
      </c>
      <c r="C233" s="90">
        <v>116.26319835925089</v>
      </c>
      <c r="D233" s="90">
        <v>130.32830402322776</v>
      </c>
      <c r="E233" s="90">
        <v>145.45632783259424</v>
      </c>
      <c r="F233" s="90">
        <v>154.75449344515451</v>
      </c>
      <c r="G233" s="90">
        <v>169.80629555953553</v>
      </c>
      <c r="H233" s="90">
        <v>196.89804136679157</v>
      </c>
      <c r="I233" s="90">
        <v>196.89804136679157</v>
      </c>
      <c r="J233" s="90">
        <v>196.89804136679157</v>
      </c>
      <c r="K233" s="90">
        <v>196.89804136679157</v>
      </c>
      <c r="L233" s="90">
        <v>196.89804136679157</v>
      </c>
      <c r="M233" s="3" t="s">
        <v>482</v>
      </c>
    </row>
    <row r="234" spans="1:13" x14ac:dyDescent="0.25">
      <c r="A234" s="3" t="s">
        <v>146</v>
      </c>
      <c r="B234" t="str">
        <v>AF</v>
      </c>
      <c r="C234" s="90">
        <v>125.1634185146995</v>
      </c>
      <c r="D234" s="90">
        <v>152.09329669150412</v>
      </c>
      <c r="E234" s="90">
        <v>176.36182095582919</v>
      </c>
      <c r="F234" s="90">
        <v>196.26831897054501</v>
      </c>
      <c r="G234" s="90">
        <v>248.78666710213832</v>
      </c>
      <c r="H234" s="90">
        <v>289.49362422839869</v>
      </c>
      <c r="I234" s="90">
        <v>289.49362422839869</v>
      </c>
      <c r="J234" s="90">
        <v>289.49362422839869</v>
      </c>
      <c r="K234" s="90">
        <v>289.49362422839869</v>
      </c>
      <c r="L234" s="90">
        <v>289.49362422839869</v>
      </c>
      <c r="M234" s="3" t="s">
        <v>482</v>
      </c>
    </row>
    <row r="235" spans="1:13" ht="13" thickBot="1" x14ac:dyDescent="0.3">
      <c r="A235" s="3" t="s">
        <v>146</v>
      </c>
      <c r="B235" t="str">
        <v>LA</v>
      </c>
      <c r="C235" s="92">
        <v>127.2536654496794</v>
      </c>
      <c r="D235" s="92">
        <v>145.74871057303767</v>
      </c>
      <c r="E235" s="92">
        <v>164.47556279074664</v>
      </c>
      <c r="F235" s="92">
        <v>174.31050560288278</v>
      </c>
      <c r="G235" s="92">
        <v>186.41030909368695</v>
      </c>
      <c r="H235" s="92">
        <v>181.72833262210699</v>
      </c>
      <c r="I235" s="92">
        <v>181.72833262210699</v>
      </c>
      <c r="J235" s="92">
        <v>181.72833262210699</v>
      </c>
      <c r="K235" s="92">
        <v>181.72833262210699</v>
      </c>
      <c r="L235" s="92">
        <v>181.72833262210699</v>
      </c>
      <c r="M235" s="3" t="s">
        <v>482</v>
      </c>
    </row>
    <row r="236" spans="1:13" ht="13" thickTop="1" x14ac:dyDescent="0.25">
      <c r="M236" s="3"/>
    </row>
    <row r="237" spans="1:13" x14ac:dyDescent="0.25">
      <c r="A237" t="str">
        <f t="array" ref="A237:A244">GLIN_NAME</f>
        <v>Lin</v>
      </c>
      <c r="B237" t="str">
        <f t="array" ref="B237:B244">R_CODE</f>
        <v>EU</v>
      </c>
      <c r="C237" s="88">
        <f t="array" ref="C237:L244">RCP85_Lin</f>
        <v>158.44197630558801</v>
      </c>
      <c r="D237" s="88">
        <v>189.45542182789643</v>
      </c>
      <c r="E237" s="88">
        <v>192.60343554329154</v>
      </c>
      <c r="F237" s="88">
        <v>186.21753419957622</v>
      </c>
      <c r="G237" s="88">
        <v>180.70514201793713</v>
      </c>
      <c r="H237" s="88">
        <v>190.79541341790741</v>
      </c>
      <c r="I237" s="88">
        <v>190.79541341790741</v>
      </c>
      <c r="J237" s="88">
        <v>190.79541341790741</v>
      </c>
      <c r="K237" s="88">
        <v>190.79541341790741</v>
      </c>
      <c r="L237" s="88">
        <v>190.79541341790741</v>
      </c>
      <c r="M237" s="3" t="s">
        <v>482</v>
      </c>
    </row>
    <row r="238" spans="1:13" x14ac:dyDescent="0.25">
      <c r="A238" t="str">
        <v>Lin</v>
      </c>
      <c r="B238" t="str">
        <v>US</v>
      </c>
      <c r="C238" s="90">
        <v>158.44197630558801</v>
      </c>
      <c r="D238" s="90">
        <v>189.45542182789643</v>
      </c>
      <c r="E238" s="90">
        <v>192.60343554329154</v>
      </c>
      <c r="F238" s="90">
        <v>186.21753419957622</v>
      </c>
      <c r="G238" s="90">
        <v>180.70514201793713</v>
      </c>
      <c r="H238" s="90">
        <v>190.79541341790741</v>
      </c>
      <c r="I238" s="90">
        <v>190.79541341790741</v>
      </c>
      <c r="J238" s="90">
        <v>190.79541341790741</v>
      </c>
      <c r="K238" s="90">
        <v>190.79541341790741</v>
      </c>
      <c r="L238" s="90">
        <v>190.79541341790741</v>
      </c>
      <c r="M238" s="3" t="s">
        <v>482</v>
      </c>
    </row>
    <row r="239" spans="1:13" x14ac:dyDescent="0.25">
      <c r="A239" t="str">
        <v>Lin</v>
      </c>
      <c r="B239" t="str">
        <v>OT</v>
      </c>
      <c r="C239" s="90">
        <v>158.44197630558801</v>
      </c>
      <c r="D239" s="90">
        <v>189.45542182789643</v>
      </c>
      <c r="E239" s="90">
        <v>192.60343554329154</v>
      </c>
      <c r="F239" s="90">
        <v>186.21753419957622</v>
      </c>
      <c r="G239" s="90">
        <v>180.70514201793713</v>
      </c>
      <c r="H239" s="90">
        <v>190.79541341790741</v>
      </c>
      <c r="I239" s="90">
        <v>190.79541341790741</v>
      </c>
      <c r="J239" s="90">
        <v>190.79541341790741</v>
      </c>
      <c r="K239" s="90">
        <v>190.79541341790741</v>
      </c>
      <c r="L239" s="90">
        <v>190.79541341790741</v>
      </c>
      <c r="M239" s="3" t="s">
        <v>482</v>
      </c>
    </row>
    <row r="240" spans="1:13" x14ac:dyDescent="0.25">
      <c r="A240" t="str">
        <v>Lin</v>
      </c>
      <c r="B240" t="str">
        <v>EE</v>
      </c>
      <c r="C240" s="90">
        <v>193.17948917513073</v>
      </c>
      <c r="D240" s="90">
        <v>273.29714233827553</v>
      </c>
      <c r="E240" s="90">
        <v>356.41838865756046</v>
      </c>
      <c r="F240" s="90">
        <v>431.56918447030137</v>
      </c>
      <c r="G240" s="90">
        <v>530.49545342517274</v>
      </c>
      <c r="H240" s="90">
        <v>609.08342089219241</v>
      </c>
      <c r="I240" s="90">
        <v>609.08342089219241</v>
      </c>
      <c r="J240" s="90">
        <v>609.08342089219241</v>
      </c>
      <c r="K240" s="90">
        <v>609.08342089219241</v>
      </c>
      <c r="L240" s="90">
        <v>609.08342089219241</v>
      </c>
      <c r="M240" s="3" t="s">
        <v>482</v>
      </c>
    </row>
    <row r="241" spans="1:16" x14ac:dyDescent="0.25">
      <c r="A241" t="str">
        <v>Lin</v>
      </c>
      <c r="B241" t="str">
        <v>CA</v>
      </c>
      <c r="C241" s="90">
        <v>182.94015377354361</v>
      </c>
      <c r="D241" s="90">
        <v>239.80816757968762</v>
      </c>
      <c r="E241" s="90">
        <v>326.15763673073633</v>
      </c>
      <c r="F241" s="90">
        <v>378.81112754699683</v>
      </c>
      <c r="G241" s="90">
        <v>488.99994420846127</v>
      </c>
      <c r="H241" s="90">
        <v>547.76419178416825</v>
      </c>
      <c r="I241" s="90">
        <v>547.76419178416825</v>
      </c>
      <c r="J241" s="90">
        <v>547.76419178416825</v>
      </c>
      <c r="K241" s="90">
        <v>547.76419178416825</v>
      </c>
      <c r="L241" s="90">
        <v>547.76419178416825</v>
      </c>
      <c r="M241" s="3" t="s">
        <v>482</v>
      </c>
    </row>
    <row r="242" spans="1:16" x14ac:dyDescent="0.25">
      <c r="A242" t="str">
        <v>Lin</v>
      </c>
      <c r="B242" t="str">
        <v>IA</v>
      </c>
      <c r="C242" s="90">
        <v>182.94015377354361</v>
      </c>
      <c r="D242" s="90">
        <v>239.80816757968762</v>
      </c>
      <c r="E242" s="90">
        <v>326.15763673073633</v>
      </c>
      <c r="F242" s="90">
        <v>378.81112754699683</v>
      </c>
      <c r="G242" s="90">
        <v>488.99994420846127</v>
      </c>
      <c r="H242" s="90">
        <v>547.76419178416825</v>
      </c>
      <c r="I242" s="90">
        <v>547.76419178416825</v>
      </c>
      <c r="J242" s="90">
        <v>547.76419178416825</v>
      </c>
      <c r="K242" s="90">
        <v>547.76419178416825</v>
      </c>
      <c r="L242" s="90">
        <v>547.76419178416825</v>
      </c>
      <c r="M242" s="3" t="s">
        <v>482</v>
      </c>
    </row>
    <row r="243" spans="1:16" x14ac:dyDescent="0.25">
      <c r="A243" t="str">
        <v>Lin</v>
      </c>
      <c r="B243" t="str">
        <v>AF</v>
      </c>
      <c r="C243" s="90">
        <v>195.62577543071907</v>
      </c>
      <c r="D243" s="90">
        <v>250.62102627261527</v>
      </c>
      <c r="E243" s="90">
        <v>299.43191888710635</v>
      </c>
      <c r="F243" s="90">
        <v>364.05046378142049</v>
      </c>
      <c r="G243" s="90">
        <v>537.2009052940615</v>
      </c>
      <c r="H243" s="90">
        <v>636.11087125464121</v>
      </c>
      <c r="I243" s="90">
        <v>636.11087125464121</v>
      </c>
      <c r="J243" s="90">
        <v>636.11087125464121</v>
      </c>
      <c r="K243" s="90">
        <v>636.11087125464121</v>
      </c>
      <c r="L243" s="90">
        <v>636.11087125464121</v>
      </c>
      <c r="M243" s="3" t="s">
        <v>482</v>
      </c>
    </row>
    <row r="244" spans="1:16" ht="13" thickBot="1" x14ac:dyDescent="0.3">
      <c r="A244" t="str">
        <v>Lin</v>
      </c>
      <c r="B244" t="str">
        <v>LA</v>
      </c>
      <c r="C244" s="92">
        <v>173.43900783842511</v>
      </c>
      <c r="D244" s="92">
        <v>213.43178577876839</v>
      </c>
      <c r="E244" s="92">
        <v>279.43580771888747</v>
      </c>
      <c r="F244" s="92">
        <v>327.38032237780084</v>
      </c>
      <c r="G244" s="92">
        <v>475.98384998038819</v>
      </c>
      <c r="H244" s="92">
        <v>553.98116038575756</v>
      </c>
      <c r="I244" s="92">
        <v>553.98116038575756</v>
      </c>
      <c r="J244" s="92">
        <v>553.98116038575756</v>
      </c>
      <c r="K244" s="92">
        <v>553.98116038575756</v>
      </c>
      <c r="L244" s="92">
        <v>553.98116038575756</v>
      </c>
      <c r="M244" s="3" t="s">
        <v>482</v>
      </c>
    </row>
    <row r="245" spans="1:16" ht="13" thickTop="1" x14ac:dyDescent="0.25">
      <c r="B245" s="125"/>
      <c r="C245" s="57"/>
    </row>
    <row r="246" spans="1:16" x14ac:dyDescent="0.25">
      <c r="A246" s="3"/>
      <c r="B246" s="125"/>
      <c r="C246" s="57"/>
    </row>
    <row r="248" spans="1:16" ht="13" x14ac:dyDescent="0.3">
      <c r="A248" s="247" t="s">
        <v>479</v>
      </c>
      <c r="B248" s="248"/>
      <c r="C248" s="248"/>
      <c r="D248" s="248"/>
      <c r="E248" s="248"/>
      <c r="F248" s="248"/>
      <c r="G248" s="248"/>
      <c r="H248" s="248"/>
      <c r="I248" s="248"/>
      <c r="J248" s="248"/>
      <c r="K248" s="248"/>
      <c r="L248" s="248"/>
      <c r="M248" s="248"/>
    </row>
    <row r="250" spans="1:16" ht="13" x14ac:dyDescent="0.3">
      <c r="A250" s="197" t="s">
        <v>461</v>
      </c>
      <c r="B250" s="198"/>
      <c r="C250" s="198"/>
      <c r="D250" s="198"/>
      <c r="E250" s="198"/>
      <c r="F250" s="198"/>
      <c r="G250" s="198"/>
      <c r="H250" s="198"/>
      <c r="I250" s="198"/>
      <c r="J250" s="198"/>
      <c r="K250" s="198"/>
      <c r="L250" s="198"/>
      <c r="M250" s="198"/>
      <c r="P250" s="2" t="s">
        <v>464</v>
      </c>
    </row>
    <row r="251" spans="1:16" ht="13" x14ac:dyDescent="0.3">
      <c r="A251" s="2"/>
      <c r="C251" s="3"/>
      <c r="P251" s="124" t="s">
        <v>960</v>
      </c>
    </row>
    <row r="252" spans="1:16" ht="13" x14ac:dyDescent="0.3">
      <c r="A252" s="2" t="s">
        <v>649</v>
      </c>
      <c r="C252" s="3"/>
      <c r="P252" s="124" t="s">
        <v>959</v>
      </c>
    </row>
    <row r="253" spans="1:16" ht="13" x14ac:dyDescent="0.3">
      <c r="A253" s="2" t="s">
        <v>535</v>
      </c>
      <c r="C253" s="3"/>
      <c r="P253" s="124"/>
    </row>
    <row r="254" spans="1:16" ht="13" x14ac:dyDescent="0.3">
      <c r="A254" s="3" t="s">
        <v>24</v>
      </c>
      <c r="B254" t="s">
        <v>25</v>
      </c>
      <c r="C254" s="3">
        <f>Y_0</f>
        <v>2015</v>
      </c>
      <c r="D254">
        <f t="array" ref="D254:L254">Y</f>
        <v>2020</v>
      </c>
      <c r="E254">
        <v>2030</v>
      </c>
      <c r="F254">
        <v>2040</v>
      </c>
      <c r="G254">
        <v>2050</v>
      </c>
      <c r="H254">
        <v>2075</v>
      </c>
      <c r="I254">
        <v>2100</v>
      </c>
      <c r="J254">
        <v>2150</v>
      </c>
      <c r="K254">
        <v>2200</v>
      </c>
      <c r="L254">
        <v>2250</v>
      </c>
      <c r="P254" s="124"/>
    </row>
    <row r="255" spans="1:16" ht="13" x14ac:dyDescent="0.3">
      <c r="A255" s="2"/>
      <c r="B255" t="s">
        <v>26</v>
      </c>
      <c r="C255" s="3">
        <f t="array" ref="C255:L255">Y</f>
        <v>2020</v>
      </c>
      <c r="D255">
        <v>2030</v>
      </c>
      <c r="E255">
        <v>2040</v>
      </c>
      <c r="F255">
        <v>2050</v>
      </c>
      <c r="G255">
        <v>2075</v>
      </c>
      <c r="H255">
        <v>2100</v>
      </c>
      <c r="I255">
        <v>2150</v>
      </c>
      <c r="J255">
        <v>2200</v>
      </c>
      <c r="K255">
        <v>2250</v>
      </c>
      <c r="L255">
        <v>2300</v>
      </c>
      <c r="P255" s="124"/>
    </row>
    <row r="256" spans="1:16" ht="13" x14ac:dyDescent="0.3">
      <c r="A256" s="2"/>
      <c r="B256" t="s">
        <v>0</v>
      </c>
      <c r="C256" s="121">
        <v>1.63</v>
      </c>
      <c r="D256" s="121">
        <v>1.56</v>
      </c>
      <c r="E256" s="121">
        <v>1.68</v>
      </c>
      <c r="F256" s="121">
        <v>1.62</v>
      </c>
      <c r="G256" s="121">
        <v>1.51</v>
      </c>
      <c r="H256" s="121">
        <v>1.37</v>
      </c>
      <c r="I256" s="81">
        <f>IF($H256 &gt; 0, $G256*EXP(-(0.5*(I$254+I$255) - 0.5*($H$254+$H$255)) / (($H$254-$G$254)/LN($G256/$H256))), $H256)</f>
        <v>1.3049455089991131</v>
      </c>
      <c r="J256" s="81">
        <f>IF($H256 &gt; 0, $G256*EXP(-(0.5*(J$254+J$255) - 0.5*($H$254+$H$255)) / (($H$254-$G$254)/LN($G256/$H256))), $H256)</f>
        <v>1.0741863189511145</v>
      </c>
      <c r="K256" s="81">
        <f>IF($H256 &gt; 0, $G256*EXP(-(0.5*(K$254+K$255) - 0.5*($H$254+$H$255)) / (($H$254-$G$254)/LN($G256/$H256))), $H256)</f>
        <v>0.88423328013654967</v>
      </c>
      <c r="L256" s="81">
        <f>IF($H256 &gt; 0, $G256*EXP(-(0.5*(L$254+L$255) - 0.5*($H$254+$H$255)) / (($H$254-$G$254)/LN($G256/$H256))), $H256)</f>
        <v>0.72787046335173478</v>
      </c>
      <c r="M256" s="123" t="s">
        <v>419</v>
      </c>
      <c r="P256" s="124" t="s">
        <v>466</v>
      </c>
    </row>
    <row r="257" spans="1:16" ht="13" x14ac:dyDescent="0.3">
      <c r="A257" s="2"/>
      <c r="B257" t="s">
        <v>2</v>
      </c>
      <c r="C257" s="103">
        <v>2.7</v>
      </c>
      <c r="D257" s="86">
        <v>2.1</v>
      </c>
      <c r="E257" s="86">
        <v>1.72</v>
      </c>
      <c r="F257" s="86">
        <v>1.57</v>
      </c>
      <c r="G257" s="86">
        <v>1.53</v>
      </c>
      <c r="H257" s="86">
        <v>1.45</v>
      </c>
      <c r="I257" s="81">
        <f t="shared" ref="I257:I263" si="2">IF($H257 &gt; 0, $G257*EXP(-(0.5*(I$254+I$255) - 0.5*($H$254+$H$255)) / (($H$254-$G$254)/LN($G257/$H257))), $H257)</f>
        <v>1.4115825726740621</v>
      </c>
      <c r="J257" s="81">
        <f t="shared" ref="J257:L263" si="3">IF($H257 &gt; 0, $G257*EXP(-(0.5*(J$254+J$255) - 0.5*($H$254+$H$255)) / (($H$254-$G$254)/LN($G257/$H257))), $H257)</f>
        <v>1.2678253488176405</v>
      </c>
      <c r="K257" s="81">
        <f t="shared" si="3"/>
        <v>1.1387085291507919</v>
      </c>
      <c r="L257" s="81">
        <f t="shared" si="3"/>
        <v>1.0227411177493868</v>
      </c>
      <c r="M257" s="123" t="s">
        <v>419</v>
      </c>
      <c r="P257" s="124"/>
    </row>
    <row r="258" spans="1:16" ht="13" x14ac:dyDescent="0.3">
      <c r="A258" s="2"/>
      <c r="B258" t="s">
        <v>12</v>
      </c>
      <c r="C258" s="103">
        <v>2.17</v>
      </c>
      <c r="D258" s="86">
        <v>1.93</v>
      </c>
      <c r="E258" s="86">
        <v>1.68</v>
      </c>
      <c r="F258" s="86">
        <v>1.54</v>
      </c>
      <c r="G258" s="86">
        <v>1.33</v>
      </c>
      <c r="H258" s="86">
        <v>1.06</v>
      </c>
      <c r="I258" s="81">
        <f t="shared" si="2"/>
        <v>0.94630901500498199</v>
      </c>
      <c r="J258" s="81">
        <f t="shared" si="3"/>
        <v>0.60109266168782727</v>
      </c>
      <c r="K258" s="81">
        <f t="shared" si="3"/>
        <v>0.38181226449909134</v>
      </c>
      <c r="L258" s="81">
        <f t="shared" si="3"/>
        <v>0.24252601073615182</v>
      </c>
      <c r="M258" s="123" t="s">
        <v>419</v>
      </c>
      <c r="P258" s="124" t="s">
        <v>596</v>
      </c>
    </row>
    <row r="259" spans="1:16" ht="13" x14ac:dyDescent="0.3">
      <c r="A259" s="2"/>
      <c r="B259" t="s">
        <v>1</v>
      </c>
      <c r="C259" s="103">
        <v>4.21</v>
      </c>
      <c r="D259" s="86">
        <v>3.88</v>
      </c>
      <c r="E259" s="86">
        <v>2.98</v>
      </c>
      <c r="F259" s="86">
        <v>1.77</v>
      </c>
      <c r="G259" s="86">
        <v>1.18</v>
      </c>
      <c r="H259" s="86">
        <v>0.78</v>
      </c>
      <c r="I259" s="81">
        <f t="shared" si="2"/>
        <v>0.63416300102135159</v>
      </c>
      <c r="J259" s="81">
        <f t="shared" si="3"/>
        <v>0.2770933423020614</v>
      </c>
      <c r="K259" s="81">
        <f t="shared" si="3"/>
        <v>0.12107410906102713</v>
      </c>
      <c r="L259" s="81">
        <f t="shared" si="3"/>
        <v>5.290253372071884E-2</v>
      </c>
      <c r="M259" s="123" t="s">
        <v>419</v>
      </c>
      <c r="P259" s="124" t="s">
        <v>597</v>
      </c>
    </row>
    <row r="260" spans="1:16" ht="13" x14ac:dyDescent="0.3">
      <c r="A260" s="2"/>
      <c r="B260" t="s">
        <v>4</v>
      </c>
      <c r="C260" s="103">
        <v>8.83</v>
      </c>
      <c r="D260" s="86">
        <v>6.39</v>
      </c>
      <c r="E260" s="86">
        <v>3.93</v>
      </c>
      <c r="F260" s="86">
        <v>2.2999999999999998</v>
      </c>
      <c r="G260" s="86">
        <v>0.65</v>
      </c>
      <c r="H260" s="86">
        <v>-7.0000000000000007E-2</v>
      </c>
      <c r="I260" s="81">
        <f t="shared" si="2"/>
        <v>-7.0000000000000007E-2</v>
      </c>
      <c r="J260" s="81">
        <f t="shared" si="3"/>
        <v>-7.0000000000000007E-2</v>
      </c>
      <c r="K260" s="81">
        <f t="shared" si="3"/>
        <v>-7.0000000000000007E-2</v>
      </c>
      <c r="L260" s="81">
        <f t="shared" si="3"/>
        <v>-7.0000000000000007E-2</v>
      </c>
      <c r="M260" s="123" t="s">
        <v>419</v>
      </c>
      <c r="P260" s="124" t="s">
        <v>599</v>
      </c>
    </row>
    <row r="261" spans="1:16" ht="13" x14ac:dyDescent="0.3">
      <c r="A261" s="2"/>
      <c r="B261" t="s">
        <v>6</v>
      </c>
      <c r="C261" s="103">
        <v>6.59</v>
      </c>
      <c r="D261" s="86">
        <v>6.28</v>
      </c>
      <c r="E261" s="86">
        <v>5.5</v>
      </c>
      <c r="F261" s="86">
        <v>4.43</v>
      </c>
      <c r="G261" s="86">
        <v>2.84</v>
      </c>
      <c r="H261" s="86">
        <v>1.43</v>
      </c>
      <c r="I261" s="81">
        <f t="shared" si="2"/>
        <v>1.0147168827375819</v>
      </c>
      <c r="J261" s="81">
        <f t="shared" si="3"/>
        <v>0.25726474825308487</v>
      </c>
      <c r="K261" s="81">
        <f t="shared" si="3"/>
        <v>6.5225238507083561E-2</v>
      </c>
      <c r="L261" s="81">
        <f t="shared" si="3"/>
        <v>1.6536784643812641E-2</v>
      </c>
      <c r="M261" s="123" t="s">
        <v>419</v>
      </c>
      <c r="P261" s="124" t="s">
        <v>598</v>
      </c>
    </row>
    <row r="262" spans="1:16" ht="13" x14ac:dyDescent="0.3">
      <c r="A262" s="2"/>
      <c r="B262" t="s">
        <v>8</v>
      </c>
      <c r="C262" s="103">
        <v>4.6900000000000004</v>
      </c>
      <c r="D262" s="86">
        <v>4.83</v>
      </c>
      <c r="E262" s="86">
        <v>5.15</v>
      </c>
      <c r="F262" s="86">
        <v>5.12</v>
      </c>
      <c r="G262" s="86">
        <v>4.5999999999999996</v>
      </c>
      <c r="H262" s="86">
        <v>3.21</v>
      </c>
      <c r="I262" s="81">
        <f t="shared" si="2"/>
        <v>2.6815051338024127</v>
      </c>
      <c r="J262" s="81">
        <f t="shared" si="3"/>
        <v>1.3057890855015803</v>
      </c>
      <c r="K262" s="81">
        <f t="shared" si="3"/>
        <v>0.63586868222669346</v>
      </c>
      <c r="L262" s="81">
        <f t="shared" si="3"/>
        <v>0.30964340683043812</v>
      </c>
      <c r="M262" s="123" t="s">
        <v>419</v>
      </c>
      <c r="P262" s="124" t="s">
        <v>600</v>
      </c>
    </row>
    <row r="263" spans="1:16" ht="13.5" thickBot="1" x14ac:dyDescent="0.35">
      <c r="A263" s="2"/>
      <c r="B263" t="s">
        <v>10</v>
      </c>
      <c r="C263" s="122">
        <v>3.85</v>
      </c>
      <c r="D263" s="122">
        <v>3.72</v>
      </c>
      <c r="E263" s="122">
        <v>3.56</v>
      </c>
      <c r="F263" s="122">
        <v>3.16</v>
      </c>
      <c r="G263" s="122">
        <v>2.41</v>
      </c>
      <c r="H263" s="122">
        <v>1.52</v>
      </c>
      <c r="I263" s="81">
        <f t="shared" si="2"/>
        <v>1.2071378308787235</v>
      </c>
      <c r="J263" s="81">
        <f t="shared" si="3"/>
        <v>0.48018650582156003</v>
      </c>
      <c r="K263" s="81">
        <f t="shared" si="3"/>
        <v>0.19101305126463602</v>
      </c>
      <c r="L263" s="81">
        <f t="shared" si="3"/>
        <v>7.5982946857288083E-2</v>
      </c>
      <c r="M263" s="123" t="s">
        <v>419</v>
      </c>
      <c r="P263" s="124"/>
    </row>
    <row r="264" spans="1:16" ht="13.5" thickTop="1" x14ac:dyDescent="0.3">
      <c r="A264" s="3" t="s">
        <v>462</v>
      </c>
      <c r="C264" s="3"/>
      <c r="M264" s="123"/>
      <c r="P264" s="124"/>
    </row>
    <row r="265" spans="1:16" ht="13" x14ac:dyDescent="0.3">
      <c r="A265" s="2"/>
      <c r="B265" t="s">
        <v>0</v>
      </c>
      <c r="C265" s="121">
        <v>0.18</v>
      </c>
      <c r="D265" s="121">
        <v>0.12</v>
      </c>
      <c r="E265" s="121">
        <v>0.03</v>
      </c>
      <c r="F265" s="121">
        <v>-0.04</v>
      </c>
      <c r="G265" s="121">
        <v>-0.2</v>
      </c>
      <c r="H265" s="121">
        <v>-0.32</v>
      </c>
      <c r="I265" s="81">
        <v>0</v>
      </c>
      <c r="J265" s="81">
        <v>0</v>
      </c>
      <c r="K265" s="81">
        <v>0</v>
      </c>
      <c r="L265" s="81">
        <v>0</v>
      </c>
      <c r="M265" s="123" t="s">
        <v>419</v>
      </c>
      <c r="P265" s="124" t="s">
        <v>465</v>
      </c>
    </row>
    <row r="266" spans="1:16" ht="13" x14ac:dyDescent="0.3">
      <c r="A266" s="2"/>
      <c r="B266" t="s">
        <v>2</v>
      </c>
      <c r="C266" s="103">
        <v>0.76</v>
      </c>
      <c r="D266" s="86">
        <v>0.7</v>
      </c>
      <c r="E266" s="86">
        <v>0.59</v>
      </c>
      <c r="F266" s="86">
        <v>0.48</v>
      </c>
      <c r="G266" s="86">
        <v>0.36</v>
      </c>
      <c r="H266" s="86">
        <v>7.0000000000000007E-2</v>
      </c>
      <c r="I266" s="81">
        <v>0</v>
      </c>
      <c r="J266" s="81">
        <v>0</v>
      </c>
      <c r="K266" s="81">
        <v>0</v>
      </c>
      <c r="L266" s="81">
        <v>0</v>
      </c>
      <c r="M266" s="123" t="s">
        <v>419</v>
      </c>
      <c r="P266" s="124"/>
    </row>
    <row r="267" spans="1:16" ht="13" x14ac:dyDescent="0.3">
      <c r="A267" s="2"/>
      <c r="B267" t="s">
        <v>12</v>
      </c>
      <c r="C267" s="103">
        <v>0.37</v>
      </c>
      <c r="D267" s="86">
        <v>0.2</v>
      </c>
      <c r="E267" s="86">
        <v>0.04</v>
      </c>
      <c r="F267" s="86">
        <v>-0.1</v>
      </c>
      <c r="G267" s="86">
        <v>-0.36</v>
      </c>
      <c r="H267" s="86">
        <v>-0.61</v>
      </c>
      <c r="I267" s="81">
        <v>0</v>
      </c>
      <c r="J267" s="81">
        <v>0</v>
      </c>
      <c r="K267" s="81">
        <v>0</v>
      </c>
      <c r="L267" s="81">
        <v>0</v>
      </c>
      <c r="M267" s="123" t="s">
        <v>419</v>
      </c>
      <c r="P267" s="124"/>
    </row>
    <row r="268" spans="1:16" ht="13" x14ac:dyDescent="0.3">
      <c r="A268" s="2"/>
      <c r="B268" t="s">
        <v>1</v>
      </c>
      <c r="C268" s="103">
        <v>-0.05</v>
      </c>
      <c r="D268" s="86">
        <v>-0.22</v>
      </c>
      <c r="E268" s="86">
        <v>-0.3</v>
      </c>
      <c r="F268" s="86">
        <v>-0.42</v>
      </c>
      <c r="G268" s="86">
        <v>-0.67</v>
      </c>
      <c r="H268" s="86">
        <v>-0.82</v>
      </c>
      <c r="I268" s="81">
        <v>0</v>
      </c>
      <c r="J268" s="81">
        <v>0</v>
      </c>
      <c r="K268" s="81">
        <v>0</v>
      </c>
      <c r="L268" s="81">
        <v>0</v>
      </c>
      <c r="M268" s="123" t="s">
        <v>419</v>
      </c>
      <c r="P268" s="124"/>
    </row>
    <row r="269" spans="1:16" ht="13" x14ac:dyDescent="0.3">
      <c r="A269" s="2"/>
      <c r="B269" t="s">
        <v>4</v>
      </c>
      <c r="C269" s="103">
        <v>0.19</v>
      </c>
      <c r="D269" s="86">
        <v>-7.0000000000000007E-2</v>
      </c>
      <c r="E269" s="86">
        <v>-0.36</v>
      </c>
      <c r="F269" s="86">
        <v>-0.67</v>
      </c>
      <c r="G269" s="86">
        <v>-1.0900000000000001</v>
      </c>
      <c r="H269" s="86">
        <v>-1.43</v>
      </c>
      <c r="I269" s="81">
        <v>0</v>
      </c>
      <c r="J269" s="81">
        <v>0</v>
      </c>
      <c r="K269" s="81">
        <v>0</v>
      </c>
      <c r="L269" s="81">
        <v>0</v>
      </c>
      <c r="M269" s="123" t="s">
        <v>419</v>
      </c>
      <c r="P269" s="124"/>
    </row>
    <row r="270" spans="1:16" ht="13" x14ac:dyDescent="0.3">
      <c r="A270" s="2"/>
      <c r="B270" t="s">
        <v>6</v>
      </c>
      <c r="C270" s="103">
        <v>0.94</v>
      </c>
      <c r="D270" s="86">
        <v>0.67</v>
      </c>
      <c r="E270" s="86">
        <v>0.39</v>
      </c>
      <c r="F270" s="86">
        <v>0.1</v>
      </c>
      <c r="G270" s="86">
        <v>-0.34</v>
      </c>
      <c r="H270" s="86">
        <v>-0.82</v>
      </c>
      <c r="I270" s="81">
        <v>0</v>
      </c>
      <c r="J270" s="81">
        <v>0</v>
      </c>
      <c r="K270" s="81">
        <v>0</v>
      </c>
      <c r="L270" s="81">
        <v>0</v>
      </c>
      <c r="M270" s="123" t="s">
        <v>419</v>
      </c>
      <c r="P270" s="124"/>
    </row>
    <row r="271" spans="1:16" ht="13" x14ac:dyDescent="0.3">
      <c r="A271" s="2"/>
      <c r="B271" t="s">
        <v>8</v>
      </c>
      <c r="C271" s="103">
        <v>1.77</v>
      </c>
      <c r="D271" s="86">
        <v>1.51</v>
      </c>
      <c r="E271" s="86">
        <v>1.3</v>
      </c>
      <c r="F271" s="86">
        <v>1.03</v>
      </c>
      <c r="G271" s="86">
        <v>0.62</v>
      </c>
      <c r="H271" s="86">
        <v>0.1</v>
      </c>
      <c r="I271" s="81">
        <v>0</v>
      </c>
      <c r="J271" s="81">
        <v>0</v>
      </c>
      <c r="K271" s="81">
        <v>0</v>
      </c>
      <c r="L271" s="81">
        <v>0</v>
      </c>
      <c r="M271" s="123" t="s">
        <v>419</v>
      </c>
      <c r="P271" s="124"/>
    </row>
    <row r="272" spans="1:16" ht="13.5" thickBot="1" x14ac:dyDescent="0.35">
      <c r="A272" s="2"/>
      <c r="B272" t="s">
        <v>10</v>
      </c>
      <c r="C272" s="122">
        <v>0.81</v>
      </c>
      <c r="D272" s="122">
        <v>0.62</v>
      </c>
      <c r="E272" s="122">
        <v>0.38</v>
      </c>
      <c r="F272" s="122">
        <v>0.08</v>
      </c>
      <c r="G272" s="122">
        <v>-0.27</v>
      </c>
      <c r="H272" s="122">
        <v>-0.67</v>
      </c>
      <c r="I272" s="81">
        <v>0</v>
      </c>
      <c r="J272" s="81">
        <v>0</v>
      </c>
      <c r="K272" s="81">
        <v>0</v>
      </c>
      <c r="L272" s="81">
        <v>0</v>
      </c>
      <c r="M272" s="123" t="s">
        <v>419</v>
      </c>
      <c r="P272" s="124"/>
    </row>
    <row r="273" spans="1:16" ht="13.5" thickTop="1" x14ac:dyDescent="0.3">
      <c r="A273" s="2"/>
      <c r="C273" s="3"/>
      <c r="M273" s="123"/>
      <c r="P273" s="124"/>
    </row>
    <row r="274" spans="1:16" ht="13" x14ac:dyDescent="0.3">
      <c r="A274" s="2"/>
      <c r="C274" s="3"/>
      <c r="M274" s="123"/>
      <c r="P274" s="124"/>
    </row>
    <row r="275" spans="1:16" ht="13" x14ac:dyDescent="0.3">
      <c r="A275" s="2" t="s">
        <v>460</v>
      </c>
      <c r="M275" s="123"/>
    </row>
    <row r="276" spans="1:16" x14ac:dyDescent="0.25">
      <c r="A276" t="s">
        <v>24</v>
      </c>
      <c r="B276" t="s">
        <v>25</v>
      </c>
      <c r="C276">
        <f>Y_0</f>
        <v>2015</v>
      </c>
      <c r="D276">
        <f t="array" ref="D276:L276">Y</f>
        <v>2020</v>
      </c>
      <c r="E276">
        <v>2030</v>
      </c>
      <c r="F276">
        <v>2040</v>
      </c>
      <c r="G276">
        <v>2050</v>
      </c>
      <c r="H276">
        <v>2075</v>
      </c>
      <c r="I276">
        <v>2100</v>
      </c>
      <c r="J276">
        <v>2150</v>
      </c>
      <c r="K276">
        <v>2200</v>
      </c>
      <c r="L276">
        <v>2250</v>
      </c>
      <c r="M276" s="123"/>
    </row>
    <row r="277" spans="1:16" ht="13" x14ac:dyDescent="0.3">
      <c r="B277" t="s">
        <v>26</v>
      </c>
      <c r="C277">
        <f t="array" ref="C277:L277">Y</f>
        <v>2020</v>
      </c>
      <c r="D277">
        <v>2030</v>
      </c>
      <c r="E277">
        <v>2040</v>
      </c>
      <c r="F277">
        <v>2050</v>
      </c>
      <c r="G277">
        <v>2075</v>
      </c>
      <c r="H277">
        <v>2100</v>
      </c>
      <c r="I277">
        <v>2150</v>
      </c>
      <c r="J277">
        <v>2200</v>
      </c>
      <c r="K277">
        <v>2250</v>
      </c>
      <c r="L277">
        <v>2300</v>
      </c>
      <c r="M277" s="123"/>
      <c r="P277" s="2"/>
    </row>
    <row r="278" spans="1:16" ht="13" x14ac:dyDescent="0.3">
      <c r="B278" t="str">
        <f t="array" ref="B278:B285">R_CODE</f>
        <v>EU</v>
      </c>
      <c r="C278" s="121">
        <v>1.53</v>
      </c>
      <c r="D278" s="121">
        <v>1.28</v>
      </c>
      <c r="E278" s="121">
        <v>1.28</v>
      </c>
      <c r="F278" s="121">
        <v>1.1399999999999999</v>
      </c>
      <c r="G278" s="121">
        <v>1.01</v>
      </c>
      <c r="H278" s="121">
        <v>0.93</v>
      </c>
      <c r="I278" s="81">
        <f>IF($H278 &gt; 0, $G278*EXP(-(0.5*(I$254+I$255) - 0.5*($H$254+$H$255)) / (($H$254-$G$254)/LN($G278/$H278))), $H278)</f>
        <v>0.89240857756239145</v>
      </c>
      <c r="J278" s="81">
        <f t="shared" ref="J278:L285" si="4">IF($H278 &gt; 0, $G278*EXP(-(0.5*(J$254+J$255) - 0.5*($H$254+$H$255)) / (($H$254-$G$254)/LN($G278/$H278))), $H278)</f>
        <v>0.7566357991703877</v>
      </c>
      <c r="K278" s="81">
        <f t="shared" si="4"/>
        <v>0.64151975561461461</v>
      </c>
      <c r="L278" s="81">
        <f t="shared" si="4"/>
        <v>0.54391769104115317</v>
      </c>
      <c r="M278" s="3" t="s">
        <v>419</v>
      </c>
      <c r="P278" s="124" t="s">
        <v>466</v>
      </c>
    </row>
    <row r="279" spans="1:16" x14ac:dyDescent="0.25">
      <c r="B279" t="str">
        <v>US</v>
      </c>
      <c r="C279" s="119">
        <v>2.5499999999999998</v>
      </c>
      <c r="D279" s="119">
        <v>1.85</v>
      </c>
      <c r="E279" s="119">
        <v>1.37</v>
      </c>
      <c r="F279" s="119">
        <v>1.1399999999999999</v>
      </c>
      <c r="G279" s="119">
        <v>1.03</v>
      </c>
      <c r="H279" s="119">
        <v>0.96</v>
      </c>
      <c r="I279" s="81">
        <f t="shared" ref="I279:I285" si="5">IF($H279 &gt; 0, $G279*EXP(-(0.5*(I$254+I$255) - 0.5*($H$254+$H$255)) / (($H$254-$G$254)/LN($G279/$H279))), $H279)</f>
        <v>0.92680472068891728</v>
      </c>
      <c r="J279" s="81">
        <f t="shared" si="4"/>
        <v>0.80511191496550671</v>
      </c>
      <c r="K279" s="81">
        <f t="shared" si="4"/>
        <v>0.69939781396192935</v>
      </c>
      <c r="L279" s="81">
        <f t="shared" si="4"/>
        <v>0.6075643560630728</v>
      </c>
      <c r="M279" s="3" t="s">
        <v>419</v>
      </c>
    </row>
    <row r="280" spans="1:16" ht="13" x14ac:dyDescent="0.3">
      <c r="B280" t="str">
        <v>OT</v>
      </c>
      <c r="C280" s="119">
        <v>2.0299999999999998</v>
      </c>
      <c r="D280" s="119">
        <v>1.7</v>
      </c>
      <c r="E280" s="119">
        <v>1.39</v>
      </c>
      <c r="F280" s="119">
        <v>1.19</v>
      </c>
      <c r="G280" s="119">
        <v>0.99</v>
      </c>
      <c r="H280" s="119">
        <v>0.8</v>
      </c>
      <c r="I280" s="81">
        <f t="shared" si="5"/>
        <v>0.71914651996079182</v>
      </c>
      <c r="J280" s="81">
        <f t="shared" si="4"/>
        <v>0.46959878866942845</v>
      </c>
      <c r="K280" s="81">
        <f t="shared" si="4"/>
        <v>0.30664546959334182</v>
      </c>
      <c r="L280" s="81">
        <f t="shared" si="4"/>
        <v>0.20023783342489421</v>
      </c>
      <c r="M280" s="3" t="s">
        <v>419</v>
      </c>
      <c r="P280" s="124" t="s">
        <v>596</v>
      </c>
    </row>
    <row r="281" spans="1:16" ht="13" x14ac:dyDescent="0.3">
      <c r="B281" t="str">
        <v>EE</v>
      </c>
      <c r="C281" s="119">
        <v>3.88</v>
      </c>
      <c r="D281" s="119">
        <v>3.45</v>
      </c>
      <c r="E281" s="119">
        <v>2.71</v>
      </c>
      <c r="F281" s="119">
        <v>1.62</v>
      </c>
      <c r="G281" s="119">
        <v>1.25</v>
      </c>
      <c r="H281" s="119">
        <v>0.98</v>
      </c>
      <c r="I281" s="81">
        <f t="shared" si="5"/>
        <v>0.86772898995020331</v>
      </c>
      <c r="J281" s="81">
        <f t="shared" si="4"/>
        <v>0.53335483004683226</v>
      </c>
      <c r="K281" s="81">
        <f t="shared" si="4"/>
        <v>0.3278297464172657</v>
      </c>
      <c r="L281" s="81">
        <f t="shared" si="4"/>
        <v>0.20150252061385088</v>
      </c>
      <c r="M281" s="3" t="s">
        <v>419</v>
      </c>
      <c r="P281" s="124" t="s">
        <v>597</v>
      </c>
    </row>
    <row r="282" spans="1:16" ht="13" x14ac:dyDescent="0.3">
      <c r="B282" t="str">
        <v>CA</v>
      </c>
      <c r="C282" s="119">
        <v>8.24</v>
      </c>
      <c r="D282" s="119">
        <v>5.77</v>
      </c>
      <c r="E282" s="119">
        <v>3.62</v>
      </c>
      <c r="F282" s="119">
        <v>2.19</v>
      </c>
      <c r="G282" s="119">
        <v>0.76</v>
      </c>
      <c r="H282" s="119">
        <v>0.11</v>
      </c>
      <c r="I282" s="81">
        <f t="shared" si="5"/>
        <v>4.1848725063897509E-2</v>
      </c>
      <c r="J282" s="81">
        <f t="shared" si="4"/>
        <v>8.7667862408788053E-4</v>
      </c>
      <c r="K282" s="81">
        <f t="shared" si="4"/>
        <v>1.8365324361951779E-5</v>
      </c>
      <c r="L282" s="81">
        <f t="shared" si="4"/>
        <v>3.8473065231928077E-7</v>
      </c>
      <c r="M282" s="3" t="s">
        <v>419</v>
      </c>
      <c r="P282" s="124" t="s">
        <v>599</v>
      </c>
    </row>
    <row r="283" spans="1:16" ht="13" x14ac:dyDescent="0.3">
      <c r="B283" t="str">
        <v>IA</v>
      </c>
      <c r="C283" s="119">
        <v>6.26</v>
      </c>
      <c r="D283" s="119">
        <v>5.69</v>
      </c>
      <c r="E283" s="119">
        <v>5.0199999999999996</v>
      </c>
      <c r="F283" s="119">
        <v>4.1399999999999997</v>
      </c>
      <c r="G283" s="119">
        <v>2.85</v>
      </c>
      <c r="H283" s="119">
        <v>1.61</v>
      </c>
      <c r="I283" s="81">
        <f t="shared" si="5"/>
        <v>1.2100864112975644</v>
      </c>
      <c r="J283" s="81">
        <f t="shared" si="4"/>
        <v>0.38616989679586539</v>
      </c>
      <c r="K283" s="81">
        <f t="shared" si="4"/>
        <v>0.12323681003195602</v>
      </c>
      <c r="L283" s="81">
        <f t="shared" si="4"/>
        <v>3.932805605218017E-2</v>
      </c>
      <c r="M283" s="3" t="s">
        <v>419</v>
      </c>
      <c r="P283" s="124" t="s">
        <v>598</v>
      </c>
    </row>
    <row r="284" spans="1:16" x14ac:dyDescent="0.25">
      <c r="B284" t="str">
        <v>AF</v>
      </c>
      <c r="C284" s="119">
        <v>4.53</v>
      </c>
      <c r="D284" s="119">
        <v>4.37</v>
      </c>
      <c r="E284" s="119">
        <v>4.6500000000000004</v>
      </c>
      <c r="F284" s="119">
        <v>4.6900000000000004</v>
      </c>
      <c r="G284" s="119">
        <v>4.49</v>
      </c>
      <c r="H284" s="119">
        <v>3.59</v>
      </c>
      <c r="I284" s="81">
        <f t="shared" si="5"/>
        <v>3.2100995620413801</v>
      </c>
      <c r="J284" s="81">
        <f t="shared" si="4"/>
        <v>2.0521765351136896</v>
      </c>
      <c r="K284" s="81">
        <f t="shared" si="4"/>
        <v>1.3119308139443124</v>
      </c>
      <c r="L284" s="81">
        <f t="shared" si="4"/>
        <v>0.83870097485606165</v>
      </c>
      <c r="M284" s="3" t="s">
        <v>419</v>
      </c>
    </row>
    <row r="285" spans="1:16" ht="13" thickBot="1" x14ac:dyDescent="0.3">
      <c r="B285" t="str">
        <v>LA</v>
      </c>
      <c r="C285" s="122">
        <v>3.7</v>
      </c>
      <c r="D285" s="122">
        <v>3.34</v>
      </c>
      <c r="E285" s="122">
        <v>3.2</v>
      </c>
      <c r="F285" s="122">
        <v>2.93</v>
      </c>
      <c r="G285" s="122">
        <v>2.4</v>
      </c>
      <c r="H285" s="122">
        <v>1.65</v>
      </c>
      <c r="I285" s="81">
        <f t="shared" si="5"/>
        <v>1.3681077260216024</v>
      </c>
      <c r="J285" s="81">
        <f t="shared" si="4"/>
        <v>0.64664466737739812</v>
      </c>
      <c r="K285" s="81">
        <f t="shared" si="4"/>
        <v>0.30564064356509829</v>
      </c>
      <c r="L285" s="81">
        <f t="shared" si="4"/>
        <v>0.14446296043506598</v>
      </c>
      <c r="M285" s="3" t="s">
        <v>419</v>
      </c>
    </row>
    <row r="286" spans="1:16" ht="13.5" thickTop="1" x14ac:dyDescent="0.3">
      <c r="A286" s="3" t="s">
        <v>462</v>
      </c>
      <c r="P286" s="2"/>
    </row>
    <row r="287" spans="1:16" ht="13" x14ac:dyDescent="0.3">
      <c r="B287" t="str">
        <f t="array" ref="B287:B294">R_CODE</f>
        <v>EU</v>
      </c>
      <c r="C287" s="121">
        <v>0.14000000000000001</v>
      </c>
      <c r="D287" s="121">
        <v>0.04</v>
      </c>
      <c r="E287" s="121">
        <v>-0.08</v>
      </c>
      <c r="F287" s="121">
        <v>-0.17</v>
      </c>
      <c r="G287" s="121">
        <v>-0.3</v>
      </c>
      <c r="H287" s="121">
        <v>-0.25</v>
      </c>
      <c r="I287" s="81">
        <v>0</v>
      </c>
      <c r="J287" s="81">
        <v>0</v>
      </c>
      <c r="K287" s="81">
        <v>0</v>
      </c>
      <c r="L287" s="81">
        <v>0</v>
      </c>
      <c r="M287" s="3" t="s">
        <v>419</v>
      </c>
      <c r="P287" s="124" t="s">
        <v>465</v>
      </c>
    </row>
    <row r="288" spans="1:16" x14ac:dyDescent="0.25">
      <c r="B288" t="str">
        <v>US</v>
      </c>
      <c r="C288" s="119">
        <v>0.71</v>
      </c>
      <c r="D288" s="119">
        <v>0.63</v>
      </c>
      <c r="E288" s="119">
        <v>0.5</v>
      </c>
      <c r="F288" s="119">
        <v>0.38</v>
      </c>
      <c r="G288" s="119">
        <v>0.25</v>
      </c>
      <c r="H288" s="119">
        <v>0.05</v>
      </c>
      <c r="I288" s="81">
        <v>0</v>
      </c>
      <c r="J288" s="81">
        <v>0</v>
      </c>
      <c r="K288" s="81">
        <v>0</v>
      </c>
      <c r="L288" s="81">
        <v>0</v>
      </c>
      <c r="M288" s="3" t="s">
        <v>419</v>
      </c>
    </row>
    <row r="289" spans="1:16" x14ac:dyDescent="0.25">
      <c r="B289" t="str">
        <v>OT</v>
      </c>
      <c r="C289" s="119">
        <v>0.39</v>
      </c>
      <c r="D289" s="119">
        <v>0.21</v>
      </c>
      <c r="E289" s="119">
        <v>0</v>
      </c>
      <c r="F289" s="119">
        <v>-0.13</v>
      </c>
      <c r="G289" s="119">
        <v>-0.33</v>
      </c>
      <c r="H289" s="119">
        <v>-0.42</v>
      </c>
      <c r="I289" s="81">
        <v>0</v>
      </c>
      <c r="J289" s="81">
        <v>0</v>
      </c>
      <c r="K289" s="81">
        <v>0</v>
      </c>
      <c r="L289" s="81">
        <v>0</v>
      </c>
      <c r="M289" s="3" t="s">
        <v>419</v>
      </c>
    </row>
    <row r="290" spans="1:16" x14ac:dyDescent="0.25">
      <c r="B290" t="str">
        <v>EE</v>
      </c>
      <c r="C290" s="119">
        <v>0.11</v>
      </c>
      <c r="D290" s="119">
        <v>-7.0000000000000007E-2</v>
      </c>
      <c r="E290" s="119">
        <v>-0.15</v>
      </c>
      <c r="F290" s="119">
        <v>-0.18</v>
      </c>
      <c r="G290" s="119">
        <v>-0.33</v>
      </c>
      <c r="H290" s="119">
        <v>-0.28999999999999998</v>
      </c>
      <c r="I290" s="81">
        <v>0</v>
      </c>
      <c r="J290" s="81">
        <v>0</v>
      </c>
      <c r="K290" s="81">
        <v>0</v>
      </c>
      <c r="L290" s="81">
        <v>0</v>
      </c>
      <c r="M290" s="3" t="s">
        <v>419</v>
      </c>
    </row>
    <row r="291" spans="1:16" x14ac:dyDescent="0.25">
      <c r="B291" t="str">
        <v>CA</v>
      </c>
      <c r="C291" s="119">
        <v>0.35</v>
      </c>
      <c r="D291" s="119">
        <v>0.08</v>
      </c>
      <c r="E291" s="119">
        <v>-0.23</v>
      </c>
      <c r="F291" s="119">
        <v>-0.51</v>
      </c>
      <c r="G291" s="119">
        <v>-0.84</v>
      </c>
      <c r="H291" s="119">
        <v>-0.95</v>
      </c>
      <c r="I291" s="81">
        <v>0</v>
      </c>
      <c r="J291" s="81">
        <v>0</v>
      </c>
      <c r="K291" s="81">
        <v>0</v>
      </c>
      <c r="L291" s="81">
        <v>0</v>
      </c>
      <c r="M291" s="3" t="s">
        <v>419</v>
      </c>
    </row>
    <row r="292" spans="1:16" x14ac:dyDescent="0.25">
      <c r="B292" t="str">
        <v>IA</v>
      </c>
      <c r="C292" s="119">
        <v>1.21</v>
      </c>
      <c r="D292" s="119">
        <v>0.93</v>
      </c>
      <c r="E292" s="119">
        <v>0.63</v>
      </c>
      <c r="F292" s="119">
        <v>0.39</v>
      </c>
      <c r="G292" s="119">
        <v>-0.02</v>
      </c>
      <c r="H292" s="119">
        <v>-0.38</v>
      </c>
      <c r="I292" s="81">
        <v>0</v>
      </c>
      <c r="J292" s="81">
        <v>0</v>
      </c>
      <c r="K292" s="81">
        <v>0</v>
      </c>
      <c r="L292" s="81">
        <v>0</v>
      </c>
      <c r="M292" s="3" t="s">
        <v>419</v>
      </c>
    </row>
    <row r="293" spans="1:16" x14ac:dyDescent="0.25">
      <c r="B293" t="str">
        <v>AF</v>
      </c>
      <c r="C293" s="119">
        <v>2.19</v>
      </c>
      <c r="D293" s="119">
        <v>1.96</v>
      </c>
      <c r="E293" s="119">
        <v>1.74</v>
      </c>
      <c r="F293" s="119">
        <v>1.55</v>
      </c>
      <c r="G293" s="119">
        <v>1.1599999999999999</v>
      </c>
      <c r="H293" s="119">
        <v>0.69</v>
      </c>
      <c r="I293" s="81">
        <v>0</v>
      </c>
      <c r="J293" s="81">
        <v>0</v>
      </c>
      <c r="K293" s="81">
        <v>0</v>
      </c>
      <c r="L293" s="81">
        <v>0</v>
      </c>
      <c r="M293" s="3" t="s">
        <v>419</v>
      </c>
    </row>
    <row r="294" spans="1:16" ht="13" thickBot="1" x14ac:dyDescent="0.3">
      <c r="B294" t="str">
        <v>LA</v>
      </c>
      <c r="C294" s="122">
        <v>1.06</v>
      </c>
      <c r="D294" s="122">
        <v>0.87</v>
      </c>
      <c r="E294" s="122">
        <v>0.63</v>
      </c>
      <c r="F294" s="122">
        <v>0.37</v>
      </c>
      <c r="G294" s="122">
        <v>0.05</v>
      </c>
      <c r="H294" s="122">
        <v>-0.21</v>
      </c>
      <c r="I294" s="81">
        <v>0</v>
      </c>
      <c r="J294" s="81">
        <v>0</v>
      </c>
      <c r="K294" s="81">
        <v>0</v>
      </c>
      <c r="L294" s="81">
        <v>0</v>
      </c>
      <c r="M294" s="3" t="s">
        <v>419</v>
      </c>
    </row>
    <row r="295" spans="1:16" ht="13" thickTop="1" x14ac:dyDescent="0.25">
      <c r="M295" s="123"/>
    </row>
    <row r="296" spans="1:16" x14ac:dyDescent="0.25">
      <c r="M296" s="123"/>
    </row>
    <row r="297" spans="1:16" ht="13" x14ac:dyDescent="0.3">
      <c r="A297" s="2" t="s">
        <v>647</v>
      </c>
      <c r="M297" s="123"/>
    </row>
    <row r="298" spans="1:16" x14ac:dyDescent="0.25">
      <c r="A298" t="s">
        <v>24</v>
      </c>
      <c r="B298" t="s">
        <v>25</v>
      </c>
      <c r="C298">
        <v>2015</v>
      </c>
      <c r="D298">
        <v>2020</v>
      </c>
      <c r="E298">
        <v>2030</v>
      </c>
      <c r="F298">
        <v>2040</v>
      </c>
      <c r="G298">
        <v>2050</v>
      </c>
      <c r="H298">
        <v>2075</v>
      </c>
      <c r="I298">
        <v>2100</v>
      </c>
      <c r="J298">
        <v>2150</v>
      </c>
      <c r="K298">
        <v>2200</v>
      </c>
      <c r="L298">
        <v>2250</v>
      </c>
    </row>
    <row r="299" spans="1:16" ht="13" x14ac:dyDescent="0.3">
      <c r="B299" t="s">
        <v>26</v>
      </c>
      <c r="C299">
        <v>2020</v>
      </c>
      <c r="D299">
        <v>2030</v>
      </c>
      <c r="E299">
        <v>2040</v>
      </c>
      <c r="F299">
        <v>2050</v>
      </c>
      <c r="G299">
        <v>2075</v>
      </c>
      <c r="H299">
        <v>2100</v>
      </c>
      <c r="I299">
        <v>2150</v>
      </c>
      <c r="J299">
        <v>2200</v>
      </c>
      <c r="K299">
        <v>2250</v>
      </c>
      <c r="L299">
        <v>2300</v>
      </c>
      <c r="P299" s="2"/>
    </row>
    <row r="300" spans="1:16" ht="13" x14ac:dyDescent="0.3">
      <c r="B300" t="s">
        <v>0</v>
      </c>
      <c r="C300" s="121">
        <v>1.1599999999999999</v>
      </c>
      <c r="D300" s="121">
        <v>0.54</v>
      </c>
      <c r="E300" s="121">
        <v>0.21</v>
      </c>
      <c r="F300" s="121">
        <v>-0.09</v>
      </c>
      <c r="G300" s="121">
        <v>-0.22</v>
      </c>
      <c r="H300" s="121">
        <v>-0.18</v>
      </c>
      <c r="I300" s="81">
        <f>IF($H300 &gt; 0, $G300*EXP(-(0.5*(I$254+I$255) - 0.5*($H$254+$H$255)) / (($H$254-$G$254)/LN($G300/$H300))), $H300)</f>
        <v>-0.18</v>
      </c>
      <c r="J300" s="81">
        <f t="shared" ref="J300:L307" si="6">IF($H300 &gt; 0, $G300*EXP(-(0.5*(J$254+J$255) - 0.5*($H$254+$H$255)) / (($H$254-$G$254)/LN($G300/$H300))), $H300)</f>
        <v>-0.18</v>
      </c>
      <c r="K300" s="81">
        <f t="shared" si="6"/>
        <v>-0.18</v>
      </c>
      <c r="L300" s="81">
        <f t="shared" si="6"/>
        <v>-0.18</v>
      </c>
      <c r="M300" t="s">
        <v>419</v>
      </c>
      <c r="P300" s="124" t="s">
        <v>466</v>
      </c>
    </row>
    <row r="301" spans="1:16" ht="13" x14ac:dyDescent="0.3">
      <c r="B301" t="s">
        <v>2</v>
      </c>
      <c r="C301" s="119">
        <v>1.91</v>
      </c>
      <c r="D301" s="119">
        <v>1.06</v>
      </c>
      <c r="E301" s="119">
        <v>0.44</v>
      </c>
      <c r="F301" s="119">
        <v>0.09</v>
      </c>
      <c r="G301" s="119">
        <v>-0.12</v>
      </c>
      <c r="H301" s="119">
        <v>-0.27</v>
      </c>
      <c r="I301" s="81">
        <f t="shared" ref="I301:I307" si="7">IF($H301 &gt; 0, $G301*EXP(-(0.5*(I$254+I$255) - 0.5*($H$254+$H$255)) / (($H$254-$G$254)/LN($G301/$H301))), $H301)</f>
        <v>-0.27</v>
      </c>
      <c r="J301" s="81">
        <f t="shared" si="6"/>
        <v>-0.27</v>
      </c>
      <c r="K301" s="81">
        <f t="shared" si="6"/>
        <v>-0.27</v>
      </c>
      <c r="L301" s="81">
        <f t="shared" si="6"/>
        <v>-0.27</v>
      </c>
      <c r="M301" t="s">
        <v>419</v>
      </c>
      <c r="P301" s="124"/>
    </row>
    <row r="302" spans="1:16" ht="13" x14ac:dyDescent="0.3">
      <c r="B302" t="s">
        <v>12</v>
      </c>
      <c r="C302" s="119">
        <v>1.49</v>
      </c>
      <c r="D302" s="119">
        <v>0.85</v>
      </c>
      <c r="E302" s="119">
        <v>0.46</v>
      </c>
      <c r="F302" s="119">
        <v>0.23</v>
      </c>
      <c r="G302" s="119">
        <v>0.06</v>
      </c>
      <c r="H302" s="119">
        <v>0.04</v>
      </c>
      <c r="I302" s="81">
        <f t="shared" si="7"/>
        <v>3.2659863237109038E-2</v>
      </c>
      <c r="J302" s="81">
        <f t="shared" si="6"/>
        <v>1.4515494772048464E-2</v>
      </c>
      <c r="K302" s="81">
        <f t="shared" si="6"/>
        <v>6.451331009799317E-3</v>
      </c>
      <c r="L302" s="81">
        <f t="shared" si="6"/>
        <v>2.8672582265774744E-3</v>
      </c>
      <c r="M302" t="s">
        <v>419</v>
      </c>
      <c r="P302" s="124" t="s">
        <v>596</v>
      </c>
    </row>
    <row r="303" spans="1:16" ht="13" x14ac:dyDescent="0.3">
      <c r="B303" t="s">
        <v>1</v>
      </c>
      <c r="C303" s="119">
        <v>2.59</v>
      </c>
      <c r="D303" s="119">
        <v>2.0499999999999998</v>
      </c>
      <c r="E303" s="119">
        <v>1.79</v>
      </c>
      <c r="F303" s="119">
        <v>0.87</v>
      </c>
      <c r="G303" s="119">
        <v>1.05</v>
      </c>
      <c r="H303" s="119">
        <v>1.39</v>
      </c>
      <c r="I303" s="81">
        <f t="shared" si="7"/>
        <v>1.5992912120537588</v>
      </c>
      <c r="J303" s="81">
        <f t="shared" si="6"/>
        <v>2.80271251774065</v>
      </c>
      <c r="K303" s="81">
        <f t="shared" si="6"/>
        <v>4.9116742453756999</v>
      </c>
      <c r="L303" s="81">
        <f t="shared" si="6"/>
        <v>8.6075698952293767</v>
      </c>
      <c r="M303" t="s">
        <v>419</v>
      </c>
      <c r="P303" s="124" t="s">
        <v>597</v>
      </c>
    </row>
    <row r="304" spans="1:16" ht="13" x14ac:dyDescent="0.3">
      <c r="B304" t="s">
        <v>4</v>
      </c>
      <c r="C304" s="119">
        <v>5.97</v>
      </c>
      <c r="D304" s="119">
        <v>3.39</v>
      </c>
      <c r="E304" s="119">
        <v>2.19</v>
      </c>
      <c r="F304" s="119">
        <v>1.54</v>
      </c>
      <c r="G304" s="119">
        <v>0.9</v>
      </c>
      <c r="H304" s="119">
        <v>0.63</v>
      </c>
      <c r="I304" s="81">
        <f t="shared" si="7"/>
        <v>0.52709581671646766</v>
      </c>
      <c r="J304" s="81">
        <f t="shared" si="6"/>
        <v>0.25827695019106911</v>
      </c>
      <c r="K304" s="81">
        <f t="shared" si="6"/>
        <v>0.12655570559362389</v>
      </c>
      <c r="L304" s="81">
        <f t="shared" si="6"/>
        <v>6.2012295740875696E-2</v>
      </c>
      <c r="M304" t="s">
        <v>419</v>
      </c>
      <c r="P304" s="124" t="s">
        <v>599</v>
      </c>
    </row>
    <row r="305" spans="1:16" ht="13" x14ac:dyDescent="0.3">
      <c r="B305" t="s">
        <v>6</v>
      </c>
      <c r="C305" s="119">
        <v>5.0599999999999996</v>
      </c>
      <c r="D305" s="119">
        <v>3.88</v>
      </c>
      <c r="E305" s="119">
        <v>3.27</v>
      </c>
      <c r="F305" s="119">
        <v>2.78</v>
      </c>
      <c r="G305" s="119">
        <v>2.2200000000000002</v>
      </c>
      <c r="H305" s="119">
        <v>1.7</v>
      </c>
      <c r="I305" s="81">
        <f t="shared" si="7"/>
        <v>1.4876367376019801</v>
      </c>
      <c r="J305" s="81">
        <f t="shared" si="6"/>
        <v>0.87234602947604101</v>
      </c>
      <c r="K305" s="81">
        <f t="shared" si="6"/>
        <v>0.51154127611106193</v>
      </c>
      <c r="L305" s="81">
        <f t="shared" si="6"/>
        <v>0.29996637609791577</v>
      </c>
      <c r="M305" t="s">
        <v>419</v>
      </c>
      <c r="P305" s="124" t="s">
        <v>598</v>
      </c>
    </row>
    <row r="306" spans="1:16" x14ac:dyDescent="0.25">
      <c r="B306" t="s">
        <v>8</v>
      </c>
      <c r="C306" s="119">
        <v>4.08</v>
      </c>
      <c r="D306" s="119">
        <v>3.42</v>
      </c>
      <c r="E306" s="119">
        <v>3.33</v>
      </c>
      <c r="F306" s="119">
        <v>3.03</v>
      </c>
      <c r="G306" s="119">
        <v>3.11</v>
      </c>
      <c r="H306" s="119">
        <v>3.22</v>
      </c>
      <c r="I306" s="81">
        <f t="shared" si="7"/>
        <v>3.2764505145471876</v>
      </c>
      <c r="J306" s="81">
        <f t="shared" si="6"/>
        <v>3.5123240573433967</v>
      </c>
      <c r="K306" s="81">
        <f t="shared" si="6"/>
        <v>3.7651782711261554</v>
      </c>
      <c r="L306" s="81">
        <f t="shared" si="6"/>
        <v>4.0362356040926421</v>
      </c>
      <c r="M306" t="s">
        <v>419</v>
      </c>
    </row>
    <row r="307" spans="1:16" ht="13" thickBot="1" x14ac:dyDescent="0.3">
      <c r="B307" t="s">
        <v>10</v>
      </c>
      <c r="C307" s="122">
        <v>3.22</v>
      </c>
      <c r="D307" s="122">
        <v>2.37</v>
      </c>
      <c r="E307" s="122">
        <v>2.1</v>
      </c>
      <c r="F307" s="122">
        <v>1.99</v>
      </c>
      <c r="G307" s="122">
        <v>1.98</v>
      </c>
      <c r="H307" s="122">
        <v>1.81</v>
      </c>
      <c r="I307" s="81">
        <f t="shared" si="7"/>
        <v>1.7305544449304935</v>
      </c>
      <c r="J307" s="81">
        <f t="shared" si="6"/>
        <v>1.4461456527489009</v>
      </c>
      <c r="K307" s="81">
        <f t="shared" si="6"/>
        <v>1.2084781585987845</v>
      </c>
      <c r="L307" s="81">
        <f t="shared" si="6"/>
        <v>1.0098702416553103</v>
      </c>
      <c r="M307" t="s">
        <v>419</v>
      </c>
    </row>
    <row r="308" spans="1:16" ht="13.5" thickTop="1" x14ac:dyDescent="0.3">
      <c r="A308" t="s">
        <v>462</v>
      </c>
      <c r="P308" s="2"/>
    </row>
    <row r="309" spans="1:16" ht="13" x14ac:dyDescent="0.3">
      <c r="B309" t="s">
        <v>0</v>
      </c>
      <c r="C309" s="121">
        <v>-0.18</v>
      </c>
      <c r="D309" s="121">
        <v>-0.42</v>
      </c>
      <c r="E309" s="121">
        <v>-0.6</v>
      </c>
      <c r="F309" s="121">
        <v>-0.8</v>
      </c>
      <c r="G309" s="121">
        <v>-1.03</v>
      </c>
      <c r="H309" s="121">
        <v>-1</v>
      </c>
      <c r="I309" s="81">
        <v>0</v>
      </c>
      <c r="J309" s="81">
        <v>0</v>
      </c>
      <c r="K309" s="81">
        <v>0</v>
      </c>
      <c r="L309" s="81">
        <v>0</v>
      </c>
      <c r="M309" t="s">
        <v>419</v>
      </c>
      <c r="P309" s="124" t="s">
        <v>465</v>
      </c>
    </row>
    <row r="310" spans="1:16" x14ac:dyDescent="0.25">
      <c r="B310" t="s">
        <v>2</v>
      </c>
      <c r="C310" s="119">
        <v>0.27</v>
      </c>
      <c r="D310" s="119">
        <v>0</v>
      </c>
      <c r="E310" s="119">
        <v>-0.21</v>
      </c>
      <c r="F310" s="119">
        <v>-0.46</v>
      </c>
      <c r="G310" s="119">
        <v>-0.67</v>
      </c>
      <c r="H310" s="119">
        <v>-0.89</v>
      </c>
      <c r="I310" s="81">
        <v>0</v>
      </c>
      <c r="J310" s="81">
        <v>0</v>
      </c>
      <c r="K310" s="81">
        <v>0</v>
      </c>
      <c r="L310" s="81">
        <v>0</v>
      </c>
      <c r="M310" t="s">
        <v>419</v>
      </c>
    </row>
    <row r="311" spans="1:16" x14ac:dyDescent="0.25">
      <c r="B311" t="s">
        <v>12</v>
      </c>
      <c r="C311" s="119">
        <v>0.23</v>
      </c>
      <c r="D311" s="119">
        <v>-0.04</v>
      </c>
      <c r="E311" s="119">
        <v>-0.28000000000000003</v>
      </c>
      <c r="F311" s="119">
        <v>-0.43</v>
      </c>
      <c r="G311" s="119">
        <v>-0.63</v>
      </c>
      <c r="H311" s="119">
        <v>-0.61</v>
      </c>
      <c r="I311" s="81">
        <v>0</v>
      </c>
      <c r="J311" s="81">
        <v>0</v>
      </c>
      <c r="K311" s="81">
        <v>0</v>
      </c>
      <c r="L311" s="81">
        <v>0</v>
      </c>
      <c r="M311" t="s">
        <v>419</v>
      </c>
    </row>
    <row r="312" spans="1:16" x14ac:dyDescent="0.25">
      <c r="B312" t="s">
        <v>1</v>
      </c>
      <c r="C312" s="119">
        <v>0.28999999999999998</v>
      </c>
      <c r="D312" s="119">
        <v>0.12</v>
      </c>
      <c r="E312" s="119">
        <v>7.0000000000000007E-2</v>
      </c>
      <c r="F312" s="119">
        <v>0.19</v>
      </c>
      <c r="G312" s="119">
        <v>0.14000000000000001</v>
      </c>
      <c r="H312" s="119">
        <v>0.28999999999999998</v>
      </c>
      <c r="I312" s="81">
        <v>0</v>
      </c>
      <c r="J312" s="81">
        <v>0</v>
      </c>
      <c r="K312" s="81">
        <v>0</v>
      </c>
      <c r="L312" s="81">
        <v>0</v>
      </c>
      <c r="M312" t="s">
        <v>419</v>
      </c>
    </row>
    <row r="313" spans="1:16" x14ac:dyDescent="0.25">
      <c r="B313" t="s">
        <v>4</v>
      </c>
      <c r="C313" s="119">
        <v>0.52</v>
      </c>
      <c r="D313" s="119">
        <v>0.24</v>
      </c>
      <c r="E313" s="119">
        <v>-0.06</v>
      </c>
      <c r="F313" s="119">
        <v>-0.24</v>
      </c>
      <c r="G313" s="119">
        <v>-0.41</v>
      </c>
      <c r="H313" s="119">
        <v>-0.28000000000000003</v>
      </c>
      <c r="I313" s="81">
        <v>0</v>
      </c>
      <c r="J313" s="81">
        <v>0</v>
      </c>
      <c r="K313" s="81">
        <v>0</v>
      </c>
      <c r="L313" s="81">
        <v>0</v>
      </c>
      <c r="M313" t="s">
        <v>419</v>
      </c>
    </row>
    <row r="314" spans="1:16" x14ac:dyDescent="0.25">
      <c r="B314" t="s">
        <v>6</v>
      </c>
      <c r="C314" s="119">
        <v>1.52</v>
      </c>
      <c r="D314" s="119">
        <v>1.25</v>
      </c>
      <c r="E314" s="119">
        <v>0.95</v>
      </c>
      <c r="F314" s="119">
        <v>0.77</v>
      </c>
      <c r="G314" s="119">
        <v>0.44</v>
      </c>
      <c r="H314" s="119">
        <v>0.22</v>
      </c>
      <c r="I314" s="81">
        <v>0</v>
      </c>
      <c r="J314" s="81">
        <v>0</v>
      </c>
      <c r="K314" s="81">
        <v>0</v>
      </c>
      <c r="L314" s="81">
        <v>0</v>
      </c>
      <c r="M314" t="s">
        <v>419</v>
      </c>
    </row>
    <row r="315" spans="1:16" x14ac:dyDescent="0.25">
      <c r="B315" t="s">
        <v>8</v>
      </c>
      <c r="C315" s="119">
        <v>2.61</v>
      </c>
      <c r="D315" s="119">
        <v>2.4</v>
      </c>
      <c r="E315" s="119">
        <v>2.2000000000000002</v>
      </c>
      <c r="F315" s="119">
        <v>2.09</v>
      </c>
      <c r="G315" s="119">
        <v>1.73</v>
      </c>
      <c r="H315" s="119">
        <v>1.29</v>
      </c>
      <c r="I315" s="81">
        <v>0</v>
      </c>
      <c r="J315" s="81">
        <v>0</v>
      </c>
      <c r="K315" s="81">
        <v>0</v>
      </c>
      <c r="L315" s="81">
        <v>0</v>
      </c>
      <c r="M315" t="s">
        <v>419</v>
      </c>
    </row>
    <row r="316" spans="1:16" ht="13" thickBot="1" x14ac:dyDescent="0.3">
      <c r="B316" t="s">
        <v>10</v>
      </c>
      <c r="C316" s="122">
        <v>1.43</v>
      </c>
      <c r="D316" s="122">
        <v>1.31</v>
      </c>
      <c r="E316" s="122">
        <v>1.0900000000000001</v>
      </c>
      <c r="F316" s="122">
        <v>0.9</v>
      </c>
      <c r="G316" s="122">
        <v>0.66</v>
      </c>
      <c r="H316" s="122">
        <v>0.52</v>
      </c>
      <c r="I316" s="81">
        <v>0</v>
      </c>
      <c r="J316" s="81">
        <v>0</v>
      </c>
      <c r="K316" s="81">
        <v>0</v>
      </c>
      <c r="L316" s="81">
        <v>0</v>
      </c>
      <c r="M316" t="s">
        <v>419</v>
      </c>
    </row>
    <row r="317" spans="1:16" ht="13" thickTop="1" x14ac:dyDescent="0.25">
      <c r="M317" s="123"/>
    </row>
    <row r="318" spans="1:16" x14ac:dyDescent="0.25">
      <c r="M318" s="123"/>
    </row>
    <row r="319" spans="1:16" ht="13" x14ac:dyDescent="0.3">
      <c r="A319" s="2" t="s">
        <v>648</v>
      </c>
      <c r="M319" s="123"/>
    </row>
    <row r="320" spans="1:16" x14ac:dyDescent="0.25">
      <c r="A320" t="s">
        <v>24</v>
      </c>
      <c r="B320" t="s">
        <v>25</v>
      </c>
      <c r="C320">
        <v>2015</v>
      </c>
      <c r="D320">
        <v>2020</v>
      </c>
      <c r="E320">
        <v>2030</v>
      </c>
      <c r="F320">
        <v>2040</v>
      </c>
      <c r="G320">
        <v>2050</v>
      </c>
      <c r="H320">
        <v>2075</v>
      </c>
      <c r="I320">
        <v>2100</v>
      </c>
      <c r="J320">
        <v>2150</v>
      </c>
      <c r="K320">
        <v>2200</v>
      </c>
      <c r="L320">
        <v>2250</v>
      </c>
    </row>
    <row r="321" spans="1:16" ht="13" x14ac:dyDescent="0.3">
      <c r="B321" t="s">
        <v>26</v>
      </c>
      <c r="C321">
        <v>2020</v>
      </c>
      <c r="D321">
        <v>2030</v>
      </c>
      <c r="E321">
        <v>2040</v>
      </c>
      <c r="F321">
        <v>2050</v>
      </c>
      <c r="G321">
        <v>2075</v>
      </c>
      <c r="H321">
        <v>2100</v>
      </c>
      <c r="I321">
        <v>2150</v>
      </c>
      <c r="J321">
        <v>2200</v>
      </c>
      <c r="K321">
        <v>2250</v>
      </c>
      <c r="L321">
        <v>2300</v>
      </c>
      <c r="P321" s="2"/>
    </row>
    <row r="322" spans="1:16" ht="13" x14ac:dyDescent="0.3">
      <c r="B322" t="s">
        <v>0</v>
      </c>
      <c r="C322" s="121">
        <v>1.6</v>
      </c>
      <c r="D322" s="121">
        <v>1.36</v>
      </c>
      <c r="E322" s="121">
        <v>1.18</v>
      </c>
      <c r="F322" s="121">
        <v>0.93</v>
      </c>
      <c r="G322" s="121">
        <v>0.75</v>
      </c>
      <c r="H322" s="121">
        <v>0.63</v>
      </c>
      <c r="I322" s="81">
        <f>IF($H322 &gt; 0, $G322*EXP(-(0.5*(I$254+I$255) - 0.5*($H$254+$H$255)) / (($H$254-$G$254)/LN($G322/$H322))), $H322)</f>
        <v>0.57740453756443588</v>
      </c>
      <c r="J322" s="81">
        <f t="shared" ref="J322:L329" si="8">IF($H322 &gt; 0, $G322*EXP(-(0.5*(J$254+J$255) - 0.5*($H$254+$H$255)) / (($H$254-$G$254)/LN($G322/$H322))), $H322)</f>
        <v>0.40741664170546593</v>
      </c>
      <c r="K322" s="81">
        <f t="shared" si="8"/>
        <v>0.28747318238737679</v>
      </c>
      <c r="L322" s="81">
        <f t="shared" si="8"/>
        <v>0.20284107749253302</v>
      </c>
      <c r="M322" t="s">
        <v>419</v>
      </c>
      <c r="P322" s="124" t="s">
        <v>466</v>
      </c>
    </row>
    <row r="323" spans="1:16" ht="13" x14ac:dyDescent="0.3">
      <c r="B323" t="s">
        <v>2</v>
      </c>
      <c r="C323" s="119">
        <v>2.68</v>
      </c>
      <c r="D323" s="119">
        <v>1.94</v>
      </c>
      <c r="E323" s="119">
        <v>1.27</v>
      </c>
      <c r="F323" s="119">
        <v>0.92</v>
      </c>
      <c r="G323" s="119">
        <v>0.79</v>
      </c>
      <c r="H323" s="119">
        <v>0.67</v>
      </c>
      <c r="I323" s="81">
        <f t="shared" ref="I323:I329" si="9">IF($H323 &gt; 0, $G323*EXP(-(0.5*(I$254+I$255) - 0.5*($H$254+$H$255)) / (($H$254-$G$254)/LN($G323/$H323))), $H323)</f>
        <v>0.61701917168581399</v>
      </c>
      <c r="J323" s="81">
        <f t="shared" si="8"/>
        <v>0.44380693185348807</v>
      </c>
      <c r="K323" s="81">
        <f t="shared" si="8"/>
        <v>0.31921956691080078</v>
      </c>
      <c r="L323" s="81">
        <f t="shared" si="8"/>
        <v>0.22960689566777509</v>
      </c>
      <c r="M323" t="s">
        <v>419</v>
      </c>
      <c r="P323" s="124"/>
    </row>
    <row r="324" spans="1:16" ht="13" x14ac:dyDescent="0.3">
      <c r="B324" t="s">
        <v>12</v>
      </c>
      <c r="C324" s="119">
        <v>2.13</v>
      </c>
      <c r="D324" s="119">
        <v>1.75</v>
      </c>
      <c r="E324" s="119">
        <v>1.22</v>
      </c>
      <c r="F324" s="119">
        <v>0.87</v>
      </c>
      <c r="G324" s="119">
        <v>0.6</v>
      </c>
      <c r="H324" s="119">
        <v>0.38</v>
      </c>
      <c r="I324" s="81">
        <f t="shared" si="9"/>
        <v>0.3024125217866041</v>
      </c>
      <c r="J324" s="81">
        <f t="shared" si="8"/>
        <v>0.12130102262773787</v>
      </c>
      <c r="K324" s="81">
        <f t="shared" si="8"/>
        <v>4.8655187965125975E-2</v>
      </c>
      <c r="L324" s="81">
        <f t="shared" si="8"/>
        <v>1.9516136506011635E-2</v>
      </c>
      <c r="M324" t="s">
        <v>419</v>
      </c>
      <c r="P324" s="124" t="s">
        <v>596</v>
      </c>
    </row>
    <row r="325" spans="1:16" ht="13" x14ac:dyDescent="0.3">
      <c r="B325" t="s">
        <v>1</v>
      </c>
      <c r="C325" s="119">
        <v>4.13</v>
      </c>
      <c r="D325" s="119">
        <v>3.75</v>
      </c>
      <c r="E325" s="119">
        <v>2.78</v>
      </c>
      <c r="F325" s="119">
        <v>1.32</v>
      </c>
      <c r="G325" s="119">
        <v>0.72</v>
      </c>
      <c r="H325" s="119">
        <v>0.5</v>
      </c>
      <c r="I325" s="81">
        <f t="shared" si="9"/>
        <v>0.41666666666666669</v>
      </c>
      <c r="J325" s="81">
        <f t="shared" si="8"/>
        <v>0.20093878600823042</v>
      </c>
      <c r="K325" s="81">
        <f t="shared" si="8"/>
        <v>9.6903349733907448E-2</v>
      </c>
      <c r="L325" s="81">
        <f t="shared" si="8"/>
        <v>4.6731939493589614E-2</v>
      </c>
      <c r="M325" t="s">
        <v>419</v>
      </c>
      <c r="P325" s="124" t="s">
        <v>597</v>
      </c>
    </row>
    <row r="326" spans="1:16" ht="13" x14ac:dyDescent="0.3">
      <c r="B326" t="s">
        <v>4</v>
      </c>
      <c r="C326" s="119">
        <v>8.6999999999999993</v>
      </c>
      <c r="D326" s="119">
        <v>6.01</v>
      </c>
      <c r="E326" s="119">
        <v>3.37</v>
      </c>
      <c r="F326" s="119">
        <v>1.73</v>
      </c>
      <c r="G326" s="119">
        <v>0.17</v>
      </c>
      <c r="H326" s="119">
        <v>-0.47</v>
      </c>
      <c r="I326" s="81">
        <f t="shared" si="9"/>
        <v>-0.47</v>
      </c>
      <c r="J326" s="81">
        <f t="shared" si="8"/>
        <v>-0.47</v>
      </c>
      <c r="K326" s="81">
        <f t="shared" si="8"/>
        <v>-0.47</v>
      </c>
      <c r="L326" s="81">
        <f t="shared" si="8"/>
        <v>-0.47</v>
      </c>
      <c r="M326" t="s">
        <v>419</v>
      </c>
      <c r="P326" s="124" t="s">
        <v>599</v>
      </c>
    </row>
    <row r="327" spans="1:16" ht="13" x14ac:dyDescent="0.3">
      <c r="B327" t="s">
        <v>6</v>
      </c>
      <c r="C327" s="119">
        <v>6.41</v>
      </c>
      <c r="D327" s="119">
        <v>5.64</v>
      </c>
      <c r="E327" s="119">
        <v>4.51</v>
      </c>
      <c r="F327" s="119">
        <v>3.38</v>
      </c>
      <c r="G327" s="119">
        <v>2</v>
      </c>
      <c r="H327" s="119">
        <v>0.98</v>
      </c>
      <c r="I327" s="81">
        <f t="shared" si="9"/>
        <v>0.68600000000000005</v>
      </c>
      <c r="J327" s="81">
        <f t="shared" si="8"/>
        <v>0.16470859999999998</v>
      </c>
      <c r="K327" s="81">
        <f t="shared" si="8"/>
        <v>3.9546534860000003E-2</v>
      </c>
      <c r="L327" s="81">
        <f t="shared" si="8"/>
        <v>9.4951230198859985E-3</v>
      </c>
      <c r="M327" t="s">
        <v>419</v>
      </c>
      <c r="P327" s="124" t="s">
        <v>598</v>
      </c>
    </row>
    <row r="328" spans="1:16" x14ac:dyDescent="0.25">
      <c r="B328" t="s">
        <v>8</v>
      </c>
      <c r="C328" s="119">
        <v>4.4400000000000004</v>
      </c>
      <c r="D328" s="119">
        <v>4.18</v>
      </c>
      <c r="E328" s="119">
        <v>4.07</v>
      </c>
      <c r="F328" s="119">
        <v>3.61</v>
      </c>
      <c r="G328" s="119">
        <v>3.45</v>
      </c>
      <c r="H328" s="119">
        <v>3.39</v>
      </c>
      <c r="I328" s="81">
        <f t="shared" si="9"/>
        <v>3.3603924460253669</v>
      </c>
      <c r="J328" s="81">
        <f t="shared" si="8"/>
        <v>3.2445256062985188</v>
      </c>
      <c r="K328" s="81">
        <f t="shared" si="8"/>
        <v>3.1326538727278472</v>
      </c>
      <c r="L328" s="81">
        <f t="shared" si="8"/>
        <v>3.0246394934489134</v>
      </c>
      <c r="M328" t="s">
        <v>419</v>
      </c>
    </row>
    <row r="329" spans="1:16" ht="13" thickBot="1" x14ac:dyDescent="0.3">
      <c r="B329" t="s">
        <v>10</v>
      </c>
      <c r="C329" s="122">
        <v>3.73</v>
      </c>
      <c r="D329" s="122">
        <v>3.28</v>
      </c>
      <c r="E329" s="122">
        <v>2.8</v>
      </c>
      <c r="F329" s="122">
        <v>2.2799999999999998</v>
      </c>
      <c r="G329" s="122">
        <v>1.71</v>
      </c>
      <c r="H329" s="122">
        <v>1.19</v>
      </c>
      <c r="I329" s="81">
        <f t="shared" si="9"/>
        <v>0.99270997749352985</v>
      </c>
      <c r="J329" s="81">
        <f t="shared" si="8"/>
        <v>0.48075530902793601</v>
      </c>
      <c r="K329" s="81">
        <f t="shared" si="8"/>
        <v>0.23282295171658293</v>
      </c>
      <c r="L329" s="81">
        <f t="shared" si="8"/>
        <v>0.11275284084875793</v>
      </c>
      <c r="M329" t="s">
        <v>419</v>
      </c>
    </row>
    <row r="330" spans="1:16" ht="13.5" thickTop="1" x14ac:dyDescent="0.3">
      <c r="A330" t="s">
        <v>462</v>
      </c>
      <c r="P330" s="2"/>
    </row>
    <row r="331" spans="1:16" ht="13" x14ac:dyDescent="0.3">
      <c r="B331" t="s">
        <v>0</v>
      </c>
      <c r="C331" s="121">
        <v>-0.02</v>
      </c>
      <c r="D331" s="121">
        <v>-0.15</v>
      </c>
      <c r="E331" s="121">
        <v>-0.28999999999999998</v>
      </c>
      <c r="F331" s="121">
        <v>-0.46</v>
      </c>
      <c r="G331" s="121">
        <v>-0.73</v>
      </c>
      <c r="H331" s="121">
        <v>-0.84</v>
      </c>
      <c r="I331" s="81">
        <v>0</v>
      </c>
      <c r="J331" s="81">
        <v>0</v>
      </c>
      <c r="K331" s="81">
        <v>0</v>
      </c>
      <c r="L331" s="81">
        <v>0</v>
      </c>
      <c r="M331" t="s">
        <v>419</v>
      </c>
      <c r="P331" s="124" t="s">
        <v>465</v>
      </c>
    </row>
    <row r="332" spans="1:16" x14ac:dyDescent="0.25">
      <c r="B332" t="s">
        <v>2</v>
      </c>
      <c r="C332" s="119">
        <v>0.52</v>
      </c>
      <c r="D332" s="119">
        <v>0.39</v>
      </c>
      <c r="E332" s="119">
        <v>0.25</v>
      </c>
      <c r="F332" s="119">
        <v>0.06</v>
      </c>
      <c r="G332" s="119">
        <v>-0.16</v>
      </c>
      <c r="H332" s="119">
        <v>-0.51</v>
      </c>
      <c r="I332" s="81">
        <v>0</v>
      </c>
      <c r="J332" s="81">
        <v>0</v>
      </c>
      <c r="K332" s="81">
        <v>0</v>
      </c>
      <c r="L332" s="81">
        <v>0</v>
      </c>
      <c r="M332" t="s">
        <v>419</v>
      </c>
    </row>
    <row r="333" spans="1:16" x14ac:dyDescent="0.25">
      <c r="B333" t="s">
        <v>12</v>
      </c>
      <c r="C333" s="119">
        <v>0.23</v>
      </c>
      <c r="D333" s="119">
        <v>0.01</v>
      </c>
      <c r="E333" s="119">
        <v>-0.2</v>
      </c>
      <c r="F333" s="119">
        <v>-0.41</v>
      </c>
      <c r="G333" s="119">
        <v>-0.73</v>
      </c>
      <c r="H333" s="119">
        <v>-1</v>
      </c>
      <c r="I333" s="81">
        <v>0</v>
      </c>
      <c r="J333" s="81">
        <v>0</v>
      </c>
      <c r="K333" s="81">
        <v>0</v>
      </c>
      <c r="L333" s="81">
        <v>0</v>
      </c>
      <c r="M333" t="s">
        <v>419</v>
      </c>
    </row>
    <row r="334" spans="1:16" x14ac:dyDescent="0.25">
      <c r="B334" t="s">
        <v>1</v>
      </c>
      <c r="C334" s="119">
        <v>-7.0000000000000007E-2</v>
      </c>
      <c r="D334" s="119">
        <v>-0.27</v>
      </c>
      <c r="E334" s="119">
        <v>-0.38</v>
      </c>
      <c r="F334" s="119">
        <v>-0.52</v>
      </c>
      <c r="G334" s="119">
        <v>-0.78</v>
      </c>
      <c r="H334" s="119">
        <v>-0.86</v>
      </c>
      <c r="I334" s="81">
        <v>0</v>
      </c>
      <c r="J334" s="81">
        <v>0</v>
      </c>
      <c r="K334" s="81">
        <v>0</v>
      </c>
      <c r="L334" s="81">
        <v>0</v>
      </c>
      <c r="M334" t="s">
        <v>419</v>
      </c>
    </row>
    <row r="335" spans="1:16" x14ac:dyDescent="0.25">
      <c r="B335" t="s">
        <v>4</v>
      </c>
      <c r="C335" s="119">
        <v>0.18</v>
      </c>
      <c r="D335" s="119">
        <v>-0.1</v>
      </c>
      <c r="E335" s="119">
        <v>-0.43</v>
      </c>
      <c r="F335" s="119">
        <v>-0.78</v>
      </c>
      <c r="G335" s="119">
        <v>-1.24</v>
      </c>
      <c r="H335" s="119">
        <v>-1.57</v>
      </c>
      <c r="I335" s="81">
        <v>0</v>
      </c>
      <c r="J335" s="81">
        <v>0</v>
      </c>
      <c r="K335" s="81">
        <v>0</v>
      </c>
      <c r="L335" s="81">
        <v>0</v>
      </c>
      <c r="M335" t="s">
        <v>419</v>
      </c>
    </row>
    <row r="336" spans="1:16" x14ac:dyDescent="0.25">
      <c r="B336" t="s">
        <v>6</v>
      </c>
      <c r="C336" s="119">
        <v>1.08</v>
      </c>
      <c r="D336" s="119">
        <v>0.81</v>
      </c>
      <c r="E336" s="119">
        <v>0.51</v>
      </c>
      <c r="F336" s="119">
        <v>0.26</v>
      </c>
      <c r="G336" s="119">
        <v>-0.17</v>
      </c>
      <c r="H336" s="119">
        <v>-0.5</v>
      </c>
      <c r="I336" s="81">
        <v>0</v>
      </c>
      <c r="J336" s="81">
        <v>0</v>
      </c>
      <c r="K336" s="81">
        <v>0</v>
      </c>
      <c r="L336" s="81">
        <v>0</v>
      </c>
      <c r="M336" t="s">
        <v>419</v>
      </c>
    </row>
    <row r="337" spans="1:16" x14ac:dyDescent="0.25">
      <c r="B337" t="s">
        <v>8</v>
      </c>
      <c r="C337" s="119">
        <v>2.54</v>
      </c>
      <c r="D337" s="119">
        <v>2.39</v>
      </c>
      <c r="E337" s="119">
        <v>2.27</v>
      </c>
      <c r="F337" s="119">
        <v>2.17</v>
      </c>
      <c r="G337" s="119">
        <v>1.86</v>
      </c>
      <c r="H337" s="119">
        <v>1.42</v>
      </c>
      <c r="I337" s="81">
        <v>0</v>
      </c>
      <c r="J337" s="81">
        <v>0</v>
      </c>
      <c r="K337" s="81">
        <v>0</v>
      </c>
      <c r="L337" s="81">
        <v>0</v>
      </c>
      <c r="M337" t="s">
        <v>419</v>
      </c>
    </row>
    <row r="338" spans="1:16" ht="13" thickBot="1" x14ac:dyDescent="0.3">
      <c r="B338" t="s">
        <v>10</v>
      </c>
      <c r="C338" s="122">
        <v>0.93</v>
      </c>
      <c r="D338" s="122">
        <v>0.77</v>
      </c>
      <c r="E338" s="122">
        <v>0.59</v>
      </c>
      <c r="F338" s="122">
        <v>0.32</v>
      </c>
      <c r="G338" s="122">
        <v>0.03</v>
      </c>
      <c r="H338" s="122">
        <v>-0.08</v>
      </c>
      <c r="I338" s="81">
        <v>0</v>
      </c>
      <c r="J338" s="81">
        <v>0</v>
      </c>
      <c r="K338" s="81">
        <v>0</v>
      </c>
      <c r="L338" s="81">
        <v>0</v>
      </c>
      <c r="M338" t="s">
        <v>419</v>
      </c>
    </row>
    <row r="339" spans="1:16" ht="13" thickTop="1" x14ac:dyDescent="0.25">
      <c r="M339" s="123"/>
    </row>
    <row r="340" spans="1:16" x14ac:dyDescent="0.25">
      <c r="M340" s="123"/>
    </row>
    <row r="341" spans="1:16" ht="13" x14ac:dyDescent="0.3">
      <c r="A341" s="2" t="s">
        <v>463</v>
      </c>
      <c r="M341" s="123"/>
    </row>
    <row r="342" spans="1:16" x14ac:dyDescent="0.25">
      <c r="A342" t="str">
        <f>A276</f>
        <v>GDP growth rates:</v>
      </c>
      <c r="B342" t="str">
        <f>B276</f>
        <v>start</v>
      </c>
      <c r="C342">
        <f>Y_0</f>
        <v>2015</v>
      </c>
      <c r="D342">
        <f t="array" ref="D342:L342">Y</f>
        <v>2020</v>
      </c>
      <c r="E342">
        <v>2030</v>
      </c>
      <c r="F342">
        <v>2040</v>
      </c>
      <c r="G342">
        <v>2050</v>
      </c>
      <c r="H342">
        <v>2075</v>
      </c>
      <c r="I342">
        <v>2100</v>
      </c>
      <c r="J342">
        <v>2150</v>
      </c>
      <c r="K342">
        <v>2200</v>
      </c>
      <c r="L342">
        <v>2250</v>
      </c>
    </row>
    <row r="343" spans="1:16" ht="13" x14ac:dyDescent="0.3">
      <c r="B343" t="str">
        <f t="shared" ref="B343:B351" si="10">B277</f>
        <v>end</v>
      </c>
      <c r="C343">
        <f t="array" ref="C343:L343">Y</f>
        <v>2020</v>
      </c>
      <c r="D343">
        <v>2030</v>
      </c>
      <c r="E343">
        <v>2040</v>
      </c>
      <c r="F343">
        <v>2050</v>
      </c>
      <c r="G343">
        <v>2075</v>
      </c>
      <c r="H343">
        <v>2100</v>
      </c>
      <c r="I343">
        <v>2150</v>
      </c>
      <c r="J343">
        <v>2200</v>
      </c>
      <c r="K343">
        <v>2250</v>
      </c>
      <c r="L343">
        <v>2300</v>
      </c>
      <c r="P343" s="2"/>
    </row>
    <row r="344" spans="1:16" ht="13" x14ac:dyDescent="0.3">
      <c r="B344" t="str">
        <f t="shared" si="10"/>
        <v>EU</v>
      </c>
      <c r="C344" s="121">
        <v>1.84</v>
      </c>
      <c r="D344" s="121">
        <v>2.0299999999999998</v>
      </c>
      <c r="E344" s="121">
        <v>2.29</v>
      </c>
      <c r="F344" s="121">
        <v>2.42</v>
      </c>
      <c r="G344" s="121">
        <v>2.54</v>
      </c>
      <c r="H344" s="121">
        <v>2.52</v>
      </c>
      <c r="I344" s="81">
        <f>IF($H344 &gt; 0, $G344*EXP(-(0.5*(I$254+I$255) - 0.5*($H$254+$H$255)) / (($H$254-$G$254)/LN($G344/$H344))), $H344)</f>
        <v>2.5100591328480095</v>
      </c>
      <c r="J344" s="81">
        <f t="shared" ref="J344:L351" si="11">IF($H344 &gt; 0, $G344*EXP(-(0.5*(J$254+J$255) - 0.5*($H$254+$H$255)) / (($H$254-$G$254)/LN($G344/$H344))), $H344)</f>
        <v>2.4706862665444231</v>
      </c>
      <c r="K344" s="81">
        <f t="shared" si="11"/>
        <v>2.4319310042568829</v>
      </c>
      <c r="L344" s="81">
        <f t="shared" si="11"/>
        <v>2.3937836582294176</v>
      </c>
      <c r="M344" t="str">
        <f t="shared" ref="M344:M351" si="12">M278</f>
        <v>%/year</v>
      </c>
      <c r="P344" s="124" t="str">
        <f>P278</f>
        <v>The 2050-75 and 2075-2100 GDP growth values from Nigel Arnel are used to extrapolate into the 22nd and 23rd centuries (negative exponential)</v>
      </c>
    </row>
    <row r="345" spans="1:16" ht="13" x14ac:dyDescent="0.3">
      <c r="B345" t="str">
        <f t="shared" si="10"/>
        <v>US</v>
      </c>
      <c r="C345" s="119">
        <v>3.02</v>
      </c>
      <c r="D345" s="119">
        <v>2.58</v>
      </c>
      <c r="E345" s="119">
        <v>2.35</v>
      </c>
      <c r="F345" s="119">
        <v>2.4500000000000002</v>
      </c>
      <c r="G345" s="119">
        <v>2.65</v>
      </c>
      <c r="H345" s="119">
        <v>2.63</v>
      </c>
      <c r="I345" s="81">
        <f t="shared" ref="I345:I351" si="13">IF($H345 &gt; 0, $G345*EXP(-(0.5*(I$254+I$255) - 0.5*($H$254+$H$255)) / (($H$254-$G$254)/LN($G345/$H345))), $H345)</f>
        <v>2.6200566751755723</v>
      </c>
      <c r="J345" s="81">
        <f t="shared" si="11"/>
        <v>2.5806578877211694</v>
      </c>
      <c r="K345" s="81">
        <f t="shared" si="11"/>
        <v>2.5418515547993672</v>
      </c>
      <c r="L345" s="81">
        <f t="shared" si="11"/>
        <v>2.503628767446314</v>
      </c>
      <c r="M345" t="str">
        <f t="shared" si="12"/>
        <v>%/year</v>
      </c>
      <c r="P345" s="124"/>
    </row>
    <row r="346" spans="1:16" ht="13" x14ac:dyDescent="0.3">
      <c r="B346" t="str">
        <f t="shared" si="10"/>
        <v>OT</v>
      </c>
      <c r="C346" s="119">
        <v>2.4500000000000002</v>
      </c>
      <c r="D346" s="119">
        <v>2.4700000000000002</v>
      </c>
      <c r="E346" s="119">
        <v>2.37</v>
      </c>
      <c r="F346" s="119">
        <v>2.33</v>
      </c>
      <c r="G346" s="119">
        <v>2.27</v>
      </c>
      <c r="H346" s="119">
        <v>2.12</v>
      </c>
      <c r="I346" s="81">
        <f t="shared" si="13"/>
        <v>2.0487589452785877</v>
      </c>
      <c r="J346" s="81">
        <f t="shared" si="11"/>
        <v>1.7869437023152182</v>
      </c>
      <c r="K346" s="81">
        <f t="shared" si="11"/>
        <v>1.558586383528793</v>
      </c>
      <c r="L346" s="81">
        <f t="shared" si="11"/>
        <v>1.359411329956298</v>
      </c>
      <c r="M346" t="str">
        <f t="shared" si="12"/>
        <v>%/year</v>
      </c>
      <c r="P346" s="124" t="s">
        <v>596</v>
      </c>
    </row>
    <row r="347" spans="1:16" ht="13" x14ac:dyDescent="0.3">
      <c r="B347" t="str">
        <f t="shared" si="10"/>
        <v>EE</v>
      </c>
      <c r="C347" s="119">
        <v>4.83</v>
      </c>
      <c r="D347" s="119">
        <v>4.5599999999999996</v>
      </c>
      <c r="E347" s="119">
        <v>3.53</v>
      </c>
      <c r="F347" s="119">
        <v>2.11</v>
      </c>
      <c r="G347" s="119">
        <v>1.49</v>
      </c>
      <c r="H347" s="119">
        <v>1.22</v>
      </c>
      <c r="I347" s="81">
        <f t="shared" si="13"/>
        <v>1.1039429029102485</v>
      </c>
      <c r="J347" s="81">
        <f t="shared" si="11"/>
        <v>0.740105678434131</v>
      </c>
      <c r="K347" s="81">
        <f t="shared" si="11"/>
        <v>0.49618183495399343</v>
      </c>
      <c r="L347" s="81">
        <f t="shared" si="11"/>
        <v>0.33265035050021347</v>
      </c>
      <c r="M347" t="str">
        <f t="shared" si="12"/>
        <v>%/year</v>
      </c>
      <c r="P347" s="124" t="s">
        <v>597</v>
      </c>
    </row>
    <row r="348" spans="1:16" ht="13" x14ac:dyDescent="0.3">
      <c r="B348" t="str">
        <f t="shared" si="10"/>
        <v>CA</v>
      </c>
      <c r="C348" s="119">
        <v>9.89</v>
      </c>
      <c r="D348" s="119">
        <v>7.13</v>
      </c>
      <c r="E348" s="119">
        <v>4.17</v>
      </c>
      <c r="F348" s="119">
        <v>2.4500000000000002</v>
      </c>
      <c r="G348" s="119">
        <v>0.93</v>
      </c>
      <c r="H348" s="119">
        <v>0.35</v>
      </c>
      <c r="I348" s="81">
        <f t="shared" si="13"/>
        <v>0.21471411350359437</v>
      </c>
      <c r="J348" s="81">
        <f t="shared" si="11"/>
        <v>3.041100578585999E-2</v>
      </c>
      <c r="K348" s="81">
        <f t="shared" si="11"/>
        <v>4.307258883995661E-3</v>
      </c>
      <c r="L348" s="81">
        <f t="shared" si="11"/>
        <v>6.100580567573921E-4</v>
      </c>
      <c r="M348" t="str">
        <f t="shared" si="12"/>
        <v>%/year</v>
      </c>
      <c r="P348" s="124" t="s">
        <v>599</v>
      </c>
    </row>
    <row r="349" spans="1:16" ht="13" x14ac:dyDescent="0.3">
      <c r="B349" t="str">
        <f t="shared" si="10"/>
        <v>IA</v>
      </c>
      <c r="C349" s="119">
        <v>7.12</v>
      </c>
      <c r="D349" s="119">
        <v>6.89</v>
      </c>
      <c r="E349" s="119">
        <v>5.91</v>
      </c>
      <c r="F349" s="119">
        <v>4.76</v>
      </c>
      <c r="G349" s="119">
        <v>3.23</v>
      </c>
      <c r="H349" s="119">
        <v>1.89</v>
      </c>
      <c r="I349" s="81">
        <f t="shared" si="13"/>
        <v>1.4457441547489347</v>
      </c>
      <c r="J349" s="81">
        <f t="shared" si="11"/>
        <v>0.49500548219370155</v>
      </c>
      <c r="K349" s="81">
        <f t="shared" si="11"/>
        <v>0.16948394817779541</v>
      </c>
      <c r="L349" s="81">
        <f t="shared" si="11"/>
        <v>5.8029273863058499E-2</v>
      </c>
      <c r="M349" t="str">
        <f t="shared" si="12"/>
        <v>%/year</v>
      </c>
      <c r="P349" s="124" t="s">
        <v>598</v>
      </c>
    </row>
    <row r="350" spans="1:16" x14ac:dyDescent="0.25">
      <c r="B350" t="str">
        <f t="shared" si="10"/>
        <v>AF</v>
      </c>
      <c r="C350" s="119">
        <v>4.8600000000000003</v>
      </c>
      <c r="D350" s="119">
        <v>5.39</v>
      </c>
      <c r="E350" s="119">
        <v>5.86</v>
      </c>
      <c r="F350" s="119">
        <v>5.63</v>
      </c>
      <c r="G350" s="119">
        <v>5.03</v>
      </c>
      <c r="H350" s="119">
        <v>3.68</v>
      </c>
      <c r="I350" s="81">
        <f t="shared" si="13"/>
        <v>3.1476594226431605</v>
      </c>
      <c r="J350" s="81">
        <f t="shared" si="11"/>
        <v>1.6847963102183214</v>
      </c>
      <c r="K350" s="81">
        <f t="shared" si="11"/>
        <v>0.90179343626118413</v>
      </c>
      <c r="L350" s="81">
        <f t="shared" si="11"/>
        <v>0.48268826133550419</v>
      </c>
      <c r="M350" t="str">
        <f t="shared" si="12"/>
        <v>%/year</v>
      </c>
    </row>
    <row r="351" spans="1:16" ht="13" thickBot="1" x14ac:dyDescent="0.3">
      <c r="B351" t="str">
        <f t="shared" si="10"/>
        <v>LA</v>
      </c>
      <c r="C351" s="122">
        <v>4.04</v>
      </c>
      <c r="D351" s="122">
        <v>4.1100000000000003</v>
      </c>
      <c r="E351" s="122">
        <v>3.92</v>
      </c>
      <c r="F351" s="122">
        <v>3.47</v>
      </c>
      <c r="G351" s="122">
        <v>2.81</v>
      </c>
      <c r="H351" s="122">
        <v>2.02</v>
      </c>
      <c r="I351" s="81">
        <f t="shared" si="13"/>
        <v>1.7126708034934182</v>
      </c>
      <c r="J351" s="81">
        <f t="shared" si="11"/>
        <v>0.88504222927452103</v>
      </c>
      <c r="K351" s="81">
        <f t="shared" si="11"/>
        <v>0.4573556961451547</v>
      </c>
      <c r="L351" s="81">
        <f t="shared" si="11"/>
        <v>0.23634378776240036</v>
      </c>
      <c r="M351" t="str">
        <f t="shared" si="12"/>
        <v>%/year</v>
      </c>
    </row>
    <row r="352" spans="1:16" ht="13.5" thickTop="1" x14ac:dyDescent="0.3">
      <c r="A352" t="str">
        <f>A286</f>
        <v>Pop growth rates:</v>
      </c>
      <c r="P352" s="2"/>
    </row>
    <row r="353" spans="1:17" ht="13" x14ac:dyDescent="0.3">
      <c r="B353" t="str">
        <f t="shared" ref="B353:B360" si="14">B287</f>
        <v>EU</v>
      </c>
      <c r="C353" s="121">
        <v>0.45</v>
      </c>
      <c r="D353" s="121">
        <v>0.47</v>
      </c>
      <c r="E353" s="121">
        <v>0.4</v>
      </c>
      <c r="F353" s="121">
        <v>0.4</v>
      </c>
      <c r="G353" s="121">
        <v>0.3</v>
      </c>
      <c r="H353" s="121">
        <v>0.25</v>
      </c>
      <c r="I353" s="81">
        <v>0</v>
      </c>
      <c r="J353" s="81">
        <v>0</v>
      </c>
      <c r="K353" s="81">
        <v>0</v>
      </c>
      <c r="L353" s="81">
        <v>0</v>
      </c>
      <c r="M353" t="str">
        <f t="shared" ref="M353:M360" si="15">M287</f>
        <v>%/year</v>
      </c>
      <c r="P353" s="124" t="str">
        <f>P287</f>
        <v>Pop growth rates kept equal to zero in the 22nd and 23rd centuries</v>
      </c>
    </row>
    <row r="354" spans="1:17" x14ac:dyDescent="0.25">
      <c r="B354" t="str">
        <f t="shared" si="14"/>
        <v>US</v>
      </c>
      <c r="C354" s="119">
        <v>1.1200000000000001</v>
      </c>
      <c r="D354" s="119">
        <v>1.17</v>
      </c>
      <c r="E354" s="119">
        <v>1.07</v>
      </c>
      <c r="F354" s="119">
        <v>1.03</v>
      </c>
      <c r="G354" s="119">
        <v>0.91</v>
      </c>
      <c r="H354" s="119">
        <v>0.63</v>
      </c>
      <c r="I354" s="81">
        <v>0</v>
      </c>
      <c r="J354" s="81">
        <v>0</v>
      </c>
      <c r="K354" s="81">
        <v>0</v>
      </c>
      <c r="L354" s="81">
        <v>0</v>
      </c>
      <c r="M354" t="str">
        <f t="shared" si="15"/>
        <v>%/year</v>
      </c>
    </row>
    <row r="355" spans="1:17" x14ac:dyDescent="0.25">
      <c r="B355" t="str">
        <f t="shared" si="14"/>
        <v>OT</v>
      </c>
      <c r="C355" s="119">
        <v>0.56000000000000005</v>
      </c>
      <c r="D355" s="119">
        <v>0.47</v>
      </c>
      <c r="E355" s="119">
        <v>0.31</v>
      </c>
      <c r="F355" s="119">
        <v>0.24</v>
      </c>
      <c r="G355" s="119">
        <v>0.05</v>
      </c>
      <c r="H355" s="119">
        <v>-0.09</v>
      </c>
      <c r="I355" s="81">
        <v>0</v>
      </c>
      <c r="J355" s="81">
        <v>0</v>
      </c>
      <c r="K355" s="81">
        <v>0</v>
      </c>
      <c r="L355" s="81">
        <v>0</v>
      </c>
      <c r="M355" t="str">
        <f t="shared" si="15"/>
        <v>%/year</v>
      </c>
    </row>
    <row r="356" spans="1:17" x14ac:dyDescent="0.25">
      <c r="B356" t="str">
        <f t="shared" si="14"/>
        <v>EE</v>
      </c>
      <c r="C356" s="119">
        <v>-0.06</v>
      </c>
      <c r="D356" s="119">
        <v>-0.25</v>
      </c>
      <c r="E356" s="119">
        <v>-0.34</v>
      </c>
      <c r="F356" s="119">
        <v>-0.47</v>
      </c>
      <c r="G356" s="119">
        <v>-0.73</v>
      </c>
      <c r="H356" s="119">
        <v>-0.85</v>
      </c>
      <c r="I356" s="81">
        <v>0</v>
      </c>
      <c r="J356" s="81">
        <v>0</v>
      </c>
      <c r="K356" s="81">
        <v>0</v>
      </c>
      <c r="L356" s="81">
        <v>0</v>
      </c>
      <c r="M356" t="str">
        <f t="shared" si="15"/>
        <v>%/year</v>
      </c>
    </row>
    <row r="357" spans="1:17" x14ac:dyDescent="0.25">
      <c r="B357" t="str">
        <f t="shared" si="14"/>
        <v>CA</v>
      </c>
      <c r="C357" s="119">
        <v>0.17</v>
      </c>
      <c r="D357" s="119">
        <v>-0.1</v>
      </c>
      <c r="E357" s="119">
        <v>-0.39</v>
      </c>
      <c r="F357" s="119">
        <v>-0.71</v>
      </c>
      <c r="G357" s="119">
        <v>-1.1399999999999999</v>
      </c>
      <c r="H357" s="119">
        <v>-1.48</v>
      </c>
      <c r="I357" s="81">
        <v>0</v>
      </c>
      <c r="J357" s="81">
        <v>0</v>
      </c>
      <c r="K357" s="81">
        <v>0</v>
      </c>
      <c r="L357" s="81">
        <v>0</v>
      </c>
      <c r="M357" t="str">
        <f t="shared" si="15"/>
        <v>%/year</v>
      </c>
    </row>
    <row r="358" spans="1:17" x14ac:dyDescent="0.25">
      <c r="B358" t="str">
        <f t="shared" si="14"/>
        <v>IA</v>
      </c>
      <c r="C358" s="119">
        <v>0.91</v>
      </c>
      <c r="D358" s="119">
        <v>0.63</v>
      </c>
      <c r="E358" s="119">
        <v>0.36</v>
      </c>
      <c r="F358" s="119">
        <v>0.08</v>
      </c>
      <c r="G358" s="119">
        <v>-0.37</v>
      </c>
      <c r="H358" s="119">
        <v>-0.84</v>
      </c>
      <c r="I358" s="81">
        <v>0</v>
      </c>
      <c r="J358" s="81">
        <v>0</v>
      </c>
      <c r="K358" s="81">
        <v>0</v>
      </c>
      <c r="L358" s="81">
        <v>0</v>
      </c>
      <c r="M358" t="str">
        <f t="shared" si="15"/>
        <v>%/year</v>
      </c>
    </row>
    <row r="359" spans="1:17" x14ac:dyDescent="0.25">
      <c r="B359" t="str">
        <f t="shared" si="14"/>
        <v>AF</v>
      </c>
      <c r="C359" s="119">
        <v>1.75</v>
      </c>
      <c r="D359" s="119">
        <v>1.48</v>
      </c>
      <c r="E359" s="119">
        <v>1.28</v>
      </c>
      <c r="F359" s="119">
        <v>1.01</v>
      </c>
      <c r="G359" s="119">
        <v>0.61</v>
      </c>
      <c r="H359" s="119">
        <v>0.1</v>
      </c>
      <c r="I359" s="81">
        <v>0</v>
      </c>
      <c r="J359" s="81">
        <v>0</v>
      </c>
      <c r="K359" s="81">
        <v>0</v>
      </c>
      <c r="L359" s="81">
        <v>0</v>
      </c>
      <c r="M359" t="str">
        <f t="shared" si="15"/>
        <v>%/year</v>
      </c>
    </row>
    <row r="360" spans="1:17" ht="13" thickBot="1" x14ac:dyDescent="0.3">
      <c r="B360" t="str">
        <f t="shared" si="14"/>
        <v>LA</v>
      </c>
      <c r="C360" s="122">
        <v>0.73</v>
      </c>
      <c r="D360" s="122">
        <v>0.52</v>
      </c>
      <c r="E360" s="122">
        <v>0.28999999999999998</v>
      </c>
      <c r="F360" s="122">
        <v>0</v>
      </c>
      <c r="G360" s="122">
        <v>-0.32</v>
      </c>
      <c r="H360" s="122">
        <v>-0.69</v>
      </c>
      <c r="I360" s="81">
        <v>0</v>
      </c>
      <c r="J360" s="81">
        <v>0</v>
      </c>
      <c r="K360" s="81">
        <v>0</v>
      </c>
      <c r="L360" s="81">
        <v>0</v>
      </c>
      <c r="M360" t="str">
        <f t="shared" si="15"/>
        <v>%/year</v>
      </c>
    </row>
    <row r="361" spans="1:17" ht="13" thickTop="1" x14ac:dyDescent="0.25"/>
    <row r="363" spans="1:17" ht="13" x14ac:dyDescent="0.3">
      <c r="A363" s="2" t="s">
        <v>654</v>
      </c>
    </row>
    <row r="364" spans="1:17" ht="13" x14ac:dyDescent="0.3">
      <c r="A364" s="2" t="s">
        <v>650</v>
      </c>
      <c r="M364" s="123"/>
    </row>
    <row r="365" spans="1:17" x14ac:dyDescent="0.25">
      <c r="A365" t="str">
        <f>A342</f>
        <v>GDP growth rates:</v>
      </c>
      <c r="B365" t="str">
        <f>B342</f>
        <v>start</v>
      </c>
      <c r="C365">
        <f>Y_0</f>
        <v>2015</v>
      </c>
      <c r="D365">
        <f t="array" ref="D365:L365">Y</f>
        <v>2020</v>
      </c>
      <c r="E365">
        <v>2030</v>
      </c>
      <c r="F365">
        <v>2040</v>
      </c>
      <c r="G365">
        <v>2050</v>
      </c>
      <c r="H365">
        <v>2075</v>
      </c>
      <c r="I365">
        <v>2100</v>
      </c>
      <c r="J365">
        <v>2150</v>
      </c>
      <c r="K365">
        <v>2200</v>
      </c>
      <c r="L365">
        <v>2250</v>
      </c>
    </row>
    <row r="366" spans="1:17" x14ac:dyDescent="0.25">
      <c r="B366" t="str">
        <f t="shared" ref="B366:B374" si="16">B343</f>
        <v>end</v>
      </c>
      <c r="C366">
        <f t="array" ref="C366:L366">Y</f>
        <v>2020</v>
      </c>
      <c r="D366">
        <v>2030</v>
      </c>
      <c r="E366">
        <v>2040</v>
      </c>
      <c r="F366">
        <v>2050</v>
      </c>
      <c r="G366">
        <v>2075</v>
      </c>
      <c r="H366">
        <v>2100</v>
      </c>
      <c r="I366">
        <v>2150</v>
      </c>
      <c r="J366">
        <v>2200</v>
      </c>
      <c r="K366">
        <v>2250</v>
      </c>
      <c r="L366">
        <v>2300</v>
      </c>
    </row>
    <row r="367" spans="1:17" ht="13" x14ac:dyDescent="0.3">
      <c r="B367" t="str">
        <f t="shared" si="16"/>
        <v>EU</v>
      </c>
      <c r="C367" s="121">
        <f t="array" ref="C367:L374">(SSP2_GDP_RATE + SSP3_GDP_RATE + SSP4_GDP_RATE)/3</f>
        <v>1.43</v>
      </c>
      <c r="D367" s="121">
        <v>1.06</v>
      </c>
      <c r="E367" s="121">
        <v>0.89</v>
      </c>
      <c r="F367" s="121">
        <v>0.66</v>
      </c>
      <c r="G367" s="121">
        <v>0.51333333333333331</v>
      </c>
      <c r="H367" s="121">
        <v>0.45999999999999996</v>
      </c>
      <c r="I367" s="81">
        <v>0.42993770504227574</v>
      </c>
      <c r="J367" s="81">
        <v>0.32801748029195116</v>
      </c>
      <c r="K367" s="81">
        <v>0.24966431266733047</v>
      </c>
      <c r="L367" s="81">
        <v>0.18891958951122875</v>
      </c>
      <c r="M367" t="str">
        <f t="shared" ref="M367:M374" si="17">M344</f>
        <v>%/year</v>
      </c>
      <c r="P367" s="128" t="s">
        <v>659</v>
      </c>
      <c r="Q367" s="124"/>
    </row>
    <row r="368" spans="1:17" ht="13" x14ac:dyDescent="0.3">
      <c r="B368" t="str">
        <f t="shared" si="16"/>
        <v>US</v>
      </c>
      <c r="C368" s="119">
        <v>2.3800000000000003</v>
      </c>
      <c r="D368" s="119">
        <v>1.6166666666666665</v>
      </c>
      <c r="E368" s="119">
        <v>1.0266666666666666</v>
      </c>
      <c r="F368" s="119">
        <v>0.71666666666666667</v>
      </c>
      <c r="G368" s="119">
        <v>0.56666666666666676</v>
      </c>
      <c r="H368" s="119">
        <v>0.45333333333333331</v>
      </c>
      <c r="I368" s="81">
        <v>0.42460796412491036</v>
      </c>
      <c r="J368" s="81">
        <v>0.32630628227299824</v>
      </c>
      <c r="K368" s="81">
        <v>0.24953912695757671</v>
      </c>
      <c r="L368" s="81">
        <v>0.18905708391028261</v>
      </c>
      <c r="M368" t="str">
        <f t="shared" si="17"/>
        <v>%/year</v>
      </c>
      <c r="P368" s="128"/>
    </row>
    <row r="369" spans="1:17" ht="13" x14ac:dyDescent="0.3">
      <c r="B369" t="str">
        <f t="shared" si="16"/>
        <v>OT</v>
      </c>
      <c r="C369" s="119">
        <v>1.8833333333333331</v>
      </c>
      <c r="D369" s="119">
        <v>1.4333333333333333</v>
      </c>
      <c r="E369" s="119">
        <v>1.0233333333333332</v>
      </c>
      <c r="F369" s="119">
        <v>0.76333333333333331</v>
      </c>
      <c r="G369" s="119">
        <v>0.54999999999999993</v>
      </c>
      <c r="H369" s="119">
        <v>0.40666666666666673</v>
      </c>
      <c r="I369" s="81">
        <v>0.35140630166150166</v>
      </c>
      <c r="J369" s="81">
        <v>0.20180510202307159</v>
      </c>
      <c r="K369" s="81">
        <v>0.12058399618942238</v>
      </c>
      <c r="L369" s="81">
        <v>7.4207076052494436E-2</v>
      </c>
      <c r="M369" t="str">
        <f t="shared" si="17"/>
        <v>%/year</v>
      </c>
      <c r="P369" s="128"/>
    </row>
    <row r="370" spans="1:17" ht="13" x14ac:dyDescent="0.3">
      <c r="B370" t="str">
        <f t="shared" si="16"/>
        <v>EE</v>
      </c>
      <c r="C370" s="119">
        <v>3.5333333333333332</v>
      </c>
      <c r="D370" s="119">
        <v>3.0833333333333335</v>
      </c>
      <c r="E370" s="119">
        <v>2.4266666666666663</v>
      </c>
      <c r="F370" s="119">
        <v>1.2700000000000002</v>
      </c>
      <c r="G370" s="119">
        <v>1.0066666666666666</v>
      </c>
      <c r="H370" s="119">
        <v>0.95666666666666667</v>
      </c>
      <c r="I370" s="81">
        <v>0.96122895622354287</v>
      </c>
      <c r="J370" s="81">
        <v>1.1790020445985709</v>
      </c>
      <c r="K370" s="81">
        <v>1.7788024471756243</v>
      </c>
      <c r="L370" s="81">
        <v>2.9519347851122721</v>
      </c>
      <c r="M370" t="str">
        <f t="shared" si="17"/>
        <v>%/year</v>
      </c>
      <c r="P370" s="128"/>
    </row>
    <row r="371" spans="1:17" ht="13" x14ac:dyDescent="0.3">
      <c r="B371" t="str">
        <f t="shared" si="16"/>
        <v>CA</v>
      </c>
      <c r="C371" s="119">
        <v>7.6366666666666667</v>
      </c>
      <c r="D371" s="119">
        <v>5.0566666666666666</v>
      </c>
      <c r="E371" s="119">
        <v>3.06</v>
      </c>
      <c r="F371" s="119">
        <v>1.82</v>
      </c>
      <c r="G371" s="119">
        <v>0.61</v>
      </c>
      <c r="H371" s="119">
        <v>9.0000000000000011E-2</v>
      </c>
      <c r="I371" s="81">
        <v>3.2981513926788386E-2</v>
      </c>
      <c r="J371" s="81">
        <v>-7.0282123728281007E-2</v>
      </c>
      <c r="K371" s="81">
        <v>-0.11447530969400471</v>
      </c>
      <c r="L371" s="81">
        <v>-0.13599577317615733</v>
      </c>
      <c r="M371" t="str">
        <f t="shared" si="17"/>
        <v>%/year</v>
      </c>
      <c r="P371" s="128"/>
    </row>
    <row r="372" spans="1:17" ht="13" x14ac:dyDescent="0.3">
      <c r="B372" t="str">
        <f t="shared" si="16"/>
        <v>IA</v>
      </c>
      <c r="C372" s="119">
        <v>5.91</v>
      </c>
      <c r="D372" s="119">
        <v>5.07</v>
      </c>
      <c r="E372" s="119">
        <v>4.2666666666666666</v>
      </c>
      <c r="F372" s="119">
        <v>3.4333333333333336</v>
      </c>
      <c r="G372" s="119">
        <v>2.3566666666666669</v>
      </c>
      <c r="H372" s="119">
        <v>1.43</v>
      </c>
      <c r="I372" s="81">
        <v>1.1279077162998481</v>
      </c>
      <c r="J372" s="81">
        <v>0.47440817542396879</v>
      </c>
      <c r="K372" s="81">
        <v>0.22477487366767265</v>
      </c>
      <c r="L372" s="81">
        <v>0.11626318505666063</v>
      </c>
      <c r="M372" t="str">
        <f t="shared" si="17"/>
        <v>%/year</v>
      </c>
      <c r="P372" s="128"/>
    </row>
    <row r="373" spans="1:17" ht="13" x14ac:dyDescent="0.3">
      <c r="B373" t="str">
        <f t="shared" si="16"/>
        <v>AF</v>
      </c>
      <c r="C373" s="119">
        <v>4.3500000000000005</v>
      </c>
      <c r="D373" s="119">
        <v>3.9899999999999998</v>
      </c>
      <c r="E373" s="119">
        <v>4.0166666666666666</v>
      </c>
      <c r="F373" s="119">
        <v>3.7766666666666668</v>
      </c>
      <c r="G373" s="119">
        <v>3.6833333333333336</v>
      </c>
      <c r="H373" s="119">
        <v>3.4000000000000004</v>
      </c>
      <c r="I373" s="81">
        <v>3.2823141742046449</v>
      </c>
      <c r="J373" s="81">
        <v>2.9363420662518682</v>
      </c>
      <c r="K373" s="81">
        <v>2.7365876525994381</v>
      </c>
      <c r="L373" s="81">
        <v>2.6331920241325393</v>
      </c>
      <c r="M373" t="str">
        <f t="shared" si="17"/>
        <v>%/year</v>
      </c>
      <c r="P373" s="128"/>
    </row>
    <row r="374" spans="1:17" ht="13.5" thickBot="1" x14ac:dyDescent="0.35">
      <c r="B374" t="str">
        <f t="shared" si="16"/>
        <v>LA</v>
      </c>
      <c r="C374" s="122">
        <v>3.5500000000000003</v>
      </c>
      <c r="D374" s="122">
        <v>2.9966666666666666</v>
      </c>
      <c r="E374" s="122">
        <v>2.7000000000000006</v>
      </c>
      <c r="F374" s="122">
        <v>2.4</v>
      </c>
      <c r="G374" s="122">
        <v>2.0299999999999998</v>
      </c>
      <c r="H374" s="122">
        <v>1.55</v>
      </c>
      <c r="I374" s="81">
        <v>1.3637907161485421</v>
      </c>
      <c r="J374" s="81">
        <v>0.85784854305141167</v>
      </c>
      <c r="K374" s="81">
        <v>0.58231391796015519</v>
      </c>
      <c r="L374" s="81">
        <v>0.42236201431304471</v>
      </c>
      <c r="M374" t="str">
        <f t="shared" si="17"/>
        <v>%/year</v>
      </c>
      <c r="P374" s="128"/>
    </row>
    <row r="375" spans="1:17" ht="13.5" thickTop="1" x14ac:dyDescent="0.3">
      <c r="A375" t="str">
        <f>A352</f>
        <v>Pop growth rates:</v>
      </c>
      <c r="P375" s="128"/>
    </row>
    <row r="376" spans="1:17" ht="13" x14ac:dyDescent="0.3">
      <c r="B376" t="str">
        <f t="shared" ref="B376:B383" si="18">B353</f>
        <v>EU</v>
      </c>
      <c r="C376" s="121">
        <f t="array" ref="C376:L383">(SSP2_POP_RATE + SSP3_POP_RATE + SSP4_POP_RATE)/3</f>
        <v>-1.9999999999999993E-2</v>
      </c>
      <c r="D376" s="121">
        <v>-0.17666666666666667</v>
      </c>
      <c r="E376" s="121">
        <v>-0.32333333333333331</v>
      </c>
      <c r="F376" s="121">
        <v>-0.47666666666666674</v>
      </c>
      <c r="G376" s="121">
        <v>-0.68666666666666665</v>
      </c>
      <c r="H376" s="121">
        <v>-0.69666666666666666</v>
      </c>
      <c r="I376" s="81">
        <v>0</v>
      </c>
      <c r="J376" s="81">
        <v>0</v>
      </c>
      <c r="K376" s="81">
        <v>0</v>
      </c>
      <c r="L376" s="81">
        <v>0</v>
      </c>
      <c r="M376" t="str">
        <f t="shared" ref="M376:M383" si="19">M353</f>
        <v>%/year</v>
      </c>
      <c r="P376" s="128" t="s">
        <v>659</v>
      </c>
      <c r="Q376" s="124"/>
    </row>
    <row r="377" spans="1:17" ht="13" x14ac:dyDescent="0.3">
      <c r="B377" t="str">
        <f t="shared" si="18"/>
        <v>US</v>
      </c>
      <c r="C377" s="119">
        <v>0.5</v>
      </c>
      <c r="D377" s="119">
        <v>0.34</v>
      </c>
      <c r="E377" s="119">
        <v>0.18000000000000002</v>
      </c>
      <c r="F377" s="119">
        <v>-6.6666666666666723E-3</v>
      </c>
      <c r="G377" s="119">
        <v>-0.19333333333333336</v>
      </c>
      <c r="H377" s="119">
        <v>-0.45</v>
      </c>
      <c r="I377" s="81">
        <v>0</v>
      </c>
      <c r="J377" s="81">
        <v>0</v>
      </c>
      <c r="K377" s="81">
        <v>0</v>
      </c>
      <c r="L377" s="81">
        <v>0</v>
      </c>
      <c r="M377" t="str">
        <f t="shared" si="19"/>
        <v>%/year</v>
      </c>
      <c r="P377" s="128"/>
    </row>
    <row r="378" spans="1:17" x14ac:dyDescent="0.25">
      <c r="B378" t="str">
        <f t="shared" si="18"/>
        <v>OT</v>
      </c>
      <c r="C378" s="119">
        <v>0.28333333333333333</v>
      </c>
      <c r="D378" s="119">
        <v>0.06</v>
      </c>
      <c r="E378" s="119">
        <v>-0.16</v>
      </c>
      <c r="F378" s="119">
        <v>-0.32333333333333331</v>
      </c>
      <c r="G378" s="119">
        <v>-0.56333333333333335</v>
      </c>
      <c r="H378" s="119">
        <v>-0.67666666666666675</v>
      </c>
      <c r="I378" s="81">
        <v>0</v>
      </c>
      <c r="J378" s="81">
        <v>0</v>
      </c>
      <c r="K378" s="81">
        <v>0</v>
      </c>
      <c r="L378" s="81">
        <v>0</v>
      </c>
      <c r="M378" t="str">
        <f t="shared" si="19"/>
        <v>%/year</v>
      </c>
    </row>
    <row r="379" spans="1:17" x14ac:dyDescent="0.25">
      <c r="B379" t="str">
        <f t="shared" si="18"/>
        <v>EE</v>
      </c>
      <c r="C379" s="119">
        <v>0.10999999999999999</v>
      </c>
      <c r="D379" s="119">
        <v>-7.3333333333333348E-2</v>
      </c>
      <c r="E379" s="119">
        <v>-0.15333333333333332</v>
      </c>
      <c r="F379" s="119">
        <v>-0.17</v>
      </c>
      <c r="G379" s="119">
        <v>-0.32333333333333331</v>
      </c>
      <c r="H379" s="119">
        <v>-0.28666666666666668</v>
      </c>
      <c r="I379" s="81">
        <v>0</v>
      </c>
      <c r="J379" s="81">
        <v>0</v>
      </c>
      <c r="K379" s="81">
        <v>0</v>
      </c>
      <c r="L379" s="81">
        <v>0</v>
      </c>
      <c r="M379" t="str">
        <f t="shared" si="19"/>
        <v>%/year</v>
      </c>
    </row>
    <row r="380" spans="1:17" x14ac:dyDescent="0.25">
      <c r="B380" t="str">
        <f t="shared" si="18"/>
        <v>CA</v>
      </c>
      <c r="C380" s="119">
        <v>0.35000000000000003</v>
      </c>
      <c r="D380" s="119">
        <v>7.3333333333333334E-2</v>
      </c>
      <c r="E380" s="119">
        <v>-0.24</v>
      </c>
      <c r="F380" s="119">
        <v>-0.51</v>
      </c>
      <c r="G380" s="119">
        <v>-0.83000000000000007</v>
      </c>
      <c r="H380" s="119">
        <v>-0.93333333333333324</v>
      </c>
      <c r="I380" s="81">
        <v>0</v>
      </c>
      <c r="J380" s="81">
        <v>0</v>
      </c>
      <c r="K380" s="81">
        <v>0</v>
      </c>
      <c r="L380" s="81">
        <v>0</v>
      </c>
      <c r="M380" t="str">
        <f t="shared" si="19"/>
        <v>%/year</v>
      </c>
    </row>
    <row r="381" spans="1:17" x14ac:dyDescent="0.25">
      <c r="B381" t="str">
        <f t="shared" si="18"/>
        <v>IA</v>
      </c>
      <c r="C381" s="119">
        <v>1.27</v>
      </c>
      <c r="D381" s="119">
        <v>0.9966666666666667</v>
      </c>
      <c r="E381" s="119">
        <v>0.69666666666666666</v>
      </c>
      <c r="F381" s="119">
        <v>0.47333333333333338</v>
      </c>
      <c r="G381" s="119">
        <v>8.3333333333333329E-2</v>
      </c>
      <c r="H381" s="119">
        <v>-0.22</v>
      </c>
      <c r="I381" s="81">
        <v>0</v>
      </c>
      <c r="J381" s="81">
        <v>0</v>
      </c>
      <c r="K381" s="81">
        <v>0</v>
      </c>
      <c r="L381" s="81">
        <v>0</v>
      </c>
      <c r="M381" t="str">
        <f t="shared" si="19"/>
        <v>%/year</v>
      </c>
    </row>
    <row r="382" spans="1:17" x14ac:dyDescent="0.25">
      <c r="B382" t="str">
        <f t="shared" si="18"/>
        <v>AF</v>
      </c>
      <c r="C382" s="119">
        <v>2.4466666666666668</v>
      </c>
      <c r="D382" s="119">
        <v>2.25</v>
      </c>
      <c r="E382" s="119">
        <v>2.0700000000000003</v>
      </c>
      <c r="F382" s="119">
        <v>1.9366666666666665</v>
      </c>
      <c r="G382" s="119">
        <v>1.5833333333333333</v>
      </c>
      <c r="H382" s="119">
        <v>1.1333333333333333</v>
      </c>
      <c r="I382" s="81">
        <v>0</v>
      </c>
      <c r="J382" s="81">
        <v>0</v>
      </c>
      <c r="K382" s="81">
        <v>0</v>
      </c>
      <c r="L382" s="81">
        <v>0</v>
      </c>
      <c r="M382" t="str">
        <f t="shared" si="19"/>
        <v>%/year</v>
      </c>
    </row>
    <row r="383" spans="1:17" ht="13" thickBot="1" x14ac:dyDescent="0.3">
      <c r="B383" t="str">
        <f t="shared" si="18"/>
        <v>LA</v>
      </c>
      <c r="C383" s="122">
        <v>1.1400000000000001</v>
      </c>
      <c r="D383" s="122">
        <v>0.98333333333333339</v>
      </c>
      <c r="E383" s="122">
        <v>0.77</v>
      </c>
      <c r="F383" s="122">
        <v>0.53</v>
      </c>
      <c r="G383" s="122">
        <v>0.2466666666666667</v>
      </c>
      <c r="H383" s="122">
        <v>7.6666666666666675E-2</v>
      </c>
      <c r="I383" s="81">
        <v>0</v>
      </c>
      <c r="J383" s="81">
        <v>0</v>
      </c>
      <c r="K383" s="81">
        <v>0</v>
      </c>
      <c r="L383" s="81">
        <v>0</v>
      </c>
      <c r="M383" t="str">
        <f t="shared" si="19"/>
        <v>%/year</v>
      </c>
    </row>
    <row r="384" spans="1:17" ht="13" thickTop="1" x14ac:dyDescent="0.25"/>
    <row r="386" spans="1:26" ht="13" x14ac:dyDescent="0.3">
      <c r="A386" s="2" t="s">
        <v>1036</v>
      </c>
    </row>
    <row r="387" spans="1:26" x14ac:dyDescent="0.25">
      <c r="A387" t="str">
        <f t="shared" ref="A387:B387" si="20">A365</f>
        <v>GDP growth rates:</v>
      </c>
      <c r="B387" t="str">
        <f t="shared" si="20"/>
        <v>start</v>
      </c>
      <c r="C387">
        <f>Y_0</f>
        <v>2015</v>
      </c>
      <c r="D387">
        <f t="array" ref="D387:L387">Y</f>
        <v>2020</v>
      </c>
      <c r="E387">
        <v>2030</v>
      </c>
      <c r="F387">
        <v>2040</v>
      </c>
      <c r="G387">
        <v>2050</v>
      </c>
      <c r="H387">
        <v>2075</v>
      </c>
      <c r="I387">
        <v>2100</v>
      </c>
      <c r="J387">
        <v>2150</v>
      </c>
      <c r="K387">
        <v>2200</v>
      </c>
      <c r="L387">
        <v>2250</v>
      </c>
    </row>
    <row r="388" spans="1:26" x14ac:dyDescent="0.25">
      <c r="B388" t="str">
        <f t="shared" ref="B388" si="21">B366</f>
        <v>end</v>
      </c>
      <c r="C388">
        <f t="array" ref="C388:L388">Y</f>
        <v>2020</v>
      </c>
      <c r="D388">
        <v>2030</v>
      </c>
      <c r="E388">
        <v>2040</v>
      </c>
      <c r="F388">
        <v>2050</v>
      </c>
      <c r="G388">
        <v>2075</v>
      </c>
      <c r="H388">
        <v>2100</v>
      </c>
      <c r="I388">
        <v>2150</v>
      </c>
      <c r="J388">
        <v>2200</v>
      </c>
      <c r="K388">
        <v>2250</v>
      </c>
      <c r="L388">
        <v>2300</v>
      </c>
    </row>
    <row r="389" spans="1:26" ht="13" x14ac:dyDescent="0.3">
      <c r="B389" t="str">
        <f t="shared" ref="B389" si="22">B367</f>
        <v>EU</v>
      </c>
      <c r="C389" s="121">
        <f t="array" ref="C389:L396" xml:space="preserve"> SSP1_GDP_RATE * (0.25*((1 - WEIGHT_SCENARIOS/100)^2)) + SSP234_GDP_RATE * (0.5*(1 - (WEIGHT_SCENARIOS/100)^2)) +  SSP5_GDP_RATE * (0.25*((1 + WEIGHT_SCENARIOS/100)^2))</f>
        <v>1.5825</v>
      </c>
      <c r="D389" s="121">
        <v>1.4275</v>
      </c>
      <c r="E389" s="121">
        <v>1.4375</v>
      </c>
      <c r="F389" s="121">
        <v>1.34</v>
      </c>
      <c r="G389" s="121">
        <v>1.2691666666666666</v>
      </c>
      <c r="H389" s="121">
        <v>1.2025000000000001</v>
      </c>
      <c r="I389" s="81">
        <v>1.1687200129829185</v>
      </c>
      <c r="J389" s="81">
        <v>1.0502268865198601</v>
      </c>
      <c r="K389" s="81">
        <v>0.95387322743202341</v>
      </c>
      <c r="L389" s="81">
        <v>0.87487332515090244</v>
      </c>
      <c r="M389" t="str">
        <f t="shared" ref="M389:M396" si="23">M367</f>
        <v>%/year</v>
      </c>
      <c r="P389" s="128" t="s">
        <v>692</v>
      </c>
      <c r="Q389" s="6"/>
      <c r="R389" s="6"/>
      <c r="S389" s="6"/>
      <c r="T389" s="6"/>
      <c r="U389" s="6"/>
      <c r="V389" s="6"/>
      <c r="W389" s="6"/>
      <c r="X389" s="6"/>
      <c r="Y389" s="6"/>
      <c r="Z389" s="6"/>
    </row>
    <row r="390" spans="1:26" ht="13" x14ac:dyDescent="0.3">
      <c r="B390" t="str">
        <f t="shared" ref="B390" si="24">B368</f>
        <v>US</v>
      </c>
      <c r="C390" s="119">
        <v>2.62</v>
      </c>
      <c r="D390" s="119">
        <v>1.9783333333333333</v>
      </c>
      <c r="E390" s="119">
        <v>1.5308333333333333</v>
      </c>
      <c r="F390" s="119">
        <v>1.3633333333333333</v>
      </c>
      <c r="G390" s="119">
        <v>1.3283333333333334</v>
      </c>
      <c r="H390" s="119">
        <v>1.2466666666666666</v>
      </c>
      <c r="I390" s="81">
        <v>1.2202137940248639</v>
      </c>
      <c r="J390" s="81">
        <v>1.1252739502712017</v>
      </c>
      <c r="K390" s="81">
        <v>1.0449095844663281</v>
      </c>
      <c r="L390" s="81">
        <v>0.97612101325406653</v>
      </c>
      <c r="M390" t="str">
        <f t="shared" si="23"/>
        <v>%/year</v>
      </c>
      <c r="P390" s="128"/>
      <c r="Q390" s="6"/>
      <c r="R390" s="6"/>
      <c r="S390" s="6"/>
      <c r="T390" s="6"/>
      <c r="U390" s="6"/>
      <c r="V390" s="6"/>
      <c r="W390" s="6"/>
      <c r="X390" s="6"/>
      <c r="Y390" s="6"/>
      <c r="Z390" s="6"/>
    </row>
    <row r="391" spans="1:26" ht="13" x14ac:dyDescent="0.3">
      <c r="B391" t="str">
        <f t="shared" ref="B391" si="25">B369</f>
        <v>OT</v>
      </c>
      <c r="C391" s="119">
        <v>2.0966666666666667</v>
      </c>
      <c r="D391" s="119">
        <v>1.8166666666666669</v>
      </c>
      <c r="E391" s="119">
        <v>1.5241666666666667</v>
      </c>
      <c r="F391" s="119">
        <v>1.3491666666666666</v>
      </c>
      <c r="G391" s="119">
        <v>1.1749999999999998</v>
      </c>
      <c r="H391" s="119">
        <v>0.99833333333333341</v>
      </c>
      <c r="I391" s="81">
        <v>0.92447014090164326</v>
      </c>
      <c r="J391" s="81">
        <v>0.69791164201229716</v>
      </c>
      <c r="K391" s="81">
        <v>0.54539166010168227</v>
      </c>
      <c r="L391" s="81">
        <v>0.43758787319935966</v>
      </c>
      <c r="M391" t="str">
        <f t="shared" si="23"/>
        <v>%/year</v>
      </c>
      <c r="P391" s="128"/>
      <c r="Q391" s="6"/>
      <c r="R391" s="6"/>
      <c r="S391" s="6"/>
      <c r="T391" s="6"/>
      <c r="U391" s="6"/>
      <c r="V391" s="6"/>
      <c r="W391" s="6"/>
      <c r="X391" s="6"/>
      <c r="Y391" s="6"/>
      <c r="Z391" s="6"/>
    </row>
    <row r="392" spans="1:26" ht="13" x14ac:dyDescent="0.3">
      <c r="B392" t="str">
        <f t="shared" ref="B392" si="26">B370</f>
        <v>EE</v>
      </c>
      <c r="C392" s="119">
        <v>4.0266666666666673</v>
      </c>
      <c r="D392" s="119">
        <v>3.6516666666666664</v>
      </c>
      <c r="E392" s="119">
        <v>2.8408333333333329</v>
      </c>
      <c r="F392" s="119">
        <v>1.605</v>
      </c>
      <c r="G392" s="119">
        <v>1.1708333333333334</v>
      </c>
      <c r="H392" s="119">
        <v>0.97833333333333328</v>
      </c>
      <c r="I392" s="81">
        <v>0.91514095409467155</v>
      </c>
      <c r="J392" s="81">
        <v>0.8438007774833336</v>
      </c>
      <c r="K392" s="81">
        <v>1.0437152095915672</v>
      </c>
      <c r="L392" s="81">
        <v>1.5723556136113692</v>
      </c>
      <c r="M392" t="str">
        <f t="shared" si="23"/>
        <v>%/year</v>
      </c>
      <c r="P392" s="128"/>
      <c r="Q392" s="6"/>
      <c r="R392" s="6"/>
      <c r="S392" s="6"/>
      <c r="T392" s="6"/>
      <c r="U392" s="6"/>
      <c r="V392" s="6"/>
      <c r="W392" s="6"/>
      <c r="X392" s="6"/>
      <c r="Y392" s="6"/>
      <c r="Z392" s="6"/>
    </row>
    <row r="393" spans="1:26" ht="13" x14ac:dyDescent="0.3">
      <c r="B393" t="str">
        <f t="shared" ref="B393" si="27">B371</f>
        <v>CA</v>
      </c>
      <c r="C393" s="119">
        <v>8.4983333333333331</v>
      </c>
      <c r="D393" s="119">
        <v>5.9083333333333332</v>
      </c>
      <c r="E393" s="119">
        <v>3.5550000000000002</v>
      </c>
      <c r="F393" s="119">
        <v>2.0975000000000001</v>
      </c>
      <c r="G393" s="119">
        <v>0.70000000000000007</v>
      </c>
      <c r="H393" s="119">
        <v>0.11499999999999999</v>
      </c>
      <c r="I393" s="81">
        <v>5.2669285339292785E-2</v>
      </c>
      <c r="J393" s="81">
        <v>-4.503831041767551E-2</v>
      </c>
      <c r="K393" s="81">
        <v>-7.3660840126003449E-2</v>
      </c>
      <c r="L393" s="81">
        <v>-8.5345372073889314E-2</v>
      </c>
      <c r="M393" t="str">
        <f t="shared" si="23"/>
        <v>%/year</v>
      </c>
      <c r="P393" s="128"/>
      <c r="Q393" s="6"/>
      <c r="R393" s="6"/>
      <c r="S393" s="6"/>
      <c r="T393" s="6"/>
      <c r="U393" s="6"/>
      <c r="V393" s="6"/>
      <c r="W393" s="6"/>
      <c r="X393" s="6"/>
      <c r="Y393" s="6"/>
      <c r="Z393" s="6"/>
    </row>
    <row r="394" spans="1:26" ht="13" x14ac:dyDescent="0.3">
      <c r="B394" t="str">
        <f t="shared" ref="B394" si="28">B372</f>
        <v>IA</v>
      </c>
      <c r="C394" s="119">
        <v>6.3825000000000003</v>
      </c>
      <c r="D394" s="119">
        <v>5.8275000000000006</v>
      </c>
      <c r="E394" s="119">
        <v>4.9858333333333338</v>
      </c>
      <c r="F394" s="119">
        <v>4.0141666666666662</v>
      </c>
      <c r="G394" s="119">
        <v>2.6958333333333333</v>
      </c>
      <c r="H394" s="119">
        <v>1.5449999999999999</v>
      </c>
      <c r="I394" s="81">
        <v>1.1790691175215533</v>
      </c>
      <c r="J394" s="81">
        <v>0.425271645323681</v>
      </c>
      <c r="K394" s="81">
        <v>0.17106473350505608</v>
      </c>
      <c r="L394" s="81">
        <v>7.6773107155048093E-2</v>
      </c>
      <c r="M394" t="str">
        <f t="shared" si="23"/>
        <v>%/year</v>
      </c>
      <c r="P394" s="128"/>
      <c r="Q394" s="6"/>
      <c r="R394" s="6"/>
      <c r="S394" s="6"/>
      <c r="T394" s="6"/>
      <c r="U394" s="6"/>
      <c r="V394" s="6"/>
      <c r="W394" s="6"/>
      <c r="X394" s="6"/>
      <c r="Y394" s="6"/>
      <c r="Z394" s="6"/>
    </row>
    <row r="395" spans="1:26" ht="13" x14ac:dyDescent="0.3">
      <c r="B395" t="str">
        <f t="shared" ref="B395" si="29">B373</f>
        <v>AF</v>
      </c>
      <c r="C395" s="119">
        <v>4.5625</v>
      </c>
      <c r="D395" s="119">
        <v>4.55</v>
      </c>
      <c r="E395" s="119">
        <v>4.7608333333333333</v>
      </c>
      <c r="F395" s="119">
        <v>4.5758333333333336</v>
      </c>
      <c r="G395" s="119">
        <v>4.2491666666666665</v>
      </c>
      <c r="H395" s="119">
        <v>3.4225000000000003</v>
      </c>
      <c r="I395" s="81">
        <v>3.0984482262137156</v>
      </c>
      <c r="J395" s="81">
        <v>2.2158173820559095</v>
      </c>
      <c r="K395" s="81">
        <v>1.7527093559216884</v>
      </c>
      <c r="L395" s="81">
        <v>1.5146789291077551</v>
      </c>
      <c r="M395" t="str">
        <f t="shared" si="23"/>
        <v>%/year</v>
      </c>
      <c r="P395" s="128"/>
      <c r="Q395" s="6"/>
      <c r="R395" s="6"/>
      <c r="S395" s="6"/>
      <c r="T395" s="6"/>
      <c r="U395" s="6"/>
      <c r="V395" s="6"/>
      <c r="W395" s="6"/>
      <c r="X395" s="6"/>
      <c r="Y395" s="6"/>
      <c r="Z395" s="6"/>
    </row>
    <row r="396" spans="1:26" ht="13.5" thickBot="1" x14ac:dyDescent="0.35">
      <c r="B396" t="str">
        <f t="shared" ref="B396" si="30">B374</f>
        <v>LA</v>
      </c>
      <c r="C396" s="122">
        <v>3.7475000000000005</v>
      </c>
      <c r="D396" s="122">
        <v>3.4558333333333335</v>
      </c>
      <c r="E396" s="122">
        <v>3.22</v>
      </c>
      <c r="F396" s="122">
        <v>2.8574999999999999</v>
      </c>
      <c r="G396" s="122">
        <v>2.3199999999999998</v>
      </c>
      <c r="H396" s="122">
        <v>1.6600000000000001</v>
      </c>
      <c r="I396" s="81">
        <v>1.4118475166673066</v>
      </c>
      <c r="J396" s="81">
        <v>0.77023145529972614</v>
      </c>
      <c r="K396" s="81">
        <v>0.45324914583252529</v>
      </c>
      <c r="L396" s="81">
        <v>0.28926269081144446</v>
      </c>
      <c r="M396" t="str">
        <f t="shared" si="23"/>
        <v>%/year</v>
      </c>
      <c r="P396" s="128"/>
      <c r="Q396" s="6"/>
      <c r="R396" s="6"/>
      <c r="S396" s="6"/>
      <c r="T396" s="6"/>
      <c r="U396" s="6"/>
      <c r="V396" s="6"/>
      <c r="W396" s="6"/>
      <c r="X396" s="6"/>
      <c r="Y396" s="6"/>
      <c r="Z396" s="6"/>
    </row>
    <row r="397" spans="1:26" ht="13.5" thickTop="1" x14ac:dyDescent="0.3">
      <c r="A397" t="str">
        <f>A375</f>
        <v>Pop growth rates:</v>
      </c>
      <c r="P397" s="128"/>
      <c r="Q397" s="6"/>
      <c r="R397" s="6"/>
      <c r="S397" s="6"/>
      <c r="T397" s="6"/>
      <c r="U397" s="6"/>
      <c r="V397" s="6"/>
      <c r="W397" s="6"/>
      <c r="X397" s="6"/>
      <c r="Y397" s="6"/>
      <c r="Z397" s="6"/>
    </row>
    <row r="398" spans="1:26" ht="13" x14ac:dyDescent="0.3">
      <c r="B398" t="str">
        <f t="shared" ref="B398:B405" si="31">B376</f>
        <v>EU</v>
      </c>
      <c r="C398" s="121">
        <f t="array" ref="C398:L405" xml:space="preserve"> SSP1_POP_RATE * (0.25*((1 - WEIGHT_SCENARIOS/100)^2)) + SSP234_POP_RATE * (0.5*(1 - (WEIGHT_SCENARIOS/100)^2)) +  SSP5_POP_RATE * (0.25*((1 + WEIGHT_SCENARIOS/100)^2))</f>
        <v>0.14750000000000002</v>
      </c>
      <c r="D398" s="121">
        <v>5.9166666666666659E-2</v>
      </c>
      <c r="E398" s="121">
        <v>-5.4166666666666641E-2</v>
      </c>
      <c r="F398" s="121">
        <v>-0.14833333333333337</v>
      </c>
      <c r="G398" s="121">
        <v>-0.3183333333333333</v>
      </c>
      <c r="H398" s="121">
        <v>-0.36583333333333334</v>
      </c>
      <c r="I398" s="81">
        <v>0</v>
      </c>
      <c r="J398" s="81">
        <v>0</v>
      </c>
      <c r="K398" s="81">
        <v>0</v>
      </c>
      <c r="L398" s="81">
        <v>0</v>
      </c>
      <c r="M398" t="str">
        <f t="shared" ref="M398:M405" si="32">M376</f>
        <v>%/year</v>
      </c>
      <c r="P398" s="128" t="s">
        <v>692</v>
      </c>
      <c r="Q398" s="6"/>
      <c r="R398" s="6"/>
      <c r="S398" s="6"/>
      <c r="T398" s="6"/>
      <c r="U398" s="6"/>
      <c r="V398" s="6"/>
      <c r="W398" s="6"/>
      <c r="X398" s="6"/>
      <c r="Y398" s="6"/>
      <c r="Z398" s="6"/>
    </row>
    <row r="399" spans="1:26" ht="13" x14ac:dyDescent="0.3">
      <c r="B399" t="str">
        <f t="shared" si="31"/>
        <v>US</v>
      </c>
      <c r="C399" s="119">
        <v>0.72</v>
      </c>
      <c r="D399" s="119">
        <v>0.63749999999999996</v>
      </c>
      <c r="E399" s="119">
        <v>0.505</v>
      </c>
      <c r="F399" s="119">
        <v>0.37416666666666665</v>
      </c>
      <c r="G399" s="119">
        <v>0.22083333333333333</v>
      </c>
      <c r="H399" s="119">
        <v>-5.0000000000000017E-2</v>
      </c>
      <c r="I399" s="81">
        <v>0</v>
      </c>
      <c r="J399" s="81">
        <v>0</v>
      </c>
      <c r="K399" s="81">
        <v>0</v>
      </c>
      <c r="L399" s="81">
        <v>0</v>
      </c>
      <c r="M399" t="str">
        <f t="shared" si="32"/>
        <v>%/year</v>
      </c>
      <c r="P399" s="128"/>
      <c r="Q399" s="6"/>
      <c r="R399" s="6"/>
      <c r="S399" s="6"/>
      <c r="T399" s="6"/>
      <c r="U399" s="6"/>
      <c r="V399" s="6"/>
      <c r="W399" s="6"/>
      <c r="X399" s="6"/>
      <c r="Y399" s="6"/>
      <c r="Z399" s="6"/>
    </row>
    <row r="400" spans="1:26" x14ac:dyDescent="0.25">
      <c r="B400" t="str">
        <f t="shared" si="31"/>
        <v>OT</v>
      </c>
      <c r="C400" s="119">
        <v>0.37416666666666665</v>
      </c>
      <c r="D400" s="119">
        <v>0.19750000000000001</v>
      </c>
      <c r="E400" s="119">
        <v>7.4999999999999928E-3</v>
      </c>
      <c r="F400" s="119">
        <v>-0.12666666666666665</v>
      </c>
      <c r="G400" s="119">
        <v>-0.35916666666666669</v>
      </c>
      <c r="H400" s="119">
        <v>-0.51333333333333331</v>
      </c>
      <c r="I400" s="81">
        <v>0</v>
      </c>
      <c r="J400" s="81">
        <v>0</v>
      </c>
      <c r="K400" s="81">
        <v>0</v>
      </c>
      <c r="L400" s="81">
        <v>0</v>
      </c>
      <c r="M400" t="str">
        <f t="shared" si="32"/>
        <v>%/year</v>
      </c>
      <c r="P400" s="6"/>
      <c r="Q400" s="6"/>
      <c r="R400" s="6"/>
      <c r="S400" s="6"/>
      <c r="T400" s="6"/>
      <c r="U400" s="6"/>
      <c r="V400" s="6"/>
      <c r="W400" s="6"/>
      <c r="X400" s="6"/>
      <c r="Y400" s="6"/>
      <c r="Z400" s="6"/>
    </row>
    <row r="401" spans="1:26" x14ac:dyDescent="0.25">
      <c r="B401" t="str">
        <f t="shared" si="31"/>
        <v>EE</v>
      </c>
      <c r="C401" s="119">
        <v>2.7499999999999997E-2</v>
      </c>
      <c r="D401" s="119">
        <v>-0.15416666666666667</v>
      </c>
      <c r="E401" s="119">
        <v>-0.23666666666666669</v>
      </c>
      <c r="F401" s="119">
        <v>-0.3075</v>
      </c>
      <c r="G401" s="119">
        <v>-0.51166666666666671</v>
      </c>
      <c r="H401" s="119">
        <v>-0.56083333333333329</v>
      </c>
      <c r="I401" s="81">
        <v>0</v>
      </c>
      <c r="J401" s="81">
        <v>0</v>
      </c>
      <c r="K401" s="81">
        <v>0</v>
      </c>
      <c r="L401" s="81">
        <v>0</v>
      </c>
      <c r="M401" t="str">
        <f t="shared" si="32"/>
        <v>%/year</v>
      </c>
      <c r="P401" s="6"/>
      <c r="Q401" s="6"/>
      <c r="R401" s="6"/>
      <c r="S401" s="6"/>
      <c r="T401" s="6"/>
      <c r="U401" s="6"/>
      <c r="V401" s="6"/>
      <c r="W401" s="6"/>
      <c r="X401" s="6"/>
      <c r="Y401" s="6"/>
      <c r="Z401" s="6"/>
    </row>
    <row r="402" spans="1:26" x14ac:dyDescent="0.25">
      <c r="B402" t="str">
        <f t="shared" si="31"/>
        <v>CA</v>
      </c>
      <c r="C402" s="119">
        <v>0.26500000000000001</v>
      </c>
      <c r="D402" s="119">
        <v>-5.8333333333333362E-3</v>
      </c>
      <c r="E402" s="119">
        <v>-0.3075</v>
      </c>
      <c r="F402" s="119">
        <v>-0.6</v>
      </c>
      <c r="G402" s="119">
        <v>-0.97249999999999992</v>
      </c>
      <c r="H402" s="119">
        <v>-1.1941666666666666</v>
      </c>
      <c r="I402" s="81">
        <v>0</v>
      </c>
      <c r="J402" s="81">
        <v>0</v>
      </c>
      <c r="K402" s="81">
        <v>0</v>
      </c>
      <c r="L402" s="81">
        <v>0</v>
      </c>
      <c r="M402" t="str">
        <f t="shared" si="32"/>
        <v>%/year</v>
      </c>
      <c r="P402" s="6"/>
      <c r="Q402" s="6"/>
      <c r="R402" s="6"/>
      <c r="S402" s="6"/>
      <c r="T402" s="6"/>
      <c r="U402" s="6"/>
      <c r="V402" s="6"/>
      <c r="W402" s="6"/>
      <c r="X402" s="6"/>
      <c r="Y402" s="6"/>
      <c r="Z402" s="6"/>
    </row>
    <row r="403" spans="1:26" x14ac:dyDescent="0.25">
      <c r="B403" t="str">
        <f t="shared" si="31"/>
        <v>IA</v>
      </c>
      <c r="C403" s="119">
        <v>1.0974999999999999</v>
      </c>
      <c r="D403" s="119">
        <v>0.82333333333333336</v>
      </c>
      <c r="E403" s="119">
        <v>0.53583333333333327</v>
      </c>
      <c r="F403" s="119">
        <v>0.28166666666666673</v>
      </c>
      <c r="G403" s="119">
        <v>-0.13583333333333333</v>
      </c>
      <c r="H403" s="119">
        <v>-0.52500000000000002</v>
      </c>
      <c r="I403" s="81">
        <v>0</v>
      </c>
      <c r="J403" s="81">
        <v>0</v>
      </c>
      <c r="K403" s="81">
        <v>0</v>
      </c>
      <c r="L403" s="81">
        <v>0</v>
      </c>
      <c r="M403" t="str">
        <f t="shared" si="32"/>
        <v>%/year</v>
      </c>
      <c r="P403" s="6"/>
      <c r="Q403" s="6"/>
      <c r="R403" s="6"/>
      <c r="S403" s="6"/>
      <c r="T403" s="6"/>
      <c r="U403" s="6"/>
      <c r="V403" s="6"/>
      <c r="W403" s="6"/>
      <c r="X403" s="6"/>
      <c r="Y403" s="6"/>
      <c r="Z403" s="6"/>
    </row>
    <row r="404" spans="1:26" x14ac:dyDescent="0.25">
      <c r="B404" t="str">
        <f t="shared" si="31"/>
        <v>AF</v>
      </c>
      <c r="C404" s="119">
        <v>2.1033333333333335</v>
      </c>
      <c r="D404" s="119">
        <v>1.8725000000000001</v>
      </c>
      <c r="E404" s="119">
        <v>1.6800000000000002</v>
      </c>
      <c r="F404" s="119">
        <v>1.4783333333333333</v>
      </c>
      <c r="G404" s="119">
        <v>1.0991666666666666</v>
      </c>
      <c r="H404" s="119">
        <v>0.6166666666666667</v>
      </c>
      <c r="I404" s="81">
        <v>0</v>
      </c>
      <c r="J404" s="81">
        <v>0</v>
      </c>
      <c r="K404" s="81">
        <v>0</v>
      </c>
      <c r="L404" s="81">
        <v>0</v>
      </c>
      <c r="M404" t="str">
        <f t="shared" si="32"/>
        <v>%/year</v>
      </c>
      <c r="P404" s="6"/>
      <c r="Q404" s="6"/>
      <c r="R404" s="6"/>
      <c r="S404" s="6"/>
      <c r="T404" s="6"/>
      <c r="U404" s="6"/>
      <c r="V404" s="6"/>
      <c r="W404" s="6"/>
      <c r="X404" s="6"/>
      <c r="Y404" s="6"/>
      <c r="Z404" s="6"/>
    </row>
    <row r="405" spans="1:26" ht="13" thickBot="1" x14ac:dyDescent="0.3">
      <c r="B405" t="str">
        <f t="shared" si="31"/>
        <v>LA</v>
      </c>
      <c r="C405" s="122">
        <v>0.95500000000000007</v>
      </c>
      <c r="D405" s="122">
        <v>0.77666666666666673</v>
      </c>
      <c r="E405" s="122">
        <v>0.55249999999999999</v>
      </c>
      <c r="F405" s="122">
        <v>0.28500000000000003</v>
      </c>
      <c r="G405" s="122">
        <v>-2.4166666666666656E-2</v>
      </c>
      <c r="H405" s="122">
        <v>-0.30166666666666664</v>
      </c>
      <c r="I405" s="81">
        <v>0</v>
      </c>
      <c r="J405" s="81">
        <v>0</v>
      </c>
      <c r="K405" s="81">
        <v>0</v>
      </c>
      <c r="L405" s="81">
        <v>0</v>
      </c>
      <c r="M405" t="str">
        <f t="shared" si="32"/>
        <v>%/year</v>
      </c>
      <c r="P405" s="6"/>
      <c r="Q405" s="6"/>
      <c r="R405" s="6"/>
      <c r="S405" s="6"/>
      <c r="T405" s="6"/>
      <c r="U405" s="6"/>
      <c r="V405" s="6"/>
      <c r="W405" s="6"/>
      <c r="X405" s="6"/>
      <c r="Y405" s="6"/>
      <c r="Z405" s="6"/>
    </row>
    <row r="406" spans="1:26" ht="13" thickTop="1" x14ac:dyDescent="0.25"/>
    <row r="408" spans="1:26" ht="13" x14ac:dyDescent="0.3">
      <c r="A408" s="2" t="s">
        <v>1037</v>
      </c>
    </row>
    <row r="409" spans="1:26" x14ac:dyDescent="0.25">
      <c r="A409" t="str">
        <f t="shared" ref="A409:B418" si="33">A387</f>
        <v>GDP growth rates:</v>
      </c>
      <c r="B409" t="str">
        <f t="shared" si="33"/>
        <v>start</v>
      </c>
      <c r="C409">
        <f>Y_0</f>
        <v>2015</v>
      </c>
      <c r="D409">
        <f t="array" ref="D409:L409">Y</f>
        <v>2020</v>
      </c>
      <c r="E409">
        <v>2030</v>
      </c>
      <c r="F409">
        <v>2040</v>
      </c>
      <c r="G409">
        <v>2050</v>
      </c>
      <c r="H409">
        <v>2075</v>
      </c>
      <c r="I409">
        <v>2100</v>
      </c>
      <c r="J409">
        <v>2150</v>
      </c>
      <c r="K409">
        <v>2200</v>
      </c>
      <c r="L409">
        <v>2250</v>
      </c>
    </row>
    <row r="410" spans="1:26" x14ac:dyDescent="0.25">
      <c r="B410" t="str">
        <f t="shared" si="33"/>
        <v>end</v>
      </c>
      <c r="C410">
        <f t="array" ref="C410:L410">Y</f>
        <v>2020</v>
      </c>
      <c r="D410">
        <v>2030</v>
      </c>
      <c r="E410">
        <v>2040</v>
      </c>
      <c r="F410">
        <v>2050</v>
      </c>
      <c r="G410">
        <v>2075</v>
      </c>
      <c r="H410">
        <v>2100</v>
      </c>
      <c r="I410">
        <v>2150</v>
      </c>
      <c r="J410">
        <v>2200</v>
      </c>
      <c r="K410">
        <v>2250</v>
      </c>
      <c r="L410">
        <v>2300</v>
      </c>
    </row>
    <row r="411" spans="1:26" x14ac:dyDescent="0.25">
      <c r="B411" t="str">
        <f t="shared" si="33"/>
        <v>EU</v>
      </c>
      <c r="C411" s="121">
        <f t="array" ref="C411:L418" xml:space="preserve"> SSP1_GDP_RATE * (0.25*((1 - WEIGHT_SCENARIOS_B/100)^2)) + SSP234_GDP_RATE * (0.5*(1 - (WEIGHT_SCENARIOS_B/100)^2)) +  SSP5_GDP_RATE * (0.25*((1 + WEIGHT_SCENARIOS_B/100)^2))</f>
        <v>1.5825</v>
      </c>
      <c r="D411" s="121">
        <v>1.4275</v>
      </c>
      <c r="E411" s="121">
        <v>1.4375</v>
      </c>
      <c r="F411" s="121">
        <v>1.34</v>
      </c>
      <c r="G411" s="121">
        <v>1.2691666666666666</v>
      </c>
      <c r="H411" s="121">
        <v>1.2025000000000001</v>
      </c>
      <c r="I411" s="81">
        <v>1.1687200129829185</v>
      </c>
      <c r="J411" s="81">
        <v>1.0502268865198601</v>
      </c>
      <c r="K411" s="81">
        <v>0.95387322743202341</v>
      </c>
      <c r="L411" s="81">
        <v>0.87487332515090244</v>
      </c>
      <c r="M411" t="str">
        <f t="shared" ref="M411:M418" si="34">M389</f>
        <v>%/year</v>
      </c>
    </row>
    <row r="412" spans="1:26" x14ac:dyDescent="0.25">
      <c r="B412" t="str">
        <f t="shared" si="33"/>
        <v>US</v>
      </c>
      <c r="C412" s="119">
        <v>2.62</v>
      </c>
      <c r="D412" s="119">
        <v>1.9783333333333333</v>
      </c>
      <c r="E412" s="119">
        <v>1.5308333333333333</v>
      </c>
      <c r="F412" s="119">
        <v>1.3633333333333333</v>
      </c>
      <c r="G412" s="119">
        <v>1.3283333333333334</v>
      </c>
      <c r="H412" s="119">
        <v>1.2466666666666666</v>
      </c>
      <c r="I412" s="81">
        <v>1.2202137940248639</v>
      </c>
      <c r="J412" s="81">
        <v>1.1252739502712017</v>
      </c>
      <c r="K412" s="81">
        <v>1.0449095844663281</v>
      </c>
      <c r="L412" s="81">
        <v>0.97612101325406653</v>
      </c>
      <c r="M412" t="str">
        <f t="shared" si="34"/>
        <v>%/year</v>
      </c>
    </row>
    <row r="413" spans="1:26" x14ac:dyDescent="0.25">
      <c r="B413" t="str">
        <f t="shared" si="33"/>
        <v>OT</v>
      </c>
      <c r="C413" s="119">
        <v>2.0966666666666667</v>
      </c>
      <c r="D413" s="119">
        <v>1.8166666666666669</v>
      </c>
      <c r="E413" s="119">
        <v>1.5241666666666667</v>
      </c>
      <c r="F413" s="119">
        <v>1.3491666666666666</v>
      </c>
      <c r="G413" s="119">
        <v>1.1749999999999998</v>
      </c>
      <c r="H413" s="119">
        <v>0.99833333333333341</v>
      </c>
      <c r="I413" s="81">
        <v>0.92447014090164326</v>
      </c>
      <c r="J413" s="81">
        <v>0.69791164201229716</v>
      </c>
      <c r="K413" s="81">
        <v>0.54539166010168227</v>
      </c>
      <c r="L413" s="81">
        <v>0.43758787319935966</v>
      </c>
      <c r="M413" t="str">
        <f t="shared" si="34"/>
        <v>%/year</v>
      </c>
    </row>
    <row r="414" spans="1:26" x14ac:dyDescent="0.25">
      <c r="B414" t="str">
        <f t="shared" si="33"/>
        <v>EE</v>
      </c>
      <c r="C414" s="119">
        <v>4.0266666666666673</v>
      </c>
      <c r="D414" s="119">
        <v>3.6516666666666664</v>
      </c>
      <c r="E414" s="119">
        <v>2.8408333333333329</v>
      </c>
      <c r="F414" s="119">
        <v>1.605</v>
      </c>
      <c r="G414" s="119">
        <v>1.1708333333333334</v>
      </c>
      <c r="H414" s="119">
        <v>0.97833333333333328</v>
      </c>
      <c r="I414" s="81">
        <v>0.91514095409467155</v>
      </c>
      <c r="J414" s="81">
        <v>0.8438007774833336</v>
      </c>
      <c r="K414" s="81">
        <v>1.0437152095915672</v>
      </c>
      <c r="L414" s="81">
        <v>1.5723556136113692</v>
      </c>
      <c r="M414" t="str">
        <f t="shared" si="34"/>
        <v>%/year</v>
      </c>
    </row>
    <row r="415" spans="1:26" x14ac:dyDescent="0.25">
      <c r="B415" t="str">
        <f t="shared" si="33"/>
        <v>CA</v>
      </c>
      <c r="C415" s="119">
        <v>8.4983333333333331</v>
      </c>
      <c r="D415" s="119">
        <v>5.9083333333333332</v>
      </c>
      <c r="E415" s="119">
        <v>3.5550000000000002</v>
      </c>
      <c r="F415" s="119">
        <v>2.0975000000000001</v>
      </c>
      <c r="G415" s="119">
        <v>0.70000000000000007</v>
      </c>
      <c r="H415" s="119">
        <v>0.11499999999999999</v>
      </c>
      <c r="I415" s="81">
        <v>5.2669285339292785E-2</v>
      </c>
      <c r="J415" s="81">
        <v>-4.503831041767551E-2</v>
      </c>
      <c r="K415" s="81">
        <v>-7.3660840126003449E-2</v>
      </c>
      <c r="L415" s="81">
        <v>-8.5345372073889314E-2</v>
      </c>
      <c r="M415" t="str">
        <f t="shared" si="34"/>
        <v>%/year</v>
      </c>
    </row>
    <row r="416" spans="1:26" x14ac:dyDescent="0.25">
      <c r="B416" t="str">
        <f t="shared" si="33"/>
        <v>IA</v>
      </c>
      <c r="C416" s="119">
        <v>6.3825000000000003</v>
      </c>
      <c r="D416" s="119">
        <v>5.8275000000000006</v>
      </c>
      <c r="E416" s="119">
        <v>4.9858333333333338</v>
      </c>
      <c r="F416" s="119">
        <v>4.0141666666666662</v>
      </c>
      <c r="G416" s="119">
        <v>2.6958333333333333</v>
      </c>
      <c r="H416" s="119">
        <v>1.5449999999999999</v>
      </c>
      <c r="I416" s="81">
        <v>1.1790691175215533</v>
      </c>
      <c r="J416" s="81">
        <v>0.425271645323681</v>
      </c>
      <c r="K416" s="81">
        <v>0.17106473350505608</v>
      </c>
      <c r="L416" s="81">
        <v>7.6773107155048093E-2</v>
      </c>
      <c r="M416" t="str">
        <f t="shared" si="34"/>
        <v>%/year</v>
      </c>
    </row>
    <row r="417" spans="1:17" x14ac:dyDescent="0.25">
      <c r="B417" t="str">
        <f t="shared" si="33"/>
        <v>AF</v>
      </c>
      <c r="C417" s="119">
        <v>4.5625</v>
      </c>
      <c r="D417" s="119">
        <v>4.55</v>
      </c>
      <c r="E417" s="119">
        <v>4.7608333333333333</v>
      </c>
      <c r="F417" s="119">
        <v>4.5758333333333336</v>
      </c>
      <c r="G417" s="119">
        <v>4.2491666666666665</v>
      </c>
      <c r="H417" s="119">
        <v>3.4225000000000003</v>
      </c>
      <c r="I417" s="81">
        <v>3.0984482262137156</v>
      </c>
      <c r="J417" s="81">
        <v>2.2158173820559095</v>
      </c>
      <c r="K417" s="81">
        <v>1.7527093559216884</v>
      </c>
      <c r="L417" s="81">
        <v>1.5146789291077551</v>
      </c>
      <c r="M417" t="str">
        <f t="shared" si="34"/>
        <v>%/year</v>
      </c>
    </row>
    <row r="418" spans="1:17" ht="13" thickBot="1" x14ac:dyDescent="0.3">
      <c r="B418" t="str">
        <f t="shared" si="33"/>
        <v>LA</v>
      </c>
      <c r="C418" s="122">
        <v>3.7475000000000005</v>
      </c>
      <c r="D418" s="122">
        <v>3.4558333333333335</v>
      </c>
      <c r="E418" s="122">
        <v>3.22</v>
      </c>
      <c r="F418" s="122">
        <v>2.8574999999999999</v>
      </c>
      <c r="G418" s="122">
        <v>2.3199999999999998</v>
      </c>
      <c r="H418" s="122">
        <v>1.6600000000000001</v>
      </c>
      <c r="I418" s="81">
        <v>1.4118475166673066</v>
      </c>
      <c r="J418" s="81">
        <v>0.77023145529972614</v>
      </c>
      <c r="K418" s="81">
        <v>0.45324914583252529</v>
      </c>
      <c r="L418" s="81">
        <v>0.28926269081144446</v>
      </c>
      <c r="M418" t="str">
        <f t="shared" si="34"/>
        <v>%/year</v>
      </c>
    </row>
    <row r="419" spans="1:17" ht="13" thickTop="1" x14ac:dyDescent="0.25">
      <c r="A419" t="str">
        <f>A397</f>
        <v>Pop growth rates:</v>
      </c>
    </row>
    <row r="420" spans="1:17" x14ac:dyDescent="0.25">
      <c r="B420" t="str">
        <f t="shared" ref="B420:B427" si="35">B398</f>
        <v>EU</v>
      </c>
      <c r="C420" s="121">
        <f t="array" ref="C420:L427" xml:space="preserve"> SSP1_POP_RATE * (0.25*((1 - WEIGHT_SCENARIOS_B/100)^2)) + SSP234_POP_RATE * (0.5*(1 - (WEIGHT_SCENARIOS_B/100)^2)) +  SSP5_POP_RATE * (0.25*((1 + WEIGHT_SCENARIOS_B/100)^2))</f>
        <v>0.14750000000000002</v>
      </c>
      <c r="D420" s="121">
        <v>5.9166666666666659E-2</v>
      </c>
      <c r="E420" s="121">
        <v>-5.4166666666666641E-2</v>
      </c>
      <c r="F420" s="121">
        <v>-0.14833333333333337</v>
      </c>
      <c r="G420" s="121">
        <v>-0.3183333333333333</v>
      </c>
      <c r="H420" s="121">
        <v>-0.36583333333333334</v>
      </c>
      <c r="I420" s="81">
        <v>0</v>
      </c>
      <c r="J420" s="81">
        <v>0</v>
      </c>
      <c r="K420" s="81">
        <v>0</v>
      </c>
      <c r="L420" s="81">
        <v>0</v>
      </c>
      <c r="M420" t="str">
        <f t="shared" ref="M420:M427" si="36">M398</f>
        <v>%/year</v>
      </c>
    </row>
    <row r="421" spans="1:17" x14ac:dyDescent="0.25">
      <c r="B421" t="str">
        <f t="shared" si="35"/>
        <v>US</v>
      </c>
      <c r="C421" s="119">
        <v>0.72</v>
      </c>
      <c r="D421" s="119">
        <v>0.63749999999999996</v>
      </c>
      <c r="E421" s="119">
        <v>0.505</v>
      </c>
      <c r="F421" s="119">
        <v>0.37416666666666665</v>
      </c>
      <c r="G421" s="119">
        <v>0.22083333333333333</v>
      </c>
      <c r="H421" s="119">
        <v>-5.0000000000000017E-2</v>
      </c>
      <c r="I421" s="81">
        <v>0</v>
      </c>
      <c r="J421" s="81">
        <v>0</v>
      </c>
      <c r="K421" s="81">
        <v>0</v>
      </c>
      <c r="L421" s="81">
        <v>0</v>
      </c>
      <c r="M421" t="str">
        <f t="shared" si="36"/>
        <v>%/year</v>
      </c>
    </row>
    <row r="422" spans="1:17" x14ac:dyDescent="0.25">
      <c r="B422" t="str">
        <f t="shared" si="35"/>
        <v>OT</v>
      </c>
      <c r="C422" s="119">
        <v>0.37416666666666665</v>
      </c>
      <c r="D422" s="119">
        <v>0.19750000000000001</v>
      </c>
      <c r="E422" s="119">
        <v>7.4999999999999928E-3</v>
      </c>
      <c r="F422" s="119">
        <v>-0.12666666666666665</v>
      </c>
      <c r="G422" s="119">
        <v>-0.35916666666666669</v>
      </c>
      <c r="H422" s="119">
        <v>-0.51333333333333331</v>
      </c>
      <c r="I422" s="81">
        <v>0</v>
      </c>
      <c r="J422" s="81">
        <v>0</v>
      </c>
      <c r="K422" s="81">
        <v>0</v>
      </c>
      <c r="L422" s="81">
        <v>0</v>
      </c>
      <c r="M422" t="str">
        <f t="shared" si="36"/>
        <v>%/year</v>
      </c>
    </row>
    <row r="423" spans="1:17" x14ac:dyDescent="0.25">
      <c r="B423" t="str">
        <f t="shared" si="35"/>
        <v>EE</v>
      </c>
      <c r="C423" s="119">
        <v>2.7499999999999997E-2</v>
      </c>
      <c r="D423" s="119">
        <v>-0.15416666666666667</v>
      </c>
      <c r="E423" s="119">
        <v>-0.23666666666666669</v>
      </c>
      <c r="F423" s="119">
        <v>-0.3075</v>
      </c>
      <c r="G423" s="119">
        <v>-0.51166666666666671</v>
      </c>
      <c r="H423" s="119">
        <v>-0.56083333333333329</v>
      </c>
      <c r="I423" s="81">
        <v>0</v>
      </c>
      <c r="J423" s="81">
        <v>0</v>
      </c>
      <c r="K423" s="81">
        <v>0</v>
      </c>
      <c r="L423" s="81">
        <v>0</v>
      </c>
      <c r="M423" t="str">
        <f t="shared" si="36"/>
        <v>%/year</v>
      </c>
    </row>
    <row r="424" spans="1:17" x14ac:dyDescent="0.25">
      <c r="B424" t="str">
        <f t="shared" si="35"/>
        <v>CA</v>
      </c>
      <c r="C424" s="119">
        <v>0.26500000000000001</v>
      </c>
      <c r="D424" s="119">
        <v>-5.8333333333333362E-3</v>
      </c>
      <c r="E424" s="119">
        <v>-0.3075</v>
      </c>
      <c r="F424" s="119">
        <v>-0.6</v>
      </c>
      <c r="G424" s="119">
        <v>-0.97249999999999992</v>
      </c>
      <c r="H424" s="119">
        <v>-1.1941666666666666</v>
      </c>
      <c r="I424" s="81">
        <v>0</v>
      </c>
      <c r="J424" s="81">
        <v>0</v>
      </c>
      <c r="K424" s="81">
        <v>0</v>
      </c>
      <c r="L424" s="81">
        <v>0</v>
      </c>
      <c r="M424" t="str">
        <f t="shared" si="36"/>
        <v>%/year</v>
      </c>
    </row>
    <row r="425" spans="1:17" x14ac:dyDescent="0.25">
      <c r="B425" t="str">
        <f t="shared" si="35"/>
        <v>IA</v>
      </c>
      <c r="C425" s="119">
        <v>1.0974999999999999</v>
      </c>
      <c r="D425" s="119">
        <v>0.82333333333333336</v>
      </c>
      <c r="E425" s="119">
        <v>0.53583333333333327</v>
      </c>
      <c r="F425" s="119">
        <v>0.28166666666666673</v>
      </c>
      <c r="G425" s="119">
        <v>-0.13583333333333333</v>
      </c>
      <c r="H425" s="119">
        <v>-0.52500000000000002</v>
      </c>
      <c r="I425" s="81">
        <v>0</v>
      </c>
      <c r="J425" s="81">
        <v>0</v>
      </c>
      <c r="K425" s="81">
        <v>0</v>
      </c>
      <c r="L425" s="81">
        <v>0</v>
      </c>
      <c r="M425" t="str">
        <f t="shared" si="36"/>
        <v>%/year</v>
      </c>
    </row>
    <row r="426" spans="1:17" x14ac:dyDescent="0.25">
      <c r="B426" t="str">
        <f t="shared" si="35"/>
        <v>AF</v>
      </c>
      <c r="C426" s="119">
        <v>2.1033333333333335</v>
      </c>
      <c r="D426" s="119">
        <v>1.8725000000000001</v>
      </c>
      <c r="E426" s="119">
        <v>1.6800000000000002</v>
      </c>
      <c r="F426" s="119">
        <v>1.4783333333333333</v>
      </c>
      <c r="G426" s="119">
        <v>1.0991666666666666</v>
      </c>
      <c r="H426" s="119">
        <v>0.6166666666666667</v>
      </c>
      <c r="I426" s="81">
        <v>0</v>
      </c>
      <c r="J426" s="81">
        <v>0</v>
      </c>
      <c r="K426" s="81">
        <v>0</v>
      </c>
      <c r="L426" s="81">
        <v>0</v>
      </c>
      <c r="M426" t="str">
        <f t="shared" si="36"/>
        <v>%/year</v>
      </c>
    </row>
    <row r="427" spans="1:17" ht="13" thickBot="1" x14ac:dyDescent="0.3">
      <c r="B427" t="str">
        <f t="shared" si="35"/>
        <v>LA</v>
      </c>
      <c r="C427" s="122">
        <v>0.95500000000000007</v>
      </c>
      <c r="D427" s="122">
        <v>0.77666666666666673</v>
      </c>
      <c r="E427" s="122">
        <v>0.55249999999999999</v>
      </c>
      <c r="F427" s="122">
        <v>0.28500000000000003</v>
      </c>
      <c r="G427" s="122">
        <v>-2.4166666666666656E-2</v>
      </c>
      <c r="H427" s="122">
        <v>-0.30166666666666664</v>
      </c>
      <c r="I427" s="81">
        <v>0</v>
      </c>
      <c r="J427" s="81">
        <v>0</v>
      </c>
      <c r="K427" s="81">
        <v>0</v>
      </c>
      <c r="L427" s="81">
        <v>0</v>
      </c>
      <c r="M427" t="str">
        <f t="shared" si="36"/>
        <v>%/year</v>
      </c>
    </row>
    <row r="428" spans="1:17" ht="13" thickTop="1" x14ac:dyDescent="0.25"/>
    <row r="431" spans="1:17" ht="13" x14ac:dyDescent="0.3">
      <c r="A431" s="199" t="s">
        <v>469</v>
      </c>
      <c r="B431" s="200"/>
      <c r="C431" s="200"/>
      <c r="D431" s="200"/>
      <c r="E431" s="200"/>
      <c r="F431" s="200"/>
      <c r="G431" s="200"/>
      <c r="H431" s="200"/>
      <c r="I431" s="200"/>
      <c r="J431" s="200"/>
      <c r="K431" s="200"/>
      <c r="L431" s="200"/>
      <c r="M431" s="200"/>
      <c r="Q431" s="2" t="s">
        <v>464</v>
      </c>
    </row>
    <row r="432" spans="1:17" ht="13" x14ac:dyDescent="0.3">
      <c r="A432" s="2"/>
      <c r="Q432" s="124" t="s">
        <v>961</v>
      </c>
    </row>
    <row r="433" spans="1:17" ht="13" x14ac:dyDescent="0.3">
      <c r="A433" s="2" t="s">
        <v>651</v>
      </c>
      <c r="Q433" s="124" t="s">
        <v>958</v>
      </c>
    </row>
    <row r="434" spans="1:17" ht="13" x14ac:dyDescent="0.3">
      <c r="A434" s="2" t="s">
        <v>470</v>
      </c>
    </row>
    <row r="435" spans="1:17" x14ac:dyDescent="0.25">
      <c r="C435">
        <f t="array" ref="C435:L435">Y</f>
        <v>2020</v>
      </c>
      <c r="D435">
        <v>2030</v>
      </c>
      <c r="E435">
        <v>2040</v>
      </c>
      <c r="F435">
        <v>2050</v>
      </c>
      <c r="G435">
        <v>2075</v>
      </c>
      <c r="H435">
        <v>2100</v>
      </c>
      <c r="I435">
        <v>2150</v>
      </c>
      <c r="J435">
        <v>2200</v>
      </c>
      <c r="K435">
        <v>2250</v>
      </c>
      <c r="L435">
        <v>2300</v>
      </c>
    </row>
    <row r="436" spans="1:17" ht="13" x14ac:dyDescent="0.3">
      <c r="A436" t="str">
        <f t="array" ref="A436:A443">R_CODE&amp;" "&amp;'Base data'!$B$12&amp;" emissions"</f>
        <v>EU CO2 emissions</v>
      </c>
      <c r="C436" s="88">
        <v>93.691998358166117</v>
      </c>
      <c r="D436" s="88">
        <v>66.464575874011061</v>
      </c>
      <c r="E436" s="88">
        <v>33.916422919187639</v>
      </c>
      <c r="F436" s="88">
        <v>17.787509536734735</v>
      </c>
      <c r="G436" s="88">
        <v>-6.2147051742760979</v>
      </c>
      <c r="H436" s="140">
        <v>-9.3709245458557273</v>
      </c>
      <c r="I436" s="132">
        <v>-9.3709245458557273</v>
      </c>
      <c r="J436" s="132">
        <v>-9.3709245458557273</v>
      </c>
      <c r="K436" s="132">
        <v>-9.3709245458557273</v>
      </c>
      <c r="L436" s="132">
        <v>-9.3709245458557273</v>
      </c>
      <c r="M436" s="3" t="s">
        <v>482</v>
      </c>
      <c r="Q436" s="124" t="s">
        <v>657</v>
      </c>
    </row>
    <row r="437" spans="1:17" x14ac:dyDescent="0.25">
      <c r="A437" t="str">
        <v>US CO2 emissions</v>
      </c>
      <c r="C437" s="90">
        <v>93.691998358166117</v>
      </c>
      <c r="D437" s="90">
        <v>66.464575874011061</v>
      </c>
      <c r="E437" s="90">
        <v>33.916422919187639</v>
      </c>
      <c r="F437" s="90">
        <v>17.787509536734735</v>
      </c>
      <c r="G437" s="90">
        <v>-6.2147051742760979</v>
      </c>
      <c r="H437" s="134">
        <v>-9.3709245458557273</v>
      </c>
      <c r="I437" s="130">
        <v>-9.3709245458557273</v>
      </c>
      <c r="J437" s="130">
        <v>-9.3709245458557273</v>
      </c>
      <c r="K437" s="130">
        <v>-9.3709245458557273</v>
      </c>
      <c r="L437" s="130">
        <v>-9.3709245458557273</v>
      </c>
      <c r="M437" s="3" t="s">
        <v>482</v>
      </c>
    </row>
    <row r="438" spans="1:17" x14ac:dyDescent="0.25">
      <c r="A438" t="str">
        <v>OT CO2 emissions</v>
      </c>
      <c r="C438" s="90">
        <v>93.691998358166117</v>
      </c>
      <c r="D438" s="90">
        <v>66.464575874011061</v>
      </c>
      <c r="E438" s="90">
        <v>33.916422919187639</v>
      </c>
      <c r="F438" s="90">
        <v>17.787509536734735</v>
      </c>
      <c r="G438" s="90">
        <v>-6.2147051742760979</v>
      </c>
      <c r="H438" s="134">
        <v>-9.3709245458557273</v>
      </c>
      <c r="I438" s="130">
        <v>-9.3709245458557273</v>
      </c>
      <c r="J438" s="130">
        <v>-9.3709245458557273</v>
      </c>
      <c r="K438" s="130">
        <v>-9.3709245458557273</v>
      </c>
      <c r="L438" s="130">
        <v>-9.3709245458557273</v>
      </c>
      <c r="M438" s="3" t="s">
        <v>482</v>
      </c>
    </row>
    <row r="439" spans="1:17" x14ac:dyDescent="0.25">
      <c r="A439" t="str">
        <v>EE CO2 emissions</v>
      </c>
      <c r="C439" s="90">
        <v>94.773070654740792</v>
      </c>
      <c r="D439" s="90">
        <v>65.059006513110418</v>
      </c>
      <c r="E439" s="90">
        <v>41.273993379285109</v>
      </c>
      <c r="F439" s="90">
        <v>33.842610297935629</v>
      </c>
      <c r="G439" s="90">
        <v>4.13428024818902</v>
      </c>
      <c r="H439" s="134">
        <v>-4.6216780583083912</v>
      </c>
      <c r="I439" s="130">
        <v>-4.6216780583083912</v>
      </c>
      <c r="J439" s="130">
        <v>-4.6216780583083912</v>
      </c>
      <c r="K439" s="130">
        <v>-4.6216780583083912</v>
      </c>
      <c r="L439" s="130">
        <v>-4.6216780583083912</v>
      </c>
      <c r="M439" s="3" t="s">
        <v>482</v>
      </c>
    </row>
    <row r="440" spans="1:17" x14ac:dyDescent="0.25">
      <c r="A440" t="str">
        <v>CA CO2 emissions</v>
      </c>
      <c r="C440" s="90">
        <v>105.77104096083347</v>
      </c>
      <c r="D440" s="90">
        <v>84.538934648741645</v>
      </c>
      <c r="E440" s="90">
        <v>54.927911812203611</v>
      </c>
      <c r="F440" s="90">
        <v>36.787387134640177</v>
      </c>
      <c r="G440" s="90">
        <v>-2.4464878288984497</v>
      </c>
      <c r="H440" s="134">
        <v>-4.2454475359193005</v>
      </c>
      <c r="I440" s="130">
        <v>-4.2454475359193005</v>
      </c>
      <c r="J440" s="130">
        <v>-4.2454475359193005</v>
      </c>
      <c r="K440" s="130">
        <v>-4.2454475359193005</v>
      </c>
      <c r="L440" s="130">
        <v>-4.2454475359193005</v>
      </c>
      <c r="M440" s="3" t="s">
        <v>482</v>
      </c>
    </row>
    <row r="441" spans="1:17" x14ac:dyDescent="0.25">
      <c r="A441" t="str">
        <v>IA CO2 emissions</v>
      </c>
      <c r="C441" s="90">
        <v>105.77104096083347</v>
      </c>
      <c r="D441" s="90">
        <v>84.538934648741645</v>
      </c>
      <c r="E441" s="90">
        <v>54.927911812203611</v>
      </c>
      <c r="F441" s="90">
        <v>36.787387134640177</v>
      </c>
      <c r="G441" s="90">
        <v>-2.4464878288984497</v>
      </c>
      <c r="H441" s="134">
        <v>-4.2454475359193005</v>
      </c>
      <c r="I441" s="130">
        <v>-4.2454475359193005</v>
      </c>
      <c r="J441" s="130">
        <v>-4.2454475359193005</v>
      </c>
      <c r="K441" s="130">
        <v>-4.2454475359193005</v>
      </c>
      <c r="L441" s="130">
        <v>-4.2454475359193005</v>
      </c>
      <c r="M441" s="3" t="s">
        <v>482</v>
      </c>
    </row>
    <row r="442" spans="1:17" ht="13" x14ac:dyDescent="0.3">
      <c r="A442" t="str">
        <v>AF CO2 emissions</v>
      </c>
      <c r="C442" s="90">
        <v>85.296768505285186</v>
      </c>
      <c r="D442" s="90">
        <v>78.347216163502509</v>
      </c>
      <c r="E442" s="90">
        <v>57.04923463329785</v>
      </c>
      <c r="F442" s="90">
        <v>45</v>
      </c>
      <c r="G442" s="90">
        <v>25</v>
      </c>
      <c r="H442" s="134">
        <v>0</v>
      </c>
      <c r="I442" s="130">
        <v>0</v>
      </c>
      <c r="J442" s="130">
        <v>0</v>
      </c>
      <c r="K442" s="130">
        <v>0</v>
      </c>
      <c r="L442" s="130">
        <v>0</v>
      </c>
      <c r="M442" s="3" t="s">
        <v>482</v>
      </c>
      <c r="Q442" s="124" t="s">
        <v>645</v>
      </c>
    </row>
    <row r="443" spans="1:17" ht="13.5" thickBot="1" x14ac:dyDescent="0.35">
      <c r="A443" t="str">
        <v>LA CO2 emissions</v>
      </c>
      <c r="C443" s="92">
        <v>85</v>
      </c>
      <c r="D443" s="92">
        <v>54.892246796864107</v>
      </c>
      <c r="E443" s="92">
        <v>46.728115809718588</v>
      </c>
      <c r="F443" s="92">
        <v>38.353362278678667</v>
      </c>
      <c r="G443" s="92">
        <v>16.819714576711327</v>
      </c>
      <c r="H443" s="141">
        <v>0</v>
      </c>
      <c r="I443" s="133">
        <v>0</v>
      </c>
      <c r="J443" s="133">
        <v>0</v>
      </c>
      <c r="K443" s="133">
        <v>0</v>
      </c>
      <c r="L443" s="133">
        <v>0</v>
      </c>
      <c r="M443" s="3" t="s">
        <v>482</v>
      </c>
      <c r="Q443" s="124" t="s">
        <v>646</v>
      </c>
    </row>
    <row r="444" spans="1:17" ht="13" thickTop="1" x14ac:dyDescent="0.25"/>
    <row r="445" spans="1:17" x14ac:dyDescent="0.25">
      <c r="A445" t="str">
        <f t="array" ref="A445:A452">R_CODE&amp;" "&amp;'Base data'!$C$12&amp;" emissions"</f>
        <v>EU CH4 emissions</v>
      </c>
      <c r="C445" s="88">
        <v>49.15382164311815</v>
      </c>
      <c r="D445" s="88">
        <v>41.911840193143014</v>
      </c>
      <c r="E445" s="88">
        <v>37.896004434226477</v>
      </c>
      <c r="F445" s="88">
        <v>31.22393600887256</v>
      </c>
      <c r="G445" s="88">
        <v>26.82013456334419</v>
      </c>
      <c r="H445" s="140">
        <v>23.040141068104759</v>
      </c>
      <c r="I445" s="132">
        <v>23.040141068104759</v>
      </c>
      <c r="J445" s="132">
        <v>23.040141068104759</v>
      </c>
      <c r="K445" s="132">
        <v>23.040141068104759</v>
      </c>
      <c r="L445" s="132">
        <v>23.040141068104759</v>
      </c>
      <c r="M445" s="3" t="s">
        <v>482</v>
      </c>
    </row>
    <row r="446" spans="1:17" x14ac:dyDescent="0.25">
      <c r="A446" t="str">
        <v>US CH4 emissions</v>
      </c>
      <c r="C446" s="90">
        <v>49.15382164311815</v>
      </c>
      <c r="D446" s="90">
        <v>41.911840193143014</v>
      </c>
      <c r="E446" s="90">
        <v>37.896004434226477</v>
      </c>
      <c r="F446" s="90">
        <v>31.22393600887256</v>
      </c>
      <c r="G446" s="90">
        <v>26.82013456334419</v>
      </c>
      <c r="H446" s="134">
        <v>23.040141068104759</v>
      </c>
      <c r="I446" s="130">
        <v>23.040141068104759</v>
      </c>
      <c r="J446" s="130">
        <v>23.040141068104759</v>
      </c>
      <c r="K446" s="130">
        <v>23.040141068104759</v>
      </c>
      <c r="L446" s="130">
        <v>23.040141068104759</v>
      </c>
      <c r="M446" s="3" t="s">
        <v>482</v>
      </c>
    </row>
    <row r="447" spans="1:17" x14ac:dyDescent="0.25">
      <c r="A447" t="str">
        <v>OT CH4 emissions</v>
      </c>
      <c r="C447" s="90">
        <v>49.15382164311815</v>
      </c>
      <c r="D447" s="90">
        <v>41.911840193143014</v>
      </c>
      <c r="E447" s="90">
        <v>37.896004434226477</v>
      </c>
      <c r="F447" s="90">
        <v>31.22393600887256</v>
      </c>
      <c r="G447" s="90">
        <v>26.82013456334419</v>
      </c>
      <c r="H447" s="134">
        <v>23.040141068104759</v>
      </c>
      <c r="I447" s="130">
        <v>23.040141068104759</v>
      </c>
      <c r="J447" s="130">
        <v>23.040141068104759</v>
      </c>
      <c r="K447" s="130">
        <v>23.040141068104759</v>
      </c>
      <c r="L447" s="130">
        <v>23.040141068104759</v>
      </c>
      <c r="M447" s="3" t="s">
        <v>482</v>
      </c>
    </row>
    <row r="448" spans="1:17" x14ac:dyDescent="0.25">
      <c r="A448" t="str">
        <v>EE CH4 emissions</v>
      </c>
      <c r="C448" s="90">
        <v>54.414650584156213</v>
      </c>
      <c r="D448" s="90">
        <v>46.109424993537068</v>
      </c>
      <c r="E448" s="90">
        <v>42.24907207538061</v>
      </c>
      <c r="F448" s="90">
        <v>34.121554153827454</v>
      </c>
      <c r="G448" s="90">
        <v>31.986894317450453</v>
      </c>
      <c r="H448" s="134">
        <v>31.813272637226657</v>
      </c>
      <c r="I448" s="130">
        <v>31.813272637226657</v>
      </c>
      <c r="J448" s="130">
        <v>31.813272637226657</v>
      </c>
      <c r="K448" s="130">
        <v>31.813272637226657</v>
      </c>
      <c r="L448" s="130">
        <v>31.813272637226657</v>
      </c>
      <c r="M448" s="3" t="s">
        <v>482</v>
      </c>
    </row>
    <row r="449" spans="1:13" x14ac:dyDescent="0.25">
      <c r="A449" t="str">
        <v>CA CH4 emissions</v>
      </c>
      <c r="C449" s="90">
        <v>84.66172821973106</v>
      </c>
      <c r="D449" s="90">
        <v>77.653698340172511</v>
      </c>
      <c r="E449" s="90">
        <v>71.53008751615144</v>
      </c>
      <c r="F449" s="90">
        <v>58.106980263459164</v>
      </c>
      <c r="G449" s="90">
        <v>47.839687975946319</v>
      </c>
      <c r="H449" s="134">
        <v>42.777112834351534</v>
      </c>
      <c r="I449" s="130">
        <v>42.777112834351534</v>
      </c>
      <c r="J449" s="130">
        <v>42.777112834351534</v>
      </c>
      <c r="K449" s="130">
        <v>42.777112834351534</v>
      </c>
      <c r="L449" s="130">
        <v>42.777112834351534</v>
      </c>
      <c r="M449" s="3" t="s">
        <v>482</v>
      </c>
    </row>
    <row r="450" spans="1:13" x14ac:dyDescent="0.25">
      <c r="A450" t="str">
        <v>IA CH4 emissions</v>
      </c>
      <c r="C450" s="90">
        <v>84.66172821973106</v>
      </c>
      <c r="D450" s="90">
        <v>77.653698340172511</v>
      </c>
      <c r="E450" s="90">
        <v>71.53008751615144</v>
      </c>
      <c r="F450" s="90">
        <v>58.106980263459164</v>
      </c>
      <c r="G450" s="90">
        <v>47.839687975946319</v>
      </c>
      <c r="H450" s="134">
        <v>42.777112834351534</v>
      </c>
      <c r="I450" s="130">
        <v>42.777112834351534</v>
      </c>
      <c r="J450" s="130">
        <v>42.777112834351534</v>
      </c>
      <c r="K450" s="130">
        <v>42.777112834351534</v>
      </c>
      <c r="L450" s="130">
        <v>42.777112834351534</v>
      </c>
      <c r="M450" s="3" t="s">
        <v>482</v>
      </c>
    </row>
    <row r="451" spans="1:13" x14ac:dyDescent="0.25">
      <c r="A451" t="str">
        <v>AF CH4 emissions</v>
      </c>
      <c r="C451" s="90">
        <v>74.340673493013071</v>
      </c>
      <c r="D451" s="90">
        <v>74.987122355391136</v>
      </c>
      <c r="E451" s="90">
        <v>81.132779386271821</v>
      </c>
      <c r="F451" s="90">
        <v>73.141718445416728</v>
      </c>
      <c r="G451" s="90">
        <v>56.538284498204497</v>
      </c>
      <c r="H451" s="134">
        <v>51.194778042390176</v>
      </c>
      <c r="I451" s="130">
        <v>51.194778042390176</v>
      </c>
      <c r="J451" s="130">
        <v>51.194778042390176</v>
      </c>
      <c r="K451" s="130">
        <v>51.194778042390176</v>
      </c>
      <c r="L451" s="130">
        <v>51.194778042390176</v>
      </c>
      <c r="M451" s="3" t="s">
        <v>482</v>
      </c>
    </row>
    <row r="452" spans="1:13" ht="13" thickBot="1" x14ac:dyDescent="0.3">
      <c r="A452" t="str">
        <v>LA CH4 emissions</v>
      </c>
      <c r="C452" s="92">
        <v>67.217171481575392</v>
      </c>
      <c r="D452" s="92">
        <v>62.699747826562977</v>
      </c>
      <c r="E452" s="92">
        <v>61.081079492031463</v>
      </c>
      <c r="F452" s="92">
        <v>54.089916707546159</v>
      </c>
      <c r="G452" s="92">
        <v>48.775867847526186</v>
      </c>
      <c r="H452" s="141">
        <v>43.026639101459168</v>
      </c>
      <c r="I452" s="133">
        <v>43.026639101459168</v>
      </c>
      <c r="J452" s="133">
        <v>43.026639101459168</v>
      </c>
      <c r="K452" s="133">
        <v>43.026639101459168</v>
      </c>
      <c r="L452" s="133">
        <v>43.026639101459168</v>
      </c>
      <c r="M452" s="3" t="s">
        <v>482</v>
      </c>
    </row>
    <row r="453" spans="1:13" ht="13" thickTop="1" x14ac:dyDescent="0.25">
      <c r="M453" s="3"/>
    </row>
    <row r="454" spans="1:13" x14ac:dyDescent="0.25">
      <c r="A454" t="str">
        <f t="array" ref="A454:A461">R_CODE&amp;" "&amp;'Base data'!$D$12&amp;" emissions"</f>
        <v>EU N2O emissions</v>
      </c>
      <c r="C454" s="88">
        <v>77.575259852913533</v>
      </c>
      <c r="D454" s="88">
        <v>76.265398466455011</v>
      </c>
      <c r="E454" s="88">
        <v>73.464398880508085</v>
      </c>
      <c r="F454" s="88">
        <v>66.209385559028874</v>
      </c>
      <c r="G454" s="88">
        <v>57.006101205203251</v>
      </c>
      <c r="H454" s="140">
        <v>49.37944010316442</v>
      </c>
      <c r="I454" s="132">
        <v>49.37944010316442</v>
      </c>
      <c r="J454" s="132">
        <v>49.37944010316442</v>
      </c>
      <c r="K454" s="132">
        <v>49.37944010316442</v>
      </c>
      <c r="L454" s="132">
        <v>49.37944010316442</v>
      </c>
      <c r="M454" s="3" t="s">
        <v>482</v>
      </c>
    </row>
    <row r="455" spans="1:13" x14ac:dyDescent="0.25">
      <c r="A455" t="str">
        <v>US N2O emissions</v>
      </c>
      <c r="C455" s="90">
        <v>77.575259852913533</v>
      </c>
      <c r="D455" s="90">
        <v>76.265398466455011</v>
      </c>
      <c r="E455" s="90">
        <v>73.464398880508085</v>
      </c>
      <c r="F455" s="90">
        <v>66.209385559028874</v>
      </c>
      <c r="G455" s="90">
        <v>57.006101205203251</v>
      </c>
      <c r="H455" s="134">
        <v>49.37944010316442</v>
      </c>
      <c r="I455" s="130">
        <v>49.37944010316442</v>
      </c>
      <c r="J455" s="130">
        <v>49.37944010316442</v>
      </c>
      <c r="K455" s="130">
        <v>49.37944010316442</v>
      </c>
      <c r="L455" s="130">
        <v>49.37944010316442</v>
      </c>
      <c r="M455" s="3" t="s">
        <v>482</v>
      </c>
    </row>
    <row r="456" spans="1:13" x14ac:dyDescent="0.25">
      <c r="A456" t="str">
        <v>OT N2O emissions</v>
      </c>
      <c r="C456" s="90">
        <v>77.575259852913533</v>
      </c>
      <c r="D456" s="90">
        <v>76.265398466455011</v>
      </c>
      <c r="E456" s="90">
        <v>73.464398880508085</v>
      </c>
      <c r="F456" s="90">
        <v>66.209385559028874</v>
      </c>
      <c r="G456" s="90">
        <v>57.006101205203251</v>
      </c>
      <c r="H456" s="134">
        <v>49.37944010316442</v>
      </c>
      <c r="I456" s="130">
        <v>49.37944010316442</v>
      </c>
      <c r="J456" s="130">
        <v>49.37944010316442</v>
      </c>
      <c r="K456" s="130">
        <v>49.37944010316442</v>
      </c>
      <c r="L456" s="130">
        <v>49.37944010316442</v>
      </c>
      <c r="M456" s="3" t="s">
        <v>482</v>
      </c>
    </row>
    <row r="457" spans="1:13" x14ac:dyDescent="0.25">
      <c r="A457" t="str">
        <v>EE N2O emissions</v>
      </c>
      <c r="C457" s="90">
        <v>132.09229913647778</v>
      </c>
      <c r="D457" s="90">
        <v>131.84690296169583</v>
      </c>
      <c r="E457" s="90">
        <v>132.40908328937806</v>
      </c>
      <c r="F457" s="90">
        <v>130.69131006590459</v>
      </c>
      <c r="G457" s="90">
        <v>141.85683601848217</v>
      </c>
      <c r="H457" s="134">
        <v>148.11443847542125</v>
      </c>
      <c r="I457" s="130">
        <v>148.11443847542125</v>
      </c>
      <c r="J457" s="130">
        <v>148.11443847542125</v>
      </c>
      <c r="K457" s="130">
        <v>148.11443847542125</v>
      </c>
      <c r="L457" s="130">
        <v>148.11443847542125</v>
      </c>
      <c r="M457" s="3" t="s">
        <v>482</v>
      </c>
    </row>
    <row r="458" spans="1:13" x14ac:dyDescent="0.25">
      <c r="A458" t="str">
        <v>CA N2O emissions</v>
      </c>
      <c r="C458" s="90">
        <v>130.97661461205334</v>
      </c>
      <c r="D458" s="90">
        <v>130.8132422750557</v>
      </c>
      <c r="E458" s="90">
        <v>129.79975547651267</v>
      </c>
      <c r="F458" s="90">
        <v>113.66464082729728</v>
      </c>
      <c r="G458" s="90">
        <v>108.15971595692288</v>
      </c>
      <c r="H458" s="134">
        <v>103.60003740450487</v>
      </c>
      <c r="I458" s="130">
        <v>103.60003740450487</v>
      </c>
      <c r="J458" s="130">
        <v>103.60003740450487</v>
      </c>
      <c r="K458" s="130">
        <v>103.60003740450487</v>
      </c>
      <c r="L458" s="130">
        <v>103.60003740450487</v>
      </c>
      <c r="M458" s="3" t="s">
        <v>482</v>
      </c>
    </row>
    <row r="459" spans="1:13" x14ac:dyDescent="0.25">
      <c r="A459" t="str">
        <v>IA N2O emissions</v>
      </c>
      <c r="C459" s="90">
        <v>130.97661461205334</v>
      </c>
      <c r="D459" s="90">
        <v>130.8132422750557</v>
      </c>
      <c r="E459" s="90">
        <v>129.79975547651267</v>
      </c>
      <c r="F459" s="90">
        <v>113.66464082729728</v>
      </c>
      <c r="G459" s="90">
        <v>108.15971595692288</v>
      </c>
      <c r="H459" s="134">
        <v>103.60003740450487</v>
      </c>
      <c r="I459" s="130">
        <v>103.60003740450487</v>
      </c>
      <c r="J459" s="130">
        <v>103.60003740450487</v>
      </c>
      <c r="K459" s="130">
        <v>103.60003740450487</v>
      </c>
      <c r="L459" s="130">
        <v>103.60003740450487</v>
      </c>
      <c r="M459" s="3" t="s">
        <v>482</v>
      </c>
    </row>
    <row r="460" spans="1:13" x14ac:dyDescent="0.25">
      <c r="A460" t="str">
        <v>AF N2O emissions</v>
      </c>
      <c r="C460" s="90">
        <v>104.79399303614998</v>
      </c>
      <c r="D460" s="90">
        <v>105.2612538332134</v>
      </c>
      <c r="E460" s="90">
        <v>102.50738674525719</v>
      </c>
      <c r="F460" s="90">
        <v>84.110529902979081</v>
      </c>
      <c r="G460" s="90">
        <v>73.857434430573434</v>
      </c>
      <c r="H460" s="134">
        <v>66.140458415913528</v>
      </c>
      <c r="I460" s="130">
        <v>66.140458415913528</v>
      </c>
      <c r="J460" s="130">
        <v>66.140458415913528</v>
      </c>
      <c r="K460" s="130">
        <v>66.140458415913528</v>
      </c>
      <c r="L460" s="130">
        <v>66.140458415913528</v>
      </c>
      <c r="M460" s="3" t="s">
        <v>482</v>
      </c>
    </row>
    <row r="461" spans="1:13" ht="13" thickBot="1" x14ac:dyDescent="0.3">
      <c r="A461" t="str">
        <v>LA N2O emissions</v>
      </c>
      <c r="C461" s="92">
        <v>97.648618195415906</v>
      </c>
      <c r="D461" s="92">
        <v>94.953417671522189</v>
      </c>
      <c r="E461" s="92">
        <v>93.772547214175972</v>
      </c>
      <c r="F461" s="92">
        <v>77.985616572845615</v>
      </c>
      <c r="G461" s="92">
        <v>64.727421301291798</v>
      </c>
      <c r="H461" s="141">
        <v>60.028022665904835</v>
      </c>
      <c r="I461" s="133">
        <v>60.028022665904835</v>
      </c>
      <c r="J461" s="133">
        <v>60.028022665904835</v>
      </c>
      <c r="K461" s="133">
        <v>60.028022665904835</v>
      </c>
      <c r="L461" s="133">
        <v>60.028022665904835</v>
      </c>
      <c r="M461" s="3" t="s">
        <v>482</v>
      </c>
    </row>
    <row r="462" spans="1:13" ht="13" thickTop="1" x14ac:dyDescent="0.25">
      <c r="M462" s="3"/>
    </row>
    <row r="463" spans="1:13" x14ac:dyDescent="0.25">
      <c r="A463" t="str">
        <f t="array" ref="A463:A470">R_CODE&amp;" "&amp;GLIN_NAME&amp;" emissions"</f>
        <v>EU Lin emissions</v>
      </c>
      <c r="C463" s="88">
        <v>90</v>
      </c>
      <c r="D463" s="88">
        <v>65</v>
      </c>
      <c r="E463" s="88">
        <v>45</v>
      </c>
      <c r="F463" s="88">
        <v>20</v>
      </c>
      <c r="G463" s="88">
        <v>20</v>
      </c>
      <c r="H463" s="140">
        <v>20</v>
      </c>
      <c r="I463" s="132">
        <v>20</v>
      </c>
      <c r="J463" s="132">
        <v>20</v>
      </c>
      <c r="K463" s="132">
        <v>20</v>
      </c>
      <c r="L463" s="132">
        <v>20</v>
      </c>
      <c r="M463" s="3" t="s">
        <v>482</v>
      </c>
    </row>
    <row r="464" spans="1:13" x14ac:dyDescent="0.25">
      <c r="A464" t="str">
        <v>US Lin emissions</v>
      </c>
      <c r="C464" s="90">
        <v>90</v>
      </c>
      <c r="D464" s="90">
        <v>65</v>
      </c>
      <c r="E464" s="90">
        <v>45</v>
      </c>
      <c r="F464" s="90">
        <v>20</v>
      </c>
      <c r="G464" s="90">
        <v>20</v>
      </c>
      <c r="H464" s="134">
        <v>20</v>
      </c>
      <c r="I464" s="130">
        <v>20</v>
      </c>
      <c r="J464" s="130">
        <v>20</v>
      </c>
      <c r="K464" s="130">
        <v>20</v>
      </c>
      <c r="L464" s="130">
        <v>20</v>
      </c>
      <c r="M464" s="3" t="s">
        <v>482</v>
      </c>
    </row>
    <row r="465" spans="1:13" x14ac:dyDescent="0.25">
      <c r="A465" t="str">
        <v>OT Lin emissions</v>
      </c>
      <c r="C465" s="90">
        <v>90</v>
      </c>
      <c r="D465" s="90">
        <v>65</v>
      </c>
      <c r="E465" s="90">
        <v>45</v>
      </c>
      <c r="F465" s="90">
        <v>20</v>
      </c>
      <c r="G465" s="90">
        <v>20</v>
      </c>
      <c r="H465" s="134">
        <v>20</v>
      </c>
      <c r="I465" s="130">
        <v>20</v>
      </c>
      <c r="J465" s="130">
        <v>20</v>
      </c>
      <c r="K465" s="130">
        <v>20</v>
      </c>
      <c r="L465" s="130">
        <v>20</v>
      </c>
      <c r="M465" s="3" t="s">
        <v>482</v>
      </c>
    </row>
    <row r="466" spans="1:13" x14ac:dyDescent="0.25">
      <c r="A466" t="str">
        <v>EE Lin emissions</v>
      </c>
      <c r="C466" s="90">
        <v>90</v>
      </c>
      <c r="D466" s="90">
        <v>65</v>
      </c>
      <c r="E466" s="90">
        <v>45</v>
      </c>
      <c r="F466" s="90">
        <v>20</v>
      </c>
      <c r="G466" s="90">
        <v>20</v>
      </c>
      <c r="H466" s="134">
        <v>20</v>
      </c>
      <c r="I466" s="130">
        <v>20</v>
      </c>
      <c r="J466" s="130">
        <v>20</v>
      </c>
      <c r="K466" s="130">
        <v>20</v>
      </c>
      <c r="L466" s="130">
        <v>20</v>
      </c>
      <c r="M466" s="3" t="s">
        <v>482</v>
      </c>
    </row>
    <row r="467" spans="1:13" x14ac:dyDescent="0.25">
      <c r="A467" t="str">
        <v>CA Lin emissions</v>
      </c>
      <c r="C467" s="90">
        <v>90</v>
      </c>
      <c r="D467" s="90">
        <v>65</v>
      </c>
      <c r="E467" s="90">
        <v>45</v>
      </c>
      <c r="F467" s="90">
        <v>20</v>
      </c>
      <c r="G467" s="90">
        <v>20</v>
      </c>
      <c r="H467" s="134">
        <v>20</v>
      </c>
      <c r="I467" s="130">
        <v>20</v>
      </c>
      <c r="J467" s="130">
        <v>20</v>
      </c>
      <c r="K467" s="130">
        <v>20</v>
      </c>
      <c r="L467" s="130">
        <v>20</v>
      </c>
      <c r="M467" s="3" t="s">
        <v>482</v>
      </c>
    </row>
    <row r="468" spans="1:13" x14ac:dyDescent="0.25">
      <c r="A468" t="str">
        <v>IA Lin emissions</v>
      </c>
      <c r="C468" s="90">
        <v>90</v>
      </c>
      <c r="D468" s="90">
        <v>65</v>
      </c>
      <c r="E468" s="90">
        <v>45</v>
      </c>
      <c r="F468" s="90">
        <v>20</v>
      </c>
      <c r="G468" s="90">
        <v>20</v>
      </c>
      <c r="H468" s="134">
        <v>20</v>
      </c>
      <c r="I468" s="130">
        <v>20</v>
      </c>
      <c r="J468" s="130">
        <v>20</v>
      </c>
      <c r="K468" s="130">
        <v>20</v>
      </c>
      <c r="L468" s="130">
        <v>20</v>
      </c>
      <c r="M468" s="3" t="s">
        <v>482</v>
      </c>
    </row>
    <row r="469" spans="1:13" x14ac:dyDescent="0.25">
      <c r="A469" t="str">
        <v>AF Lin emissions</v>
      </c>
      <c r="C469" s="90">
        <v>90</v>
      </c>
      <c r="D469" s="90">
        <v>65</v>
      </c>
      <c r="E469" s="90">
        <v>45</v>
      </c>
      <c r="F469" s="90">
        <v>20</v>
      </c>
      <c r="G469" s="90">
        <v>20</v>
      </c>
      <c r="H469" s="134">
        <v>20</v>
      </c>
      <c r="I469" s="130">
        <v>20</v>
      </c>
      <c r="J469" s="130">
        <v>20</v>
      </c>
      <c r="K469" s="130">
        <v>20</v>
      </c>
      <c r="L469" s="130">
        <v>20</v>
      </c>
      <c r="M469" s="3" t="s">
        <v>482</v>
      </c>
    </row>
    <row r="470" spans="1:13" ht="13" thickBot="1" x14ac:dyDescent="0.3">
      <c r="A470" t="str">
        <v>LA Lin emissions</v>
      </c>
      <c r="C470" s="92">
        <v>90</v>
      </c>
      <c r="D470" s="92">
        <v>65</v>
      </c>
      <c r="E470" s="92">
        <v>45</v>
      </c>
      <c r="F470" s="92">
        <v>20</v>
      </c>
      <c r="G470" s="92">
        <v>20</v>
      </c>
      <c r="H470" s="141">
        <v>20</v>
      </c>
      <c r="I470" s="133">
        <v>20</v>
      </c>
      <c r="J470" s="133">
        <v>20</v>
      </c>
      <c r="K470" s="133">
        <v>20</v>
      </c>
      <c r="L470" s="133">
        <v>20</v>
      </c>
      <c r="M470" s="3" t="s">
        <v>482</v>
      </c>
    </row>
    <row r="471" spans="1:13" ht="13" thickTop="1" x14ac:dyDescent="0.25">
      <c r="M471" s="3"/>
    </row>
    <row r="472" spans="1:13" x14ac:dyDescent="0.25">
      <c r="A472" t="str">
        <f t="array" ref="A472:A479">R_CODE&amp;" sulphates"</f>
        <v>EU sulphates</v>
      </c>
      <c r="C472" s="88">
        <v>50.624277766564255</v>
      </c>
      <c r="D472" s="88">
        <v>23.824938482036533</v>
      </c>
      <c r="E472" s="88">
        <v>11.896054665063305</v>
      </c>
      <c r="F472" s="88">
        <v>8.7185732597870178</v>
      </c>
      <c r="G472" s="88">
        <v>6.0474217931322514</v>
      </c>
      <c r="H472" s="140">
        <v>5.2085971421076591</v>
      </c>
      <c r="I472" s="132">
        <v>5.2085971421076591</v>
      </c>
      <c r="J472" s="132">
        <v>5.2085971421076591</v>
      </c>
      <c r="K472" s="132">
        <v>5.2085971421076591</v>
      </c>
      <c r="L472" s="132">
        <v>5.2085971421076591</v>
      </c>
      <c r="M472" s="3" t="s">
        <v>482</v>
      </c>
    </row>
    <row r="473" spans="1:13" x14ac:dyDescent="0.25">
      <c r="A473" t="str">
        <v>US sulphates</v>
      </c>
      <c r="C473" s="90">
        <v>50.624277766564255</v>
      </c>
      <c r="D473" s="90">
        <v>23.824938482036533</v>
      </c>
      <c r="E473" s="90">
        <v>11.896054665063305</v>
      </c>
      <c r="F473" s="90">
        <v>8.7185732597870178</v>
      </c>
      <c r="G473" s="90">
        <v>6.0474217931322514</v>
      </c>
      <c r="H473" s="134">
        <v>5.2085971421076591</v>
      </c>
      <c r="I473" s="130">
        <v>5.2085971421076591</v>
      </c>
      <c r="J473" s="130">
        <v>5.2085971421076591</v>
      </c>
      <c r="K473" s="130">
        <v>5.2085971421076591</v>
      </c>
      <c r="L473" s="130">
        <v>5.2085971421076591</v>
      </c>
      <c r="M473" s="3" t="s">
        <v>482</v>
      </c>
    </row>
    <row r="474" spans="1:13" x14ac:dyDescent="0.25">
      <c r="A474" t="str">
        <v>OT sulphates</v>
      </c>
      <c r="C474" s="90">
        <v>50.624277766564255</v>
      </c>
      <c r="D474" s="90">
        <v>23.824938482036533</v>
      </c>
      <c r="E474" s="90">
        <v>11.896054665063305</v>
      </c>
      <c r="F474" s="90">
        <v>8.7185732597870178</v>
      </c>
      <c r="G474" s="90">
        <v>6.0474217931322514</v>
      </c>
      <c r="H474" s="134">
        <v>5.2085971421076591</v>
      </c>
      <c r="I474" s="130">
        <v>5.2085971421076591</v>
      </c>
      <c r="J474" s="130">
        <v>5.2085971421076591</v>
      </c>
      <c r="K474" s="130">
        <v>5.2085971421076591</v>
      </c>
      <c r="L474" s="130">
        <v>5.2085971421076591</v>
      </c>
      <c r="M474" s="3" t="s">
        <v>482</v>
      </c>
    </row>
    <row r="475" spans="1:13" x14ac:dyDescent="0.25">
      <c r="A475" t="str">
        <v>EE sulphates</v>
      </c>
      <c r="C475" s="90">
        <v>32.799379775035852</v>
      </c>
      <c r="D475" s="90">
        <v>16.637553730877894</v>
      </c>
      <c r="E475" s="90">
        <v>11.861658697710807</v>
      </c>
      <c r="F475" s="90">
        <v>8.1685525871071558</v>
      </c>
      <c r="G475" s="90">
        <v>3.4975524687333599</v>
      </c>
      <c r="H475" s="134">
        <v>3.0873447917533867</v>
      </c>
      <c r="I475" s="130">
        <v>3.0873447917533867</v>
      </c>
      <c r="J475" s="130">
        <v>3.0873447917533867</v>
      </c>
      <c r="K475" s="130">
        <v>3.0873447917533867</v>
      </c>
      <c r="L475" s="130">
        <v>3.0873447917533867</v>
      </c>
      <c r="M475" s="3" t="s">
        <v>482</v>
      </c>
    </row>
    <row r="476" spans="1:13" x14ac:dyDescent="0.25">
      <c r="A476" t="str">
        <v>CA sulphates</v>
      </c>
      <c r="C476" s="90">
        <v>56.778724716616011</v>
      </c>
      <c r="D476" s="90">
        <v>38.762719089381498</v>
      </c>
      <c r="E476" s="90">
        <v>22.583149727008553</v>
      </c>
      <c r="F476" s="90">
        <v>16.148831598757891</v>
      </c>
      <c r="G476" s="90">
        <v>9.6819763287871474</v>
      </c>
      <c r="H476" s="134">
        <v>4.5687177494429552</v>
      </c>
      <c r="I476" s="130">
        <v>4.5687177494429552</v>
      </c>
      <c r="J476" s="130">
        <v>4.5687177494429552</v>
      </c>
      <c r="K476" s="130">
        <v>4.5687177494429552</v>
      </c>
      <c r="L476" s="130">
        <v>4.5687177494429552</v>
      </c>
      <c r="M476" s="3" t="s">
        <v>482</v>
      </c>
    </row>
    <row r="477" spans="1:13" x14ac:dyDescent="0.25">
      <c r="A477" t="str">
        <v>IA sulphates</v>
      </c>
      <c r="C477" s="90">
        <v>56.778724716616011</v>
      </c>
      <c r="D477" s="90">
        <v>38.762719089381498</v>
      </c>
      <c r="E477" s="90">
        <v>22.583149727008553</v>
      </c>
      <c r="F477" s="90">
        <v>16.148831598757891</v>
      </c>
      <c r="G477" s="90">
        <v>9.6819763287871474</v>
      </c>
      <c r="H477" s="134">
        <v>4.5687177494429552</v>
      </c>
      <c r="I477" s="130">
        <v>4.5687177494429552</v>
      </c>
      <c r="J477" s="130">
        <v>4.5687177494429552</v>
      </c>
      <c r="K477" s="130">
        <v>4.5687177494429552</v>
      </c>
      <c r="L477" s="130">
        <v>4.5687177494429552</v>
      </c>
      <c r="M477" s="3" t="s">
        <v>482</v>
      </c>
    </row>
    <row r="478" spans="1:13" x14ac:dyDescent="0.25">
      <c r="A478" t="str">
        <v>AF sulphates</v>
      </c>
      <c r="C478" s="90">
        <v>58.630704234873363</v>
      </c>
      <c r="D478" s="90">
        <v>46.745689033677621</v>
      </c>
      <c r="E478" s="90">
        <v>40.962879109589352</v>
      </c>
      <c r="F478" s="90">
        <v>40.617575951947273</v>
      </c>
      <c r="G478" s="90">
        <v>43.733269118952009</v>
      </c>
      <c r="H478" s="134">
        <v>27.404774577384817</v>
      </c>
      <c r="I478" s="130">
        <v>27.404774577384817</v>
      </c>
      <c r="J478" s="130">
        <v>27.404774577384817</v>
      </c>
      <c r="K478" s="130">
        <v>27.404774577384817</v>
      </c>
      <c r="L478" s="130">
        <v>27.404774577384817</v>
      </c>
      <c r="M478" s="3" t="s">
        <v>482</v>
      </c>
    </row>
    <row r="479" spans="1:13" ht="13" thickBot="1" x14ac:dyDescent="0.3">
      <c r="A479" t="str">
        <v>LA sulphates</v>
      </c>
      <c r="C479" s="92">
        <v>42.897430296138495</v>
      </c>
      <c r="D479" s="92">
        <v>39.670958869548471</v>
      </c>
      <c r="E479" s="92">
        <v>38.528901886225874</v>
      </c>
      <c r="F479" s="92">
        <v>33.517970645528585</v>
      </c>
      <c r="G479" s="92">
        <v>10.937129444426494</v>
      </c>
      <c r="H479" s="141">
        <v>6.4378775643731245</v>
      </c>
      <c r="I479" s="133">
        <v>6.4378775643731245</v>
      </c>
      <c r="J479" s="133">
        <v>6.4378775643731245</v>
      </c>
      <c r="K479" s="133">
        <v>6.4378775643731245</v>
      </c>
      <c r="L479" s="133">
        <v>6.4378775643731245</v>
      </c>
      <c r="M479" s="3" t="s">
        <v>482</v>
      </c>
    </row>
    <row r="480" spans="1:13" ht="13" thickTop="1" x14ac:dyDescent="0.25">
      <c r="C480" s="61"/>
      <c r="D480" s="61"/>
      <c r="E480" s="61"/>
      <c r="F480" s="61"/>
      <c r="G480" s="61"/>
      <c r="H480" s="61"/>
      <c r="I480" s="61"/>
      <c r="J480" s="61"/>
      <c r="K480" s="61"/>
      <c r="L480" s="61"/>
    </row>
    <row r="481" spans="1:17" ht="13" thickBot="1" x14ac:dyDescent="0.3">
      <c r="A481" t="s">
        <v>37</v>
      </c>
      <c r="C481" s="62">
        <v>0.73837032266629909</v>
      </c>
      <c r="D481" s="62">
        <v>0.57579442962579896</v>
      </c>
      <c r="E481" s="62">
        <v>0.39609189977007497</v>
      </c>
      <c r="F481" s="62">
        <v>0.2741565602349717</v>
      </c>
      <c r="G481" s="62">
        <v>0.15568695737301705</v>
      </c>
      <c r="H481" s="150">
        <v>0.12145862958943525</v>
      </c>
      <c r="I481" s="120">
        <v>0.12145862958943525</v>
      </c>
      <c r="J481" s="120">
        <v>0.12145862958943525</v>
      </c>
      <c r="K481" s="120">
        <v>0.12145862958943525</v>
      </c>
      <c r="L481" s="120">
        <v>0.12145862958943525</v>
      </c>
      <c r="M481" t="s">
        <v>44</v>
      </c>
    </row>
    <row r="482" spans="1:17" ht="13" thickTop="1" x14ac:dyDescent="0.25"/>
    <row r="484" spans="1:17" ht="13" x14ac:dyDescent="0.3">
      <c r="A484" s="2" t="s">
        <v>471</v>
      </c>
    </row>
    <row r="485" spans="1:17" x14ac:dyDescent="0.25">
      <c r="C485">
        <f t="shared" ref="C485:L485" si="37">C435</f>
        <v>2020</v>
      </c>
      <c r="D485">
        <f t="shared" si="37"/>
        <v>2030</v>
      </c>
      <c r="E485">
        <f t="shared" si="37"/>
        <v>2040</v>
      </c>
      <c r="F485">
        <f t="shared" si="37"/>
        <v>2050</v>
      </c>
      <c r="G485">
        <f t="shared" si="37"/>
        <v>2075</v>
      </c>
      <c r="H485">
        <f t="shared" si="37"/>
        <v>2100</v>
      </c>
      <c r="I485">
        <f t="shared" si="37"/>
        <v>2150</v>
      </c>
      <c r="J485">
        <f t="shared" si="37"/>
        <v>2200</v>
      </c>
      <c r="K485">
        <f t="shared" si="37"/>
        <v>2250</v>
      </c>
      <c r="L485">
        <f t="shared" si="37"/>
        <v>2300</v>
      </c>
    </row>
    <row r="486" spans="1:17" ht="13" x14ac:dyDescent="0.3">
      <c r="A486" t="str">
        <f t="shared" ref="A486:A493" si="38">A436</f>
        <v>EU CO2 emissions</v>
      </c>
      <c r="C486" s="88">
        <v>97.897294378786967</v>
      </c>
      <c r="D486" s="88">
        <v>97.936288919551245</v>
      </c>
      <c r="E486" s="88">
        <v>91.052252684624136</v>
      </c>
      <c r="F486" s="88">
        <v>79.167916491691145</v>
      </c>
      <c r="G486" s="88">
        <v>40.111884336192929</v>
      </c>
      <c r="H486" s="140">
        <v>28.48701181834543</v>
      </c>
      <c r="I486" s="132">
        <f xml:space="preserve"> MAX($H486 + 0.5*(($H486-$G486)/($H$485-$G$485)) * (I$485-$H$485), 0)</f>
        <v>16.86213930049793</v>
      </c>
      <c r="J486" s="132">
        <f t="shared" ref="J486:L493" si="39" xml:space="preserve"> MAX($H486 + 0.5*(($H486-$G486)/($H$485-$G$485)) * (J$485-$H$485), 0)</f>
        <v>5.2372667826504298</v>
      </c>
      <c r="K486" s="132">
        <f t="shared" si="39"/>
        <v>0</v>
      </c>
      <c r="L486" s="132">
        <f t="shared" si="39"/>
        <v>0</v>
      </c>
      <c r="M486" t="str">
        <f t="shared" ref="M486:M493" si="40">M436</f>
        <v>% relative to base year</v>
      </c>
      <c r="Q486" s="124" t="s">
        <v>656</v>
      </c>
    </row>
    <row r="487" spans="1:17" x14ac:dyDescent="0.25">
      <c r="A487" t="str">
        <f t="shared" si="38"/>
        <v>US CO2 emissions</v>
      </c>
      <c r="C487" s="90">
        <v>97.897294378786981</v>
      </c>
      <c r="D487" s="90">
        <v>97.936288919551274</v>
      </c>
      <c r="E487" s="90">
        <v>91.052252684624165</v>
      </c>
      <c r="F487" s="90">
        <v>79.167916491691159</v>
      </c>
      <c r="G487" s="90">
        <v>40.111884336192936</v>
      </c>
      <c r="H487" s="134">
        <v>28.487011818345437</v>
      </c>
      <c r="I487" s="130">
        <f t="shared" ref="I487:I493" si="41" xml:space="preserve"> MAX($H487 + 0.5*(($H487-$G487)/($H$485-$G$485)) * (I$485-$H$485), 0)</f>
        <v>16.862139300497937</v>
      </c>
      <c r="J487" s="130">
        <f t="shared" si="39"/>
        <v>5.2372667826504369</v>
      </c>
      <c r="K487" s="130">
        <f t="shared" si="39"/>
        <v>0</v>
      </c>
      <c r="L487" s="130">
        <f t="shared" si="39"/>
        <v>0</v>
      </c>
      <c r="M487" t="str">
        <f t="shared" si="40"/>
        <v>% relative to base year</v>
      </c>
    </row>
    <row r="488" spans="1:17" x14ac:dyDescent="0.25">
      <c r="A488" t="str">
        <f t="shared" si="38"/>
        <v>OT CO2 emissions</v>
      </c>
      <c r="C488" s="90">
        <v>97.897294378786981</v>
      </c>
      <c r="D488" s="90">
        <v>97.936288919551274</v>
      </c>
      <c r="E488" s="90">
        <v>91.052252684624136</v>
      </c>
      <c r="F488" s="90">
        <v>79.167916491691159</v>
      </c>
      <c r="G488" s="90">
        <v>40.111884336192936</v>
      </c>
      <c r="H488" s="134">
        <v>28.487011818345437</v>
      </c>
      <c r="I488" s="130">
        <f t="shared" si="41"/>
        <v>16.862139300497937</v>
      </c>
      <c r="J488" s="130">
        <f t="shared" si="39"/>
        <v>5.2372667826504369</v>
      </c>
      <c r="K488" s="130">
        <f t="shared" si="39"/>
        <v>0</v>
      </c>
      <c r="L488" s="130">
        <f t="shared" si="39"/>
        <v>0</v>
      </c>
      <c r="M488" t="str">
        <f t="shared" si="40"/>
        <v>% relative to base year</v>
      </c>
    </row>
    <row r="489" spans="1:17" x14ac:dyDescent="0.25">
      <c r="A489" t="str">
        <f t="shared" si="38"/>
        <v>EE CO2 emissions</v>
      </c>
      <c r="C489" s="90">
        <v>99.407905264842384</v>
      </c>
      <c r="D489" s="90">
        <v>98.255720915346473</v>
      </c>
      <c r="E489" s="90">
        <v>89.539659678881961</v>
      </c>
      <c r="F489" s="90">
        <v>77.345708646716815</v>
      </c>
      <c r="G489" s="90">
        <v>35.253640582493212</v>
      </c>
      <c r="H489" s="134">
        <v>26.116178588574179</v>
      </c>
      <c r="I489" s="130">
        <f t="shared" si="41"/>
        <v>16.978716594655147</v>
      </c>
      <c r="J489" s="130">
        <f t="shared" si="39"/>
        <v>7.8412546007361144</v>
      </c>
      <c r="K489" s="130">
        <f t="shared" si="39"/>
        <v>0</v>
      </c>
      <c r="L489" s="130">
        <f t="shared" si="39"/>
        <v>0</v>
      </c>
      <c r="M489" t="str">
        <f t="shared" si="40"/>
        <v>% relative to base year</v>
      </c>
    </row>
    <row r="490" spans="1:17" x14ac:dyDescent="0.25">
      <c r="A490" t="str">
        <f t="shared" si="38"/>
        <v>CA CO2 emissions</v>
      </c>
      <c r="C490" s="90">
        <v>111.02345116362198</v>
      </c>
      <c r="D490" s="90">
        <v>132.16396665517729</v>
      </c>
      <c r="E490" s="90">
        <v>145.85679087996118</v>
      </c>
      <c r="F490" s="90">
        <v>149.60233873335631</v>
      </c>
      <c r="G490" s="90">
        <v>69.390933578440766</v>
      </c>
      <c r="H490" s="134">
        <v>48.924463508355366</v>
      </c>
      <c r="I490" s="130">
        <f t="shared" si="41"/>
        <v>28.457993438269966</v>
      </c>
      <c r="J490" s="130">
        <f t="shared" si="39"/>
        <v>7.9915233681845663</v>
      </c>
      <c r="K490" s="130">
        <f t="shared" si="39"/>
        <v>0</v>
      </c>
      <c r="L490" s="130">
        <f t="shared" si="39"/>
        <v>0</v>
      </c>
      <c r="M490" t="str">
        <f t="shared" si="40"/>
        <v>% relative to base year</v>
      </c>
    </row>
    <row r="491" spans="1:17" x14ac:dyDescent="0.25">
      <c r="A491" t="str">
        <f t="shared" si="38"/>
        <v>IA CO2 emissions</v>
      </c>
      <c r="C491" s="90">
        <v>111.02345116362198</v>
      </c>
      <c r="D491" s="90">
        <v>132.16396665517729</v>
      </c>
      <c r="E491" s="90">
        <v>145.85679087996124</v>
      </c>
      <c r="F491" s="90">
        <v>149.60233873335631</v>
      </c>
      <c r="G491" s="90">
        <v>69.390933578440766</v>
      </c>
      <c r="H491" s="134">
        <v>48.924463508355373</v>
      </c>
      <c r="I491" s="130">
        <f t="shared" si="41"/>
        <v>28.45799343826998</v>
      </c>
      <c r="J491" s="130">
        <f t="shared" si="39"/>
        <v>7.9915233681845876</v>
      </c>
      <c r="K491" s="130">
        <f t="shared" si="39"/>
        <v>0</v>
      </c>
      <c r="L491" s="130">
        <f t="shared" si="39"/>
        <v>0</v>
      </c>
      <c r="M491" t="str">
        <f t="shared" si="40"/>
        <v>% relative to base year</v>
      </c>
    </row>
    <row r="492" spans="1:17" x14ac:dyDescent="0.25">
      <c r="A492" t="str">
        <f t="shared" si="38"/>
        <v>AF CO2 emissions</v>
      </c>
      <c r="C492" s="90">
        <v>104.63582535021423</v>
      </c>
      <c r="D492" s="90">
        <v>120.06932075290042</v>
      </c>
      <c r="E492" s="90">
        <v>130.351899099793</v>
      </c>
      <c r="F492" s="90">
        <v>136.18639580224331</v>
      </c>
      <c r="G492" s="90">
        <v>80.527607952630817</v>
      </c>
      <c r="H492" s="134">
        <v>65.257786549848362</v>
      </c>
      <c r="I492" s="130">
        <f t="shared" si="41"/>
        <v>49.987965147065907</v>
      </c>
      <c r="J492" s="130">
        <f t="shared" si="39"/>
        <v>34.718143744283452</v>
      </c>
      <c r="K492" s="130">
        <f t="shared" si="39"/>
        <v>19.448322341500997</v>
      </c>
      <c r="L492" s="130">
        <f t="shared" si="39"/>
        <v>4.1785009387185426</v>
      </c>
      <c r="M492" t="str">
        <f t="shared" si="40"/>
        <v>% relative to base year</v>
      </c>
    </row>
    <row r="493" spans="1:17" ht="13.5" thickBot="1" x14ac:dyDescent="0.35">
      <c r="A493" t="str">
        <f t="shared" si="38"/>
        <v>LA CO2 emissions</v>
      </c>
      <c r="C493" s="92">
        <v>102</v>
      </c>
      <c r="D493" s="92">
        <v>110</v>
      </c>
      <c r="E493" s="92">
        <v>105</v>
      </c>
      <c r="F493" s="92">
        <v>100</v>
      </c>
      <c r="G493" s="92">
        <v>60</v>
      </c>
      <c r="H493" s="141">
        <v>45</v>
      </c>
      <c r="I493" s="133">
        <f t="shared" si="41"/>
        <v>30</v>
      </c>
      <c r="J493" s="133">
        <f t="shared" si="39"/>
        <v>15</v>
      </c>
      <c r="K493" s="133">
        <f t="shared" si="39"/>
        <v>0</v>
      </c>
      <c r="L493" s="133">
        <f t="shared" si="39"/>
        <v>0</v>
      </c>
      <c r="M493" t="str">
        <f t="shared" si="40"/>
        <v>% relative to base year</v>
      </c>
      <c r="Q493" s="124" t="s">
        <v>655</v>
      </c>
    </row>
    <row r="494" spans="1:17" ht="13" thickTop="1" x14ac:dyDescent="0.25"/>
    <row r="495" spans="1:17" x14ac:dyDescent="0.25">
      <c r="A495" t="str">
        <f t="shared" ref="A495:A502" si="42">A445</f>
        <v>EU CH4 emissions</v>
      </c>
      <c r="C495" s="88">
        <v>99.4618647439179</v>
      </c>
      <c r="D495" s="88">
        <v>98.508893623814686</v>
      </c>
      <c r="E495" s="88">
        <v>95.735679785206443</v>
      </c>
      <c r="F495" s="88">
        <v>91.143082457306193</v>
      </c>
      <c r="G495" s="88">
        <v>78.837278999802209</v>
      </c>
      <c r="H495" s="140">
        <v>67.24650890874625</v>
      </c>
      <c r="I495" s="132">
        <v>67.24650890874625</v>
      </c>
      <c r="J495" s="132">
        <v>67.24650890874625</v>
      </c>
      <c r="K495" s="132">
        <v>67.24650890874625</v>
      </c>
      <c r="L495" s="132">
        <v>67.24650890874625</v>
      </c>
      <c r="M495" t="str">
        <f t="shared" ref="M495:M502" si="43">M445</f>
        <v>% relative to base year</v>
      </c>
    </row>
    <row r="496" spans="1:17" x14ac:dyDescent="0.25">
      <c r="A496" t="str">
        <f t="shared" si="42"/>
        <v>US CH4 emissions</v>
      </c>
      <c r="C496" s="90">
        <v>99.4618647439179</v>
      </c>
      <c r="D496" s="90">
        <v>98.508893623814686</v>
      </c>
      <c r="E496" s="90">
        <v>95.735679785206443</v>
      </c>
      <c r="F496" s="90">
        <v>91.143082457306193</v>
      </c>
      <c r="G496" s="90">
        <v>78.837278999802209</v>
      </c>
      <c r="H496" s="134">
        <v>67.24650890874625</v>
      </c>
      <c r="I496" s="130">
        <v>67.24650890874625</v>
      </c>
      <c r="J496" s="130">
        <v>67.24650890874625</v>
      </c>
      <c r="K496" s="130">
        <v>67.24650890874625</v>
      </c>
      <c r="L496" s="130">
        <v>67.24650890874625</v>
      </c>
      <c r="M496" t="str">
        <f t="shared" si="43"/>
        <v>% relative to base year</v>
      </c>
    </row>
    <row r="497" spans="1:13" x14ac:dyDescent="0.25">
      <c r="A497" t="str">
        <f t="shared" si="42"/>
        <v>OT CH4 emissions</v>
      </c>
      <c r="C497" s="90">
        <v>99.4618647439179</v>
      </c>
      <c r="D497" s="90">
        <v>98.508893623814686</v>
      </c>
      <c r="E497" s="90">
        <v>95.735679785206443</v>
      </c>
      <c r="F497" s="90">
        <v>91.143082457306193</v>
      </c>
      <c r="G497" s="90">
        <v>78.837278999802209</v>
      </c>
      <c r="H497" s="134">
        <v>67.24650890874625</v>
      </c>
      <c r="I497" s="130">
        <v>67.24650890874625</v>
      </c>
      <c r="J497" s="130">
        <v>67.24650890874625</v>
      </c>
      <c r="K497" s="130">
        <v>67.24650890874625</v>
      </c>
      <c r="L497" s="130">
        <v>67.24650890874625</v>
      </c>
      <c r="M497" t="str">
        <f t="shared" si="43"/>
        <v>% relative to base year</v>
      </c>
    </row>
    <row r="498" spans="1:13" x14ac:dyDescent="0.25">
      <c r="A498" t="str">
        <f t="shared" si="42"/>
        <v>EE CH4 emissions</v>
      </c>
      <c r="C498" s="90">
        <v>111.39679903409061</v>
      </c>
      <c r="D498" s="90">
        <v>105.60895830899086</v>
      </c>
      <c r="E498" s="90">
        <v>103.8705926210308</v>
      </c>
      <c r="F498" s="90">
        <v>106.18250179438817</v>
      </c>
      <c r="G498" s="90">
        <v>46.531875427732061</v>
      </c>
      <c r="H498" s="134">
        <v>52.241246445998655</v>
      </c>
      <c r="I498" s="130">
        <v>52.241246445998655</v>
      </c>
      <c r="J498" s="130">
        <v>52.241246445998655</v>
      </c>
      <c r="K498" s="130">
        <v>52.241246445998655</v>
      </c>
      <c r="L498" s="130">
        <v>52.241246445998655</v>
      </c>
      <c r="M498" t="str">
        <f t="shared" si="43"/>
        <v>% relative to base year</v>
      </c>
    </row>
    <row r="499" spans="1:13" x14ac:dyDescent="0.25">
      <c r="A499" t="str">
        <f t="shared" si="42"/>
        <v>CA CH4 emissions</v>
      </c>
      <c r="C499" s="90">
        <v>103.84148287891077</v>
      </c>
      <c r="D499" s="90">
        <v>106.07772550673906</v>
      </c>
      <c r="E499" s="90">
        <v>106.36067434789385</v>
      </c>
      <c r="F499" s="90">
        <v>104.6893963854926</v>
      </c>
      <c r="G499" s="90">
        <v>94.462602159612885</v>
      </c>
      <c r="H499" s="134">
        <v>83.425153921018747</v>
      </c>
      <c r="I499" s="130">
        <v>83.425153921018747</v>
      </c>
      <c r="J499" s="130">
        <v>83.425153921018747</v>
      </c>
      <c r="K499" s="130">
        <v>83.425153921018747</v>
      </c>
      <c r="L499" s="130">
        <v>83.425153921018747</v>
      </c>
      <c r="M499" t="str">
        <f t="shared" si="43"/>
        <v>% relative to base year</v>
      </c>
    </row>
    <row r="500" spans="1:13" x14ac:dyDescent="0.25">
      <c r="A500" t="str">
        <f t="shared" si="42"/>
        <v>IA CH4 emissions</v>
      </c>
      <c r="C500" s="90">
        <v>103.84148287891077</v>
      </c>
      <c r="D500" s="90">
        <v>106.07772550673906</v>
      </c>
      <c r="E500" s="90">
        <v>106.36067434789385</v>
      </c>
      <c r="F500" s="90">
        <v>104.6893963854926</v>
      </c>
      <c r="G500" s="90">
        <v>94.462602159612885</v>
      </c>
      <c r="H500" s="134">
        <v>83.425153921018747</v>
      </c>
      <c r="I500" s="130">
        <v>83.425153921018747</v>
      </c>
      <c r="J500" s="130">
        <v>83.425153921018747</v>
      </c>
      <c r="K500" s="130">
        <v>83.425153921018747</v>
      </c>
      <c r="L500" s="130">
        <v>83.425153921018747</v>
      </c>
      <c r="M500" t="str">
        <f t="shared" si="43"/>
        <v>% relative to base year</v>
      </c>
    </row>
    <row r="501" spans="1:13" x14ac:dyDescent="0.25">
      <c r="A501" t="str">
        <f t="shared" si="42"/>
        <v>AF CH4 emissions</v>
      </c>
      <c r="C501" s="90">
        <v>112.06908183094116</v>
      </c>
      <c r="D501" s="90">
        <v>119.31950456585645</v>
      </c>
      <c r="E501" s="90">
        <v>125.68579658586667</v>
      </c>
      <c r="F501" s="90">
        <v>131.16825727830565</v>
      </c>
      <c r="G501" s="90">
        <v>124.38359141852115</v>
      </c>
      <c r="H501" s="134">
        <v>124.29087116125561</v>
      </c>
      <c r="I501" s="130">
        <v>124.29087116125561</v>
      </c>
      <c r="J501" s="130">
        <v>124.29087116125561</v>
      </c>
      <c r="K501" s="130">
        <v>124.29087116125561</v>
      </c>
      <c r="L501" s="130">
        <v>124.29087116125561</v>
      </c>
      <c r="M501" t="str">
        <f t="shared" si="43"/>
        <v>% relative to base year</v>
      </c>
    </row>
    <row r="502" spans="1:13" ht="13" thickBot="1" x14ac:dyDescent="0.3">
      <c r="A502" t="str">
        <f t="shared" si="42"/>
        <v>LA CH4 emissions</v>
      </c>
      <c r="C502" s="92">
        <v>103.65591282519064</v>
      </c>
      <c r="D502" s="92">
        <v>109.53692648440405</v>
      </c>
      <c r="E502" s="92">
        <v>110.91686440194563</v>
      </c>
      <c r="F502" s="92">
        <v>107.79675039721755</v>
      </c>
      <c r="G502" s="92">
        <v>109.08671409063142</v>
      </c>
      <c r="H502" s="141">
        <v>96.52674143148478</v>
      </c>
      <c r="I502" s="133">
        <v>96.52674143148478</v>
      </c>
      <c r="J502" s="133">
        <v>96.52674143148478</v>
      </c>
      <c r="K502" s="133">
        <v>96.52674143148478</v>
      </c>
      <c r="L502" s="133">
        <v>96.52674143148478</v>
      </c>
      <c r="M502" t="str">
        <f t="shared" si="43"/>
        <v>% relative to base year</v>
      </c>
    </row>
    <row r="503" spans="1:13" ht="13" thickTop="1" x14ac:dyDescent="0.25"/>
    <row r="504" spans="1:13" x14ac:dyDescent="0.25">
      <c r="A504" t="str">
        <f t="shared" ref="A504:A511" si="44">A454</f>
        <v>EU N2O emissions</v>
      </c>
      <c r="C504" s="88">
        <v>94.988472569607936</v>
      </c>
      <c r="D504" s="88">
        <v>98.577570127749581</v>
      </c>
      <c r="E504" s="88">
        <v>100.24002739675761</v>
      </c>
      <c r="F504" s="88">
        <v>99.90857555206297</v>
      </c>
      <c r="G504" s="88">
        <v>95.389639377946835</v>
      </c>
      <c r="H504" s="140">
        <v>94.618494034478346</v>
      </c>
      <c r="I504" s="132">
        <v>94.618494034478346</v>
      </c>
      <c r="J504" s="132">
        <v>94.618494034478346</v>
      </c>
      <c r="K504" s="132">
        <v>94.618494034478346</v>
      </c>
      <c r="L504" s="132">
        <v>94.618494034478346</v>
      </c>
      <c r="M504" t="str">
        <f t="shared" ref="M504:M511" si="45">M454</f>
        <v>% relative to base year</v>
      </c>
    </row>
    <row r="505" spans="1:13" x14ac:dyDescent="0.25">
      <c r="A505" t="str">
        <f t="shared" si="44"/>
        <v>US N2O emissions</v>
      </c>
      <c r="C505" s="90">
        <v>94.988472569607936</v>
      </c>
      <c r="D505" s="90">
        <v>98.577570127749581</v>
      </c>
      <c r="E505" s="90">
        <v>100.24002739675761</v>
      </c>
      <c r="F505" s="90">
        <v>99.90857555206297</v>
      </c>
      <c r="G505" s="90">
        <v>95.389639377946835</v>
      </c>
      <c r="H505" s="134">
        <v>94.618494034478346</v>
      </c>
      <c r="I505" s="130">
        <v>94.618494034478346</v>
      </c>
      <c r="J505" s="130">
        <v>94.618494034478346</v>
      </c>
      <c r="K505" s="130">
        <v>94.618494034478346</v>
      </c>
      <c r="L505" s="130">
        <v>94.618494034478346</v>
      </c>
      <c r="M505" t="str">
        <f t="shared" si="45"/>
        <v>% relative to base year</v>
      </c>
    </row>
    <row r="506" spans="1:13" x14ac:dyDescent="0.25">
      <c r="A506" t="str">
        <f t="shared" si="44"/>
        <v>OT N2O emissions</v>
      </c>
      <c r="C506" s="90">
        <v>94.988472569607936</v>
      </c>
      <c r="D506" s="90">
        <v>98.577570127749581</v>
      </c>
      <c r="E506" s="90">
        <v>100.24002739675761</v>
      </c>
      <c r="F506" s="90">
        <v>99.90857555206297</v>
      </c>
      <c r="G506" s="90">
        <v>95.389639377946835</v>
      </c>
      <c r="H506" s="134">
        <v>94.618494034478346</v>
      </c>
      <c r="I506" s="130">
        <v>94.618494034478346</v>
      </c>
      <c r="J506" s="130">
        <v>94.618494034478346</v>
      </c>
      <c r="K506" s="130">
        <v>94.618494034478346</v>
      </c>
      <c r="L506" s="130">
        <v>94.618494034478346</v>
      </c>
      <c r="M506" t="str">
        <f t="shared" si="45"/>
        <v>% relative to base year</v>
      </c>
    </row>
    <row r="507" spans="1:13" x14ac:dyDescent="0.25">
      <c r="A507" t="str">
        <f t="shared" si="44"/>
        <v>EE N2O emissions</v>
      </c>
      <c r="C507" s="90">
        <v>94.744674518474426</v>
      </c>
      <c r="D507" s="90">
        <v>91.647887523562517</v>
      </c>
      <c r="E507" s="90">
        <v>87.082784131978414</v>
      </c>
      <c r="F507" s="90">
        <v>81.135819266692195</v>
      </c>
      <c r="G507" s="90">
        <v>74.042263701688</v>
      </c>
      <c r="H507" s="134">
        <v>71.536488229374811</v>
      </c>
      <c r="I507" s="130">
        <v>71.536488229374811</v>
      </c>
      <c r="J507" s="130">
        <v>71.536488229374811</v>
      </c>
      <c r="K507" s="130">
        <v>71.536488229374811</v>
      </c>
      <c r="L507" s="130">
        <v>71.536488229374811</v>
      </c>
      <c r="M507" t="str">
        <f t="shared" si="45"/>
        <v>% relative to base year</v>
      </c>
    </row>
    <row r="508" spans="1:13" x14ac:dyDescent="0.25">
      <c r="A508" t="str">
        <f t="shared" si="44"/>
        <v>CA N2O emissions</v>
      </c>
      <c r="C508" s="90">
        <v>109.14403275634454</v>
      </c>
      <c r="D508" s="90">
        <v>114.4550996383489</v>
      </c>
      <c r="E508" s="90">
        <v>115.1254609990864</v>
      </c>
      <c r="F508" s="90">
        <v>111.32756567910668</v>
      </c>
      <c r="G508" s="90">
        <v>104.8914488159779</v>
      </c>
      <c r="H508" s="134">
        <v>101.51629887260457</v>
      </c>
      <c r="I508" s="130">
        <v>101.51629887260457</v>
      </c>
      <c r="J508" s="130">
        <v>101.51629887260457</v>
      </c>
      <c r="K508" s="130">
        <v>101.51629887260457</v>
      </c>
      <c r="L508" s="130">
        <v>101.51629887260457</v>
      </c>
      <c r="M508" t="str">
        <f t="shared" si="45"/>
        <v>% relative to base year</v>
      </c>
    </row>
    <row r="509" spans="1:13" x14ac:dyDescent="0.25">
      <c r="A509" t="str">
        <f t="shared" si="44"/>
        <v>IA N2O emissions</v>
      </c>
      <c r="C509" s="90">
        <v>109.14403275634454</v>
      </c>
      <c r="D509" s="90">
        <v>114.4550996383489</v>
      </c>
      <c r="E509" s="90">
        <v>115.1254609990864</v>
      </c>
      <c r="F509" s="90">
        <v>111.32756567910668</v>
      </c>
      <c r="G509" s="90">
        <v>104.8914488159779</v>
      </c>
      <c r="H509" s="134">
        <v>101.51629887260457</v>
      </c>
      <c r="I509" s="130">
        <v>101.51629887260457</v>
      </c>
      <c r="J509" s="130">
        <v>101.51629887260457</v>
      </c>
      <c r="K509" s="130">
        <v>101.51629887260457</v>
      </c>
      <c r="L509" s="130">
        <v>101.51629887260457</v>
      </c>
      <c r="M509" t="str">
        <f t="shared" si="45"/>
        <v>% relative to base year</v>
      </c>
    </row>
    <row r="510" spans="1:13" x14ac:dyDescent="0.25">
      <c r="A510" t="str">
        <f t="shared" si="44"/>
        <v>AF N2O emissions</v>
      </c>
      <c r="C510" s="90">
        <v>114.91983036502967</v>
      </c>
      <c r="D510" s="90">
        <v>122.44888520966197</v>
      </c>
      <c r="E510" s="90">
        <v>128.60439626507082</v>
      </c>
      <c r="F510" s="90">
        <v>133.27028289452383</v>
      </c>
      <c r="G510" s="90">
        <v>131.82389966193247</v>
      </c>
      <c r="H510" s="134">
        <v>131.32974762867147</v>
      </c>
      <c r="I510" s="130">
        <v>131.32974762867147</v>
      </c>
      <c r="J510" s="130">
        <v>131.32974762867147</v>
      </c>
      <c r="K510" s="130">
        <v>131.32974762867147</v>
      </c>
      <c r="L510" s="130">
        <v>131.32974762867147</v>
      </c>
      <c r="M510" t="str">
        <f t="shared" si="45"/>
        <v>% relative to base year</v>
      </c>
    </row>
    <row r="511" spans="1:13" ht="13" thickBot="1" x14ac:dyDescent="0.3">
      <c r="A511" t="str">
        <f t="shared" si="44"/>
        <v>LA N2O emissions</v>
      </c>
      <c r="C511" s="92">
        <v>102.63246651536892</v>
      </c>
      <c r="D511" s="92">
        <v>104.49205686813659</v>
      </c>
      <c r="E511" s="92">
        <v>104.40173554144208</v>
      </c>
      <c r="F511" s="92">
        <v>102.35407103372187</v>
      </c>
      <c r="G511" s="92">
        <v>101.80128164819273</v>
      </c>
      <c r="H511" s="141">
        <v>100.79974389902304</v>
      </c>
      <c r="I511" s="133">
        <v>100.79974389902304</v>
      </c>
      <c r="J511" s="133">
        <v>100.79974389902304</v>
      </c>
      <c r="K511" s="133">
        <v>100.79974389902304</v>
      </c>
      <c r="L511" s="133">
        <v>100.79974389902304</v>
      </c>
      <c r="M511" t="str">
        <f t="shared" si="45"/>
        <v>% relative to base year</v>
      </c>
    </row>
    <row r="512" spans="1:13" ht="13" thickTop="1" x14ac:dyDescent="0.25"/>
    <row r="513" spans="1:13" x14ac:dyDescent="0.25">
      <c r="A513" t="str">
        <f t="shared" ref="A513:A520" si="46">A463</f>
        <v>EU Lin emissions</v>
      </c>
      <c r="C513" s="88">
        <v>146.36432824609903</v>
      </c>
      <c r="D513" s="88">
        <v>142.28821234479869</v>
      </c>
      <c r="E513" s="88">
        <v>137.52078595038085</v>
      </c>
      <c r="F513" s="88">
        <v>131.81005132122209</v>
      </c>
      <c r="G513" s="88">
        <v>103.85405875863241</v>
      </c>
      <c r="H513" s="140">
        <v>116.36622126461364</v>
      </c>
      <c r="I513" s="132">
        <v>116.36622126461364</v>
      </c>
      <c r="J513" s="132">
        <v>116.36622126461364</v>
      </c>
      <c r="K513" s="132">
        <v>116.36622126461364</v>
      </c>
      <c r="L513" s="132">
        <v>116.36622126461364</v>
      </c>
      <c r="M513" t="str">
        <f t="shared" ref="M513:M520" si="47">M463</f>
        <v>% relative to base year</v>
      </c>
    </row>
    <row r="514" spans="1:13" x14ac:dyDescent="0.25">
      <c r="A514" t="str">
        <f t="shared" si="46"/>
        <v>US Lin emissions</v>
      </c>
      <c r="C514" s="90">
        <v>146.36432824609903</v>
      </c>
      <c r="D514" s="90">
        <v>142.28821234479869</v>
      </c>
      <c r="E514" s="90">
        <v>137.52078595038085</v>
      </c>
      <c r="F514" s="90">
        <v>131.81005132122209</v>
      </c>
      <c r="G514" s="90">
        <v>103.85405875863241</v>
      </c>
      <c r="H514" s="134">
        <v>116.36622126461364</v>
      </c>
      <c r="I514" s="130">
        <v>116.36622126461364</v>
      </c>
      <c r="J514" s="130">
        <v>116.36622126461364</v>
      </c>
      <c r="K514" s="130">
        <v>116.36622126461364</v>
      </c>
      <c r="L514" s="130">
        <v>116.36622126461364</v>
      </c>
      <c r="M514" t="str">
        <f t="shared" si="47"/>
        <v>% relative to base year</v>
      </c>
    </row>
    <row r="515" spans="1:13" x14ac:dyDescent="0.25">
      <c r="A515" t="str">
        <f t="shared" si="46"/>
        <v>OT Lin emissions</v>
      </c>
      <c r="C515" s="90">
        <v>146.36432824609903</v>
      </c>
      <c r="D515" s="90">
        <v>142.28821234479869</v>
      </c>
      <c r="E515" s="90">
        <v>137.52078595038085</v>
      </c>
      <c r="F515" s="90">
        <v>131.81005132122209</v>
      </c>
      <c r="G515" s="90">
        <v>103.85405875863241</v>
      </c>
      <c r="H515" s="134">
        <v>116.36622126461364</v>
      </c>
      <c r="I515" s="130">
        <v>116.36622126461364</v>
      </c>
      <c r="J515" s="130">
        <v>116.36622126461364</v>
      </c>
      <c r="K515" s="130">
        <v>116.36622126461364</v>
      </c>
      <c r="L515" s="130">
        <v>116.36622126461364</v>
      </c>
      <c r="M515" t="str">
        <f t="shared" si="47"/>
        <v>% relative to base year</v>
      </c>
    </row>
    <row r="516" spans="1:13" x14ac:dyDescent="0.25">
      <c r="A516" t="str">
        <f t="shared" si="46"/>
        <v>EE Lin emissions</v>
      </c>
      <c r="C516" s="90">
        <v>134.38132733408324</v>
      </c>
      <c r="D516" s="90">
        <v>156.43178531255018</v>
      </c>
      <c r="E516" s="90">
        <v>173.83094970271574</v>
      </c>
      <c r="F516" s="90">
        <v>177.56869677004659</v>
      </c>
      <c r="G516" s="90">
        <v>176.77808131126466</v>
      </c>
      <c r="H516" s="134">
        <v>207.31560340671703</v>
      </c>
      <c r="I516" s="130">
        <v>207.31560340671703</v>
      </c>
      <c r="J516" s="130">
        <v>207.31560340671703</v>
      </c>
      <c r="K516" s="130">
        <v>207.31560340671703</v>
      </c>
      <c r="L516" s="130">
        <v>207.31560340671703</v>
      </c>
      <c r="M516" t="str">
        <f t="shared" si="47"/>
        <v>% relative to base year</v>
      </c>
    </row>
    <row r="517" spans="1:13" x14ac:dyDescent="0.25">
      <c r="A517" t="str">
        <f t="shared" si="46"/>
        <v>CA Lin emissions</v>
      </c>
      <c r="C517" s="90">
        <v>151.97794600705848</v>
      </c>
      <c r="D517" s="90">
        <v>212.17381174277722</v>
      </c>
      <c r="E517" s="90">
        <v>266.40662001741697</v>
      </c>
      <c r="F517" s="90">
        <v>297.84406367928125</v>
      </c>
      <c r="G517" s="90">
        <v>369.93730233908298</v>
      </c>
      <c r="H517" s="134">
        <v>474.92131758666511</v>
      </c>
      <c r="I517" s="130">
        <v>474.92131758666511</v>
      </c>
      <c r="J517" s="130">
        <v>474.92131758666511</v>
      </c>
      <c r="K517" s="130">
        <v>474.92131758666511</v>
      </c>
      <c r="L517" s="130">
        <v>474.92131758666511</v>
      </c>
      <c r="M517" t="str">
        <f t="shared" si="47"/>
        <v>% relative to base year</v>
      </c>
    </row>
    <row r="518" spans="1:13" x14ac:dyDescent="0.25">
      <c r="A518" t="str">
        <f t="shared" si="46"/>
        <v>IA Lin emissions</v>
      </c>
      <c r="C518" s="90">
        <v>151.97794600705848</v>
      </c>
      <c r="D518" s="90">
        <v>212.17381174277722</v>
      </c>
      <c r="E518" s="90">
        <v>266.40662001741697</v>
      </c>
      <c r="F518" s="90">
        <v>297.84406367928125</v>
      </c>
      <c r="G518" s="90">
        <v>369.93730233908298</v>
      </c>
      <c r="H518" s="134">
        <v>474.92131758666511</v>
      </c>
      <c r="I518" s="130">
        <v>474.92131758666511</v>
      </c>
      <c r="J518" s="130">
        <v>474.92131758666511</v>
      </c>
      <c r="K518" s="130">
        <v>474.92131758666511</v>
      </c>
      <c r="L518" s="130">
        <v>474.92131758666511</v>
      </c>
      <c r="M518" t="str">
        <f t="shared" si="47"/>
        <v>% relative to base year</v>
      </c>
    </row>
    <row r="519" spans="1:13" x14ac:dyDescent="0.25">
      <c r="A519" t="str">
        <f t="shared" si="46"/>
        <v>AF Lin emissions</v>
      </c>
      <c r="C519" s="90">
        <v>160.06679122775438</v>
      </c>
      <c r="D519" s="90">
        <v>192.20044817162122</v>
      </c>
      <c r="E519" s="90">
        <v>227.11127939962387</v>
      </c>
      <c r="F519" s="90">
        <v>261.642840737683</v>
      </c>
      <c r="G519" s="90">
        <v>418.51470213967809</v>
      </c>
      <c r="H519" s="134">
        <v>604.80201615155909</v>
      </c>
      <c r="I519" s="130">
        <v>604.80201615155909</v>
      </c>
      <c r="J519" s="130">
        <v>604.80201615155909</v>
      </c>
      <c r="K519" s="130">
        <v>604.80201615155909</v>
      </c>
      <c r="L519" s="130">
        <v>604.80201615155909</v>
      </c>
      <c r="M519" t="str">
        <f t="shared" si="47"/>
        <v>% relative to base year</v>
      </c>
    </row>
    <row r="520" spans="1:13" ht="13" thickBot="1" x14ac:dyDescent="0.3">
      <c r="A520" t="str">
        <f t="shared" si="46"/>
        <v>LA Lin emissions</v>
      </c>
      <c r="C520" s="92">
        <v>138.1527106634301</v>
      </c>
      <c r="D520" s="92">
        <v>175.28301458744525</v>
      </c>
      <c r="E520" s="92">
        <v>223.56299674070041</v>
      </c>
      <c r="F520" s="92">
        <v>274.09348366947228</v>
      </c>
      <c r="G520" s="92">
        <v>411.84199581055225</v>
      </c>
      <c r="H520" s="141">
        <v>602.71028532105242</v>
      </c>
      <c r="I520" s="133">
        <v>602.71028532105242</v>
      </c>
      <c r="J520" s="133">
        <v>602.71028532105242</v>
      </c>
      <c r="K520" s="133">
        <v>602.71028532105242</v>
      </c>
      <c r="L520" s="133">
        <v>602.71028532105242</v>
      </c>
      <c r="M520" t="str">
        <f t="shared" si="47"/>
        <v>% relative to base year</v>
      </c>
    </row>
    <row r="521" spans="1:13" ht="13" thickTop="1" x14ac:dyDescent="0.25"/>
    <row r="522" spans="1:13" x14ac:dyDescent="0.25">
      <c r="A522" t="str">
        <f t="shared" ref="A522:A529" si="48">A472</f>
        <v>EU sulphates</v>
      </c>
      <c r="C522" s="88">
        <v>66.488877005511952</v>
      </c>
      <c r="D522" s="88">
        <v>52.669943815188901</v>
      </c>
      <c r="E522" s="88">
        <v>40.005439718241028</v>
      </c>
      <c r="F522" s="88">
        <v>28.495313493215974</v>
      </c>
      <c r="G522" s="88">
        <v>19.988275409553928</v>
      </c>
      <c r="H522" s="140">
        <v>17.916137164902857</v>
      </c>
      <c r="I522" s="132">
        <v>17.916137164902857</v>
      </c>
      <c r="J522" s="132">
        <v>17.916137164902857</v>
      </c>
      <c r="K522" s="132">
        <v>17.916137164902857</v>
      </c>
      <c r="L522" s="132">
        <v>17.916137164902857</v>
      </c>
      <c r="M522" t="str">
        <f t="shared" ref="M522:M529" si="49">M472</f>
        <v>% relative to base year</v>
      </c>
    </row>
    <row r="523" spans="1:13" x14ac:dyDescent="0.25">
      <c r="A523" t="str">
        <f t="shared" si="48"/>
        <v>US sulphates</v>
      </c>
      <c r="C523" s="90">
        <v>66.488877005511952</v>
      </c>
      <c r="D523" s="90">
        <v>52.669943815188901</v>
      </c>
      <c r="E523" s="90">
        <v>40.005439718241028</v>
      </c>
      <c r="F523" s="90">
        <v>28.495313493215974</v>
      </c>
      <c r="G523" s="90">
        <v>19.988275409553928</v>
      </c>
      <c r="H523" s="134">
        <v>17.916137164902857</v>
      </c>
      <c r="I523" s="130">
        <v>17.916137164902857</v>
      </c>
      <c r="J523" s="130">
        <v>17.916137164902857</v>
      </c>
      <c r="K523" s="130">
        <v>17.916137164902857</v>
      </c>
      <c r="L523" s="130">
        <v>17.916137164902857</v>
      </c>
      <c r="M523" t="str">
        <f t="shared" si="49"/>
        <v>% relative to base year</v>
      </c>
    </row>
    <row r="524" spans="1:13" x14ac:dyDescent="0.25">
      <c r="A524" t="str">
        <f t="shared" si="48"/>
        <v>OT sulphates</v>
      </c>
      <c r="C524" s="90">
        <v>66.488877005511952</v>
      </c>
      <c r="D524" s="90">
        <v>52.669943815188901</v>
      </c>
      <c r="E524" s="90">
        <v>40.005439718241028</v>
      </c>
      <c r="F524" s="90">
        <v>28.495313493215974</v>
      </c>
      <c r="G524" s="90">
        <v>19.988275409553928</v>
      </c>
      <c r="H524" s="134">
        <v>17.916137164902857</v>
      </c>
      <c r="I524" s="130">
        <v>17.916137164902857</v>
      </c>
      <c r="J524" s="130">
        <v>17.916137164902857</v>
      </c>
      <c r="K524" s="130">
        <v>17.916137164902857</v>
      </c>
      <c r="L524" s="130">
        <v>17.916137164902857</v>
      </c>
      <c r="M524" t="str">
        <f t="shared" si="49"/>
        <v>% relative to base year</v>
      </c>
    </row>
    <row r="525" spans="1:13" x14ac:dyDescent="0.25">
      <c r="A525" t="str">
        <f t="shared" si="48"/>
        <v>EE sulphates</v>
      </c>
      <c r="C525" s="90">
        <v>78.459216449075925</v>
      </c>
      <c r="D525" s="90">
        <v>64.252661259130122</v>
      </c>
      <c r="E525" s="90">
        <v>48.504775972151378</v>
      </c>
      <c r="F525" s="90">
        <v>31.216821848390914</v>
      </c>
      <c r="G525" s="90">
        <v>14.476920338802532</v>
      </c>
      <c r="H525" s="134">
        <v>10.626748246848253</v>
      </c>
      <c r="I525" s="130">
        <v>10.626748246848253</v>
      </c>
      <c r="J525" s="130">
        <v>10.626748246848253</v>
      </c>
      <c r="K525" s="130">
        <v>10.626748246848253</v>
      </c>
      <c r="L525" s="130">
        <v>10.626748246848253</v>
      </c>
      <c r="M525" t="str">
        <f t="shared" si="49"/>
        <v>% relative to base year</v>
      </c>
    </row>
    <row r="526" spans="1:13" x14ac:dyDescent="0.25">
      <c r="A526" t="str">
        <f t="shared" si="48"/>
        <v>CA sulphates</v>
      </c>
      <c r="C526" s="90">
        <v>103.54747297306663</v>
      </c>
      <c r="D526" s="90">
        <v>80.474844888758398</v>
      </c>
      <c r="E526" s="90">
        <v>57.863609439206918</v>
      </c>
      <c r="F526" s="90">
        <v>35.71361009885036</v>
      </c>
      <c r="G526" s="90">
        <v>14.801437262430534</v>
      </c>
      <c r="H526" s="134">
        <v>11.832147354058362</v>
      </c>
      <c r="I526" s="130">
        <v>11.832147354058362</v>
      </c>
      <c r="J526" s="130">
        <v>11.832147354058362</v>
      </c>
      <c r="K526" s="130">
        <v>11.832147354058362</v>
      </c>
      <c r="L526" s="130">
        <v>11.832147354058362</v>
      </c>
      <c r="M526" t="str">
        <f t="shared" si="49"/>
        <v>% relative to base year</v>
      </c>
    </row>
    <row r="527" spans="1:13" x14ac:dyDescent="0.25">
      <c r="A527" t="str">
        <f t="shared" si="48"/>
        <v>IA sulphates</v>
      </c>
      <c r="C527" s="90">
        <v>103.54747297306663</v>
      </c>
      <c r="D527" s="90">
        <v>80.474844888758398</v>
      </c>
      <c r="E527" s="90">
        <v>57.863609439206918</v>
      </c>
      <c r="F527" s="90">
        <v>35.71361009885036</v>
      </c>
      <c r="G527" s="90">
        <v>14.801437262430534</v>
      </c>
      <c r="H527" s="134">
        <v>11.832147354058362</v>
      </c>
      <c r="I527" s="130">
        <v>11.832147354058362</v>
      </c>
      <c r="J527" s="130">
        <v>11.832147354058362</v>
      </c>
      <c r="K527" s="130">
        <v>11.832147354058362</v>
      </c>
      <c r="L527" s="130">
        <v>11.832147354058362</v>
      </c>
      <c r="M527" t="str">
        <f t="shared" si="49"/>
        <v>% relative to base year</v>
      </c>
    </row>
    <row r="528" spans="1:13" x14ac:dyDescent="0.25">
      <c r="A528" t="str">
        <f t="shared" si="48"/>
        <v>AF sulphates</v>
      </c>
      <c r="C528" s="90">
        <v>106.54593431165469</v>
      </c>
      <c r="D528" s="90">
        <v>108.56613493418088</v>
      </c>
      <c r="E528" s="90">
        <v>104.73854660402199</v>
      </c>
      <c r="F528" s="90">
        <v>95.061578067262971</v>
      </c>
      <c r="G528" s="90">
        <v>68.923814221797258</v>
      </c>
      <c r="H528" s="134">
        <v>48.726547165803815</v>
      </c>
      <c r="I528" s="130">
        <v>48.726547165803815</v>
      </c>
      <c r="J528" s="130">
        <v>48.726547165803815</v>
      </c>
      <c r="K528" s="130">
        <v>48.726547165803815</v>
      </c>
      <c r="L528" s="130">
        <v>48.726547165803815</v>
      </c>
      <c r="M528" t="str">
        <f t="shared" si="49"/>
        <v>% relative to base year</v>
      </c>
    </row>
    <row r="529" spans="1:19" ht="13" thickBot="1" x14ac:dyDescent="0.3">
      <c r="A529" t="str">
        <f t="shared" si="48"/>
        <v>LA sulphates</v>
      </c>
      <c r="C529" s="92">
        <v>86.653525622010122</v>
      </c>
      <c r="D529" s="92">
        <v>79.205144379963471</v>
      </c>
      <c r="E529" s="92">
        <v>69.576867241143418</v>
      </c>
      <c r="F529" s="92">
        <v>57.767725578179729</v>
      </c>
      <c r="G529" s="92">
        <v>33.63758322627983</v>
      </c>
      <c r="H529" s="141">
        <v>27.818493760223557</v>
      </c>
      <c r="I529" s="133">
        <v>27.818493760223557</v>
      </c>
      <c r="J529" s="133">
        <v>27.818493760223557</v>
      </c>
      <c r="K529" s="133">
        <v>27.818493760223557</v>
      </c>
      <c r="L529" s="133">
        <v>27.818493760223557</v>
      </c>
      <c r="M529" t="str">
        <f t="shared" si="49"/>
        <v>% relative to base year</v>
      </c>
    </row>
    <row r="530" spans="1:19" ht="13" thickTop="1" x14ac:dyDescent="0.25">
      <c r="C530" s="61"/>
      <c r="D530" s="61"/>
      <c r="E530" s="61"/>
      <c r="F530" s="61"/>
      <c r="G530" s="61"/>
      <c r="H530" s="61"/>
      <c r="I530" s="61"/>
      <c r="J530" s="61"/>
      <c r="K530" s="61"/>
      <c r="L530" s="61"/>
    </row>
    <row r="531" spans="1:19" ht="13" thickBot="1" x14ac:dyDescent="0.3">
      <c r="A531" t="s">
        <v>37</v>
      </c>
      <c r="C531" s="62">
        <v>0.85695906835658753</v>
      </c>
      <c r="D531" s="62">
        <v>0.81169912875298522</v>
      </c>
      <c r="E531" s="62">
        <v>0.74099732882696623</v>
      </c>
      <c r="F531" s="62">
        <v>0.63260284067099259</v>
      </c>
      <c r="G531" s="62">
        <v>0.4421280627594194</v>
      </c>
      <c r="H531" s="150">
        <v>0.35145047301427662</v>
      </c>
      <c r="I531" s="120">
        <v>0.35145047301427662</v>
      </c>
      <c r="J531" s="120">
        <v>0.35145047301427662</v>
      </c>
      <c r="K531" s="120">
        <v>0.35145047301427662</v>
      </c>
      <c r="L531" s="120">
        <v>0.35145047301427662</v>
      </c>
      <c r="M531" t="str">
        <f>M481</f>
        <v>W/m2</v>
      </c>
    </row>
    <row r="532" spans="1:19" ht="13" thickTop="1" x14ac:dyDescent="0.25"/>
    <row r="534" spans="1:19" ht="13" x14ac:dyDescent="0.3">
      <c r="A534" s="2" t="s">
        <v>472</v>
      </c>
      <c r="Q534" s="124"/>
    </row>
    <row r="535" spans="1:19" ht="13" x14ac:dyDescent="0.3">
      <c r="C535">
        <f t="shared" ref="C535:L535" si="50">C485</f>
        <v>2020</v>
      </c>
      <c r="D535">
        <f t="shared" si="50"/>
        <v>2030</v>
      </c>
      <c r="E535">
        <f t="shared" si="50"/>
        <v>2040</v>
      </c>
      <c r="F535">
        <f t="shared" si="50"/>
        <v>2050</v>
      </c>
      <c r="G535">
        <f t="shared" si="50"/>
        <v>2075</v>
      </c>
      <c r="H535">
        <f t="shared" si="50"/>
        <v>2100</v>
      </c>
      <c r="I535">
        <f t="shared" si="50"/>
        <v>2150</v>
      </c>
      <c r="J535">
        <f t="shared" si="50"/>
        <v>2200</v>
      </c>
      <c r="K535">
        <f t="shared" si="50"/>
        <v>2250</v>
      </c>
      <c r="L535">
        <f t="shared" si="50"/>
        <v>2300</v>
      </c>
      <c r="S535" s="124"/>
    </row>
    <row r="536" spans="1:19" x14ac:dyDescent="0.25">
      <c r="A536" t="str">
        <f t="shared" ref="A536:A543" si="51">A486</f>
        <v>EU CO2 emissions</v>
      </c>
      <c r="C536" s="88">
        <v>111.11224846097589</v>
      </c>
      <c r="D536" s="88">
        <v>130.68257483841464</v>
      </c>
      <c r="E536" s="88">
        <v>143.45123856723364</v>
      </c>
      <c r="F536" s="88">
        <v>157.66812303066322</v>
      </c>
      <c r="G536" s="88">
        <v>185.37087214014736</v>
      </c>
      <c r="H536" s="140">
        <v>177.1140793068472</v>
      </c>
      <c r="I536" s="132">
        <v>177.1140793068472</v>
      </c>
      <c r="J536" s="132">
        <v>177.1140793068472</v>
      </c>
      <c r="K536" s="132">
        <v>177.1140793068472</v>
      </c>
      <c r="L536" s="132">
        <v>177.1140793068472</v>
      </c>
      <c r="M536" t="str">
        <f t="shared" ref="M536:M543" si="52">M486</f>
        <v>% relative to base year</v>
      </c>
    </row>
    <row r="537" spans="1:19" x14ac:dyDescent="0.25">
      <c r="A537" t="str">
        <f t="shared" si="51"/>
        <v>US CO2 emissions</v>
      </c>
      <c r="C537" s="90">
        <v>111.11224846097592</v>
      </c>
      <c r="D537" s="90">
        <v>130.68257483841467</v>
      </c>
      <c r="E537" s="90">
        <v>143.45123856723367</v>
      </c>
      <c r="F537" s="90">
        <v>157.66812303066325</v>
      </c>
      <c r="G537" s="90">
        <v>185.37087214014741</v>
      </c>
      <c r="H537" s="134">
        <v>177.11407930684726</v>
      </c>
      <c r="I537" s="130">
        <v>177.11407930684726</v>
      </c>
      <c r="J537" s="130">
        <v>177.11407930684726</v>
      </c>
      <c r="K537" s="130">
        <v>177.11407930684726</v>
      </c>
      <c r="L537" s="130">
        <v>177.11407930684726</v>
      </c>
      <c r="M537" t="str">
        <f t="shared" si="52"/>
        <v>% relative to base year</v>
      </c>
    </row>
    <row r="538" spans="1:19" x14ac:dyDescent="0.25">
      <c r="A538" t="str">
        <f t="shared" si="51"/>
        <v>OT CO2 emissions</v>
      </c>
      <c r="C538" s="90">
        <v>111.11224846097589</v>
      </c>
      <c r="D538" s="90">
        <v>130.68257483841464</v>
      </c>
      <c r="E538" s="90">
        <v>143.45123856723364</v>
      </c>
      <c r="F538" s="90">
        <v>157.66812303066322</v>
      </c>
      <c r="G538" s="90">
        <v>185.37087214014736</v>
      </c>
      <c r="H538" s="134">
        <v>177.11407930684723</v>
      </c>
      <c r="I538" s="130">
        <v>177.11407930684723</v>
      </c>
      <c r="J538" s="130">
        <v>177.11407930684723</v>
      </c>
      <c r="K538" s="130">
        <v>177.11407930684723</v>
      </c>
      <c r="L538" s="130">
        <v>177.11407930684723</v>
      </c>
      <c r="M538" t="str">
        <f t="shared" si="52"/>
        <v>% relative to base year</v>
      </c>
    </row>
    <row r="539" spans="1:19" x14ac:dyDescent="0.25">
      <c r="A539" t="str">
        <f t="shared" si="51"/>
        <v>EE CO2 emissions</v>
      </c>
      <c r="C539" s="90">
        <v>125.99974786659207</v>
      </c>
      <c r="D539" s="90">
        <v>155.66086188133073</v>
      </c>
      <c r="E539" s="90">
        <v>193.04641660245903</v>
      </c>
      <c r="F539" s="90">
        <v>235.3324229545226</v>
      </c>
      <c r="G539" s="90">
        <v>322.69612420546332</v>
      </c>
      <c r="H539" s="134">
        <v>430.66756272924528</v>
      </c>
      <c r="I539" s="130">
        <v>430.66756272924528</v>
      </c>
      <c r="J539" s="130">
        <v>430.66756272924528</v>
      </c>
      <c r="K539" s="130">
        <v>430.66756272924528</v>
      </c>
      <c r="L539" s="130">
        <v>430.66756272924528</v>
      </c>
      <c r="M539" t="str">
        <f t="shared" si="52"/>
        <v>% relative to base year</v>
      </c>
    </row>
    <row r="540" spans="1:19" x14ac:dyDescent="0.25">
      <c r="A540" t="str">
        <f t="shared" si="51"/>
        <v>CA CO2 emissions</v>
      </c>
      <c r="C540" s="90">
        <v>116.3638868950908</v>
      </c>
      <c r="D540" s="90">
        <v>130.47581145688622</v>
      </c>
      <c r="E540" s="90">
        <v>160.03129168373621</v>
      </c>
      <c r="F540" s="90">
        <v>193.96144448808036</v>
      </c>
      <c r="G540" s="90">
        <v>251.69029684724239</v>
      </c>
      <c r="H540" s="134">
        <v>263.98024239049909</v>
      </c>
      <c r="I540" s="130">
        <v>263.98024239049909</v>
      </c>
      <c r="J540" s="130">
        <v>263.98024239049909</v>
      </c>
      <c r="K540" s="130">
        <v>263.98024239049909</v>
      </c>
      <c r="L540" s="130">
        <v>263.98024239049909</v>
      </c>
      <c r="M540" t="str">
        <f t="shared" si="52"/>
        <v>% relative to base year</v>
      </c>
    </row>
    <row r="541" spans="1:19" x14ac:dyDescent="0.25">
      <c r="A541" t="str">
        <f t="shared" si="51"/>
        <v>IA CO2 emissions</v>
      </c>
      <c r="C541" s="90">
        <v>116.36388689509083</v>
      </c>
      <c r="D541" s="90">
        <v>130.47581145688625</v>
      </c>
      <c r="E541" s="90">
        <v>160.0312916837363</v>
      </c>
      <c r="F541" s="90">
        <v>193.96144448808036</v>
      </c>
      <c r="G541" s="90">
        <v>251.69029684724239</v>
      </c>
      <c r="H541" s="134">
        <v>263.98024239049909</v>
      </c>
      <c r="I541" s="130">
        <v>263.98024239049909</v>
      </c>
      <c r="J541" s="130">
        <v>263.98024239049909</v>
      </c>
      <c r="K541" s="130">
        <v>263.98024239049909</v>
      </c>
      <c r="L541" s="130">
        <v>263.98024239049909</v>
      </c>
      <c r="M541" t="str">
        <f t="shared" si="52"/>
        <v>% relative to base year</v>
      </c>
    </row>
    <row r="542" spans="1:19" x14ac:dyDescent="0.25">
      <c r="A542" t="str">
        <f t="shared" si="51"/>
        <v>AF CO2 emissions</v>
      </c>
      <c r="C542" s="90">
        <v>122.57065403179783</v>
      </c>
      <c r="D542" s="90">
        <v>154.99543618611244</v>
      </c>
      <c r="E542" s="90">
        <v>204.16591175564878</v>
      </c>
      <c r="F542" s="90">
        <v>263.25581081318262</v>
      </c>
      <c r="G542" s="90">
        <v>395.6747813545694</v>
      </c>
      <c r="H542" s="134">
        <v>477.38558791833424</v>
      </c>
      <c r="I542" s="130">
        <v>477.38558791833424</v>
      </c>
      <c r="J542" s="130">
        <v>477.38558791833424</v>
      </c>
      <c r="K542" s="130">
        <v>477.38558791833424</v>
      </c>
      <c r="L542" s="130">
        <v>477.38558791833424</v>
      </c>
      <c r="M542" t="str">
        <f t="shared" si="52"/>
        <v>% relative to base year</v>
      </c>
    </row>
    <row r="543" spans="1:19" ht="13" thickBot="1" x14ac:dyDescent="0.3">
      <c r="A543" t="str">
        <f t="shared" si="51"/>
        <v>LA CO2 emissions</v>
      </c>
      <c r="C543" s="92">
        <v>116.6138310405105</v>
      </c>
      <c r="D543" s="92">
        <v>134.5169684076985</v>
      </c>
      <c r="E543" s="92">
        <v>166.17783915184765</v>
      </c>
      <c r="F543" s="92">
        <v>207.91009408701777</v>
      </c>
      <c r="G543" s="92">
        <v>266.82908267965553</v>
      </c>
      <c r="H543" s="141">
        <v>193.17860809490276</v>
      </c>
      <c r="I543" s="133">
        <v>193.17860809490276</v>
      </c>
      <c r="J543" s="133">
        <v>193.17860809490276</v>
      </c>
      <c r="K543" s="133">
        <v>193.17860809490276</v>
      </c>
      <c r="L543" s="133">
        <v>193.17860809490276</v>
      </c>
      <c r="M543" t="str">
        <f t="shared" si="52"/>
        <v>% relative to base year</v>
      </c>
    </row>
    <row r="544" spans="1:19" ht="13" thickTop="1" x14ac:dyDescent="0.25"/>
    <row r="545" spans="1:20" ht="13" x14ac:dyDescent="0.3">
      <c r="A545" t="str">
        <f t="shared" ref="A545:A552" si="53">A495</f>
        <v>EU CH4 emissions</v>
      </c>
      <c r="C545" s="88">
        <v>103.04875262329291</v>
      </c>
      <c r="D545" s="88">
        <v>110.41781151752825</v>
      </c>
      <c r="E545" s="88">
        <v>118.60629629892365</v>
      </c>
      <c r="F545" s="88">
        <v>128.32658122222972</v>
      </c>
      <c r="G545" s="88">
        <v>155.23637393074159</v>
      </c>
      <c r="H545" s="140">
        <v>180.47654721283843</v>
      </c>
      <c r="I545" s="132">
        <v>180.47654721283843</v>
      </c>
      <c r="J545" s="132">
        <v>180.47654721283843</v>
      </c>
      <c r="K545" s="132">
        <v>180.47654721283843</v>
      </c>
      <c r="L545" s="132">
        <v>180.47654721283843</v>
      </c>
      <c r="M545" t="str">
        <f t="shared" ref="M545:M552" si="54">M495</f>
        <v>% relative to base year</v>
      </c>
      <c r="S545" s="124"/>
    </row>
    <row r="546" spans="1:20" x14ac:dyDescent="0.25">
      <c r="A546" t="str">
        <f t="shared" si="53"/>
        <v>US CH4 emissions</v>
      </c>
      <c r="C546" s="90">
        <v>103.04875262329291</v>
      </c>
      <c r="D546" s="90">
        <v>110.41781151752825</v>
      </c>
      <c r="E546" s="90">
        <v>118.60629629892365</v>
      </c>
      <c r="F546" s="90">
        <v>128.32658122222972</v>
      </c>
      <c r="G546" s="90">
        <v>155.23637393074159</v>
      </c>
      <c r="H546" s="134">
        <v>180.47654721283843</v>
      </c>
      <c r="I546" s="130">
        <v>180.47654721283843</v>
      </c>
      <c r="J546" s="130">
        <v>180.47654721283843</v>
      </c>
      <c r="K546" s="130">
        <v>180.47654721283843</v>
      </c>
      <c r="L546" s="130">
        <v>180.47654721283843</v>
      </c>
      <c r="M546" t="str">
        <f t="shared" si="54"/>
        <v>% relative to base year</v>
      </c>
      <c r="T546" s="3"/>
    </row>
    <row r="547" spans="1:20" x14ac:dyDescent="0.25">
      <c r="A547" t="str">
        <f t="shared" si="53"/>
        <v>OT CH4 emissions</v>
      </c>
      <c r="C547" s="90">
        <v>103.04875262329291</v>
      </c>
      <c r="D547" s="90">
        <v>110.41781151752825</v>
      </c>
      <c r="E547" s="90">
        <v>118.60629629892365</v>
      </c>
      <c r="F547" s="90">
        <v>128.32658122222972</v>
      </c>
      <c r="G547" s="90">
        <v>155.23637393074159</v>
      </c>
      <c r="H547" s="134">
        <v>180.47654721283843</v>
      </c>
      <c r="I547" s="130">
        <v>180.47654721283843</v>
      </c>
      <c r="J547" s="130">
        <v>180.47654721283843</v>
      </c>
      <c r="K547" s="130">
        <v>180.47654721283843</v>
      </c>
      <c r="L547" s="130">
        <v>180.47654721283843</v>
      </c>
      <c r="M547" t="str">
        <f t="shared" si="54"/>
        <v>% relative to base year</v>
      </c>
    </row>
    <row r="548" spans="1:20" x14ac:dyDescent="0.25">
      <c r="A548" t="str">
        <f t="shared" si="53"/>
        <v>EE CH4 emissions</v>
      </c>
      <c r="C548" s="90">
        <v>122.80411351273929</v>
      </c>
      <c r="D548" s="90">
        <v>133.26490131228758</v>
      </c>
      <c r="E548" s="90">
        <v>158.71891460864012</v>
      </c>
      <c r="F548" s="90">
        <v>180.9772128190385</v>
      </c>
      <c r="G548" s="90">
        <v>207.8208963102162</v>
      </c>
      <c r="H548" s="134">
        <v>280.29896183592746</v>
      </c>
      <c r="I548" s="130">
        <v>280.29896183592746</v>
      </c>
      <c r="J548" s="130">
        <v>280.29896183592746</v>
      </c>
      <c r="K548" s="130">
        <v>280.29896183592746</v>
      </c>
      <c r="L548" s="130">
        <v>280.29896183592746</v>
      </c>
      <c r="M548" t="str">
        <f t="shared" si="54"/>
        <v>% relative to base year</v>
      </c>
    </row>
    <row r="549" spans="1:20" x14ac:dyDescent="0.25">
      <c r="A549" t="str">
        <f t="shared" si="53"/>
        <v>CA CH4 emissions</v>
      </c>
      <c r="C549" s="90">
        <v>116.10459352138349</v>
      </c>
      <c r="D549" s="90">
        <v>127.24236102404683</v>
      </c>
      <c r="E549" s="90">
        <v>149.74280267064273</v>
      </c>
      <c r="F549" s="90">
        <v>178.55783420654893</v>
      </c>
      <c r="G549" s="90">
        <v>224.61609910366028</v>
      </c>
      <c r="H549" s="134">
        <v>245.58992703459316</v>
      </c>
      <c r="I549" s="130">
        <v>245.58992703459316</v>
      </c>
      <c r="J549" s="130">
        <v>245.58992703459316</v>
      </c>
      <c r="K549" s="130">
        <v>245.58992703459316</v>
      </c>
      <c r="L549" s="130">
        <v>245.58992703459316</v>
      </c>
      <c r="M549" t="str">
        <f t="shared" si="54"/>
        <v>% relative to base year</v>
      </c>
    </row>
    <row r="550" spans="1:20" x14ac:dyDescent="0.25">
      <c r="A550" t="str">
        <f t="shared" si="53"/>
        <v>IA CH4 emissions</v>
      </c>
      <c r="C550" s="90">
        <v>116.10459352138349</v>
      </c>
      <c r="D550" s="90">
        <v>127.24236102404683</v>
      </c>
      <c r="E550" s="90">
        <v>149.74280267064273</v>
      </c>
      <c r="F550" s="90">
        <v>178.55783420654893</v>
      </c>
      <c r="G550" s="90">
        <v>224.61609910366028</v>
      </c>
      <c r="H550" s="134">
        <v>245.58992703459316</v>
      </c>
      <c r="I550" s="130">
        <v>245.58992703459316</v>
      </c>
      <c r="J550" s="130">
        <v>245.58992703459316</v>
      </c>
      <c r="K550" s="130">
        <v>245.58992703459316</v>
      </c>
      <c r="L550" s="130">
        <v>245.58992703459316</v>
      </c>
      <c r="M550" t="str">
        <f t="shared" si="54"/>
        <v>% relative to base year</v>
      </c>
    </row>
    <row r="551" spans="1:20" x14ac:dyDescent="0.25">
      <c r="A551" t="str">
        <f t="shared" si="53"/>
        <v>AF CH4 emissions</v>
      </c>
      <c r="C551" s="90">
        <v>135.08802144976019</v>
      </c>
      <c r="D551" s="90">
        <v>173.43935358623511</v>
      </c>
      <c r="E551" s="90">
        <v>217.62495711563554</v>
      </c>
      <c r="F551" s="90">
        <v>254.19255802995087</v>
      </c>
      <c r="G551" s="90">
        <v>288.25171640793673</v>
      </c>
      <c r="H551" s="134">
        <v>312.88583872172217</v>
      </c>
      <c r="I551" s="130">
        <v>312.88583872172217</v>
      </c>
      <c r="J551" s="130">
        <v>312.88583872172217</v>
      </c>
      <c r="K551" s="130">
        <v>312.88583872172217</v>
      </c>
      <c r="L551" s="130">
        <v>312.88583872172217</v>
      </c>
      <c r="M551" t="str">
        <f t="shared" si="54"/>
        <v>% relative to base year</v>
      </c>
    </row>
    <row r="552" spans="1:20" ht="13" thickBot="1" x14ac:dyDescent="0.3">
      <c r="A552" t="str">
        <f t="shared" si="53"/>
        <v>LA CH4 emissions</v>
      </c>
      <c r="C552" s="92">
        <v>125.06395419788407</v>
      </c>
      <c r="D552" s="92">
        <v>148.04707880087574</v>
      </c>
      <c r="E552" s="92">
        <v>168.70067057251597</v>
      </c>
      <c r="F552" s="92">
        <v>184.22960302816321</v>
      </c>
      <c r="G552" s="92">
        <v>186.30585366311581</v>
      </c>
      <c r="H552" s="141">
        <v>180.78169834562908</v>
      </c>
      <c r="I552" s="133">
        <v>180.78169834562908</v>
      </c>
      <c r="J552" s="133">
        <v>180.78169834562908</v>
      </c>
      <c r="K552" s="133">
        <v>180.78169834562908</v>
      </c>
      <c r="L552" s="133">
        <v>180.78169834562908</v>
      </c>
      <c r="M552" t="str">
        <f t="shared" si="54"/>
        <v>% relative to base year</v>
      </c>
    </row>
    <row r="553" spans="1:20" ht="13" thickTop="1" x14ac:dyDescent="0.25"/>
    <row r="554" spans="1:20" x14ac:dyDescent="0.25">
      <c r="A554" t="str">
        <f t="shared" ref="A554:A561" si="55">A504</f>
        <v>EU N2O emissions</v>
      </c>
      <c r="C554" s="88">
        <v>106.07313900377422</v>
      </c>
      <c r="D554" s="88">
        <v>113.35145572167744</v>
      </c>
      <c r="E554" s="88">
        <v>122.48624779060475</v>
      </c>
      <c r="F554" s="88">
        <v>126.22603207196063</v>
      </c>
      <c r="G554" s="88">
        <v>131.05709719005759</v>
      </c>
      <c r="H554" s="140">
        <v>133.29376352616566</v>
      </c>
      <c r="I554" s="132">
        <v>133.29376352616566</v>
      </c>
      <c r="J554" s="132">
        <v>133.29376352616566</v>
      </c>
      <c r="K554" s="132">
        <v>133.29376352616566</v>
      </c>
      <c r="L554" s="132">
        <v>133.29376352616566</v>
      </c>
      <c r="M554" t="str">
        <f t="shared" ref="M554:M561" si="56">M504</f>
        <v>% relative to base year</v>
      </c>
    </row>
    <row r="555" spans="1:20" x14ac:dyDescent="0.25">
      <c r="A555" t="str">
        <f t="shared" si="55"/>
        <v>US N2O emissions</v>
      </c>
      <c r="C555" s="90">
        <v>106.07313900377422</v>
      </c>
      <c r="D555" s="90">
        <v>113.35145572167744</v>
      </c>
      <c r="E555" s="90">
        <v>122.48624779060475</v>
      </c>
      <c r="F555" s="90">
        <v>126.22603207196063</v>
      </c>
      <c r="G555" s="90">
        <v>131.05709719005759</v>
      </c>
      <c r="H555" s="134">
        <v>133.29376352616566</v>
      </c>
      <c r="I555" s="130">
        <v>133.29376352616566</v>
      </c>
      <c r="J555" s="130">
        <v>133.29376352616566</v>
      </c>
      <c r="K555" s="130">
        <v>133.29376352616566</v>
      </c>
      <c r="L555" s="130">
        <v>133.29376352616566</v>
      </c>
      <c r="M555" t="str">
        <f t="shared" si="56"/>
        <v>% relative to base year</v>
      </c>
    </row>
    <row r="556" spans="1:20" x14ac:dyDescent="0.25">
      <c r="A556" t="str">
        <f t="shared" si="55"/>
        <v>OT N2O emissions</v>
      </c>
      <c r="C556" s="90">
        <v>106.07313900377422</v>
      </c>
      <c r="D556" s="90">
        <v>113.35145572167744</v>
      </c>
      <c r="E556" s="90">
        <v>122.48624779060475</v>
      </c>
      <c r="F556" s="90">
        <v>126.22603207196063</v>
      </c>
      <c r="G556" s="90">
        <v>131.05709719005759</v>
      </c>
      <c r="H556" s="134">
        <v>133.29376352616566</v>
      </c>
      <c r="I556" s="130">
        <v>133.29376352616566</v>
      </c>
      <c r="J556" s="130">
        <v>133.29376352616566</v>
      </c>
      <c r="K556" s="130">
        <v>133.29376352616566</v>
      </c>
      <c r="L556" s="130">
        <v>133.29376352616566</v>
      </c>
      <c r="M556" t="str">
        <f t="shared" si="56"/>
        <v>% relative to base year</v>
      </c>
    </row>
    <row r="557" spans="1:20" x14ac:dyDescent="0.25">
      <c r="A557" t="str">
        <f t="shared" si="55"/>
        <v>EE N2O emissions</v>
      </c>
      <c r="C557" s="90">
        <v>125.05797571254018</v>
      </c>
      <c r="D557" s="90">
        <v>138.36121985886339</v>
      </c>
      <c r="E557" s="90">
        <v>149.25441986883769</v>
      </c>
      <c r="F557" s="90">
        <v>154.60314689674087</v>
      </c>
      <c r="G557" s="90">
        <v>164.5668653217964</v>
      </c>
      <c r="H557" s="134">
        <v>202.99728199885294</v>
      </c>
      <c r="I557" s="130">
        <v>202.99728199885294</v>
      </c>
      <c r="J557" s="130">
        <v>202.99728199885294</v>
      </c>
      <c r="K557" s="130">
        <v>202.99728199885294</v>
      </c>
      <c r="L557" s="130">
        <v>202.99728199885294</v>
      </c>
      <c r="M557" t="str">
        <f t="shared" si="56"/>
        <v>% relative to base year</v>
      </c>
    </row>
    <row r="558" spans="1:20" x14ac:dyDescent="0.25">
      <c r="A558" t="str">
        <f t="shared" si="55"/>
        <v>CA N2O emissions</v>
      </c>
      <c r="C558" s="90">
        <v>116.26319835925089</v>
      </c>
      <c r="D558" s="90">
        <v>130.32830402322776</v>
      </c>
      <c r="E558" s="90">
        <v>145.45632783259424</v>
      </c>
      <c r="F558" s="90">
        <v>154.75449344515451</v>
      </c>
      <c r="G558" s="90">
        <v>169.80629555953553</v>
      </c>
      <c r="H558" s="134">
        <v>196.89804136679157</v>
      </c>
      <c r="I558" s="130">
        <v>196.89804136679157</v>
      </c>
      <c r="J558" s="130">
        <v>196.89804136679157</v>
      </c>
      <c r="K558" s="130">
        <v>196.89804136679157</v>
      </c>
      <c r="L558" s="130">
        <v>196.89804136679157</v>
      </c>
      <c r="M558" t="str">
        <f t="shared" si="56"/>
        <v>% relative to base year</v>
      </c>
    </row>
    <row r="559" spans="1:20" x14ac:dyDescent="0.25">
      <c r="A559" t="str">
        <f t="shared" si="55"/>
        <v>IA N2O emissions</v>
      </c>
      <c r="C559" s="90">
        <v>116.26319835925089</v>
      </c>
      <c r="D559" s="90">
        <v>130.32830402322776</v>
      </c>
      <c r="E559" s="90">
        <v>145.45632783259424</v>
      </c>
      <c r="F559" s="90">
        <v>154.75449344515451</v>
      </c>
      <c r="G559" s="90">
        <v>169.80629555953553</v>
      </c>
      <c r="H559" s="134">
        <v>196.89804136679157</v>
      </c>
      <c r="I559" s="130">
        <v>196.89804136679157</v>
      </c>
      <c r="J559" s="130">
        <v>196.89804136679157</v>
      </c>
      <c r="K559" s="130">
        <v>196.89804136679157</v>
      </c>
      <c r="L559" s="130">
        <v>196.89804136679157</v>
      </c>
      <c r="M559" t="str">
        <f t="shared" si="56"/>
        <v>% relative to base year</v>
      </c>
    </row>
    <row r="560" spans="1:20" x14ac:dyDescent="0.25">
      <c r="A560" t="str">
        <f t="shared" si="55"/>
        <v>AF N2O emissions</v>
      </c>
      <c r="C560" s="90">
        <v>125.1634185146995</v>
      </c>
      <c r="D560" s="90">
        <v>152.09329669150412</v>
      </c>
      <c r="E560" s="90">
        <v>176.36182095582919</v>
      </c>
      <c r="F560" s="90">
        <v>196.26831897054501</v>
      </c>
      <c r="G560" s="90">
        <v>248.78666710213832</v>
      </c>
      <c r="H560" s="134">
        <v>289.49362422839869</v>
      </c>
      <c r="I560" s="130">
        <v>289.49362422839869</v>
      </c>
      <c r="J560" s="130">
        <v>289.49362422839869</v>
      </c>
      <c r="K560" s="130">
        <v>289.49362422839869</v>
      </c>
      <c r="L560" s="130">
        <v>289.49362422839869</v>
      </c>
      <c r="M560" t="str">
        <f t="shared" si="56"/>
        <v>% relative to base year</v>
      </c>
    </row>
    <row r="561" spans="1:13" ht="13" thickBot="1" x14ac:dyDescent="0.3">
      <c r="A561" t="str">
        <f t="shared" si="55"/>
        <v>LA N2O emissions</v>
      </c>
      <c r="C561" s="92">
        <v>127.2536654496794</v>
      </c>
      <c r="D561" s="92">
        <v>145.74871057303767</v>
      </c>
      <c r="E561" s="92">
        <v>164.47556279074664</v>
      </c>
      <c r="F561" s="92">
        <v>174.31050560288278</v>
      </c>
      <c r="G561" s="92">
        <v>186.41030909368695</v>
      </c>
      <c r="H561" s="141">
        <v>181.72833262210699</v>
      </c>
      <c r="I561" s="133">
        <v>181.72833262210699</v>
      </c>
      <c r="J561" s="133">
        <v>181.72833262210699</v>
      </c>
      <c r="K561" s="133">
        <v>181.72833262210699</v>
      </c>
      <c r="L561" s="133">
        <v>181.72833262210699</v>
      </c>
      <c r="M561" t="str">
        <f t="shared" si="56"/>
        <v>% relative to base year</v>
      </c>
    </row>
    <row r="562" spans="1:13" ht="13" thickTop="1" x14ac:dyDescent="0.25"/>
    <row r="563" spans="1:13" x14ac:dyDescent="0.25">
      <c r="A563" t="str">
        <f t="shared" ref="A563:A570" si="57">A513</f>
        <v>EU Lin emissions</v>
      </c>
      <c r="C563" s="88">
        <v>158.44197630558801</v>
      </c>
      <c r="D563" s="88">
        <v>189.45542182789643</v>
      </c>
      <c r="E563" s="88">
        <v>192.60343554329154</v>
      </c>
      <c r="F563" s="88">
        <v>186.21753419957622</v>
      </c>
      <c r="G563" s="88">
        <v>180.70514201793713</v>
      </c>
      <c r="H563" s="140">
        <v>190.79541341790741</v>
      </c>
      <c r="I563" s="132">
        <v>190.79541341790741</v>
      </c>
      <c r="J563" s="132">
        <v>190.79541341790741</v>
      </c>
      <c r="K563" s="132">
        <v>190.79541341790741</v>
      </c>
      <c r="L563" s="132">
        <v>190.79541341790741</v>
      </c>
      <c r="M563" t="str">
        <f t="shared" ref="M563:M570" si="58">M513</f>
        <v>% relative to base year</v>
      </c>
    </row>
    <row r="564" spans="1:13" x14ac:dyDescent="0.25">
      <c r="A564" t="str">
        <f t="shared" si="57"/>
        <v>US Lin emissions</v>
      </c>
      <c r="C564" s="90">
        <v>158.44197630558801</v>
      </c>
      <c r="D564" s="90">
        <v>189.45542182789643</v>
      </c>
      <c r="E564" s="90">
        <v>192.60343554329154</v>
      </c>
      <c r="F564" s="90">
        <v>186.21753419957622</v>
      </c>
      <c r="G564" s="90">
        <v>180.70514201793713</v>
      </c>
      <c r="H564" s="134">
        <v>190.79541341790741</v>
      </c>
      <c r="I564" s="130">
        <v>190.79541341790741</v>
      </c>
      <c r="J564" s="130">
        <v>190.79541341790741</v>
      </c>
      <c r="K564" s="130">
        <v>190.79541341790741</v>
      </c>
      <c r="L564" s="130">
        <v>190.79541341790741</v>
      </c>
      <c r="M564" t="str">
        <f t="shared" si="58"/>
        <v>% relative to base year</v>
      </c>
    </row>
    <row r="565" spans="1:13" x14ac:dyDescent="0.25">
      <c r="A565" t="str">
        <f t="shared" si="57"/>
        <v>OT Lin emissions</v>
      </c>
      <c r="C565" s="90">
        <v>158.44197630558801</v>
      </c>
      <c r="D565" s="90">
        <v>189.45542182789643</v>
      </c>
      <c r="E565" s="90">
        <v>192.60343554329154</v>
      </c>
      <c r="F565" s="90">
        <v>186.21753419957622</v>
      </c>
      <c r="G565" s="90">
        <v>180.70514201793713</v>
      </c>
      <c r="H565" s="134">
        <v>190.79541341790741</v>
      </c>
      <c r="I565" s="130">
        <v>190.79541341790741</v>
      </c>
      <c r="J565" s="130">
        <v>190.79541341790741</v>
      </c>
      <c r="K565" s="130">
        <v>190.79541341790741</v>
      </c>
      <c r="L565" s="130">
        <v>190.79541341790741</v>
      </c>
      <c r="M565" t="str">
        <f t="shared" si="58"/>
        <v>% relative to base year</v>
      </c>
    </row>
    <row r="566" spans="1:13" x14ac:dyDescent="0.25">
      <c r="A566" t="str">
        <f t="shared" si="57"/>
        <v>EE Lin emissions</v>
      </c>
      <c r="C566" s="90">
        <v>193.17948917513073</v>
      </c>
      <c r="D566" s="90">
        <v>273.29714233827553</v>
      </c>
      <c r="E566" s="90">
        <v>356.41838865756046</v>
      </c>
      <c r="F566" s="90">
        <v>431.56918447030137</v>
      </c>
      <c r="G566" s="90">
        <v>530.49545342517274</v>
      </c>
      <c r="H566" s="134">
        <v>609.08342089219241</v>
      </c>
      <c r="I566" s="130">
        <v>609.08342089219241</v>
      </c>
      <c r="J566" s="130">
        <v>609.08342089219241</v>
      </c>
      <c r="K566" s="130">
        <v>609.08342089219241</v>
      </c>
      <c r="L566" s="130">
        <v>609.08342089219241</v>
      </c>
      <c r="M566" t="str">
        <f t="shared" si="58"/>
        <v>% relative to base year</v>
      </c>
    </row>
    <row r="567" spans="1:13" x14ac:dyDescent="0.25">
      <c r="A567" t="str">
        <f t="shared" si="57"/>
        <v>CA Lin emissions</v>
      </c>
      <c r="C567" s="90">
        <v>182.94015377354361</v>
      </c>
      <c r="D567" s="90">
        <v>239.80816757968762</v>
      </c>
      <c r="E567" s="90">
        <v>326.15763673073633</v>
      </c>
      <c r="F567" s="90">
        <v>378.81112754699683</v>
      </c>
      <c r="G567" s="90">
        <v>488.99994420846127</v>
      </c>
      <c r="H567" s="134">
        <v>547.76419178416825</v>
      </c>
      <c r="I567" s="130">
        <v>547.76419178416825</v>
      </c>
      <c r="J567" s="130">
        <v>547.76419178416825</v>
      </c>
      <c r="K567" s="130">
        <v>547.76419178416825</v>
      </c>
      <c r="L567" s="130">
        <v>547.76419178416825</v>
      </c>
      <c r="M567" t="str">
        <f t="shared" si="58"/>
        <v>% relative to base year</v>
      </c>
    </row>
    <row r="568" spans="1:13" x14ac:dyDescent="0.25">
      <c r="A568" t="str">
        <f t="shared" si="57"/>
        <v>IA Lin emissions</v>
      </c>
      <c r="C568" s="90">
        <v>182.94015377354361</v>
      </c>
      <c r="D568" s="90">
        <v>239.80816757968762</v>
      </c>
      <c r="E568" s="90">
        <v>326.15763673073633</v>
      </c>
      <c r="F568" s="90">
        <v>378.81112754699683</v>
      </c>
      <c r="G568" s="90">
        <v>488.99994420846127</v>
      </c>
      <c r="H568" s="134">
        <v>547.76419178416825</v>
      </c>
      <c r="I568" s="130">
        <v>547.76419178416825</v>
      </c>
      <c r="J568" s="130">
        <v>547.76419178416825</v>
      </c>
      <c r="K568" s="130">
        <v>547.76419178416825</v>
      </c>
      <c r="L568" s="130">
        <v>547.76419178416825</v>
      </c>
      <c r="M568" t="str">
        <f t="shared" si="58"/>
        <v>% relative to base year</v>
      </c>
    </row>
    <row r="569" spans="1:13" x14ac:dyDescent="0.25">
      <c r="A569" t="str">
        <f t="shared" si="57"/>
        <v>AF Lin emissions</v>
      </c>
      <c r="C569" s="90">
        <v>195.62577543071907</v>
      </c>
      <c r="D569" s="90">
        <v>250.62102627261527</v>
      </c>
      <c r="E569" s="90">
        <v>299.43191888710635</v>
      </c>
      <c r="F569" s="90">
        <v>364.05046378142049</v>
      </c>
      <c r="G569" s="90">
        <v>537.2009052940615</v>
      </c>
      <c r="H569" s="134">
        <v>636.11087125464121</v>
      </c>
      <c r="I569" s="130">
        <v>636.11087125464121</v>
      </c>
      <c r="J569" s="130">
        <v>636.11087125464121</v>
      </c>
      <c r="K569" s="130">
        <v>636.11087125464121</v>
      </c>
      <c r="L569" s="130">
        <v>636.11087125464121</v>
      </c>
      <c r="M569" t="str">
        <f t="shared" si="58"/>
        <v>% relative to base year</v>
      </c>
    </row>
    <row r="570" spans="1:13" ht="13" thickBot="1" x14ac:dyDescent="0.3">
      <c r="A570" t="str">
        <f t="shared" si="57"/>
        <v>LA Lin emissions</v>
      </c>
      <c r="C570" s="92">
        <v>173.43900783842511</v>
      </c>
      <c r="D570" s="92">
        <v>213.43178577876839</v>
      </c>
      <c r="E570" s="92">
        <v>279.43580771888747</v>
      </c>
      <c r="F570" s="92">
        <v>327.38032237780084</v>
      </c>
      <c r="G570" s="92">
        <v>475.98384998038819</v>
      </c>
      <c r="H570" s="141">
        <v>553.98116038575756</v>
      </c>
      <c r="I570" s="133">
        <v>553.98116038575756</v>
      </c>
      <c r="J570" s="133">
        <v>553.98116038575756</v>
      </c>
      <c r="K570" s="133">
        <v>553.98116038575756</v>
      </c>
      <c r="L570" s="133">
        <v>553.98116038575756</v>
      </c>
      <c r="M570" t="str">
        <f t="shared" si="58"/>
        <v>% relative to base year</v>
      </c>
    </row>
    <row r="571" spans="1:13" ht="13" thickTop="1" x14ac:dyDescent="0.25"/>
    <row r="572" spans="1:13" x14ac:dyDescent="0.25">
      <c r="A572" t="str">
        <f t="shared" ref="A572:A579" si="59">A522</f>
        <v>EU sulphates</v>
      </c>
      <c r="C572" s="88">
        <v>71.806381684319391</v>
      </c>
      <c r="D572" s="88">
        <v>62.190458607343892</v>
      </c>
      <c r="E572" s="88">
        <v>41.922748605620299</v>
      </c>
      <c r="F572" s="88">
        <v>25.346951371966064</v>
      </c>
      <c r="G572" s="88">
        <v>12.030667837534583</v>
      </c>
      <c r="H572" s="140">
        <v>6.224584547404822</v>
      </c>
      <c r="I572" s="132">
        <v>6.224584547404822</v>
      </c>
      <c r="J572" s="132">
        <v>6.224584547404822</v>
      </c>
      <c r="K572" s="132">
        <v>6.224584547404822</v>
      </c>
      <c r="L572" s="132">
        <v>6.224584547404822</v>
      </c>
      <c r="M572" t="str">
        <f t="shared" ref="M572:M579" si="60">M522</f>
        <v>% relative to base year</v>
      </c>
    </row>
    <row r="573" spans="1:13" x14ac:dyDescent="0.25">
      <c r="A573" t="str">
        <f t="shared" si="59"/>
        <v>US sulphates</v>
      </c>
      <c r="C573" s="90">
        <v>71.806381684319391</v>
      </c>
      <c r="D573" s="90">
        <v>62.190458607343892</v>
      </c>
      <c r="E573" s="90">
        <v>41.922748605620299</v>
      </c>
      <c r="F573" s="90">
        <v>25.346951371966064</v>
      </c>
      <c r="G573" s="90">
        <v>12.030667837534583</v>
      </c>
      <c r="H573" s="134">
        <v>6.224584547404822</v>
      </c>
      <c r="I573" s="130">
        <v>6.224584547404822</v>
      </c>
      <c r="J573" s="130">
        <v>6.224584547404822</v>
      </c>
      <c r="K573" s="130">
        <v>6.224584547404822</v>
      </c>
      <c r="L573" s="130">
        <v>6.224584547404822</v>
      </c>
      <c r="M573" t="str">
        <f t="shared" si="60"/>
        <v>% relative to base year</v>
      </c>
    </row>
    <row r="574" spans="1:13" x14ac:dyDescent="0.25">
      <c r="A574" t="str">
        <f t="shared" si="59"/>
        <v>OT sulphates</v>
      </c>
      <c r="C574" s="90">
        <v>71.806381684319391</v>
      </c>
      <c r="D574" s="90">
        <v>62.190458607343892</v>
      </c>
      <c r="E574" s="90">
        <v>41.922748605620299</v>
      </c>
      <c r="F574" s="90">
        <v>25.346951371966064</v>
      </c>
      <c r="G574" s="90">
        <v>12.030667837534583</v>
      </c>
      <c r="H574" s="134">
        <v>6.224584547404822</v>
      </c>
      <c r="I574" s="130">
        <v>6.224584547404822</v>
      </c>
      <c r="J574" s="130">
        <v>6.224584547404822</v>
      </c>
      <c r="K574" s="130">
        <v>6.224584547404822</v>
      </c>
      <c r="L574" s="130">
        <v>6.224584547404822</v>
      </c>
      <c r="M574" t="str">
        <f t="shared" si="60"/>
        <v>% relative to base year</v>
      </c>
    </row>
    <row r="575" spans="1:13" x14ac:dyDescent="0.25">
      <c r="A575" t="str">
        <f t="shared" si="59"/>
        <v>EE sulphates</v>
      </c>
      <c r="C575" s="90">
        <v>83.34026019823429</v>
      </c>
      <c r="D575" s="90">
        <v>74.110091618687235</v>
      </c>
      <c r="E575" s="90">
        <v>56.714069673604193</v>
      </c>
      <c r="F575" s="90">
        <v>44.505349186650434</v>
      </c>
      <c r="G575" s="90">
        <v>27.945443430764772</v>
      </c>
      <c r="H575" s="134">
        <v>20.755502982427075</v>
      </c>
      <c r="I575" s="130">
        <v>20.755502982427075</v>
      </c>
      <c r="J575" s="130">
        <v>20.755502982427075</v>
      </c>
      <c r="K575" s="130">
        <v>20.755502982427075</v>
      </c>
      <c r="L575" s="130">
        <v>20.755502982427075</v>
      </c>
      <c r="M575" t="str">
        <f t="shared" si="60"/>
        <v>% relative to base year</v>
      </c>
    </row>
    <row r="576" spans="1:13" x14ac:dyDescent="0.25">
      <c r="A576" t="str">
        <f t="shared" si="59"/>
        <v>CA sulphates</v>
      </c>
      <c r="C576" s="90">
        <v>109.2552759056681</v>
      </c>
      <c r="D576" s="90">
        <v>92.669113072927288</v>
      </c>
      <c r="E576" s="90">
        <v>62.469148556298393</v>
      </c>
      <c r="F576" s="90">
        <v>44.063272689706899</v>
      </c>
      <c r="G576" s="90">
        <v>32.803916196362273</v>
      </c>
      <c r="H576" s="134">
        <v>17.404615982339159</v>
      </c>
      <c r="I576" s="130">
        <v>17.404615982339159</v>
      </c>
      <c r="J576" s="130">
        <v>17.404615982339159</v>
      </c>
      <c r="K576" s="130">
        <v>17.404615982339159</v>
      </c>
      <c r="L576" s="130">
        <v>17.404615982339159</v>
      </c>
      <c r="M576" t="str">
        <f t="shared" si="60"/>
        <v>% relative to base year</v>
      </c>
    </row>
    <row r="577" spans="1:28" x14ac:dyDescent="0.25">
      <c r="A577" t="str">
        <f t="shared" si="59"/>
        <v>IA sulphates</v>
      </c>
      <c r="C577" s="90">
        <v>109.2552759056681</v>
      </c>
      <c r="D577" s="90">
        <v>92.669113072927288</v>
      </c>
      <c r="E577" s="90">
        <v>62.469148556298393</v>
      </c>
      <c r="F577" s="90">
        <v>44.063272689706899</v>
      </c>
      <c r="G577" s="90">
        <v>32.803916196362273</v>
      </c>
      <c r="H577" s="134">
        <v>17.404615982339159</v>
      </c>
      <c r="I577" s="130">
        <v>17.404615982339159</v>
      </c>
      <c r="J577" s="130">
        <v>17.404615982339159</v>
      </c>
      <c r="K577" s="130">
        <v>17.404615982339159</v>
      </c>
      <c r="L577" s="130">
        <v>17.404615982339159</v>
      </c>
      <c r="M577" t="str">
        <f t="shared" si="60"/>
        <v>% relative to base year</v>
      </c>
    </row>
    <row r="578" spans="1:28" x14ac:dyDescent="0.25">
      <c r="A578" t="str">
        <f t="shared" si="59"/>
        <v>AF sulphates</v>
      </c>
      <c r="C578" s="90">
        <v>117.8261996076522</v>
      </c>
      <c r="D578" s="90">
        <v>113.35840316156016</v>
      </c>
      <c r="E578" s="90">
        <v>110.89832839339557</v>
      </c>
      <c r="F578" s="90">
        <v>108.53299508284005</v>
      </c>
      <c r="G578" s="90">
        <v>84.295517896241378</v>
      </c>
      <c r="H578" s="134">
        <v>63.547031908865968</v>
      </c>
      <c r="I578" s="130">
        <v>63.547031908865968</v>
      </c>
      <c r="J578" s="130">
        <v>63.547031908865968</v>
      </c>
      <c r="K578" s="130">
        <v>63.547031908865968</v>
      </c>
      <c r="L578" s="130">
        <v>63.547031908865968</v>
      </c>
      <c r="M578" t="str">
        <f t="shared" si="60"/>
        <v>% relative to base year</v>
      </c>
    </row>
    <row r="579" spans="1:28" ht="13" thickBot="1" x14ac:dyDescent="0.3">
      <c r="A579" t="str">
        <f t="shared" si="59"/>
        <v>LA sulphates</v>
      </c>
      <c r="C579" s="92">
        <v>93.995513349443044</v>
      </c>
      <c r="D579" s="92">
        <v>92.827621264808158</v>
      </c>
      <c r="E579" s="92">
        <v>87.922142983438434</v>
      </c>
      <c r="F579" s="92">
        <v>77.542066953497951</v>
      </c>
      <c r="G579" s="92">
        <v>61.504040932398183</v>
      </c>
      <c r="H579" s="141">
        <v>37.924905699298641</v>
      </c>
      <c r="I579" s="133">
        <v>37.924905699298641</v>
      </c>
      <c r="J579" s="133">
        <v>37.924905699298641</v>
      </c>
      <c r="K579" s="133">
        <v>37.924905699298641</v>
      </c>
      <c r="L579" s="133">
        <v>37.924905699298641</v>
      </c>
      <c r="M579" t="str">
        <f t="shared" si="60"/>
        <v>% relative to base year</v>
      </c>
    </row>
    <row r="580" spans="1:28" ht="13" thickTop="1" x14ac:dyDescent="0.25">
      <c r="C580" s="61"/>
      <c r="D580" s="61"/>
      <c r="E580" s="61"/>
      <c r="F580" s="61"/>
      <c r="G580" s="61"/>
      <c r="H580" s="61"/>
      <c r="I580" s="61"/>
      <c r="J580" s="61"/>
      <c r="K580" s="61"/>
      <c r="L580" s="61"/>
    </row>
    <row r="581" spans="1:28" ht="13" thickBot="1" x14ac:dyDescent="0.3">
      <c r="A581" t="s">
        <v>37</v>
      </c>
      <c r="C581" s="62">
        <v>0.85695906835658797</v>
      </c>
      <c r="D581" s="62">
        <v>0.82809783998872566</v>
      </c>
      <c r="E581" s="62">
        <v>0.76962704352924782</v>
      </c>
      <c r="F581" s="62">
        <v>0.72844871949359113</v>
      </c>
      <c r="G581" s="62">
        <v>0.66158723869277491</v>
      </c>
      <c r="H581" s="150">
        <v>0.56516162970947625</v>
      </c>
      <c r="I581" s="120">
        <v>0.56516162970947625</v>
      </c>
      <c r="J581" s="120">
        <v>0.56516162970947625</v>
      </c>
      <c r="K581" s="120">
        <v>0.56516162970947625</v>
      </c>
      <c r="L581" s="120">
        <v>0.56516162970947625</v>
      </c>
      <c r="M581" t="str">
        <f>M531</f>
        <v>W/m2</v>
      </c>
    </row>
    <row r="582" spans="1:28" ht="13" thickTop="1" x14ac:dyDescent="0.25"/>
    <row r="584" spans="1:28" ht="13" x14ac:dyDescent="0.3">
      <c r="A584" s="2" t="s">
        <v>652</v>
      </c>
      <c r="Q584" s="2" t="s">
        <v>464</v>
      </c>
    </row>
    <row r="585" spans="1:28" ht="13" x14ac:dyDescent="0.3">
      <c r="A585" s="2" t="s">
        <v>982</v>
      </c>
      <c r="Q585" s="124" t="s">
        <v>653</v>
      </c>
    </row>
    <row r="586" spans="1:28" ht="13" x14ac:dyDescent="0.3">
      <c r="A586" s="2"/>
      <c r="Q586" s="124"/>
    </row>
    <row r="587" spans="1:28" ht="13" x14ac:dyDescent="0.3">
      <c r="A587" s="3" t="s">
        <v>516</v>
      </c>
      <c r="B587" s="3"/>
      <c r="C587">
        <f>Y_0</f>
        <v>2015</v>
      </c>
      <c r="D587">
        <f t="array" ref="D587:L587">Y</f>
        <v>2020</v>
      </c>
      <c r="E587">
        <v>2030</v>
      </c>
      <c r="F587">
        <v>2040</v>
      </c>
      <c r="G587">
        <v>2050</v>
      </c>
      <c r="H587">
        <v>2075</v>
      </c>
      <c r="I587">
        <v>2100</v>
      </c>
      <c r="J587">
        <v>2150</v>
      </c>
      <c r="K587">
        <v>2200</v>
      </c>
      <c r="L587">
        <v>2250</v>
      </c>
      <c r="P587" s="2"/>
      <c r="Q587" s="124"/>
    </row>
    <row r="588" spans="1:28" ht="13" x14ac:dyDescent="0.3">
      <c r="A588" s="3" t="s">
        <v>517</v>
      </c>
      <c r="B588" s="3"/>
      <c r="C588">
        <f t="array" ref="C588:L588">Y</f>
        <v>2020</v>
      </c>
      <c r="D588">
        <v>2030</v>
      </c>
      <c r="E588">
        <v>2040</v>
      </c>
      <c r="F588">
        <v>2050</v>
      </c>
      <c r="G588">
        <v>2075</v>
      </c>
      <c r="H588">
        <v>2100</v>
      </c>
      <c r="I588">
        <v>2150</v>
      </c>
      <c r="J588">
        <v>2200</v>
      </c>
      <c r="K588">
        <v>2250</v>
      </c>
      <c r="L588">
        <v>2300</v>
      </c>
      <c r="Q588" s="124"/>
    </row>
    <row r="589" spans="1:28" ht="13" x14ac:dyDescent="0.3">
      <c r="A589" s="3" t="s">
        <v>518</v>
      </c>
      <c r="C589">
        <f t="array" ref="C589:L589">YP</f>
        <v>5</v>
      </c>
      <c r="D589">
        <v>10</v>
      </c>
      <c r="E589">
        <v>10</v>
      </c>
      <c r="F589">
        <v>10</v>
      </c>
      <c r="G589">
        <v>25</v>
      </c>
      <c r="H589">
        <v>25</v>
      </c>
      <c r="I589">
        <v>50</v>
      </c>
      <c r="J589">
        <v>50</v>
      </c>
      <c r="K589">
        <v>50</v>
      </c>
      <c r="L589">
        <v>50</v>
      </c>
      <c r="Q589" s="124"/>
    </row>
    <row r="590" spans="1:28" ht="13" x14ac:dyDescent="0.3">
      <c r="A590" s="3" t="s">
        <v>514</v>
      </c>
      <c r="C590" s="136">
        <f t="array" ref="C590:L590" xml:space="preserve"> IF(Y &lt;= EXTRA_ABATE_START, 1, IF(Y &lt;= EXTRA_ABATE_END, (1-EXTRA_ABATE_RATE/100)^YP, 1) )</f>
        <v>1</v>
      </c>
      <c r="D590" s="136">
        <v>0.97607942248191448</v>
      </c>
      <c r="E590" s="136">
        <v>0.97607942248191448</v>
      </c>
      <c r="F590" s="136">
        <v>0.97607942248191448</v>
      </c>
      <c r="G590" s="136">
        <v>0.94126712987315087</v>
      </c>
      <c r="H590" s="136">
        <v>0.94126712987315087</v>
      </c>
      <c r="I590" s="137">
        <v>1</v>
      </c>
      <c r="J590" s="137">
        <v>1</v>
      </c>
      <c r="K590" s="137">
        <v>1</v>
      </c>
      <c r="L590" s="137">
        <v>1</v>
      </c>
      <c r="M590" s="3" t="s">
        <v>509</v>
      </c>
      <c r="Q590" s="124"/>
    </row>
    <row r="591" spans="1:28" x14ac:dyDescent="0.25">
      <c r="A591" s="3" t="s">
        <v>519</v>
      </c>
      <c r="C591" s="136">
        <f xml:space="preserve"> EXTRA_ABATE_FACTOR_PERIOD_1</f>
        <v>1</v>
      </c>
      <c r="D591" s="136">
        <f t="array" ref="D591:L591" xml:space="preserve"> EXTRA_ABATE_FACTOR_COMPOUND * EXTRA_ABATE_FACTOR_PERIOD_NOT_1</f>
        <v>0.97607942248191448</v>
      </c>
      <c r="E591" s="136">
        <v>0.95273103899262768</v>
      </c>
      <c r="F591" s="136">
        <v>0.92994116232051838</v>
      </c>
      <c r="G591" s="136">
        <v>0.87532304880833622</v>
      </c>
      <c r="H591" s="136">
        <v>0.82391281386363857</v>
      </c>
      <c r="I591" s="137">
        <v>0.82391281386363857</v>
      </c>
      <c r="J591" s="137">
        <v>0.82391281386363857</v>
      </c>
      <c r="K591" s="137">
        <v>0.82391281386363857</v>
      </c>
      <c r="L591" s="137">
        <v>0.82391281386363857</v>
      </c>
      <c r="M591" s="3" t="s">
        <v>509</v>
      </c>
    </row>
    <row r="592" spans="1:28" x14ac:dyDescent="0.25">
      <c r="C592" s="4"/>
      <c r="D592" s="4"/>
      <c r="E592" s="4"/>
      <c r="F592" s="4"/>
      <c r="G592" s="4"/>
      <c r="H592" s="4"/>
      <c r="I592" s="4"/>
      <c r="J592" s="4"/>
      <c r="K592" s="4"/>
      <c r="L592" s="4"/>
      <c r="M592" s="3"/>
      <c r="P592" s="6"/>
      <c r="R592" s="6"/>
      <c r="S592" s="6"/>
      <c r="T592" s="6"/>
      <c r="U592" s="6"/>
      <c r="V592" s="6"/>
      <c r="W592" s="6"/>
      <c r="X592" s="6"/>
      <c r="Y592" s="6"/>
      <c r="Z592" s="6"/>
      <c r="AA592" s="6"/>
      <c r="AB592" s="6"/>
    </row>
    <row r="593" spans="1:30" ht="13" x14ac:dyDescent="0.3">
      <c r="A593" t="str">
        <f t="array" ref="A593:A600">"Annual "&amp;R_CODE&amp;" "&amp;'Base data'!$B$12&amp;" emissions"</f>
        <v>Annual EU CO2 emissions</v>
      </c>
      <c r="C593" s="90">
        <f t="array" ref="C593:L600" xml:space="preserve"> (RCP26_CO2 - RCP26_CO2_2100) * EXTRA_ABATE_FACTOR_COMPOUND + RCP26_CO2_2100</f>
        <v>93.691998358166117</v>
      </c>
      <c r="D593" s="90">
        <v>64.65054690759483</v>
      </c>
      <c r="E593" s="90">
        <v>31.870274979749929</v>
      </c>
      <c r="F593" s="90">
        <v>15.884821211713627</v>
      </c>
      <c r="G593" s="90">
        <v>-6.6082129828167151</v>
      </c>
      <c r="H593" s="90">
        <v>-9.3709245458557273</v>
      </c>
      <c r="I593" s="130">
        <v>-9.3709245458557273</v>
      </c>
      <c r="J593" s="130">
        <v>-9.3709245458557273</v>
      </c>
      <c r="K593" s="130">
        <v>-9.3709245458557273</v>
      </c>
      <c r="L593" s="130">
        <v>-9.3709245458557273</v>
      </c>
      <c r="M593" s="3" t="s">
        <v>482</v>
      </c>
      <c r="P593" s="6"/>
      <c r="Q593" s="139" t="s">
        <v>658</v>
      </c>
      <c r="R593" s="138"/>
      <c r="S593" s="138"/>
      <c r="T593" s="138"/>
      <c r="U593" s="138"/>
      <c r="V593" s="138"/>
      <c r="W593" s="6"/>
      <c r="X593" s="6"/>
      <c r="Y593" s="6"/>
      <c r="Z593" s="6"/>
      <c r="AA593" s="6"/>
      <c r="AB593" s="6"/>
      <c r="AC593" s="6"/>
      <c r="AD593" s="6"/>
    </row>
    <row r="594" spans="1:30" ht="13" x14ac:dyDescent="0.3">
      <c r="A594" t="str">
        <v>Annual US CO2 emissions</v>
      </c>
      <c r="C594" s="90">
        <v>93.691998358166117</v>
      </c>
      <c r="D594" s="90">
        <v>64.65054690759483</v>
      </c>
      <c r="E594" s="90">
        <v>31.870274979749929</v>
      </c>
      <c r="F594" s="90">
        <v>15.884821211713627</v>
      </c>
      <c r="G594" s="90">
        <v>-6.6082129828167151</v>
      </c>
      <c r="H594" s="90">
        <v>-9.3709245458557273</v>
      </c>
      <c r="I594" s="130">
        <v>-9.3709245458557273</v>
      </c>
      <c r="J594" s="130">
        <v>-9.3709245458557273</v>
      </c>
      <c r="K594" s="130">
        <v>-9.3709245458557273</v>
      </c>
      <c r="L594" s="130">
        <v>-9.3709245458557273</v>
      </c>
      <c r="M594" s="3" t="s">
        <v>482</v>
      </c>
      <c r="P594" s="6"/>
      <c r="Q594" s="139" t="s">
        <v>520</v>
      </c>
      <c r="R594" s="138"/>
      <c r="S594" s="138"/>
      <c r="T594" s="138"/>
      <c r="U594" s="138"/>
      <c r="V594" s="138"/>
      <c r="W594" s="6"/>
      <c r="X594" s="6"/>
      <c r="Y594" s="6"/>
      <c r="Z594" s="6"/>
      <c r="AA594" s="6"/>
      <c r="AB594" s="6"/>
      <c r="AC594" s="6"/>
      <c r="AD594" s="6"/>
    </row>
    <row r="595" spans="1:30" x14ac:dyDescent="0.25">
      <c r="A595" t="str">
        <v>Annual OT CO2 emissions</v>
      </c>
      <c r="C595" s="90">
        <v>93.691998358166117</v>
      </c>
      <c r="D595" s="90">
        <v>64.65054690759483</v>
      </c>
      <c r="E595" s="90">
        <v>31.870274979749929</v>
      </c>
      <c r="F595" s="90">
        <v>15.884821211713627</v>
      </c>
      <c r="G595" s="90">
        <v>-6.6082129828167151</v>
      </c>
      <c r="H595" s="90">
        <v>-9.3709245458557273</v>
      </c>
      <c r="I595" s="130">
        <v>-9.3709245458557273</v>
      </c>
      <c r="J595" s="130">
        <v>-9.3709245458557273</v>
      </c>
      <c r="K595" s="130">
        <v>-9.3709245458557273</v>
      </c>
      <c r="L595" s="130">
        <v>-9.3709245458557273</v>
      </c>
      <c r="M595" s="3" t="s">
        <v>482</v>
      </c>
      <c r="P595" s="6"/>
      <c r="Q595" s="138"/>
      <c r="R595" s="138"/>
      <c r="S595" s="138"/>
      <c r="T595" s="138"/>
      <c r="U595" s="138"/>
      <c r="V595" s="138"/>
      <c r="W595" s="6"/>
      <c r="X595" s="6"/>
      <c r="Y595" s="6"/>
      <c r="Z595" s="6"/>
      <c r="AA595" s="6"/>
      <c r="AB595" s="6"/>
      <c r="AC595" s="6"/>
      <c r="AD595" s="6"/>
    </row>
    <row r="596" spans="1:30" x14ac:dyDescent="0.25">
      <c r="A596" t="str">
        <v>Annual EE CO2 emissions</v>
      </c>
      <c r="C596" s="90">
        <v>94.773070654740792</v>
      </c>
      <c r="D596" s="90">
        <v>63.392204296306531</v>
      </c>
      <c r="E596" s="90">
        <v>39.104552675694329</v>
      </c>
      <c r="F596" s="90">
        <v>31.147846963528757</v>
      </c>
      <c r="G596" s="90">
        <v>3.0426140617735999</v>
      </c>
      <c r="H596" s="90">
        <v>-4.6216780583083912</v>
      </c>
      <c r="I596" s="130">
        <v>-4.6216780583083912</v>
      </c>
      <c r="J596" s="130">
        <v>-4.6216780583083912</v>
      </c>
      <c r="K596" s="130">
        <v>-4.6216780583083912</v>
      </c>
      <c r="L596" s="130">
        <v>-4.6216780583083912</v>
      </c>
      <c r="M596" s="3" t="s">
        <v>482</v>
      </c>
      <c r="P596" s="6"/>
      <c r="R596" s="138"/>
      <c r="S596" s="138"/>
      <c r="T596" s="138"/>
      <c r="U596" s="138"/>
      <c r="V596" s="138"/>
      <c r="W596" s="6"/>
      <c r="X596" s="6"/>
      <c r="Y596" s="6"/>
      <c r="Z596" s="6"/>
      <c r="AA596" s="6"/>
      <c r="AB596" s="6"/>
      <c r="AC596" s="6"/>
      <c r="AD596" s="6"/>
    </row>
    <row r="597" spans="1:30" x14ac:dyDescent="0.25">
      <c r="A597" t="str">
        <v>Annual CA CO2 emissions</v>
      </c>
      <c r="C597" s="90">
        <v>105.77104096083347</v>
      </c>
      <c r="D597" s="90">
        <v>82.415160952298137</v>
      </c>
      <c r="E597" s="90">
        <v>52.130848596501963</v>
      </c>
      <c r="F597" s="90">
        <v>33.912674430926444</v>
      </c>
      <c r="G597" s="90">
        <v>-2.6707766404864581</v>
      </c>
      <c r="H597" s="90">
        <v>-4.2454475359193005</v>
      </c>
      <c r="I597" s="130">
        <v>-4.2454475359193005</v>
      </c>
      <c r="J597" s="130">
        <v>-4.2454475359193005</v>
      </c>
      <c r="K597" s="130">
        <v>-4.2454475359193005</v>
      </c>
      <c r="L597" s="130">
        <v>-4.2454475359193005</v>
      </c>
      <c r="M597" s="3" t="s">
        <v>482</v>
      </c>
      <c r="P597" s="6"/>
      <c r="R597" s="138"/>
      <c r="S597" s="138"/>
      <c r="T597" s="138"/>
      <c r="U597" s="138"/>
      <c r="V597" s="138"/>
      <c r="W597" s="6"/>
      <c r="X597" s="6"/>
      <c r="Y597" s="6"/>
      <c r="Z597" s="6"/>
      <c r="AA597" s="6"/>
      <c r="AB597" s="6"/>
      <c r="AC597" s="6"/>
      <c r="AD597" s="6"/>
    </row>
    <row r="598" spans="1:30" x14ac:dyDescent="0.25">
      <c r="A598" t="str">
        <v>Annual IA CO2 emissions</v>
      </c>
      <c r="C598" s="90">
        <v>105.77104096083347</v>
      </c>
      <c r="D598" s="90">
        <v>82.415160952298137</v>
      </c>
      <c r="E598" s="90">
        <v>52.130848596501963</v>
      </c>
      <c r="F598" s="90">
        <v>33.912674430926444</v>
      </c>
      <c r="G598" s="90">
        <v>-2.6707766404864581</v>
      </c>
      <c r="H598" s="90">
        <v>-4.2454475359193005</v>
      </c>
      <c r="I598" s="130">
        <v>-4.2454475359193005</v>
      </c>
      <c r="J598" s="130">
        <v>-4.2454475359193005</v>
      </c>
      <c r="K598" s="130">
        <v>-4.2454475359193005</v>
      </c>
      <c r="L598" s="130">
        <v>-4.2454475359193005</v>
      </c>
      <c r="M598" s="3" t="s">
        <v>482</v>
      </c>
      <c r="P598" s="6"/>
      <c r="Q598" s="138"/>
      <c r="R598" s="138"/>
      <c r="S598" s="138"/>
      <c r="T598" s="138"/>
      <c r="U598" s="138"/>
      <c r="V598" s="138"/>
      <c r="W598" s="6"/>
      <c r="X598" s="6"/>
      <c r="Y598" s="6"/>
      <c r="Z598" s="6"/>
      <c r="AA598" s="6"/>
      <c r="AB598" s="6"/>
      <c r="AC598" s="6"/>
      <c r="AD598" s="6"/>
    </row>
    <row r="599" spans="1:30" x14ac:dyDescent="0.25">
      <c r="A599" t="str">
        <v>Annual AF CO2 emissions</v>
      </c>
      <c r="C599" s="90">
        <v>85.296768505285186</v>
      </c>
      <c r="D599" s="90">
        <v>76.473105505937241</v>
      </c>
      <c r="E599" s="90">
        <v>54.352576585916061</v>
      </c>
      <c r="F599" s="90">
        <v>41.847352304423325</v>
      </c>
      <c r="G599" s="90">
        <v>21.883076220208405</v>
      </c>
      <c r="H599" s="90">
        <v>0</v>
      </c>
      <c r="I599" s="130">
        <v>0</v>
      </c>
      <c r="J599" s="130">
        <v>0</v>
      </c>
      <c r="K599" s="130">
        <v>0</v>
      </c>
      <c r="L599" s="130">
        <v>0</v>
      </c>
      <c r="M599" s="3" t="s">
        <v>482</v>
      </c>
      <c r="P599" s="6"/>
      <c r="Q599" s="138"/>
      <c r="R599" s="138"/>
      <c r="S599" s="138"/>
      <c r="T599" s="138"/>
      <c r="U599" s="138"/>
      <c r="V599" s="138"/>
      <c r="W599" s="6"/>
      <c r="X599" s="6"/>
      <c r="Y599" s="6"/>
      <c r="Z599" s="6"/>
      <c r="AA599" s="6"/>
      <c r="AB599" s="6"/>
      <c r="AC599" s="6"/>
      <c r="AD599" s="6"/>
    </row>
    <row r="600" spans="1:30" x14ac:dyDescent="0.25">
      <c r="A600" t="str">
        <v>Annual LA CO2 emissions</v>
      </c>
      <c r="C600" s="90">
        <v>85</v>
      </c>
      <c r="D600" s="90">
        <v>53.57919255221784</v>
      </c>
      <c r="E600" s="90">
        <v>44.519326325561025</v>
      </c>
      <c r="F600" s="90">
        <v>35.666370296334364</v>
      </c>
      <c r="G600" s="90">
        <v>14.722683843372973</v>
      </c>
      <c r="H600" s="90">
        <v>0</v>
      </c>
      <c r="I600" s="130">
        <v>0</v>
      </c>
      <c r="J600" s="130">
        <v>0</v>
      </c>
      <c r="K600" s="130">
        <v>0</v>
      </c>
      <c r="L600" s="130">
        <v>0</v>
      </c>
      <c r="M600" s="3" t="s">
        <v>482</v>
      </c>
      <c r="P600" s="6"/>
      <c r="Q600" s="138"/>
      <c r="R600" s="138"/>
      <c r="S600" s="138"/>
      <c r="T600" s="138"/>
      <c r="U600" s="138"/>
      <c r="V600" s="138"/>
      <c r="W600" s="6"/>
      <c r="X600" s="6"/>
      <c r="Y600" s="6"/>
      <c r="Z600" s="6"/>
      <c r="AA600" s="6"/>
      <c r="AB600" s="6"/>
      <c r="AC600" s="6"/>
      <c r="AD600" s="6"/>
    </row>
    <row r="601" spans="1:30" ht="13" x14ac:dyDescent="0.3">
      <c r="C601" s="4"/>
      <c r="D601" s="4"/>
      <c r="E601" s="4"/>
      <c r="F601" s="4"/>
      <c r="G601" s="4"/>
      <c r="H601" s="4"/>
      <c r="I601" s="4"/>
      <c r="J601" s="4"/>
      <c r="K601" s="4"/>
      <c r="L601" s="4"/>
      <c r="M601" s="3"/>
      <c r="P601" s="6"/>
      <c r="Q601" s="128"/>
      <c r="R601" s="6"/>
      <c r="S601" s="6"/>
      <c r="T601" s="6"/>
      <c r="U601" s="6"/>
      <c r="V601" s="6"/>
      <c r="W601" s="6"/>
      <c r="X601" s="6"/>
      <c r="Y601" s="6"/>
      <c r="Z601" s="6"/>
      <c r="AA601" s="6"/>
      <c r="AB601" s="6"/>
    </row>
    <row r="602" spans="1:30" ht="13" x14ac:dyDescent="0.3">
      <c r="A602" t="str">
        <f t="array" ref="A602:A609">"Annual "&amp;R_CODE&amp;" "&amp;'Base data'!$C$12&amp;" emissions"</f>
        <v>Annual EU CH4 emissions</v>
      </c>
      <c r="C602" s="90">
        <f t="array" ref="C602:L609">RCP26_CH4 * EXTRA_ABATE_FACTOR_COMPOUND</f>
        <v>49.15382164311815</v>
      </c>
      <c r="D602" s="90">
        <v>40.909284770877328</v>
      </c>
      <c r="E602" s="90">
        <v>36.104699678289819</v>
      </c>
      <c r="F602" s="90">
        <v>29.036423344312436</v>
      </c>
      <c r="G602" s="90">
        <v>23.476281955436271</v>
      </c>
      <c r="H602" s="90">
        <v>18.983067459237372</v>
      </c>
      <c r="I602" s="130">
        <v>18.983067459237372</v>
      </c>
      <c r="J602" s="130">
        <v>18.983067459237372</v>
      </c>
      <c r="K602" s="130">
        <v>18.983067459237372</v>
      </c>
      <c r="L602" s="130">
        <v>18.983067459237372</v>
      </c>
      <c r="M602" s="3" t="s">
        <v>482</v>
      </c>
      <c r="P602" s="6"/>
      <c r="Q602" s="128"/>
      <c r="R602" s="6"/>
      <c r="S602" s="6"/>
      <c r="T602" s="6"/>
      <c r="U602" s="6"/>
      <c r="V602" s="6"/>
      <c r="W602" s="6"/>
      <c r="X602" s="6"/>
      <c r="Y602" s="6"/>
      <c r="Z602" s="6"/>
      <c r="AA602" s="6"/>
      <c r="AB602" s="6"/>
    </row>
    <row r="603" spans="1:30" ht="13" x14ac:dyDescent="0.3">
      <c r="A603" t="str">
        <v>Annual US CH4 emissions</v>
      </c>
      <c r="C603" s="90">
        <v>49.15382164311815</v>
      </c>
      <c r="D603" s="90">
        <v>40.909284770877328</v>
      </c>
      <c r="E603" s="90">
        <v>36.104699678289819</v>
      </c>
      <c r="F603" s="90">
        <v>29.036423344312436</v>
      </c>
      <c r="G603" s="90">
        <v>23.476281955436271</v>
      </c>
      <c r="H603" s="90">
        <v>18.983067459237372</v>
      </c>
      <c r="I603" s="130">
        <v>18.983067459237372</v>
      </c>
      <c r="J603" s="130">
        <v>18.983067459237372</v>
      </c>
      <c r="K603" s="130">
        <v>18.983067459237372</v>
      </c>
      <c r="L603" s="130">
        <v>18.983067459237372</v>
      </c>
      <c r="M603" s="3" t="s">
        <v>482</v>
      </c>
      <c r="P603" s="6"/>
      <c r="Q603" s="128"/>
      <c r="R603" s="6"/>
      <c r="S603" s="6"/>
      <c r="T603" s="6"/>
      <c r="U603" s="6"/>
      <c r="V603" s="6"/>
      <c r="W603" s="6"/>
      <c r="X603" s="6"/>
      <c r="Y603" s="6"/>
      <c r="Z603" s="6"/>
      <c r="AA603" s="6"/>
      <c r="AB603" s="6"/>
    </row>
    <row r="604" spans="1:30" ht="13" x14ac:dyDescent="0.3">
      <c r="A604" t="str">
        <v>Annual OT CH4 emissions</v>
      </c>
      <c r="C604" s="90">
        <v>49.15382164311815</v>
      </c>
      <c r="D604" s="90">
        <v>40.909284770877328</v>
      </c>
      <c r="E604" s="90">
        <v>36.104699678289819</v>
      </c>
      <c r="F604" s="90">
        <v>29.036423344312436</v>
      </c>
      <c r="G604" s="90">
        <v>23.476281955436271</v>
      </c>
      <c r="H604" s="90">
        <v>18.983067459237372</v>
      </c>
      <c r="I604" s="130">
        <v>18.983067459237372</v>
      </c>
      <c r="J604" s="130">
        <v>18.983067459237372</v>
      </c>
      <c r="K604" s="130">
        <v>18.983067459237372</v>
      </c>
      <c r="L604" s="130">
        <v>18.983067459237372</v>
      </c>
      <c r="M604" s="3" t="s">
        <v>482</v>
      </c>
      <c r="P604" s="6"/>
      <c r="Q604" s="128"/>
      <c r="R604" s="6"/>
      <c r="S604" s="6"/>
      <c r="T604" s="6"/>
      <c r="U604" s="6"/>
      <c r="V604" s="6"/>
      <c r="W604" s="6"/>
      <c r="X604" s="6"/>
      <c r="Y604" s="6"/>
      <c r="Z604" s="6"/>
      <c r="AA604" s="6"/>
      <c r="AB604" s="6"/>
    </row>
    <row r="605" spans="1:30" ht="13" x14ac:dyDescent="0.3">
      <c r="A605" t="str">
        <v>Annual EE CH4 emissions</v>
      </c>
      <c r="C605" s="90">
        <v>54.414650584156213</v>
      </c>
      <c r="D605" s="90">
        <v>45.006460918664814</v>
      </c>
      <c r="E605" s="90">
        <v>40.252002334851781</v>
      </c>
      <c r="F605" s="90">
        <v>31.731037729992813</v>
      </c>
      <c r="G605" s="90">
        <v>27.998865855860775</v>
      </c>
      <c r="H605" s="90">
        <v>26.211362976748514</v>
      </c>
      <c r="I605" s="130">
        <v>26.211362976748514</v>
      </c>
      <c r="J605" s="130">
        <v>26.211362976748514</v>
      </c>
      <c r="K605" s="130">
        <v>26.211362976748514</v>
      </c>
      <c r="L605" s="130">
        <v>26.211362976748514</v>
      </c>
      <c r="M605" s="3" t="s">
        <v>482</v>
      </c>
      <c r="P605" s="6"/>
      <c r="Q605" s="128"/>
      <c r="R605" s="6"/>
      <c r="S605" s="6"/>
      <c r="T605" s="6"/>
      <c r="U605" s="6"/>
      <c r="V605" s="6"/>
      <c r="W605" s="6"/>
      <c r="X605" s="6"/>
      <c r="Y605" s="6"/>
      <c r="Z605" s="6"/>
      <c r="AA605" s="6"/>
      <c r="AB605" s="6"/>
    </row>
    <row r="606" spans="1:30" ht="13" x14ac:dyDescent="0.3">
      <c r="A606" t="str">
        <v>Annual CA CH4 emissions</v>
      </c>
      <c r="C606" s="90">
        <v>84.66172821973106</v>
      </c>
      <c r="D606" s="90">
        <v>75.796177029460381</v>
      </c>
      <c r="E606" s="90">
        <v>68.148934598496552</v>
      </c>
      <c r="F606" s="90">
        <v>54.036072765136637</v>
      </c>
      <c r="G606" s="90">
        <v>41.875181533144833</v>
      </c>
      <c r="H606" s="90">
        <v>35.244611404312941</v>
      </c>
      <c r="I606" s="130">
        <v>35.244611404312941</v>
      </c>
      <c r="J606" s="130">
        <v>35.244611404312941</v>
      </c>
      <c r="K606" s="130">
        <v>35.244611404312941</v>
      </c>
      <c r="L606" s="130">
        <v>35.244611404312941</v>
      </c>
      <c r="M606" s="3" t="s">
        <v>482</v>
      </c>
      <c r="P606" s="6"/>
      <c r="Q606" s="128"/>
      <c r="R606" s="6"/>
      <c r="S606" s="6"/>
      <c r="T606" s="6"/>
      <c r="U606" s="6"/>
      <c r="V606" s="6"/>
      <c r="W606" s="6"/>
      <c r="X606" s="6"/>
      <c r="Y606" s="6"/>
      <c r="Z606" s="6"/>
      <c r="AA606" s="6"/>
      <c r="AB606" s="6"/>
    </row>
    <row r="607" spans="1:30" ht="13" x14ac:dyDescent="0.3">
      <c r="A607" t="str">
        <v>Annual IA CH4 emissions</v>
      </c>
      <c r="C607" s="90">
        <v>84.66172821973106</v>
      </c>
      <c r="D607" s="90">
        <v>75.796177029460381</v>
      </c>
      <c r="E607" s="90">
        <v>68.148934598496552</v>
      </c>
      <c r="F607" s="90">
        <v>54.036072765136637</v>
      </c>
      <c r="G607" s="90">
        <v>41.875181533144833</v>
      </c>
      <c r="H607" s="90">
        <v>35.244611404312941</v>
      </c>
      <c r="I607" s="130">
        <v>35.244611404312941</v>
      </c>
      <c r="J607" s="130">
        <v>35.244611404312941</v>
      </c>
      <c r="K607" s="130">
        <v>35.244611404312941</v>
      </c>
      <c r="L607" s="130">
        <v>35.244611404312941</v>
      </c>
      <c r="M607" s="3" t="s">
        <v>482</v>
      </c>
      <c r="P607" s="6"/>
      <c r="Q607" s="128"/>
      <c r="R607" s="6"/>
      <c r="S607" s="6"/>
      <c r="T607" s="6"/>
      <c r="U607" s="6"/>
      <c r="V607" s="6"/>
      <c r="W607" s="6"/>
      <c r="X607" s="6"/>
      <c r="Y607" s="6"/>
      <c r="Z607" s="6"/>
      <c r="AA607" s="6"/>
      <c r="AB607" s="6"/>
    </row>
    <row r="608" spans="1:30" ht="13" x14ac:dyDescent="0.3">
      <c r="A608" t="str">
        <v>Annual AF CH4 emissions</v>
      </c>
      <c r="C608" s="90">
        <v>74.340673493013071</v>
      </c>
      <c r="D608" s="90">
        <v>73.193387082230842</v>
      </c>
      <c r="E608" s="90">
        <v>77.297717201042403</v>
      </c>
      <c r="F608" s="90">
        <v>68.017494665250936</v>
      </c>
      <c r="G608" s="90">
        <v>49.489263561361454</v>
      </c>
      <c r="H608" s="90">
        <v>42.18003363203011</v>
      </c>
      <c r="I608" s="130">
        <v>42.18003363203011</v>
      </c>
      <c r="J608" s="130">
        <v>42.18003363203011</v>
      </c>
      <c r="K608" s="130">
        <v>42.18003363203011</v>
      </c>
      <c r="L608" s="130">
        <v>42.18003363203011</v>
      </c>
      <c r="M608" s="3" t="s">
        <v>482</v>
      </c>
      <c r="P608" s="6"/>
      <c r="Q608" s="128"/>
      <c r="R608" s="6"/>
      <c r="S608" s="6"/>
      <c r="T608" s="6"/>
      <c r="U608" s="6"/>
      <c r="V608" s="6"/>
      <c r="W608" s="6"/>
      <c r="X608" s="6"/>
      <c r="Y608" s="6"/>
      <c r="Z608" s="6"/>
      <c r="AA608" s="6"/>
      <c r="AB608" s="6"/>
    </row>
    <row r="609" spans="1:28" ht="13" x14ac:dyDescent="0.3">
      <c r="A609" t="str">
        <v>Annual LA CH4 emissions</v>
      </c>
      <c r="C609" s="90">
        <v>67.217171481575392</v>
      </c>
      <c r="D609" s="90">
        <v>61.199933648313262</v>
      </c>
      <c r="E609" s="90">
        <v>58.193840327234419</v>
      </c>
      <c r="F609" s="90">
        <v>50.300440012835502</v>
      </c>
      <c r="G609" s="90">
        <v>42.694641352569121</v>
      </c>
      <c r="H609" s="90">
        <v>35.450199293178478</v>
      </c>
      <c r="I609" s="130">
        <v>35.450199293178478</v>
      </c>
      <c r="J609" s="130">
        <v>35.450199293178478</v>
      </c>
      <c r="K609" s="130">
        <v>35.450199293178478</v>
      </c>
      <c r="L609" s="130">
        <v>35.450199293178478</v>
      </c>
      <c r="M609" s="3" t="s">
        <v>482</v>
      </c>
      <c r="P609" s="6"/>
      <c r="Q609" s="128"/>
      <c r="R609" s="6"/>
      <c r="S609" s="6"/>
      <c r="T609" s="6"/>
      <c r="U609" s="6"/>
      <c r="V609" s="6"/>
      <c r="W609" s="6"/>
      <c r="X609" s="6"/>
      <c r="Y609" s="6"/>
      <c r="Z609" s="6"/>
      <c r="AA609" s="6"/>
      <c r="AB609" s="6"/>
    </row>
    <row r="610" spans="1:28" ht="13" x14ac:dyDescent="0.3">
      <c r="C610" s="4"/>
      <c r="D610" s="4"/>
      <c r="E610" s="4"/>
      <c r="F610" s="4"/>
      <c r="G610" s="4"/>
      <c r="H610" s="4"/>
      <c r="I610" s="4"/>
      <c r="J610" s="4"/>
      <c r="K610" s="4"/>
      <c r="L610" s="4"/>
      <c r="M610" s="3"/>
      <c r="P610" s="6"/>
      <c r="Q610" s="128"/>
      <c r="R610" s="6"/>
      <c r="S610" s="6"/>
      <c r="T610" s="6"/>
      <c r="U610" s="6"/>
      <c r="V610" s="6"/>
      <c r="W610" s="6"/>
      <c r="X610" s="6"/>
      <c r="Y610" s="6"/>
      <c r="Z610" s="6"/>
      <c r="AA610" s="6"/>
      <c r="AB610" s="6"/>
    </row>
    <row r="611" spans="1:28" ht="13" x14ac:dyDescent="0.3">
      <c r="A611" t="str">
        <f t="array" ref="A611:A618">"Annual "&amp;R_CODE&amp;" "&amp;'Base data'!$D$12&amp;" emissions"</f>
        <v>Annual EU N2O emissions</v>
      </c>
      <c r="C611" s="90">
        <f t="array" ref="C611:L618">RCP26_N2O * EXTRA_ABATE_FACTOR_COMPOUND</f>
        <v>77.575259852913533</v>
      </c>
      <c r="D611" s="90">
        <v>74.441086090490487</v>
      </c>
      <c r="E611" s="90">
        <v>69.991813074395296</v>
      </c>
      <c r="F611" s="90">
        <v>61.570832963290655</v>
      </c>
      <c r="G611" s="90">
        <v>49.898754307615079</v>
      </c>
      <c r="H611" s="90">
        <v>40.684353442409197</v>
      </c>
      <c r="I611" s="130">
        <v>40.684353442409197</v>
      </c>
      <c r="J611" s="130">
        <v>40.684353442409197</v>
      </c>
      <c r="K611" s="130">
        <v>40.684353442409197</v>
      </c>
      <c r="L611" s="130">
        <v>40.684353442409197</v>
      </c>
      <c r="M611" s="3" t="s">
        <v>482</v>
      </c>
      <c r="P611" s="6"/>
      <c r="Q611" s="128"/>
      <c r="R611" s="6"/>
      <c r="S611" s="6"/>
      <c r="T611" s="6"/>
      <c r="U611" s="6"/>
      <c r="V611" s="6"/>
      <c r="W611" s="6"/>
      <c r="X611" s="6"/>
      <c r="Y611" s="6"/>
      <c r="Z611" s="6"/>
      <c r="AA611" s="6"/>
      <c r="AB611" s="6"/>
    </row>
    <row r="612" spans="1:28" ht="13" x14ac:dyDescent="0.3">
      <c r="A612" t="str">
        <v>Annual US N2O emissions</v>
      </c>
      <c r="C612" s="90">
        <v>77.575259852913533</v>
      </c>
      <c r="D612" s="90">
        <v>74.441086090490487</v>
      </c>
      <c r="E612" s="90">
        <v>69.991813074395296</v>
      </c>
      <c r="F612" s="90">
        <v>61.570832963290655</v>
      </c>
      <c r="G612" s="90">
        <v>49.898754307615079</v>
      </c>
      <c r="H612" s="90">
        <v>40.684353442409197</v>
      </c>
      <c r="I612" s="130">
        <v>40.684353442409197</v>
      </c>
      <c r="J612" s="130">
        <v>40.684353442409197</v>
      </c>
      <c r="K612" s="130">
        <v>40.684353442409197</v>
      </c>
      <c r="L612" s="130">
        <v>40.684353442409197</v>
      </c>
      <c r="M612" s="3" t="s">
        <v>482</v>
      </c>
      <c r="P612" s="6"/>
      <c r="Q612" s="128"/>
      <c r="R612" s="6"/>
      <c r="S612" s="6"/>
      <c r="T612" s="6"/>
      <c r="U612" s="6"/>
      <c r="V612" s="6"/>
      <c r="W612" s="6"/>
      <c r="X612" s="6"/>
      <c r="Y612" s="6"/>
      <c r="Z612" s="6"/>
      <c r="AA612" s="6"/>
      <c r="AB612" s="6"/>
    </row>
    <row r="613" spans="1:28" ht="13" x14ac:dyDescent="0.3">
      <c r="A613" t="str">
        <v>Annual OT N2O emissions</v>
      </c>
      <c r="C613" s="90">
        <v>77.575259852913533</v>
      </c>
      <c r="D613" s="90">
        <v>74.441086090490487</v>
      </c>
      <c r="E613" s="90">
        <v>69.991813074395296</v>
      </c>
      <c r="F613" s="90">
        <v>61.570832963290655</v>
      </c>
      <c r="G613" s="90">
        <v>49.898754307615079</v>
      </c>
      <c r="H613" s="90">
        <v>40.684353442409197</v>
      </c>
      <c r="I613" s="130">
        <v>40.684353442409197</v>
      </c>
      <c r="J613" s="130">
        <v>40.684353442409197</v>
      </c>
      <c r="K613" s="130">
        <v>40.684353442409197</v>
      </c>
      <c r="L613" s="130">
        <v>40.684353442409197</v>
      </c>
      <c r="M613" s="3" t="s">
        <v>482</v>
      </c>
      <c r="P613" s="6"/>
      <c r="Q613" s="128"/>
      <c r="R613" s="6"/>
      <c r="S613" s="6"/>
      <c r="T613" s="6"/>
      <c r="U613" s="6"/>
      <c r="V613" s="6"/>
      <c r="W613" s="6"/>
      <c r="X613" s="6"/>
      <c r="Y613" s="6"/>
      <c r="Z613" s="6"/>
      <c r="AA613" s="6"/>
      <c r="AB613" s="6"/>
    </row>
    <row r="614" spans="1:28" ht="13" x14ac:dyDescent="0.3">
      <c r="A614" t="str">
        <v>Annual EE N2O emissions</v>
      </c>
      <c r="C614" s="90">
        <v>132.09229913647778</v>
      </c>
      <c r="D614" s="90">
        <v>128.6930488988811</v>
      </c>
      <c r="E614" s="90">
        <v>126.15024349435053</v>
      </c>
      <c r="F614" s="90">
        <v>121.53522878787858</v>
      </c>
      <c r="G614" s="90">
        <v>124.17055819800201</v>
      </c>
      <c r="H614" s="90">
        <v>122.0333837781171</v>
      </c>
      <c r="I614" s="130">
        <v>122.0333837781171</v>
      </c>
      <c r="J614" s="130">
        <v>122.0333837781171</v>
      </c>
      <c r="K614" s="130">
        <v>122.0333837781171</v>
      </c>
      <c r="L614" s="130">
        <v>122.0333837781171</v>
      </c>
      <c r="M614" s="3" t="s">
        <v>482</v>
      </c>
      <c r="P614" s="6"/>
      <c r="Q614" s="128"/>
      <c r="R614" s="6"/>
      <c r="S614" s="6"/>
      <c r="T614" s="6"/>
      <c r="U614" s="6"/>
      <c r="V614" s="6"/>
      <c r="W614" s="6"/>
      <c r="X614" s="6"/>
      <c r="Y614" s="6"/>
      <c r="Z614" s="6"/>
      <c r="AA614" s="6"/>
      <c r="AB614" s="6"/>
    </row>
    <row r="615" spans="1:28" ht="13" x14ac:dyDescent="0.3">
      <c r="A615" t="str">
        <v>Annual CA N2O emissions</v>
      </c>
      <c r="C615" s="90">
        <v>130.97661461205334</v>
      </c>
      <c r="D615" s="90">
        <v>127.68411397282313</v>
      </c>
      <c r="E615" s="90">
        <v>123.66425589612693</v>
      </c>
      <c r="F615" s="90">
        <v>105.70142820568108</v>
      </c>
      <c r="G615" s="90">
        <v>94.67469232965739</v>
      </c>
      <c r="H615" s="90">
        <v>85.357398334323818</v>
      </c>
      <c r="I615" s="130">
        <v>85.357398334323818</v>
      </c>
      <c r="J615" s="130">
        <v>85.357398334323818</v>
      </c>
      <c r="K615" s="130">
        <v>85.357398334323818</v>
      </c>
      <c r="L615" s="130">
        <v>85.357398334323818</v>
      </c>
      <c r="M615" s="3" t="s">
        <v>482</v>
      </c>
      <c r="P615" s="6"/>
      <c r="Q615" s="128"/>
      <c r="R615" s="6"/>
      <c r="S615" s="6"/>
      <c r="T615" s="6"/>
      <c r="U615" s="6"/>
      <c r="V615" s="6"/>
      <c r="W615" s="6"/>
      <c r="X615" s="6"/>
      <c r="Y615" s="6"/>
      <c r="Z615" s="6"/>
      <c r="AA615" s="6"/>
      <c r="AB615" s="6"/>
    </row>
    <row r="616" spans="1:28" ht="13" x14ac:dyDescent="0.3">
      <c r="A616" t="str">
        <v>Annual IA N2O emissions</v>
      </c>
      <c r="C616" s="90">
        <v>130.97661461205334</v>
      </c>
      <c r="D616" s="90">
        <v>127.68411397282313</v>
      </c>
      <c r="E616" s="90">
        <v>123.66425589612693</v>
      </c>
      <c r="F616" s="90">
        <v>105.70142820568108</v>
      </c>
      <c r="G616" s="90">
        <v>94.67469232965739</v>
      </c>
      <c r="H616" s="90">
        <v>85.357398334323818</v>
      </c>
      <c r="I616" s="130">
        <v>85.357398334323818</v>
      </c>
      <c r="J616" s="130">
        <v>85.357398334323818</v>
      </c>
      <c r="K616" s="130">
        <v>85.357398334323818</v>
      </c>
      <c r="L616" s="130">
        <v>85.357398334323818</v>
      </c>
      <c r="M616" s="3" t="s">
        <v>482</v>
      </c>
      <c r="P616" s="6"/>
      <c r="Q616" s="128"/>
      <c r="R616" s="6"/>
      <c r="S616" s="6"/>
      <c r="T616" s="6"/>
      <c r="U616" s="6"/>
      <c r="V616" s="6"/>
      <c r="W616" s="6"/>
      <c r="X616" s="6"/>
      <c r="Y616" s="6"/>
      <c r="Z616" s="6"/>
      <c r="AA616" s="6"/>
      <c r="AB616" s="6"/>
    </row>
    <row r="617" spans="1:28" ht="13" x14ac:dyDescent="0.3">
      <c r="A617" t="str">
        <v>Annual AF N2O emissions</v>
      </c>
      <c r="C617" s="90">
        <v>104.79399303614998</v>
      </c>
      <c r="D617" s="90">
        <v>102.74334385124514</v>
      </c>
      <c r="E617" s="90">
        <v>97.661969078227997</v>
      </c>
      <c r="F617" s="90">
        <v>78.217843941371086</v>
      </c>
      <c r="G617" s="90">
        <v>64.649114682931327</v>
      </c>
      <c r="H617" s="90">
        <v>54.493971203686293</v>
      </c>
      <c r="I617" s="130">
        <v>54.493971203686293</v>
      </c>
      <c r="J617" s="130">
        <v>54.493971203686293</v>
      </c>
      <c r="K617" s="130">
        <v>54.493971203686293</v>
      </c>
      <c r="L617" s="130">
        <v>54.493971203686293</v>
      </c>
      <c r="M617" s="3" t="s">
        <v>482</v>
      </c>
      <c r="P617" s="6"/>
      <c r="Q617" s="128"/>
      <c r="R617" s="6"/>
      <c r="S617" s="6"/>
      <c r="T617" s="6"/>
      <c r="U617" s="6"/>
      <c r="V617" s="6"/>
      <c r="W617" s="6"/>
      <c r="X617" s="6"/>
      <c r="Y617" s="6"/>
      <c r="Z617" s="6"/>
      <c r="AA617" s="6"/>
      <c r="AB617" s="6"/>
    </row>
    <row r="618" spans="1:28" ht="13" x14ac:dyDescent="0.3">
      <c r="A618" t="str">
        <v>Annual LA N2O emissions</v>
      </c>
      <c r="C618" s="90">
        <v>97.648618195415906</v>
      </c>
      <c r="D618" s="90">
        <v>92.682077083503387</v>
      </c>
      <c r="E618" s="90">
        <v>89.340016336347105</v>
      </c>
      <c r="F618" s="90">
        <v>72.522034920034329</v>
      </c>
      <c r="G618" s="90">
        <v>56.657403754948383</v>
      </c>
      <c r="H618" s="90">
        <v>49.457857065335929</v>
      </c>
      <c r="I618" s="130">
        <v>49.457857065335929</v>
      </c>
      <c r="J618" s="130">
        <v>49.457857065335929</v>
      </c>
      <c r="K618" s="130">
        <v>49.457857065335929</v>
      </c>
      <c r="L618" s="130">
        <v>49.457857065335929</v>
      </c>
      <c r="M618" s="3" t="s">
        <v>482</v>
      </c>
      <c r="P618" s="6"/>
      <c r="Q618" s="128"/>
      <c r="R618" s="6"/>
      <c r="S618" s="6"/>
      <c r="T618" s="6"/>
      <c r="U618" s="6"/>
      <c r="V618" s="6"/>
      <c r="W618" s="6"/>
      <c r="X618" s="6"/>
      <c r="Y618" s="6"/>
      <c r="Z618" s="6"/>
      <c r="AA618" s="6"/>
      <c r="AB618" s="6"/>
    </row>
    <row r="619" spans="1:28" ht="13" x14ac:dyDescent="0.3">
      <c r="C619" s="4"/>
      <c r="D619" s="4"/>
      <c r="E619" s="4"/>
      <c r="F619" s="4"/>
      <c r="G619" s="4"/>
      <c r="H619" s="4"/>
      <c r="I619" s="4"/>
      <c r="J619" s="4"/>
      <c r="K619" s="4"/>
      <c r="L619" s="4"/>
      <c r="M619" s="3"/>
      <c r="Q619" s="128"/>
    </row>
    <row r="620" spans="1:28" ht="13" x14ac:dyDescent="0.3">
      <c r="A620" t="str">
        <f t="array" ref="A620:A627">"Annual "&amp;R_CODE&amp;" "&amp;'Base data'!$E$12&amp;" emissions"</f>
        <v>Annual EU Lin emissions</v>
      </c>
      <c r="C620" s="90">
        <f t="array" ref="C620:L627">RCP26_Lin * EXTRA_ABATE_FACTOR_COMPOUND</f>
        <v>90</v>
      </c>
      <c r="D620" s="90">
        <v>63.445162461324443</v>
      </c>
      <c r="E620" s="90">
        <v>42.872896754668247</v>
      </c>
      <c r="F620" s="90">
        <v>18.598823246410369</v>
      </c>
      <c r="G620" s="90">
        <v>17.506460976166725</v>
      </c>
      <c r="H620" s="90">
        <v>16.47825627727277</v>
      </c>
      <c r="I620" s="130">
        <v>16.47825627727277</v>
      </c>
      <c r="J620" s="130">
        <v>16.47825627727277</v>
      </c>
      <c r="K620" s="130">
        <v>16.47825627727277</v>
      </c>
      <c r="L620" s="130">
        <v>16.47825627727277</v>
      </c>
      <c r="M620" s="3" t="s">
        <v>482</v>
      </c>
      <c r="Q620" s="128"/>
    </row>
    <row r="621" spans="1:28" ht="13" x14ac:dyDescent="0.3">
      <c r="A621" t="str">
        <v>Annual US Lin emissions</v>
      </c>
      <c r="C621" s="90">
        <v>90</v>
      </c>
      <c r="D621" s="90">
        <v>63.445162461324443</v>
      </c>
      <c r="E621" s="90">
        <v>42.872896754668247</v>
      </c>
      <c r="F621" s="90">
        <v>18.598823246410369</v>
      </c>
      <c r="G621" s="90">
        <v>17.506460976166725</v>
      </c>
      <c r="H621" s="90">
        <v>16.47825627727277</v>
      </c>
      <c r="I621" s="130">
        <v>16.47825627727277</v>
      </c>
      <c r="J621" s="130">
        <v>16.47825627727277</v>
      </c>
      <c r="K621" s="130">
        <v>16.47825627727277</v>
      </c>
      <c r="L621" s="130">
        <v>16.47825627727277</v>
      </c>
      <c r="M621" s="3" t="s">
        <v>482</v>
      </c>
      <c r="Q621" s="128"/>
    </row>
    <row r="622" spans="1:28" ht="13" x14ac:dyDescent="0.3">
      <c r="A622" t="str">
        <v>Annual OT Lin emissions</v>
      </c>
      <c r="C622" s="90">
        <v>90</v>
      </c>
      <c r="D622" s="90">
        <v>63.445162461324443</v>
      </c>
      <c r="E622" s="90">
        <v>42.872896754668247</v>
      </c>
      <c r="F622" s="90">
        <v>18.598823246410369</v>
      </c>
      <c r="G622" s="90">
        <v>17.506460976166725</v>
      </c>
      <c r="H622" s="90">
        <v>16.47825627727277</v>
      </c>
      <c r="I622" s="130">
        <v>16.47825627727277</v>
      </c>
      <c r="J622" s="130">
        <v>16.47825627727277</v>
      </c>
      <c r="K622" s="130">
        <v>16.47825627727277</v>
      </c>
      <c r="L622" s="130">
        <v>16.47825627727277</v>
      </c>
      <c r="M622" s="3" t="s">
        <v>482</v>
      </c>
      <c r="Q622" s="124"/>
    </row>
    <row r="623" spans="1:28" ht="13" x14ac:dyDescent="0.3">
      <c r="A623" t="str">
        <v>Annual EE Lin emissions</v>
      </c>
      <c r="C623" s="90">
        <v>90</v>
      </c>
      <c r="D623" s="90">
        <v>63.445162461324443</v>
      </c>
      <c r="E623" s="90">
        <v>42.872896754668247</v>
      </c>
      <c r="F623" s="90">
        <v>18.598823246410369</v>
      </c>
      <c r="G623" s="90">
        <v>17.506460976166725</v>
      </c>
      <c r="H623" s="90">
        <v>16.47825627727277</v>
      </c>
      <c r="I623" s="130">
        <v>16.47825627727277</v>
      </c>
      <c r="J623" s="130">
        <v>16.47825627727277</v>
      </c>
      <c r="K623" s="130">
        <v>16.47825627727277</v>
      </c>
      <c r="L623" s="130">
        <v>16.47825627727277</v>
      </c>
      <c r="M623" s="3" t="s">
        <v>482</v>
      </c>
      <c r="Q623" s="124"/>
    </row>
    <row r="624" spans="1:28" ht="13" x14ac:dyDescent="0.3">
      <c r="A624" t="str">
        <v>Annual CA Lin emissions</v>
      </c>
      <c r="C624" s="90">
        <v>90</v>
      </c>
      <c r="D624" s="90">
        <v>63.445162461324443</v>
      </c>
      <c r="E624" s="90">
        <v>42.872896754668247</v>
      </c>
      <c r="F624" s="90">
        <v>18.598823246410369</v>
      </c>
      <c r="G624" s="90">
        <v>17.506460976166725</v>
      </c>
      <c r="H624" s="90">
        <v>16.47825627727277</v>
      </c>
      <c r="I624" s="130">
        <v>16.47825627727277</v>
      </c>
      <c r="J624" s="130">
        <v>16.47825627727277</v>
      </c>
      <c r="K624" s="130">
        <v>16.47825627727277</v>
      </c>
      <c r="L624" s="130">
        <v>16.47825627727277</v>
      </c>
      <c r="M624" s="3" t="s">
        <v>482</v>
      </c>
      <c r="Q624" s="124"/>
    </row>
    <row r="625" spans="1:17" ht="13" x14ac:dyDescent="0.3">
      <c r="A625" t="str">
        <v>Annual IA Lin emissions</v>
      </c>
      <c r="C625" s="90">
        <v>90</v>
      </c>
      <c r="D625" s="90">
        <v>63.445162461324443</v>
      </c>
      <c r="E625" s="90">
        <v>42.872896754668247</v>
      </c>
      <c r="F625" s="90">
        <v>18.598823246410369</v>
      </c>
      <c r="G625" s="90">
        <v>17.506460976166725</v>
      </c>
      <c r="H625" s="90">
        <v>16.47825627727277</v>
      </c>
      <c r="I625" s="130">
        <v>16.47825627727277</v>
      </c>
      <c r="J625" s="130">
        <v>16.47825627727277</v>
      </c>
      <c r="K625" s="130">
        <v>16.47825627727277</v>
      </c>
      <c r="L625" s="130">
        <v>16.47825627727277</v>
      </c>
      <c r="M625" s="3" t="s">
        <v>482</v>
      </c>
      <c r="Q625" s="124"/>
    </row>
    <row r="626" spans="1:17" ht="13" x14ac:dyDescent="0.3">
      <c r="A626" t="str">
        <v>Annual AF Lin emissions</v>
      </c>
      <c r="C626" s="90">
        <v>90</v>
      </c>
      <c r="D626" s="90">
        <v>63.445162461324443</v>
      </c>
      <c r="E626" s="90">
        <v>42.872896754668247</v>
      </c>
      <c r="F626" s="90">
        <v>18.598823246410369</v>
      </c>
      <c r="G626" s="90">
        <v>17.506460976166725</v>
      </c>
      <c r="H626" s="90">
        <v>16.47825627727277</v>
      </c>
      <c r="I626" s="130">
        <v>16.47825627727277</v>
      </c>
      <c r="J626" s="130">
        <v>16.47825627727277</v>
      </c>
      <c r="K626" s="130">
        <v>16.47825627727277</v>
      </c>
      <c r="L626" s="130">
        <v>16.47825627727277</v>
      </c>
      <c r="M626" s="3" t="s">
        <v>482</v>
      </c>
      <c r="Q626" s="124"/>
    </row>
    <row r="627" spans="1:17" ht="13" x14ac:dyDescent="0.3">
      <c r="A627" t="str">
        <v>Annual LA Lin emissions</v>
      </c>
      <c r="C627" s="90">
        <v>90</v>
      </c>
      <c r="D627" s="90">
        <v>63.445162461324443</v>
      </c>
      <c r="E627" s="90">
        <v>42.872896754668247</v>
      </c>
      <c r="F627" s="90">
        <v>18.598823246410369</v>
      </c>
      <c r="G627" s="90">
        <v>17.506460976166725</v>
      </c>
      <c r="H627" s="90">
        <v>16.47825627727277</v>
      </c>
      <c r="I627" s="130">
        <v>16.47825627727277</v>
      </c>
      <c r="J627" s="130">
        <v>16.47825627727277</v>
      </c>
      <c r="K627" s="130">
        <v>16.47825627727277</v>
      </c>
      <c r="L627" s="130">
        <v>16.47825627727277</v>
      </c>
      <c r="M627" s="3" t="s">
        <v>482</v>
      </c>
      <c r="Q627" s="124"/>
    </row>
    <row r="628" spans="1:17" ht="13" x14ac:dyDescent="0.3">
      <c r="C628" s="4"/>
      <c r="D628" s="4"/>
      <c r="E628" s="4"/>
      <c r="F628" s="4"/>
      <c r="G628" s="4"/>
      <c r="H628" s="4"/>
      <c r="I628" s="4"/>
      <c r="J628" s="4"/>
      <c r="K628" s="4"/>
      <c r="L628" s="4"/>
      <c r="M628" s="3"/>
      <c r="Q628" s="128"/>
    </row>
    <row r="629" spans="1:17" ht="13" x14ac:dyDescent="0.3">
      <c r="A629" t="str">
        <f t="array" ref="A629:A636">"Annual "&amp;R_CODE&amp;" sulphates"</f>
        <v>Annual EU sulphates</v>
      </c>
      <c r="C629" s="90">
        <f t="array" ref="C629:L636">RCP26_sulph * EXTRA_ABATE_FACTOR_COMPOUND</f>
        <v>50.624277766564255</v>
      </c>
      <c r="D629" s="90">
        <v>23.25503219421336</v>
      </c>
      <c r="E629" s="90">
        <v>11.333740520958859</v>
      </c>
      <c r="F629" s="90">
        <v>8.10776015098293</v>
      </c>
      <c r="G629" s="90">
        <v>5.2934476813944977</v>
      </c>
      <c r="H629" s="90">
        <v>4.2914299276360275</v>
      </c>
      <c r="I629" s="130">
        <v>4.2914299276360275</v>
      </c>
      <c r="J629" s="130">
        <v>4.2914299276360275</v>
      </c>
      <c r="K629" s="130">
        <v>4.2914299276360275</v>
      </c>
      <c r="L629" s="130">
        <v>4.2914299276360275</v>
      </c>
      <c r="M629" s="3" t="s">
        <v>482</v>
      </c>
      <c r="Q629" s="128"/>
    </row>
    <row r="630" spans="1:17" ht="13" x14ac:dyDescent="0.3">
      <c r="A630" t="str">
        <v>Annual US sulphates</v>
      </c>
      <c r="C630" s="90">
        <v>50.624277766564255</v>
      </c>
      <c r="D630" s="90">
        <v>23.25503219421336</v>
      </c>
      <c r="E630" s="90">
        <v>11.333740520958859</v>
      </c>
      <c r="F630" s="90">
        <v>8.10776015098293</v>
      </c>
      <c r="G630" s="90">
        <v>5.2934476813944977</v>
      </c>
      <c r="H630" s="90">
        <v>4.2914299276360275</v>
      </c>
      <c r="I630" s="130">
        <v>4.2914299276360275</v>
      </c>
      <c r="J630" s="130">
        <v>4.2914299276360275</v>
      </c>
      <c r="K630" s="130">
        <v>4.2914299276360275</v>
      </c>
      <c r="L630" s="130">
        <v>4.2914299276360275</v>
      </c>
      <c r="M630" s="3" t="s">
        <v>482</v>
      </c>
      <c r="Q630" s="128"/>
    </row>
    <row r="631" spans="1:17" ht="13" x14ac:dyDescent="0.3">
      <c r="A631" t="str">
        <v>Annual OT sulphates</v>
      </c>
      <c r="C631" s="90">
        <v>50.624277766564255</v>
      </c>
      <c r="D631" s="90">
        <v>23.25503219421336</v>
      </c>
      <c r="E631" s="90">
        <v>11.333740520958859</v>
      </c>
      <c r="F631" s="90">
        <v>8.10776015098293</v>
      </c>
      <c r="G631" s="90">
        <v>5.2934476813944977</v>
      </c>
      <c r="H631" s="90">
        <v>4.2914299276360275</v>
      </c>
      <c r="I631" s="130">
        <v>4.2914299276360275</v>
      </c>
      <c r="J631" s="130">
        <v>4.2914299276360275</v>
      </c>
      <c r="K631" s="130">
        <v>4.2914299276360275</v>
      </c>
      <c r="L631" s="130">
        <v>4.2914299276360275</v>
      </c>
      <c r="M631" s="3" t="s">
        <v>482</v>
      </c>
      <c r="Q631" s="124"/>
    </row>
    <row r="632" spans="1:17" ht="13" x14ac:dyDescent="0.3">
      <c r="A632" t="str">
        <v>Annual EE sulphates</v>
      </c>
      <c r="C632" s="90">
        <v>32.799379775035852</v>
      </c>
      <c r="D632" s="90">
        <v>16.239573837147116</v>
      </c>
      <c r="E632" s="90">
        <v>11.300970415245956</v>
      </c>
      <c r="F632" s="90">
        <v>7.5962732873307059</v>
      </c>
      <c r="G632" s="90">
        <v>3.0614882902988074</v>
      </c>
      <c r="H632" s="90">
        <v>2.5437029347407822</v>
      </c>
      <c r="I632" s="130">
        <v>2.5437029347407822</v>
      </c>
      <c r="J632" s="130">
        <v>2.5437029347407822</v>
      </c>
      <c r="K632" s="130">
        <v>2.5437029347407822</v>
      </c>
      <c r="L632" s="130">
        <v>2.5437029347407822</v>
      </c>
      <c r="M632" s="3" t="s">
        <v>482</v>
      </c>
      <c r="Q632" s="124"/>
    </row>
    <row r="633" spans="1:17" ht="13" x14ac:dyDescent="0.3">
      <c r="A633" t="str">
        <v>Annual CA sulphates</v>
      </c>
      <c r="C633" s="90">
        <v>56.778724716616011</v>
      </c>
      <c r="D633" s="90">
        <v>37.835492462592178</v>
      </c>
      <c r="E633" s="90">
        <v>21.515667703138934</v>
      </c>
      <c r="F633" s="90">
        <v>15.017463227067228</v>
      </c>
      <c r="G633" s="90">
        <v>8.4748570386041084</v>
      </c>
      <c r="H633" s="90">
        <v>3.7642250966922952</v>
      </c>
      <c r="I633" s="130">
        <v>3.7642250966922952</v>
      </c>
      <c r="J633" s="130">
        <v>3.7642250966922952</v>
      </c>
      <c r="K633" s="130">
        <v>3.7642250966922952</v>
      </c>
      <c r="L633" s="130">
        <v>3.7642250966922952</v>
      </c>
      <c r="M633" s="3" t="s">
        <v>482</v>
      </c>
      <c r="Q633" s="124"/>
    </row>
    <row r="634" spans="1:17" ht="13" x14ac:dyDescent="0.3">
      <c r="A634" t="str">
        <v>Annual IA sulphates</v>
      </c>
      <c r="C634" s="90">
        <v>56.778724716616011</v>
      </c>
      <c r="D634" s="90">
        <v>37.835492462592178</v>
      </c>
      <c r="E634" s="90">
        <v>21.515667703138934</v>
      </c>
      <c r="F634" s="90">
        <v>15.017463227067228</v>
      </c>
      <c r="G634" s="90">
        <v>8.4748570386041084</v>
      </c>
      <c r="H634" s="90">
        <v>3.7642250966922952</v>
      </c>
      <c r="I634" s="130">
        <v>3.7642250966922952</v>
      </c>
      <c r="J634" s="130">
        <v>3.7642250966922952</v>
      </c>
      <c r="K634" s="130">
        <v>3.7642250966922952</v>
      </c>
      <c r="L634" s="130">
        <v>3.7642250966922952</v>
      </c>
      <c r="M634" s="3" t="s">
        <v>482</v>
      </c>
      <c r="Q634" s="124"/>
    </row>
    <row r="635" spans="1:17" ht="13" x14ac:dyDescent="0.3">
      <c r="A635" t="str">
        <v>Annual AF sulphates</v>
      </c>
      <c r="C635" s="90">
        <v>58.630704234873363</v>
      </c>
      <c r="D635" s="90">
        <v>45.627505155511216</v>
      </c>
      <c r="E635" s="90">
        <v>39.02660637420847</v>
      </c>
      <c r="F635" s="90">
        <v>37.771955791395783</v>
      </c>
      <c r="G635" s="90">
        <v>38.280738459556531</v>
      </c>
      <c r="H635" s="90">
        <v>22.579144935351831</v>
      </c>
      <c r="I635" s="130">
        <v>22.579144935351831</v>
      </c>
      <c r="J635" s="130">
        <v>22.579144935351831</v>
      </c>
      <c r="K635" s="130">
        <v>22.579144935351831</v>
      </c>
      <c r="L635" s="130">
        <v>22.579144935351831</v>
      </c>
      <c r="M635" s="3" t="s">
        <v>482</v>
      </c>
      <c r="Q635" s="124"/>
    </row>
    <row r="636" spans="1:17" ht="13" x14ac:dyDescent="0.3">
      <c r="A636" t="str">
        <v>Annual LA sulphates</v>
      </c>
      <c r="C636" s="90">
        <v>42.897430296138495</v>
      </c>
      <c r="D636" s="90">
        <v>38.722006622692653</v>
      </c>
      <c r="E636" s="90">
        <v>36.70768072530899</v>
      </c>
      <c r="F636" s="90">
        <v>31.169740580727868</v>
      </c>
      <c r="G636" s="90">
        <v>9.573521490506824</v>
      </c>
      <c r="H636" s="90">
        <v>5.3042498193722487</v>
      </c>
      <c r="I636" s="130">
        <v>5.3042498193722487</v>
      </c>
      <c r="J636" s="130">
        <v>5.3042498193722487</v>
      </c>
      <c r="K636" s="130">
        <v>5.3042498193722487</v>
      </c>
      <c r="L636" s="130">
        <v>5.3042498193722487</v>
      </c>
      <c r="M636" s="3" t="s">
        <v>482</v>
      </c>
      <c r="Q636" s="124"/>
    </row>
    <row r="637" spans="1:17" ht="13" x14ac:dyDescent="0.3">
      <c r="Q637" s="124"/>
    </row>
    <row r="638" spans="1:17" ht="13.5" thickBot="1" x14ac:dyDescent="0.35">
      <c r="A638" s="3" t="s">
        <v>484</v>
      </c>
      <c r="C638" s="62">
        <f t="array" ref="C638:L638" xml:space="preserve"> RCP26_Excess * EXTRA_ABATE_FACTOR_COMPOUND</f>
        <v>0.73837032266629909</v>
      </c>
      <c r="D638" s="62">
        <v>0.56202109433745318</v>
      </c>
      <c r="E638" s="62">
        <v>0.37736904720450726</v>
      </c>
      <c r="F638" s="62">
        <v>0.25494947028270482</v>
      </c>
      <c r="G638" s="62">
        <v>0.13627638218744276</v>
      </c>
      <c r="H638" s="62">
        <v>0.10007132127305299</v>
      </c>
      <c r="I638" s="120">
        <v>0.10007132127305299</v>
      </c>
      <c r="J638" s="120">
        <v>0.10007132127305299</v>
      </c>
      <c r="K638" s="120">
        <v>0.10007132127305299</v>
      </c>
      <c r="L638" s="120">
        <v>0.10007132127305299</v>
      </c>
      <c r="M638" s="3" t="s">
        <v>44</v>
      </c>
      <c r="Q638" s="124"/>
    </row>
    <row r="639" spans="1:17" ht="13.5" thickTop="1" x14ac:dyDescent="0.3">
      <c r="Q639" s="128"/>
    </row>
    <row r="641" spans="1:13" ht="13" x14ac:dyDescent="0.3">
      <c r="A641" s="2" t="s">
        <v>983</v>
      </c>
    </row>
    <row r="642" spans="1:13" ht="13" x14ac:dyDescent="0.3">
      <c r="A642" s="2"/>
    </row>
    <row r="643" spans="1:13" x14ac:dyDescent="0.25">
      <c r="A643" s="3" t="s">
        <v>516</v>
      </c>
      <c r="C643">
        <f>Y_0</f>
        <v>2015</v>
      </c>
      <c r="D643">
        <f t="array" ref="D643:L643">Y</f>
        <v>2020</v>
      </c>
      <c r="E643">
        <v>2030</v>
      </c>
      <c r="F643">
        <v>2040</v>
      </c>
      <c r="G643">
        <v>2050</v>
      </c>
      <c r="H643">
        <v>2075</v>
      </c>
      <c r="I643">
        <v>2100</v>
      </c>
      <c r="J643">
        <v>2150</v>
      </c>
      <c r="K643">
        <v>2200</v>
      </c>
      <c r="L643">
        <v>2250</v>
      </c>
    </row>
    <row r="644" spans="1:13" x14ac:dyDescent="0.25">
      <c r="A644" s="3" t="s">
        <v>517</v>
      </c>
      <c r="C644">
        <f t="array" ref="C644:L644">Y</f>
        <v>2020</v>
      </c>
      <c r="D644">
        <v>2030</v>
      </c>
      <c r="E644">
        <v>2040</v>
      </c>
      <c r="F644">
        <v>2050</v>
      </c>
      <c r="G644">
        <v>2075</v>
      </c>
      <c r="H644">
        <v>2100</v>
      </c>
      <c r="I644">
        <v>2150</v>
      </c>
      <c r="J644">
        <v>2200</v>
      </c>
      <c r="K644">
        <v>2250</v>
      </c>
      <c r="L644">
        <v>2300</v>
      </c>
    </row>
    <row r="645" spans="1:13" x14ac:dyDescent="0.25">
      <c r="A645" s="3" t="s">
        <v>518</v>
      </c>
      <c r="C645">
        <f t="array" ref="C645:L645">YP</f>
        <v>5</v>
      </c>
      <c r="D645">
        <v>10</v>
      </c>
      <c r="E645">
        <v>10</v>
      </c>
      <c r="F645">
        <v>10</v>
      </c>
      <c r="G645">
        <v>25</v>
      </c>
      <c r="H645">
        <v>25</v>
      </c>
      <c r="I645">
        <v>50</v>
      </c>
      <c r="J645">
        <v>50</v>
      </c>
      <c r="K645">
        <v>50</v>
      </c>
      <c r="L645">
        <v>50</v>
      </c>
    </row>
    <row r="646" spans="1:13" x14ac:dyDescent="0.25">
      <c r="A646" s="3" t="s">
        <v>514</v>
      </c>
      <c r="C646" s="136">
        <f t="array" ref="C646:L646" xml:space="preserve"> IF(Y &lt;= EXTRA_ABATE_START, 1, IF(Y &lt;= EXTRA_ABATE_END, (1-EXTRA_ABATE_RATE_B/100)^YP, 1) )</f>
        <v>1</v>
      </c>
      <c r="D646" s="136">
        <v>0.97607942248191448</v>
      </c>
      <c r="E646" s="136">
        <v>0.97607942248191448</v>
      </c>
      <c r="F646" s="136">
        <v>0.97607942248191448</v>
      </c>
      <c r="G646" s="136">
        <v>0.94126712987315087</v>
      </c>
      <c r="H646" s="136">
        <v>0.94126712987315087</v>
      </c>
      <c r="I646" s="137">
        <v>1</v>
      </c>
      <c r="J646" s="137">
        <v>1</v>
      </c>
      <c r="K646" s="137">
        <v>1</v>
      </c>
      <c r="L646" s="137">
        <v>1</v>
      </c>
      <c r="M646" s="3" t="s">
        <v>509</v>
      </c>
    </row>
    <row r="647" spans="1:13" x14ac:dyDescent="0.25">
      <c r="A647" s="3" t="s">
        <v>519</v>
      </c>
      <c r="C647" s="136">
        <f>EXTRA_ABATE_FACTOR_PERIOD_1_B</f>
        <v>1</v>
      </c>
      <c r="D647" s="136">
        <f t="array" ref="D647:L647">EXTRA_ABATE_FACTOR_COMPOUND_B * EXTRA_ABATE_FACTOR_PERIOD_NOT_1_B</f>
        <v>0.97607942248191448</v>
      </c>
      <c r="E647" s="136">
        <v>0.95273103899262768</v>
      </c>
      <c r="F647" s="136">
        <v>0.92994116232051838</v>
      </c>
      <c r="G647" s="136">
        <v>0.87532304880833622</v>
      </c>
      <c r="H647" s="136">
        <v>0.82391281386363857</v>
      </c>
      <c r="I647" s="137">
        <v>0.82391281386363857</v>
      </c>
      <c r="J647" s="137">
        <v>0.82391281386363857</v>
      </c>
      <c r="K647" s="137">
        <v>0.82391281386363857</v>
      </c>
      <c r="L647" s="137">
        <v>0.82391281386363857</v>
      </c>
      <c r="M647" s="3" t="s">
        <v>509</v>
      </c>
    </row>
    <row r="648" spans="1:13" x14ac:dyDescent="0.25">
      <c r="C648" s="4"/>
      <c r="D648" s="4"/>
      <c r="E648" s="4"/>
      <c r="F648" s="4"/>
      <c r="G648" s="4"/>
      <c r="H648" s="4"/>
      <c r="I648" s="4"/>
      <c r="J648" s="4"/>
      <c r="K648" s="4"/>
      <c r="L648" s="4"/>
      <c r="M648" s="3"/>
    </row>
    <row r="649" spans="1:13" x14ac:dyDescent="0.25">
      <c r="A649" t="str">
        <f t="array" ref="A649:A656">"Annual "&amp;R_CODE&amp;" "&amp;'Base data'!$B$12&amp;" emissions"</f>
        <v>Annual EU CO2 emissions</v>
      </c>
      <c r="C649" s="90">
        <f t="array" ref="C649:L656" xml:space="preserve"> (RCP26_CO2 - RCP26_CO2_2100) * EXTRA_ABATE_FACTOR_COMPOUND_B + RCP26_CO2_2100</f>
        <v>93.691998358166117</v>
      </c>
      <c r="D649" s="90">
        <v>64.65054690759483</v>
      </c>
      <c r="E649" s="90">
        <v>31.870274979749929</v>
      </c>
      <c r="F649" s="90">
        <v>15.884821211713627</v>
      </c>
      <c r="G649" s="90">
        <v>-6.6082129828167151</v>
      </c>
      <c r="H649" s="90">
        <v>-9.3709245458557273</v>
      </c>
      <c r="I649" s="130">
        <v>-9.3709245458557273</v>
      </c>
      <c r="J649" s="130">
        <v>-9.3709245458557273</v>
      </c>
      <c r="K649" s="130">
        <v>-9.3709245458557273</v>
      </c>
      <c r="L649" s="130">
        <v>-9.3709245458557273</v>
      </c>
      <c r="M649" s="3" t="s">
        <v>482</v>
      </c>
    </row>
    <row r="650" spans="1:13" x14ac:dyDescent="0.25">
      <c r="A650" t="str">
        <v>Annual US CO2 emissions</v>
      </c>
      <c r="C650" s="90">
        <v>93.691998358166117</v>
      </c>
      <c r="D650" s="90">
        <v>64.65054690759483</v>
      </c>
      <c r="E650" s="90">
        <v>31.870274979749929</v>
      </c>
      <c r="F650" s="90">
        <v>15.884821211713627</v>
      </c>
      <c r="G650" s="90">
        <v>-6.6082129828167151</v>
      </c>
      <c r="H650" s="90">
        <v>-9.3709245458557273</v>
      </c>
      <c r="I650" s="130">
        <v>-9.3709245458557273</v>
      </c>
      <c r="J650" s="130">
        <v>-9.3709245458557273</v>
      </c>
      <c r="K650" s="130">
        <v>-9.3709245458557273</v>
      </c>
      <c r="L650" s="130">
        <v>-9.3709245458557273</v>
      </c>
      <c r="M650" s="3" t="s">
        <v>482</v>
      </c>
    </row>
    <row r="651" spans="1:13" x14ac:dyDescent="0.25">
      <c r="A651" t="str">
        <v>Annual OT CO2 emissions</v>
      </c>
      <c r="C651" s="90">
        <v>93.691998358166117</v>
      </c>
      <c r="D651" s="90">
        <v>64.65054690759483</v>
      </c>
      <c r="E651" s="90">
        <v>31.870274979749929</v>
      </c>
      <c r="F651" s="90">
        <v>15.884821211713627</v>
      </c>
      <c r="G651" s="90">
        <v>-6.6082129828167151</v>
      </c>
      <c r="H651" s="90">
        <v>-9.3709245458557273</v>
      </c>
      <c r="I651" s="130">
        <v>-9.3709245458557273</v>
      </c>
      <c r="J651" s="130">
        <v>-9.3709245458557273</v>
      </c>
      <c r="K651" s="130">
        <v>-9.3709245458557273</v>
      </c>
      <c r="L651" s="130">
        <v>-9.3709245458557273</v>
      </c>
      <c r="M651" s="3" t="s">
        <v>482</v>
      </c>
    </row>
    <row r="652" spans="1:13" x14ac:dyDescent="0.25">
      <c r="A652" t="str">
        <v>Annual EE CO2 emissions</v>
      </c>
      <c r="C652" s="90">
        <v>94.773070654740792</v>
      </c>
      <c r="D652" s="90">
        <v>63.392204296306531</v>
      </c>
      <c r="E652" s="90">
        <v>39.104552675694329</v>
      </c>
      <c r="F652" s="90">
        <v>31.147846963528757</v>
      </c>
      <c r="G652" s="90">
        <v>3.0426140617735999</v>
      </c>
      <c r="H652" s="90">
        <v>-4.6216780583083912</v>
      </c>
      <c r="I652" s="130">
        <v>-4.6216780583083912</v>
      </c>
      <c r="J652" s="130">
        <v>-4.6216780583083912</v>
      </c>
      <c r="K652" s="130">
        <v>-4.6216780583083912</v>
      </c>
      <c r="L652" s="130">
        <v>-4.6216780583083912</v>
      </c>
      <c r="M652" s="3" t="s">
        <v>482</v>
      </c>
    </row>
    <row r="653" spans="1:13" x14ac:dyDescent="0.25">
      <c r="A653" t="str">
        <v>Annual CA CO2 emissions</v>
      </c>
      <c r="C653" s="90">
        <v>105.77104096083347</v>
      </c>
      <c r="D653" s="90">
        <v>82.415160952298137</v>
      </c>
      <c r="E653" s="90">
        <v>52.130848596501963</v>
      </c>
      <c r="F653" s="90">
        <v>33.912674430926444</v>
      </c>
      <c r="G653" s="90">
        <v>-2.6707766404864581</v>
      </c>
      <c r="H653" s="90">
        <v>-4.2454475359193005</v>
      </c>
      <c r="I653" s="130">
        <v>-4.2454475359193005</v>
      </c>
      <c r="J653" s="130">
        <v>-4.2454475359193005</v>
      </c>
      <c r="K653" s="130">
        <v>-4.2454475359193005</v>
      </c>
      <c r="L653" s="130">
        <v>-4.2454475359193005</v>
      </c>
      <c r="M653" s="3" t="s">
        <v>482</v>
      </c>
    </row>
    <row r="654" spans="1:13" x14ac:dyDescent="0.25">
      <c r="A654" t="str">
        <v>Annual IA CO2 emissions</v>
      </c>
      <c r="C654" s="90">
        <v>105.77104096083347</v>
      </c>
      <c r="D654" s="90">
        <v>82.415160952298137</v>
      </c>
      <c r="E654" s="90">
        <v>52.130848596501963</v>
      </c>
      <c r="F654" s="90">
        <v>33.912674430926444</v>
      </c>
      <c r="G654" s="90">
        <v>-2.6707766404864581</v>
      </c>
      <c r="H654" s="90">
        <v>-4.2454475359193005</v>
      </c>
      <c r="I654" s="130">
        <v>-4.2454475359193005</v>
      </c>
      <c r="J654" s="130">
        <v>-4.2454475359193005</v>
      </c>
      <c r="K654" s="130">
        <v>-4.2454475359193005</v>
      </c>
      <c r="L654" s="130">
        <v>-4.2454475359193005</v>
      </c>
      <c r="M654" s="3" t="s">
        <v>482</v>
      </c>
    </row>
    <row r="655" spans="1:13" x14ac:dyDescent="0.25">
      <c r="A655" t="str">
        <v>Annual AF CO2 emissions</v>
      </c>
      <c r="C655" s="90">
        <v>85.296768505285186</v>
      </c>
      <c r="D655" s="90">
        <v>76.473105505937241</v>
      </c>
      <c r="E655" s="90">
        <v>54.352576585916061</v>
      </c>
      <c r="F655" s="90">
        <v>41.847352304423325</v>
      </c>
      <c r="G655" s="90">
        <v>21.883076220208405</v>
      </c>
      <c r="H655" s="90">
        <v>0</v>
      </c>
      <c r="I655" s="130">
        <v>0</v>
      </c>
      <c r="J655" s="130">
        <v>0</v>
      </c>
      <c r="K655" s="130">
        <v>0</v>
      </c>
      <c r="L655" s="130">
        <v>0</v>
      </c>
      <c r="M655" s="3" t="s">
        <v>482</v>
      </c>
    </row>
    <row r="656" spans="1:13" x14ac:dyDescent="0.25">
      <c r="A656" t="str">
        <v>Annual LA CO2 emissions</v>
      </c>
      <c r="C656" s="90">
        <v>85</v>
      </c>
      <c r="D656" s="90">
        <v>53.57919255221784</v>
      </c>
      <c r="E656" s="90">
        <v>44.519326325561025</v>
      </c>
      <c r="F656" s="90">
        <v>35.666370296334364</v>
      </c>
      <c r="G656" s="90">
        <v>14.722683843372973</v>
      </c>
      <c r="H656" s="90">
        <v>0</v>
      </c>
      <c r="I656" s="130">
        <v>0</v>
      </c>
      <c r="J656" s="130">
        <v>0</v>
      </c>
      <c r="K656" s="130">
        <v>0</v>
      </c>
      <c r="L656" s="130">
        <v>0</v>
      </c>
      <c r="M656" s="3" t="s">
        <v>482</v>
      </c>
    </row>
    <row r="657" spans="1:13" x14ac:dyDescent="0.25">
      <c r="C657" s="4"/>
      <c r="D657" s="4"/>
      <c r="E657" s="4"/>
      <c r="F657" s="4"/>
      <c r="G657" s="4"/>
      <c r="H657" s="4"/>
      <c r="I657" s="4"/>
      <c r="J657" s="4"/>
      <c r="K657" s="4"/>
      <c r="L657" s="4"/>
      <c r="M657" s="3"/>
    </row>
    <row r="658" spans="1:13" x14ac:dyDescent="0.25">
      <c r="A658" t="str">
        <f t="array" ref="A658:A665">"Annual "&amp;R_CODE&amp;" "&amp;'Base data'!$C$12&amp;" emissions"</f>
        <v>Annual EU CH4 emissions</v>
      </c>
      <c r="C658" s="90">
        <f t="array" ref="C658:L665">RCP26_CH4 * EXTRA_ABATE_FACTOR_COMPOUND_B</f>
        <v>49.15382164311815</v>
      </c>
      <c r="D658" s="90">
        <v>40.909284770877328</v>
      </c>
      <c r="E658" s="90">
        <v>36.104699678289819</v>
      </c>
      <c r="F658" s="90">
        <v>29.036423344312436</v>
      </c>
      <c r="G658" s="90">
        <v>23.476281955436271</v>
      </c>
      <c r="H658" s="90">
        <v>18.983067459237372</v>
      </c>
      <c r="I658" s="130">
        <v>18.983067459237372</v>
      </c>
      <c r="J658" s="130">
        <v>18.983067459237372</v>
      </c>
      <c r="K658" s="130">
        <v>18.983067459237372</v>
      </c>
      <c r="L658" s="130">
        <v>18.983067459237372</v>
      </c>
      <c r="M658" s="3" t="s">
        <v>482</v>
      </c>
    </row>
    <row r="659" spans="1:13" x14ac:dyDescent="0.25">
      <c r="A659" t="str">
        <v>Annual US CH4 emissions</v>
      </c>
      <c r="C659" s="90">
        <v>49.15382164311815</v>
      </c>
      <c r="D659" s="90">
        <v>40.909284770877328</v>
      </c>
      <c r="E659" s="90">
        <v>36.104699678289819</v>
      </c>
      <c r="F659" s="90">
        <v>29.036423344312436</v>
      </c>
      <c r="G659" s="90">
        <v>23.476281955436271</v>
      </c>
      <c r="H659" s="90">
        <v>18.983067459237372</v>
      </c>
      <c r="I659" s="130">
        <v>18.983067459237372</v>
      </c>
      <c r="J659" s="130">
        <v>18.983067459237372</v>
      </c>
      <c r="K659" s="130">
        <v>18.983067459237372</v>
      </c>
      <c r="L659" s="130">
        <v>18.983067459237372</v>
      </c>
      <c r="M659" s="3" t="s">
        <v>482</v>
      </c>
    </row>
    <row r="660" spans="1:13" x14ac:dyDescent="0.25">
      <c r="A660" t="str">
        <v>Annual OT CH4 emissions</v>
      </c>
      <c r="C660" s="90">
        <v>49.15382164311815</v>
      </c>
      <c r="D660" s="90">
        <v>40.909284770877328</v>
      </c>
      <c r="E660" s="90">
        <v>36.104699678289819</v>
      </c>
      <c r="F660" s="90">
        <v>29.036423344312436</v>
      </c>
      <c r="G660" s="90">
        <v>23.476281955436271</v>
      </c>
      <c r="H660" s="90">
        <v>18.983067459237372</v>
      </c>
      <c r="I660" s="130">
        <v>18.983067459237372</v>
      </c>
      <c r="J660" s="130">
        <v>18.983067459237372</v>
      </c>
      <c r="K660" s="130">
        <v>18.983067459237372</v>
      </c>
      <c r="L660" s="130">
        <v>18.983067459237372</v>
      </c>
      <c r="M660" s="3" t="s">
        <v>482</v>
      </c>
    </row>
    <row r="661" spans="1:13" x14ac:dyDescent="0.25">
      <c r="A661" t="str">
        <v>Annual EE CH4 emissions</v>
      </c>
      <c r="C661" s="90">
        <v>54.414650584156213</v>
      </c>
      <c r="D661" s="90">
        <v>45.006460918664814</v>
      </c>
      <c r="E661" s="90">
        <v>40.252002334851781</v>
      </c>
      <c r="F661" s="90">
        <v>31.731037729992813</v>
      </c>
      <c r="G661" s="90">
        <v>27.998865855860775</v>
      </c>
      <c r="H661" s="90">
        <v>26.211362976748514</v>
      </c>
      <c r="I661" s="130">
        <v>26.211362976748514</v>
      </c>
      <c r="J661" s="130">
        <v>26.211362976748514</v>
      </c>
      <c r="K661" s="130">
        <v>26.211362976748514</v>
      </c>
      <c r="L661" s="130">
        <v>26.211362976748514</v>
      </c>
      <c r="M661" s="3" t="s">
        <v>482</v>
      </c>
    </row>
    <row r="662" spans="1:13" x14ac:dyDescent="0.25">
      <c r="A662" t="str">
        <v>Annual CA CH4 emissions</v>
      </c>
      <c r="C662" s="90">
        <v>84.66172821973106</v>
      </c>
      <c r="D662" s="90">
        <v>75.796177029460381</v>
      </c>
      <c r="E662" s="90">
        <v>68.148934598496552</v>
      </c>
      <c r="F662" s="90">
        <v>54.036072765136637</v>
      </c>
      <c r="G662" s="90">
        <v>41.875181533144833</v>
      </c>
      <c r="H662" s="90">
        <v>35.244611404312941</v>
      </c>
      <c r="I662" s="130">
        <v>35.244611404312941</v>
      </c>
      <c r="J662" s="130">
        <v>35.244611404312941</v>
      </c>
      <c r="K662" s="130">
        <v>35.244611404312941</v>
      </c>
      <c r="L662" s="130">
        <v>35.244611404312941</v>
      </c>
      <c r="M662" s="3" t="s">
        <v>482</v>
      </c>
    </row>
    <row r="663" spans="1:13" x14ac:dyDescent="0.25">
      <c r="A663" t="str">
        <v>Annual IA CH4 emissions</v>
      </c>
      <c r="C663" s="90">
        <v>84.66172821973106</v>
      </c>
      <c r="D663" s="90">
        <v>75.796177029460381</v>
      </c>
      <c r="E663" s="90">
        <v>68.148934598496552</v>
      </c>
      <c r="F663" s="90">
        <v>54.036072765136637</v>
      </c>
      <c r="G663" s="90">
        <v>41.875181533144833</v>
      </c>
      <c r="H663" s="90">
        <v>35.244611404312941</v>
      </c>
      <c r="I663" s="130">
        <v>35.244611404312941</v>
      </c>
      <c r="J663" s="130">
        <v>35.244611404312941</v>
      </c>
      <c r="K663" s="130">
        <v>35.244611404312941</v>
      </c>
      <c r="L663" s="130">
        <v>35.244611404312941</v>
      </c>
      <c r="M663" s="3" t="s">
        <v>482</v>
      </c>
    </row>
    <row r="664" spans="1:13" x14ac:dyDescent="0.25">
      <c r="A664" t="str">
        <v>Annual AF CH4 emissions</v>
      </c>
      <c r="C664" s="90">
        <v>74.340673493013071</v>
      </c>
      <c r="D664" s="90">
        <v>73.193387082230842</v>
      </c>
      <c r="E664" s="90">
        <v>77.297717201042403</v>
      </c>
      <c r="F664" s="90">
        <v>68.017494665250936</v>
      </c>
      <c r="G664" s="90">
        <v>49.489263561361454</v>
      </c>
      <c r="H664" s="90">
        <v>42.18003363203011</v>
      </c>
      <c r="I664" s="130">
        <v>42.18003363203011</v>
      </c>
      <c r="J664" s="130">
        <v>42.18003363203011</v>
      </c>
      <c r="K664" s="130">
        <v>42.18003363203011</v>
      </c>
      <c r="L664" s="130">
        <v>42.18003363203011</v>
      </c>
      <c r="M664" s="3" t="s">
        <v>482</v>
      </c>
    </row>
    <row r="665" spans="1:13" x14ac:dyDescent="0.25">
      <c r="A665" t="str">
        <v>Annual LA CH4 emissions</v>
      </c>
      <c r="C665" s="90">
        <v>67.217171481575392</v>
      </c>
      <c r="D665" s="90">
        <v>61.199933648313262</v>
      </c>
      <c r="E665" s="90">
        <v>58.193840327234419</v>
      </c>
      <c r="F665" s="90">
        <v>50.300440012835502</v>
      </c>
      <c r="G665" s="90">
        <v>42.694641352569121</v>
      </c>
      <c r="H665" s="90">
        <v>35.450199293178478</v>
      </c>
      <c r="I665" s="130">
        <v>35.450199293178478</v>
      </c>
      <c r="J665" s="130">
        <v>35.450199293178478</v>
      </c>
      <c r="K665" s="130">
        <v>35.450199293178478</v>
      </c>
      <c r="L665" s="130">
        <v>35.450199293178478</v>
      </c>
      <c r="M665" s="3" t="s">
        <v>482</v>
      </c>
    </row>
    <row r="666" spans="1:13" x14ac:dyDescent="0.25">
      <c r="C666" s="4"/>
      <c r="D666" s="4"/>
      <c r="E666" s="4"/>
      <c r="F666" s="4"/>
      <c r="G666" s="4"/>
      <c r="H666" s="4"/>
      <c r="I666" s="4"/>
      <c r="J666" s="4"/>
      <c r="K666" s="4"/>
      <c r="L666" s="4"/>
      <c r="M666" s="3"/>
    </row>
    <row r="667" spans="1:13" x14ac:dyDescent="0.25">
      <c r="A667" t="str">
        <f t="array" ref="A667:A674">"Annual "&amp;R_CODE&amp;" "&amp;'Base data'!$D$12&amp;" emissions"</f>
        <v>Annual EU N2O emissions</v>
      </c>
      <c r="C667" s="90">
        <f t="array" ref="C667:L674">RCP26_N2O * EXTRA_ABATE_FACTOR_COMPOUND_B</f>
        <v>77.575259852913533</v>
      </c>
      <c r="D667" s="90">
        <v>74.441086090490487</v>
      </c>
      <c r="E667" s="90">
        <v>69.991813074395296</v>
      </c>
      <c r="F667" s="90">
        <v>61.570832963290655</v>
      </c>
      <c r="G667" s="90">
        <v>49.898754307615079</v>
      </c>
      <c r="H667" s="90">
        <v>40.684353442409197</v>
      </c>
      <c r="I667" s="130">
        <v>40.684353442409197</v>
      </c>
      <c r="J667" s="130">
        <v>40.684353442409197</v>
      </c>
      <c r="K667" s="130">
        <v>40.684353442409197</v>
      </c>
      <c r="L667" s="130">
        <v>40.684353442409197</v>
      </c>
      <c r="M667" s="3" t="s">
        <v>482</v>
      </c>
    </row>
    <row r="668" spans="1:13" x14ac:dyDescent="0.25">
      <c r="A668" t="str">
        <v>Annual US N2O emissions</v>
      </c>
      <c r="C668" s="90">
        <v>77.575259852913533</v>
      </c>
      <c r="D668" s="90">
        <v>74.441086090490487</v>
      </c>
      <c r="E668" s="90">
        <v>69.991813074395296</v>
      </c>
      <c r="F668" s="90">
        <v>61.570832963290655</v>
      </c>
      <c r="G668" s="90">
        <v>49.898754307615079</v>
      </c>
      <c r="H668" s="90">
        <v>40.684353442409197</v>
      </c>
      <c r="I668" s="130">
        <v>40.684353442409197</v>
      </c>
      <c r="J668" s="130">
        <v>40.684353442409197</v>
      </c>
      <c r="K668" s="130">
        <v>40.684353442409197</v>
      </c>
      <c r="L668" s="130">
        <v>40.684353442409197</v>
      </c>
      <c r="M668" s="3" t="s">
        <v>482</v>
      </c>
    </row>
    <row r="669" spans="1:13" x14ac:dyDescent="0.25">
      <c r="A669" t="str">
        <v>Annual OT N2O emissions</v>
      </c>
      <c r="C669" s="90">
        <v>77.575259852913533</v>
      </c>
      <c r="D669" s="90">
        <v>74.441086090490487</v>
      </c>
      <c r="E669" s="90">
        <v>69.991813074395296</v>
      </c>
      <c r="F669" s="90">
        <v>61.570832963290655</v>
      </c>
      <c r="G669" s="90">
        <v>49.898754307615079</v>
      </c>
      <c r="H669" s="90">
        <v>40.684353442409197</v>
      </c>
      <c r="I669" s="130">
        <v>40.684353442409197</v>
      </c>
      <c r="J669" s="130">
        <v>40.684353442409197</v>
      </c>
      <c r="K669" s="130">
        <v>40.684353442409197</v>
      </c>
      <c r="L669" s="130">
        <v>40.684353442409197</v>
      </c>
      <c r="M669" s="3" t="s">
        <v>482</v>
      </c>
    </row>
    <row r="670" spans="1:13" x14ac:dyDescent="0.25">
      <c r="A670" t="str">
        <v>Annual EE N2O emissions</v>
      </c>
      <c r="C670" s="90">
        <v>132.09229913647778</v>
      </c>
      <c r="D670" s="90">
        <v>128.6930488988811</v>
      </c>
      <c r="E670" s="90">
        <v>126.15024349435053</v>
      </c>
      <c r="F670" s="90">
        <v>121.53522878787858</v>
      </c>
      <c r="G670" s="90">
        <v>124.17055819800201</v>
      </c>
      <c r="H670" s="90">
        <v>122.0333837781171</v>
      </c>
      <c r="I670" s="130">
        <v>122.0333837781171</v>
      </c>
      <c r="J670" s="130">
        <v>122.0333837781171</v>
      </c>
      <c r="K670" s="130">
        <v>122.0333837781171</v>
      </c>
      <c r="L670" s="130">
        <v>122.0333837781171</v>
      </c>
      <c r="M670" s="3" t="s">
        <v>482</v>
      </c>
    </row>
    <row r="671" spans="1:13" x14ac:dyDescent="0.25">
      <c r="A671" t="str">
        <v>Annual CA N2O emissions</v>
      </c>
      <c r="C671" s="90">
        <v>130.97661461205334</v>
      </c>
      <c r="D671" s="90">
        <v>127.68411397282313</v>
      </c>
      <c r="E671" s="90">
        <v>123.66425589612693</v>
      </c>
      <c r="F671" s="90">
        <v>105.70142820568108</v>
      </c>
      <c r="G671" s="90">
        <v>94.67469232965739</v>
      </c>
      <c r="H671" s="90">
        <v>85.357398334323818</v>
      </c>
      <c r="I671" s="130">
        <v>85.357398334323818</v>
      </c>
      <c r="J671" s="130">
        <v>85.357398334323818</v>
      </c>
      <c r="K671" s="130">
        <v>85.357398334323818</v>
      </c>
      <c r="L671" s="130">
        <v>85.357398334323818</v>
      </c>
      <c r="M671" s="3" t="s">
        <v>482</v>
      </c>
    </row>
    <row r="672" spans="1:13" x14ac:dyDescent="0.25">
      <c r="A672" t="str">
        <v>Annual IA N2O emissions</v>
      </c>
      <c r="C672" s="90">
        <v>130.97661461205334</v>
      </c>
      <c r="D672" s="90">
        <v>127.68411397282313</v>
      </c>
      <c r="E672" s="90">
        <v>123.66425589612693</v>
      </c>
      <c r="F672" s="90">
        <v>105.70142820568108</v>
      </c>
      <c r="G672" s="90">
        <v>94.67469232965739</v>
      </c>
      <c r="H672" s="90">
        <v>85.357398334323818</v>
      </c>
      <c r="I672" s="130">
        <v>85.357398334323818</v>
      </c>
      <c r="J672" s="130">
        <v>85.357398334323818</v>
      </c>
      <c r="K672" s="130">
        <v>85.357398334323818</v>
      </c>
      <c r="L672" s="130">
        <v>85.357398334323818</v>
      </c>
      <c r="M672" s="3" t="s">
        <v>482</v>
      </c>
    </row>
    <row r="673" spans="1:13" x14ac:dyDescent="0.25">
      <c r="A673" t="str">
        <v>Annual AF N2O emissions</v>
      </c>
      <c r="C673" s="90">
        <v>104.79399303614998</v>
      </c>
      <c r="D673" s="90">
        <v>102.74334385124514</v>
      </c>
      <c r="E673" s="90">
        <v>97.661969078227997</v>
      </c>
      <c r="F673" s="90">
        <v>78.217843941371086</v>
      </c>
      <c r="G673" s="90">
        <v>64.649114682931327</v>
      </c>
      <c r="H673" s="90">
        <v>54.493971203686293</v>
      </c>
      <c r="I673" s="130">
        <v>54.493971203686293</v>
      </c>
      <c r="J673" s="130">
        <v>54.493971203686293</v>
      </c>
      <c r="K673" s="130">
        <v>54.493971203686293</v>
      </c>
      <c r="L673" s="130">
        <v>54.493971203686293</v>
      </c>
      <c r="M673" s="3" t="s">
        <v>482</v>
      </c>
    </row>
    <row r="674" spans="1:13" x14ac:dyDescent="0.25">
      <c r="A674" t="str">
        <v>Annual LA N2O emissions</v>
      </c>
      <c r="C674" s="90">
        <v>97.648618195415906</v>
      </c>
      <c r="D674" s="90">
        <v>92.682077083503387</v>
      </c>
      <c r="E674" s="90">
        <v>89.340016336347105</v>
      </c>
      <c r="F674" s="90">
        <v>72.522034920034329</v>
      </c>
      <c r="G674" s="90">
        <v>56.657403754948383</v>
      </c>
      <c r="H674" s="90">
        <v>49.457857065335929</v>
      </c>
      <c r="I674" s="130">
        <v>49.457857065335929</v>
      </c>
      <c r="J674" s="130">
        <v>49.457857065335929</v>
      </c>
      <c r="K674" s="130">
        <v>49.457857065335929</v>
      </c>
      <c r="L674" s="130">
        <v>49.457857065335929</v>
      </c>
      <c r="M674" s="3" t="s">
        <v>482</v>
      </c>
    </row>
    <row r="675" spans="1:13" x14ac:dyDescent="0.25">
      <c r="C675" s="4"/>
      <c r="D675" s="4"/>
      <c r="E675" s="4"/>
      <c r="F675" s="4"/>
      <c r="G675" s="4"/>
      <c r="H675" s="4"/>
      <c r="I675" s="4"/>
      <c r="J675" s="4"/>
      <c r="K675" s="4"/>
      <c r="L675" s="4"/>
      <c r="M675" s="3"/>
    </row>
    <row r="676" spans="1:13" x14ac:dyDescent="0.25">
      <c r="A676" t="str">
        <f t="array" ref="A676:A683">"Annual "&amp;R_CODE&amp;" "&amp;'Base data'!$E$12&amp;" emissions"</f>
        <v>Annual EU Lin emissions</v>
      </c>
      <c r="C676" s="90">
        <f t="array" ref="C676:L683">RCP26_Lin * EXTRA_ABATE_FACTOR_COMPOUND_B</f>
        <v>90</v>
      </c>
      <c r="D676" s="90">
        <v>63.445162461324443</v>
      </c>
      <c r="E676" s="90">
        <v>42.872896754668247</v>
      </c>
      <c r="F676" s="90">
        <v>18.598823246410369</v>
      </c>
      <c r="G676" s="90">
        <v>17.506460976166725</v>
      </c>
      <c r="H676" s="90">
        <v>16.47825627727277</v>
      </c>
      <c r="I676" s="130">
        <v>16.47825627727277</v>
      </c>
      <c r="J676" s="130">
        <v>16.47825627727277</v>
      </c>
      <c r="K676" s="130">
        <v>16.47825627727277</v>
      </c>
      <c r="L676" s="130">
        <v>16.47825627727277</v>
      </c>
      <c r="M676" s="3" t="s">
        <v>482</v>
      </c>
    </row>
    <row r="677" spans="1:13" x14ac:dyDescent="0.25">
      <c r="A677" t="str">
        <v>Annual US Lin emissions</v>
      </c>
      <c r="C677" s="90">
        <v>90</v>
      </c>
      <c r="D677" s="90">
        <v>63.445162461324443</v>
      </c>
      <c r="E677" s="90">
        <v>42.872896754668247</v>
      </c>
      <c r="F677" s="90">
        <v>18.598823246410369</v>
      </c>
      <c r="G677" s="90">
        <v>17.506460976166725</v>
      </c>
      <c r="H677" s="90">
        <v>16.47825627727277</v>
      </c>
      <c r="I677" s="130">
        <v>16.47825627727277</v>
      </c>
      <c r="J677" s="130">
        <v>16.47825627727277</v>
      </c>
      <c r="K677" s="130">
        <v>16.47825627727277</v>
      </c>
      <c r="L677" s="130">
        <v>16.47825627727277</v>
      </c>
      <c r="M677" s="3" t="s">
        <v>482</v>
      </c>
    </row>
    <row r="678" spans="1:13" x14ac:dyDescent="0.25">
      <c r="A678" t="str">
        <v>Annual OT Lin emissions</v>
      </c>
      <c r="C678" s="90">
        <v>90</v>
      </c>
      <c r="D678" s="90">
        <v>63.445162461324443</v>
      </c>
      <c r="E678" s="90">
        <v>42.872896754668247</v>
      </c>
      <c r="F678" s="90">
        <v>18.598823246410369</v>
      </c>
      <c r="G678" s="90">
        <v>17.506460976166725</v>
      </c>
      <c r="H678" s="90">
        <v>16.47825627727277</v>
      </c>
      <c r="I678" s="130">
        <v>16.47825627727277</v>
      </c>
      <c r="J678" s="130">
        <v>16.47825627727277</v>
      </c>
      <c r="K678" s="130">
        <v>16.47825627727277</v>
      </c>
      <c r="L678" s="130">
        <v>16.47825627727277</v>
      </c>
      <c r="M678" s="3" t="s">
        <v>482</v>
      </c>
    </row>
    <row r="679" spans="1:13" x14ac:dyDescent="0.25">
      <c r="A679" t="str">
        <v>Annual EE Lin emissions</v>
      </c>
      <c r="C679" s="90">
        <v>90</v>
      </c>
      <c r="D679" s="90">
        <v>63.445162461324443</v>
      </c>
      <c r="E679" s="90">
        <v>42.872896754668247</v>
      </c>
      <c r="F679" s="90">
        <v>18.598823246410369</v>
      </c>
      <c r="G679" s="90">
        <v>17.506460976166725</v>
      </c>
      <c r="H679" s="90">
        <v>16.47825627727277</v>
      </c>
      <c r="I679" s="130">
        <v>16.47825627727277</v>
      </c>
      <c r="J679" s="130">
        <v>16.47825627727277</v>
      </c>
      <c r="K679" s="130">
        <v>16.47825627727277</v>
      </c>
      <c r="L679" s="130">
        <v>16.47825627727277</v>
      </c>
      <c r="M679" s="3" t="s">
        <v>482</v>
      </c>
    </row>
    <row r="680" spans="1:13" x14ac:dyDescent="0.25">
      <c r="A680" t="str">
        <v>Annual CA Lin emissions</v>
      </c>
      <c r="C680" s="90">
        <v>90</v>
      </c>
      <c r="D680" s="90">
        <v>63.445162461324443</v>
      </c>
      <c r="E680" s="90">
        <v>42.872896754668247</v>
      </c>
      <c r="F680" s="90">
        <v>18.598823246410369</v>
      </c>
      <c r="G680" s="90">
        <v>17.506460976166725</v>
      </c>
      <c r="H680" s="90">
        <v>16.47825627727277</v>
      </c>
      <c r="I680" s="130">
        <v>16.47825627727277</v>
      </c>
      <c r="J680" s="130">
        <v>16.47825627727277</v>
      </c>
      <c r="K680" s="130">
        <v>16.47825627727277</v>
      </c>
      <c r="L680" s="130">
        <v>16.47825627727277</v>
      </c>
      <c r="M680" s="3" t="s">
        <v>482</v>
      </c>
    </row>
    <row r="681" spans="1:13" x14ac:dyDescent="0.25">
      <c r="A681" t="str">
        <v>Annual IA Lin emissions</v>
      </c>
      <c r="C681" s="90">
        <v>90</v>
      </c>
      <c r="D681" s="90">
        <v>63.445162461324443</v>
      </c>
      <c r="E681" s="90">
        <v>42.872896754668247</v>
      </c>
      <c r="F681" s="90">
        <v>18.598823246410369</v>
      </c>
      <c r="G681" s="90">
        <v>17.506460976166725</v>
      </c>
      <c r="H681" s="90">
        <v>16.47825627727277</v>
      </c>
      <c r="I681" s="130">
        <v>16.47825627727277</v>
      </c>
      <c r="J681" s="130">
        <v>16.47825627727277</v>
      </c>
      <c r="K681" s="130">
        <v>16.47825627727277</v>
      </c>
      <c r="L681" s="130">
        <v>16.47825627727277</v>
      </c>
      <c r="M681" s="3" t="s">
        <v>482</v>
      </c>
    </row>
    <row r="682" spans="1:13" x14ac:dyDescent="0.25">
      <c r="A682" t="str">
        <v>Annual AF Lin emissions</v>
      </c>
      <c r="C682" s="90">
        <v>90</v>
      </c>
      <c r="D682" s="90">
        <v>63.445162461324443</v>
      </c>
      <c r="E682" s="90">
        <v>42.872896754668247</v>
      </c>
      <c r="F682" s="90">
        <v>18.598823246410369</v>
      </c>
      <c r="G682" s="90">
        <v>17.506460976166725</v>
      </c>
      <c r="H682" s="90">
        <v>16.47825627727277</v>
      </c>
      <c r="I682" s="130">
        <v>16.47825627727277</v>
      </c>
      <c r="J682" s="130">
        <v>16.47825627727277</v>
      </c>
      <c r="K682" s="130">
        <v>16.47825627727277</v>
      </c>
      <c r="L682" s="130">
        <v>16.47825627727277</v>
      </c>
      <c r="M682" s="3" t="s">
        <v>482</v>
      </c>
    </row>
    <row r="683" spans="1:13" x14ac:dyDescent="0.25">
      <c r="A683" t="str">
        <v>Annual LA Lin emissions</v>
      </c>
      <c r="C683" s="90">
        <v>90</v>
      </c>
      <c r="D683" s="90">
        <v>63.445162461324443</v>
      </c>
      <c r="E683" s="90">
        <v>42.872896754668247</v>
      </c>
      <c r="F683" s="90">
        <v>18.598823246410369</v>
      </c>
      <c r="G683" s="90">
        <v>17.506460976166725</v>
      </c>
      <c r="H683" s="90">
        <v>16.47825627727277</v>
      </c>
      <c r="I683" s="130">
        <v>16.47825627727277</v>
      </c>
      <c r="J683" s="130">
        <v>16.47825627727277</v>
      </c>
      <c r="K683" s="130">
        <v>16.47825627727277</v>
      </c>
      <c r="L683" s="130">
        <v>16.47825627727277</v>
      </c>
      <c r="M683" s="3" t="s">
        <v>482</v>
      </c>
    </row>
    <row r="684" spans="1:13" x14ac:dyDescent="0.25">
      <c r="C684" s="4"/>
      <c r="D684" s="4"/>
      <c r="E684" s="4"/>
      <c r="F684" s="4"/>
      <c r="G684" s="4"/>
      <c r="H684" s="4"/>
      <c r="I684" s="4"/>
      <c r="J684" s="4"/>
      <c r="K684" s="4"/>
      <c r="L684" s="4"/>
      <c r="M684" s="3"/>
    </row>
    <row r="685" spans="1:13" x14ac:dyDescent="0.25">
      <c r="A685" t="str">
        <f t="array" ref="A685:A692">"Annual "&amp;R_CODE&amp;" sulphates"</f>
        <v>Annual EU sulphates</v>
      </c>
      <c r="C685" s="90">
        <f t="array" ref="C685:L692">RCP26_sulph * EXTRA_ABATE_FACTOR_COMPOUND_B</f>
        <v>50.624277766564255</v>
      </c>
      <c r="D685" s="90">
        <v>23.25503219421336</v>
      </c>
      <c r="E685" s="90">
        <v>11.333740520958859</v>
      </c>
      <c r="F685" s="90">
        <v>8.10776015098293</v>
      </c>
      <c r="G685" s="90">
        <v>5.2934476813944977</v>
      </c>
      <c r="H685" s="90">
        <v>4.2914299276360275</v>
      </c>
      <c r="I685" s="130">
        <v>4.2914299276360275</v>
      </c>
      <c r="J685" s="130">
        <v>4.2914299276360275</v>
      </c>
      <c r="K685" s="130">
        <v>4.2914299276360275</v>
      </c>
      <c r="L685" s="130">
        <v>4.2914299276360275</v>
      </c>
      <c r="M685" s="3" t="s">
        <v>482</v>
      </c>
    </row>
    <row r="686" spans="1:13" x14ac:dyDescent="0.25">
      <c r="A686" t="str">
        <v>Annual US sulphates</v>
      </c>
      <c r="C686" s="90">
        <v>50.624277766564255</v>
      </c>
      <c r="D686" s="90">
        <v>23.25503219421336</v>
      </c>
      <c r="E686" s="90">
        <v>11.333740520958859</v>
      </c>
      <c r="F686" s="90">
        <v>8.10776015098293</v>
      </c>
      <c r="G686" s="90">
        <v>5.2934476813944977</v>
      </c>
      <c r="H686" s="90">
        <v>4.2914299276360275</v>
      </c>
      <c r="I686" s="130">
        <v>4.2914299276360275</v>
      </c>
      <c r="J686" s="130">
        <v>4.2914299276360275</v>
      </c>
      <c r="K686" s="130">
        <v>4.2914299276360275</v>
      </c>
      <c r="L686" s="130">
        <v>4.2914299276360275</v>
      </c>
      <c r="M686" s="3" t="s">
        <v>482</v>
      </c>
    </row>
    <row r="687" spans="1:13" x14ac:dyDescent="0.25">
      <c r="A687" t="str">
        <v>Annual OT sulphates</v>
      </c>
      <c r="C687" s="90">
        <v>50.624277766564255</v>
      </c>
      <c r="D687" s="90">
        <v>23.25503219421336</v>
      </c>
      <c r="E687" s="90">
        <v>11.333740520958859</v>
      </c>
      <c r="F687" s="90">
        <v>8.10776015098293</v>
      </c>
      <c r="G687" s="90">
        <v>5.2934476813944977</v>
      </c>
      <c r="H687" s="90">
        <v>4.2914299276360275</v>
      </c>
      <c r="I687" s="130">
        <v>4.2914299276360275</v>
      </c>
      <c r="J687" s="130">
        <v>4.2914299276360275</v>
      </c>
      <c r="K687" s="130">
        <v>4.2914299276360275</v>
      </c>
      <c r="L687" s="130">
        <v>4.2914299276360275</v>
      </c>
      <c r="M687" s="3" t="s">
        <v>482</v>
      </c>
    </row>
    <row r="688" spans="1:13" x14ac:dyDescent="0.25">
      <c r="A688" t="str">
        <v>Annual EE sulphates</v>
      </c>
      <c r="C688" s="90">
        <v>32.799379775035852</v>
      </c>
      <c r="D688" s="90">
        <v>16.239573837147116</v>
      </c>
      <c r="E688" s="90">
        <v>11.300970415245956</v>
      </c>
      <c r="F688" s="90">
        <v>7.5962732873307059</v>
      </c>
      <c r="G688" s="90">
        <v>3.0614882902988074</v>
      </c>
      <c r="H688" s="90">
        <v>2.5437029347407822</v>
      </c>
      <c r="I688" s="130">
        <v>2.5437029347407822</v>
      </c>
      <c r="J688" s="130">
        <v>2.5437029347407822</v>
      </c>
      <c r="K688" s="130">
        <v>2.5437029347407822</v>
      </c>
      <c r="L688" s="130">
        <v>2.5437029347407822</v>
      </c>
      <c r="M688" s="3" t="s">
        <v>482</v>
      </c>
    </row>
    <row r="689" spans="1:17" x14ac:dyDescent="0.25">
      <c r="A689" t="str">
        <v>Annual CA sulphates</v>
      </c>
      <c r="C689" s="90">
        <v>56.778724716616011</v>
      </c>
      <c r="D689" s="90">
        <v>37.835492462592178</v>
      </c>
      <c r="E689" s="90">
        <v>21.515667703138934</v>
      </c>
      <c r="F689" s="90">
        <v>15.017463227067228</v>
      </c>
      <c r="G689" s="90">
        <v>8.4748570386041084</v>
      </c>
      <c r="H689" s="90">
        <v>3.7642250966922952</v>
      </c>
      <c r="I689" s="130">
        <v>3.7642250966922952</v>
      </c>
      <c r="J689" s="130">
        <v>3.7642250966922952</v>
      </c>
      <c r="K689" s="130">
        <v>3.7642250966922952</v>
      </c>
      <c r="L689" s="130">
        <v>3.7642250966922952</v>
      </c>
      <c r="M689" s="3" t="s">
        <v>482</v>
      </c>
    </row>
    <row r="690" spans="1:17" x14ac:dyDescent="0.25">
      <c r="A690" t="str">
        <v>Annual IA sulphates</v>
      </c>
      <c r="C690" s="90">
        <v>56.778724716616011</v>
      </c>
      <c r="D690" s="90">
        <v>37.835492462592178</v>
      </c>
      <c r="E690" s="90">
        <v>21.515667703138934</v>
      </c>
      <c r="F690" s="90">
        <v>15.017463227067228</v>
      </c>
      <c r="G690" s="90">
        <v>8.4748570386041084</v>
      </c>
      <c r="H690" s="90">
        <v>3.7642250966922952</v>
      </c>
      <c r="I690" s="130">
        <v>3.7642250966922952</v>
      </c>
      <c r="J690" s="130">
        <v>3.7642250966922952</v>
      </c>
      <c r="K690" s="130">
        <v>3.7642250966922952</v>
      </c>
      <c r="L690" s="130">
        <v>3.7642250966922952</v>
      </c>
      <c r="M690" s="3" t="s">
        <v>482</v>
      </c>
    </row>
    <row r="691" spans="1:17" x14ac:dyDescent="0.25">
      <c r="A691" t="str">
        <v>Annual AF sulphates</v>
      </c>
      <c r="C691" s="90">
        <v>58.630704234873363</v>
      </c>
      <c r="D691" s="90">
        <v>45.627505155511216</v>
      </c>
      <c r="E691" s="90">
        <v>39.02660637420847</v>
      </c>
      <c r="F691" s="90">
        <v>37.771955791395783</v>
      </c>
      <c r="G691" s="90">
        <v>38.280738459556531</v>
      </c>
      <c r="H691" s="90">
        <v>22.579144935351831</v>
      </c>
      <c r="I691" s="130">
        <v>22.579144935351831</v>
      </c>
      <c r="J691" s="130">
        <v>22.579144935351831</v>
      </c>
      <c r="K691" s="130">
        <v>22.579144935351831</v>
      </c>
      <c r="L691" s="130">
        <v>22.579144935351831</v>
      </c>
      <c r="M691" s="3" t="s">
        <v>482</v>
      </c>
    </row>
    <row r="692" spans="1:17" x14ac:dyDescent="0.25">
      <c r="A692" t="str">
        <v>Annual LA sulphates</v>
      </c>
      <c r="C692" s="90">
        <v>42.897430296138495</v>
      </c>
      <c r="D692" s="90">
        <v>38.722006622692653</v>
      </c>
      <c r="E692" s="90">
        <v>36.70768072530899</v>
      </c>
      <c r="F692" s="90">
        <v>31.169740580727868</v>
      </c>
      <c r="G692" s="90">
        <v>9.573521490506824</v>
      </c>
      <c r="H692" s="90">
        <v>5.3042498193722487</v>
      </c>
      <c r="I692" s="130">
        <v>5.3042498193722487</v>
      </c>
      <c r="J692" s="130">
        <v>5.3042498193722487</v>
      </c>
      <c r="K692" s="130">
        <v>5.3042498193722487</v>
      </c>
      <c r="L692" s="130">
        <v>5.3042498193722487</v>
      </c>
      <c r="M692" s="3" t="s">
        <v>482</v>
      </c>
    </row>
    <row r="694" spans="1:17" ht="13" thickBot="1" x14ac:dyDescent="0.3">
      <c r="A694" s="3" t="s">
        <v>484</v>
      </c>
      <c r="C694" s="62">
        <f t="array" ref="C694:L694" xml:space="preserve"> RCP26_Excess * EXTRA_ABATE_FACTOR_COMPOUND_B</f>
        <v>0.73837032266629909</v>
      </c>
      <c r="D694" s="62">
        <v>0.56202109433745318</v>
      </c>
      <c r="E694" s="62">
        <v>0.37736904720450726</v>
      </c>
      <c r="F694" s="62">
        <v>0.25494947028270482</v>
      </c>
      <c r="G694" s="62">
        <v>0.13627638218744276</v>
      </c>
      <c r="H694" s="62">
        <v>0.10007132127305299</v>
      </c>
      <c r="I694" s="120">
        <v>0.10007132127305299</v>
      </c>
      <c r="J694" s="120">
        <v>0.10007132127305299</v>
      </c>
      <c r="K694" s="120">
        <v>0.10007132127305299</v>
      </c>
      <c r="L694" s="120">
        <v>0.10007132127305299</v>
      </c>
      <c r="M694" s="3" t="s">
        <v>44</v>
      </c>
    </row>
    <row r="695" spans="1:17" ht="13" thickTop="1" x14ac:dyDescent="0.25"/>
    <row r="697" spans="1:17" ht="13" x14ac:dyDescent="0.3">
      <c r="A697" s="2" t="s">
        <v>988</v>
      </c>
    </row>
    <row r="698" spans="1:17" x14ac:dyDescent="0.25">
      <c r="C698">
        <f t="array" ref="C698:L698">Y</f>
        <v>2020</v>
      </c>
      <c r="D698">
        <v>2030</v>
      </c>
      <c r="E698">
        <v>2040</v>
      </c>
      <c r="F698">
        <v>2050</v>
      </c>
      <c r="G698">
        <v>2075</v>
      </c>
      <c r="H698">
        <v>2100</v>
      </c>
      <c r="I698">
        <v>2150</v>
      </c>
      <c r="J698">
        <v>2200</v>
      </c>
      <c r="K698">
        <v>2250</v>
      </c>
      <c r="L698">
        <v>2300</v>
      </c>
    </row>
    <row r="699" spans="1:17" ht="13" x14ac:dyDescent="0.3">
      <c r="A699" t="str">
        <f t="shared" ref="A699:A702" si="61">A593</f>
        <v>Annual EU CO2 emissions</v>
      </c>
      <c r="C699" s="88">
        <f t="array" ref="C699:L706" xml:space="preserve"> RCP26_CO2 * (0.25*((1 - WEIGHT_SCENARIOS/100)^2)) + RCP45_CO2 * (0.5*(1 - (WEIGHT_SCENARIOS/100)^2)) +  RCP85_CO2 * (0.25*((1 + WEIGHT_SCENARIOS/100)^2))</f>
        <v>100.14970889417899</v>
      </c>
      <c r="D699" s="88">
        <v>98.254932137882037</v>
      </c>
      <c r="E699" s="88">
        <v>89.868041713917393</v>
      </c>
      <c r="F699" s="88">
        <v>83.447866387695058</v>
      </c>
      <c r="G699" s="88">
        <v>64.844983909564277</v>
      </c>
      <c r="H699" s="140">
        <v>56.179294599420587</v>
      </c>
      <c r="I699" s="132">
        <v>50.366858340496833</v>
      </c>
      <c r="J699" s="132">
        <v>44.554422081573087</v>
      </c>
      <c r="K699" s="132">
        <v>41.935788690247868</v>
      </c>
      <c r="L699" s="132">
        <v>41.935788690247868</v>
      </c>
      <c r="M699" s="3" t="s">
        <v>482</v>
      </c>
      <c r="Q699" s="128" t="s">
        <v>692</v>
      </c>
    </row>
    <row r="700" spans="1:17" ht="13" x14ac:dyDescent="0.3">
      <c r="A700" t="str">
        <f t="shared" si="61"/>
        <v>Annual US CO2 emissions</v>
      </c>
      <c r="C700" s="90">
        <v>100.149708894179</v>
      </c>
      <c r="D700" s="90">
        <v>98.254932137882065</v>
      </c>
      <c r="E700" s="90">
        <v>89.868041713917421</v>
      </c>
      <c r="F700" s="90">
        <v>83.447866387695086</v>
      </c>
      <c r="G700" s="90">
        <v>64.844983909564291</v>
      </c>
      <c r="H700" s="134">
        <v>56.179294599420601</v>
      </c>
      <c r="I700" s="130">
        <v>50.366858340496847</v>
      </c>
      <c r="J700" s="130">
        <v>44.554422081573101</v>
      </c>
      <c r="K700" s="130">
        <v>41.935788690247882</v>
      </c>
      <c r="L700" s="130">
        <v>41.935788690247882</v>
      </c>
      <c r="M700" s="3" t="s">
        <v>482</v>
      </c>
      <c r="Q700" s="128"/>
    </row>
    <row r="701" spans="1:17" ht="13" x14ac:dyDescent="0.3">
      <c r="A701" t="str">
        <f t="shared" si="61"/>
        <v>Annual OT CO2 emissions</v>
      </c>
      <c r="C701" s="90">
        <v>100.14970889417899</v>
      </c>
      <c r="D701" s="90">
        <v>98.254932137882065</v>
      </c>
      <c r="E701" s="90">
        <v>89.868041713917393</v>
      </c>
      <c r="F701" s="90">
        <v>83.447866387695072</v>
      </c>
      <c r="G701" s="90">
        <v>64.844983909564291</v>
      </c>
      <c r="H701" s="134">
        <v>56.179294599420594</v>
      </c>
      <c r="I701" s="130">
        <v>50.366858340496847</v>
      </c>
      <c r="J701" s="130">
        <v>44.554422081573094</v>
      </c>
      <c r="K701" s="130">
        <v>41.935788690247875</v>
      </c>
      <c r="L701" s="130">
        <v>41.935788690247875</v>
      </c>
      <c r="M701" s="3" t="s">
        <v>482</v>
      </c>
      <c r="Q701" s="128"/>
    </row>
    <row r="702" spans="1:17" ht="13" x14ac:dyDescent="0.3">
      <c r="A702" t="str">
        <f t="shared" si="61"/>
        <v>Annual EE CO2 emissions</v>
      </c>
      <c r="C702" s="90">
        <v>104.8971572627544</v>
      </c>
      <c r="D702" s="90">
        <v>104.30782755628353</v>
      </c>
      <c r="E702" s="90">
        <v>103.34993233487702</v>
      </c>
      <c r="F702" s="90">
        <v>105.96661263647297</v>
      </c>
      <c r="G702" s="90">
        <v>99.334421404659693</v>
      </c>
      <c r="H702" s="134">
        <v>119.56956046202131</v>
      </c>
      <c r="I702" s="130">
        <v>115.0008294650618</v>
      </c>
      <c r="J702" s="130">
        <v>110.43209846810228</v>
      </c>
      <c r="K702" s="130">
        <v>106.51147116773421</v>
      </c>
      <c r="L702" s="130">
        <v>106.51147116773421</v>
      </c>
      <c r="M702" s="3" t="s">
        <v>482</v>
      </c>
      <c r="Q702" s="128"/>
    </row>
    <row r="703" spans="1:17" ht="13" x14ac:dyDescent="0.3">
      <c r="A703" t="str">
        <f>A597</f>
        <v>Annual CA CO2 emissions</v>
      </c>
      <c r="C703" s="90">
        <v>111.04545754579206</v>
      </c>
      <c r="D703" s="90">
        <v>119.83566985399561</v>
      </c>
      <c r="E703" s="90">
        <v>126.66819631396555</v>
      </c>
      <c r="F703" s="90">
        <v>132.48837727235829</v>
      </c>
      <c r="G703" s="90">
        <v>97.006419043806375</v>
      </c>
      <c r="H703" s="134">
        <v>89.395930467822637</v>
      </c>
      <c r="I703" s="130">
        <v>79.162695432779927</v>
      </c>
      <c r="J703" s="130">
        <v>68.92946039773723</v>
      </c>
      <c r="K703" s="130">
        <v>64.933698713644944</v>
      </c>
      <c r="L703" s="130">
        <v>64.933698713644944</v>
      </c>
      <c r="M703" t="str">
        <f>M597</f>
        <v>% relative to base year</v>
      </c>
      <c r="Q703" s="128"/>
    </row>
    <row r="704" spans="1:17" ht="13" x14ac:dyDescent="0.3">
      <c r="A704" t="str">
        <f>A598</f>
        <v>Annual IA CO2 emissions</v>
      </c>
      <c r="C704" s="90">
        <v>111.04545754579208</v>
      </c>
      <c r="D704" s="90">
        <v>119.83566985399563</v>
      </c>
      <c r="E704" s="90">
        <v>126.66819631396559</v>
      </c>
      <c r="F704" s="90">
        <v>132.48837727235829</v>
      </c>
      <c r="G704" s="90">
        <v>97.006419043806375</v>
      </c>
      <c r="H704" s="134">
        <v>89.395930467822637</v>
      </c>
      <c r="I704" s="130">
        <v>79.162695432779941</v>
      </c>
      <c r="J704" s="130">
        <v>68.929460397737245</v>
      </c>
      <c r="K704" s="130">
        <v>64.933698713644944</v>
      </c>
      <c r="L704" s="130">
        <v>64.933698713644944</v>
      </c>
      <c r="M704" t="str">
        <f>M598</f>
        <v>% relative to base year</v>
      </c>
      <c r="Q704" s="128"/>
    </row>
    <row r="705" spans="1:17" ht="13" x14ac:dyDescent="0.3">
      <c r="A705" t="str">
        <f>A599</f>
        <v>Annual AF CO2 emissions</v>
      </c>
      <c r="C705" s="90">
        <v>104.28476830937788</v>
      </c>
      <c r="D705" s="90">
        <v>118.37032346385395</v>
      </c>
      <c r="E705" s="90">
        <v>130.47973614713317</v>
      </c>
      <c r="F705" s="90">
        <v>145.15715060441732</v>
      </c>
      <c r="G705" s="90">
        <v>145.43249931495777</v>
      </c>
      <c r="H705" s="134">
        <v>151.97529025450774</v>
      </c>
      <c r="I705" s="130">
        <v>144.34037955311652</v>
      </c>
      <c r="J705" s="130">
        <v>136.7054688517253</v>
      </c>
      <c r="K705" s="130">
        <v>129.07055815033405</v>
      </c>
      <c r="L705" s="130">
        <v>121.43564744894283</v>
      </c>
      <c r="M705" t="str">
        <f>M599</f>
        <v>% relative to base year</v>
      </c>
      <c r="Q705" s="128"/>
    </row>
    <row r="706" spans="1:17" ht="13.5" thickBot="1" x14ac:dyDescent="0.35">
      <c r="A706" t="str">
        <f>A600</f>
        <v>Annual LA CO2 emissions</v>
      </c>
      <c r="C706" s="92">
        <v>101.40345776012762</v>
      </c>
      <c r="D706" s="92">
        <v>102.35230380114066</v>
      </c>
      <c r="E706" s="92">
        <v>105.72648874039156</v>
      </c>
      <c r="F706" s="92">
        <v>111.56586409142412</v>
      </c>
      <c r="G706" s="92">
        <v>100.91219931409171</v>
      </c>
      <c r="H706" s="141">
        <v>70.794652023725689</v>
      </c>
      <c r="I706" s="133">
        <v>63.294652023725689</v>
      </c>
      <c r="J706" s="133">
        <v>55.794652023725689</v>
      </c>
      <c r="K706" s="133">
        <v>48.294652023725689</v>
      </c>
      <c r="L706" s="133">
        <v>48.294652023725689</v>
      </c>
      <c r="M706" t="str">
        <f>M600</f>
        <v>% relative to base year</v>
      </c>
      <c r="Q706" s="128"/>
    </row>
    <row r="707" spans="1:17" ht="13.5" thickTop="1" x14ac:dyDescent="0.3">
      <c r="Q707" s="128"/>
    </row>
    <row r="708" spans="1:17" ht="13" x14ac:dyDescent="0.3">
      <c r="A708" t="str">
        <f t="shared" ref="A708:A715" si="62">A602</f>
        <v>Annual EU CH4 emissions</v>
      </c>
      <c r="C708" s="88">
        <f t="array" ref="C708:L715" xml:space="preserve"> RCP26_CH4 * (0.25*((1 - WEIGHT_SCENARIOS/100)^2)) + RCP45_CH4 * (0.5*(1 - (WEIGHT_SCENARIOS/100)^2)) +  RCP85_CH4 * (0.25*((1 + WEIGHT_SCENARIOS/100)^2))</f>
        <v>87.781575938561716</v>
      </c>
      <c r="D708" s="88">
        <v>87.336859739575161</v>
      </c>
      <c r="E708" s="88">
        <v>86.993415075890752</v>
      </c>
      <c r="F708" s="88">
        <v>85.459170536428672</v>
      </c>
      <c r="G708" s="88">
        <v>84.932766623422552</v>
      </c>
      <c r="H708" s="140">
        <v>84.502426524608921</v>
      </c>
      <c r="I708" s="132">
        <v>84.502426524608921</v>
      </c>
      <c r="J708" s="132">
        <v>84.502426524608921</v>
      </c>
      <c r="K708" s="132">
        <v>84.502426524608921</v>
      </c>
      <c r="L708" s="132">
        <v>84.502426524608921</v>
      </c>
      <c r="M708" t="str">
        <f t="shared" ref="M708:M715" si="63">M602</f>
        <v>% relative to base year</v>
      </c>
      <c r="Q708" s="128" t="s">
        <v>692</v>
      </c>
    </row>
    <row r="709" spans="1:17" x14ac:dyDescent="0.25">
      <c r="A709" t="str">
        <f t="shared" si="62"/>
        <v>Annual US CH4 emissions</v>
      </c>
      <c r="C709" s="90">
        <v>87.781575938561716</v>
      </c>
      <c r="D709" s="90">
        <v>87.336859739575161</v>
      </c>
      <c r="E709" s="90">
        <v>86.993415075890752</v>
      </c>
      <c r="F709" s="90">
        <v>85.459170536428672</v>
      </c>
      <c r="G709" s="90">
        <v>84.932766623422552</v>
      </c>
      <c r="H709" s="134">
        <v>84.502426524608921</v>
      </c>
      <c r="I709" s="130">
        <v>84.502426524608921</v>
      </c>
      <c r="J709" s="130">
        <v>84.502426524608921</v>
      </c>
      <c r="K709" s="130">
        <v>84.502426524608921</v>
      </c>
      <c r="L709" s="130">
        <v>84.502426524608921</v>
      </c>
      <c r="M709" t="str">
        <f t="shared" si="63"/>
        <v>% relative to base year</v>
      </c>
    </row>
    <row r="710" spans="1:17" x14ac:dyDescent="0.25">
      <c r="A710" t="str">
        <f t="shared" si="62"/>
        <v>Annual OT CH4 emissions</v>
      </c>
      <c r="C710" s="90">
        <v>87.781575938561716</v>
      </c>
      <c r="D710" s="90">
        <v>87.336859739575161</v>
      </c>
      <c r="E710" s="90">
        <v>86.993415075890752</v>
      </c>
      <c r="F710" s="90">
        <v>85.459170536428672</v>
      </c>
      <c r="G710" s="90">
        <v>84.932766623422552</v>
      </c>
      <c r="H710" s="134">
        <v>84.502426524608921</v>
      </c>
      <c r="I710" s="130">
        <v>84.502426524608921</v>
      </c>
      <c r="J710" s="130">
        <v>84.502426524608921</v>
      </c>
      <c r="K710" s="130">
        <v>84.502426524608921</v>
      </c>
      <c r="L710" s="130">
        <v>84.502426524608921</v>
      </c>
      <c r="M710" t="str">
        <f t="shared" si="63"/>
        <v>% relative to base year</v>
      </c>
    </row>
    <row r="711" spans="1:17" x14ac:dyDescent="0.25">
      <c r="A711" t="str">
        <f t="shared" si="62"/>
        <v>Annual EE CH4 emissions</v>
      </c>
      <c r="C711" s="90">
        <v>100.00309054126919</v>
      </c>
      <c r="D711" s="90">
        <v>97.648060730951599</v>
      </c>
      <c r="E711" s="90">
        <v>102.17729298152058</v>
      </c>
      <c r="F711" s="90">
        <v>106.86594264041057</v>
      </c>
      <c r="G711" s="90">
        <v>83.217885370782696</v>
      </c>
      <c r="H711" s="134">
        <v>104.14868184128785</v>
      </c>
      <c r="I711" s="130">
        <v>104.14868184128785</v>
      </c>
      <c r="J711" s="130">
        <v>104.14868184128785</v>
      </c>
      <c r="K711" s="130">
        <v>104.14868184128785</v>
      </c>
      <c r="L711" s="130">
        <v>104.14868184128785</v>
      </c>
      <c r="M711" t="str">
        <f t="shared" si="63"/>
        <v>% relative to base year</v>
      </c>
    </row>
    <row r="712" spans="1:17" x14ac:dyDescent="0.25">
      <c r="A712" t="str">
        <f t="shared" si="62"/>
        <v>Annual CA CH4 emissions</v>
      </c>
      <c r="C712" s="90">
        <v>102.11232187473402</v>
      </c>
      <c r="D712" s="90">
        <v>104.26287759442437</v>
      </c>
      <c r="E712" s="90">
        <v>108.49855972064546</v>
      </c>
      <c r="F712" s="90">
        <v>111.51090181024833</v>
      </c>
      <c r="G712" s="90">
        <v>115.3452478497081</v>
      </c>
      <c r="H712" s="134">
        <v>113.80433692774554</v>
      </c>
      <c r="I712" s="130">
        <v>113.80433692774554</v>
      </c>
      <c r="J712" s="130">
        <v>113.80433692774554</v>
      </c>
      <c r="K712" s="130">
        <v>113.80433692774554</v>
      </c>
      <c r="L712" s="130">
        <v>113.80433692774554</v>
      </c>
      <c r="M712" t="str">
        <f t="shared" si="63"/>
        <v>% relative to base year</v>
      </c>
    </row>
    <row r="713" spans="1:17" x14ac:dyDescent="0.25">
      <c r="A713" t="str">
        <f t="shared" si="62"/>
        <v>Annual IA CH4 emissions</v>
      </c>
      <c r="C713" s="90">
        <v>102.11232187473402</v>
      </c>
      <c r="D713" s="90">
        <v>104.26287759442437</v>
      </c>
      <c r="E713" s="90">
        <v>108.49855972064546</v>
      </c>
      <c r="F713" s="90">
        <v>111.51090181024833</v>
      </c>
      <c r="G713" s="90">
        <v>115.3452478497081</v>
      </c>
      <c r="H713" s="134">
        <v>113.80433692774554</v>
      </c>
      <c r="I713" s="130">
        <v>113.80433692774554</v>
      </c>
      <c r="J713" s="130">
        <v>113.80433692774554</v>
      </c>
      <c r="K713" s="130">
        <v>113.80433692774554</v>
      </c>
      <c r="L713" s="130">
        <v>113.80433692774554</v>
      </c>
      <c r="M713" t="str">
        <f t="shared" si="63"/>
        <v>% relative to base year</v>
      </c>
    </row>
    <row r="714" spans="1:17" x14ac:dyDescent="0.25">
      <c r="A714" t="str">
        <f t="shared" si="62"/>
        <v>Annual AF CH4 emissions</v>
      </c>
      <c r="C714" s="90">
        <v>108.39171465116388</v>
      </c>
      <c r="D714" s="90">
        <v>121.76637126833478</v>
      </c>
      <c r="E714" s="90">
        <v>137.53233241841019</v>
      </c>
      <c r="F714" s="90">
        <v>147.41769775799472</v>
      </c>
      <c r="G714" s="90">
        <v>148.38929593579587</v>
      </c>
      <c r="H714" s="134">
        <v>153.1655897716559</v>
      </c>
      <c r="I714" s="130">
        <v>153.1655897716559</v>
      </c>
      <c r="J714" s="130">
        <v>153.1655897716559</v>
      </c>
      <c r="K714" s="130">
        <v>153.1655897716559</v>
      </c>
      <c r="L714" s="130">
        <v>153.1655897716559</v>
      </c>
      <c r="M714" t="str">
        <f t="shared" si="63"/>
        <v>% relative to base year</v>
      </c>
    </row>
    <row r="715" spans="1:17" ht="13" thickBot="1" x14ac:dyDescent="0.3">
      <c r="A715" t="str">
        <f t="shared" si="62"/>
        <v>Annual LA CH4 emissions</v>
      </c>
      <c r="C715" s="92">
        <v>99.898237832460183</v>
      </c>
      <c r="D715" s="92">
        <v>107.4551698990617</v>
      </c>
      <c r="E715" s="92">
        <v>112.90386971710967</v>
      </c>
      <c r="F715" s="92">
        <v>113.47825513253611</v>
      </c>
      <c r="G715" s="92">
        <v>113.31378742297622</v>
      </c>
      <c r="H715" s="141">
        <v>104.21545507751445</v>
      </c>
      <c r="I715" s="133">
        <v>104.21545507751445</v>
      </c>
      <c r="J715" s="133">
        <v>104.21545507751445</v>
      </c>
      <c r="K715" s="133">
        <v>104.21545507751445</v>
      </c>
      <c r="L715" s="133">
        <v>104.21545507751445</v>
      </c>
      <c r="M715" t="str">
        <f t="shared" si="63"/>
        <v>% relative to base year</v>
      </c>
    </row>
    <row r="716" spans="1:17" ht="13" thickTop="1" x14ac:dyDescent="0.25"/>
    <row r="717" spans="1:17" ht="13" x14ac:dyDescent="0.3">
      <c r="A717" t="str">
        <f t="shared" ref="A717:A724" si="64">A611</f>
        <v>Annual EU N2O emissions</v>
      </c>
      <c r="C717" s="88">
        <f t="array" ref="C717:L724" xml:space="preserve"> RCP26_N2O * (0.25*((1 - WEIGHT_SCENARIOS/100)^2)) + RCP45_N2O * (0.5*(1 - (WEIGHT_SCENARIOS/100)^2)) +  RCP85_N2O * (0.25*((1 + WEIGHT_SCENARIOS/100)^2))</f>
        <v>93.406335998975905</v>
      </c>
      <c r="D717" s="88">
        <v>96.692998610907907</v>
      </c>
      <c r="E717" s="88">
        <v>99.107675366157011</v>
      </c>
      <c r="F717" s="88">
        <v>98.063142183778865</v>
      </c>
      <c r="G717" s="88">
        <v>94.710619287788631</v>
      </c>
      <c r="H717" s="140">
        <v>92.977547924571695</v>
      </c>
      <c r="I717" s="132">
        <v>92.977547924571695</v>
      </c>
      <c r="J717" s="132">
        <v>92.977547924571695</v>
      </c>
      <c r="K717" s="132">
        <v>92.977547924571695</v>
      </c>
      <c r="L717" s="132">
        <v>92.977547924571695</v>
      </c>
      <c r="M717" t="str">
        <f t="shared" ref="M717:M724" si="65">M611</f>
        <v>% relative to base year</v>
      </c>
      <c r="Q717" s="128" t="s">
        <v>692</v>
      </c>
    </row>
    <row r="718" spans="1:17" ht="13" x14ac:dyDescent="0.3">
      <c r="A718" t="str">
        <f t="shared" si="64"/>
        <v>Annual US N2O emissions</v>
      </c>
      <c r="C718" s="90">
        <v>93.406335998975905</v>
      </c>
      <c r="D718" s="90">
        <v>96.692998610907907</v>
      </c>
      <c r="E718" s="90">
        <v>99.107675366157011</v>
      </c>
      <c r="F718" s="90">
        <v>98.063142183778865</v>
      </c>
      <c r="G718" s="90">
        <v>94.710619287788631</v>
      </c>
      <c r="H718" s="134">
        <v>92.977547924571695</v>
      </c>
      <c r="I718" s="130">
        <v>92.977547924571695</v>
      </c>
      <c r="J718" s="130">
        <v>92.977547924571695</v>
      </c>
      <c r="K718" s="130">
        <v>92.977547924571695</v>
      </c>
      <c r="L718" s="130">
        <v>92.977547924571695</v>
      </c>
      <c r="M718" t="str">
        <f t="shared" si="65"/>
        <v>% relative to base year</v>
      </c>
      <c r="Q718" s="128"/>
    </row>
    <row r="719" spans="1:17" ht="13" x14ac:dyDescent="0.3">
      <c r="A719" t="str">
        <f t="shared" si="64"/>
        <v>Annual OT N2O emissions</v>
      </c>
      <c r="C719" s="90">
        <v>93.406335998975905</v>
      </c>
      <c r="D719" s="90">
        <v>96.692998610907907</v>
      </c>
      <c r="E719" s="90">
        <v>99.107675366157011</v>
      </c>
      <c r="F719" s="90">
        <v>98.063142183778865</v>
      </c>
      <c r="G719" s="90">
        <v>94.710619287788631</v>
      </c>
      <c r="H719" s="134">
        <v>92.977547924571695</v>
      </c>
      <c r="I719" s="130">
        <v>92.977547924571695</v>
      </c>
      <c r="J719" s="130">
        <v>92.977547924571695</v>
      </c>
      <c r="K719" s="130">
        <v>92.977547924571695</v>
      </c>
      <c r="L719" s="130">
        <v>92.977547924571695</v>
      </c>
      <c r="M719" t="str">
        <f t="shared" si="65"/>
        <v>% relative to base year</v>
      </c>
      <c r="Q719" s="128"/>
    </row>
    <row r="720" spans="1:17" ht="13" x14ac:dyDescent="0.3">
      <c r="A720" t="str">
        <f t="shared" si="64"/>
        <v>Annual EE N2O emissions</v>
      </c>
      <c r="C720" s="90">
        <v>111.6599059714917</v>
      </c>
      <c r="D720" s="90">
        <v>113.37597446692106</v>
      </c>
      <c r="E720" s="90">
        <v>113.95726785554314</v>
      </c>
      <c r="F720" s="90">
        <v>111.89152387400748</v>
      </c>
      <c r="G720" s="90">
        <v>113.62705718591364</v>
      </c>
      <c r="H720" s="134">
        <v>123.54617423325595</v>
      </c>
      <c r="I720" s="130">
        <v>123.54617423325595</v>
      </c>
      <c r="J720" s="130">
        <v>123.54617423325595</v>
      </c>
      <c r="K720" s="130">
        <v>123.54617423325595</v>
      </c>
      <c r="L720" s="130">
        <v>123.54617423325595</v>
      </c>
      <c r="M720" t="str">
        <f t="shared" si="65"/>
        <v>% relative to base year</v>
      </c>
      <c r="Q720" s="128"/>
    </row>
    <row r="721" spans="1:17" ht="13" x14ac:dyDescent="0.3">
      <c r="A721" t="str">
        <f t="shared" si="64"/>
        <v>Annual CA N2O emissions</v>
      </c>
      <c r="C721" s="90">
        <v>116.38196962099833</v>
      </c>
      <c r="D721" s="90">
        <v>122.51293639374531</v>
      </c>
      <c r="E721" s="90">
        <v>126.37675132681993</v>
      </c>
      <c r="F721" s="90">
        <v>122.7685664076663</v>
      </c>
      <c r="G721" s="90">
        <v>121.93722728710355</v>
      </c>
      <c r="H721" s="134">
        <v>125.8826691291264</v>
      </c>
      <c r="I721" s="130">
        <v>125.8826691291264</v>
      </c>
      <c r="J721" s="130">
        <v>125.8826691291264</v>
      </c>
      <c r="K721" s="130">
        <v>125.8826691291264</v>
      </c>
      <c r="L721" s="130">
        <v>125.8826691291264</v>
      </c>
      <c r="M721" t="str">
        <f t="shared" si="65"/>
        <v>% relative to base year</v>
      </c>
      <c r="Q721" s="128"/>
    </row>
    <row r="722" spans="1:17" ht="13" x14ac:dyDescent="0.3">
      <c r="A722" t="str">
        <f t="shared" si="64"/>
        <v>Annual IA N2O emissions</v>
      </c>
      <c r="C722" s="90">
        <v>116.38196962099833</v>
      </c>
      <c r="D722" s="90">
        <v>122.51293639374531</v>
      </c>
      <c r="E722" s="90">
        <v>126.37675132681993</v>
      </c>
      <c r="F722" s="90">
        <v>122.7685664076663</v>
      </c>
      <c r="G722" s="90">
        <v>121.93722728710355</v>
      </c>
      <c r="H722" s="134">
        <v>125.8826691291264</v>
      </c>
      <c r="I722" s="130">
        <v>125.8826691291264</v>
      </c>
      <c r="J722" s="130">
        <v>125.8826691291264</v>
      </c>
      <c r="K722" s="130">
        <v>125.8826691291264</v>
      </c>
      <c r="L722" s="130">
        <v>125.8826691291264</v>
      </c>
      <c r="M722" t="str">
        <f t="shared" si="65"/>
        <v>% relative to base year</v>
      </c>
      <c r="Q722" s="128"/>
    </row>
    <row r="723" spans="1:17" ht="13" x14ac:dyDescent="0.3">
      <c r="A723" t="str">
        <f t="shared" si="64"/>
        <v>Annual AF N2O emissions</v>
      </c>
      <c r="C723" s="90">
        <v>114.94926807022721</v>
      </c>
      <c r="D723" s="90">
        <v>125.56308023601036</v>
      </c>
      <c r="E723" s="90">
        <v>134.01950005780699</v>
      </c>
      <c r="F723" s="90">
        <v>136.72985366564293</v>
      </c>
      <c r="G723" s="90">
        <v>146.57297521414418</v>
      </c>
      <c r="H723" s="134">
        <v>154.57339447541381</v>
      </c>
      <c r="I723" s="130">
        <v>154.57339447541381</v>
      </c>
      <c r="J723" s="130">
        <v>154.57339447541381</v>
      </c>
      <c r="K723" s="130">
        <v>154.57339447541381</v>
      </c>
      <c r="L723" s="130">
        <v>154.57339447541381</v>
      </c>
      <c r="M723" t="str">
        <f t="shared" si="65"/>
        <v>% relative to base year</v>
      </c>
      <c r="Q723" s="128"/>
    </row>
    <row r="724" spans="1:17" ht="13.5" thickBot="1" x14ac:dyDescent="0.35">
      <c r="A724" t="str">
        <f t="shared" si="64"/>
        <v>Annual LA N2O emissions</v>
      </c>
      <c r="C724" s="92">
        <v>107.54180416895829</v>
      </c>
      <c r="D724" s="92">
        <v>112.42156049520825</v>
      </c>
      <c r="E724" s="92">
        <v>116.76289527195169</v>
      </c>
      <c r="F724" s="92">
        <v>114.25106606079302</v>
      </c>
      <c r="G724" s="92">
        <v>113.68507342284104</v>
      </c>
      <c r="H724" s="141">
        <v>110.83896077151448</v>
      </c>
      <c r="I724" s="133">
        <v>110.83896077151448</v>
      </c>
      <c r="J724" s="133">
        <v>110.83896077151448</v>
      </c>
      <c r="K724" s="133">
        <v>110.83896077151448</v>
      </c>
      <c r="L724" s="133">
        <v>110.83896077151448</v>
      </c>
      <c r="M724" t="str">
        <f t="shared" si="65"/>
        <v>% relative to base year</v>
      </c>
      <c r="Q724" s="128"/>
    </row>
    <row r="725" spans="1:17" ht="13.5" thickTop="1" x14ac:dyDescent="0.3">
      <c r="Q725" s="128"/>
    </row>
    <row r="726" spans="1:17" ht="13" x14ac:dyDescent="0.3">
      <c r="A726" t="str">
        <f t="shared" ref="A726:A733" si="66">A620</f>
        <v>Annual EU Lin emissions</v>
      </c>
      <c r="C726" s="88">
        <f t="array" ref="C726:L733" xml:space="preserve"> RCP26_Lin * (0.25*((1 - WEIGHT_SCENARIOS/100)^2)) + RCP45_Lin * (0.5*(1 - (WEIGHT_SCENARIOS/100)^2)) +  RCP85_Lin * (0.25*((1 + WEIGHT_SCENARIOS/100)^2))</f>
        <v>135.29265819944652</v>
      </c>
      <c r="D726" s="88">
        <v>134.75796162937345</v>
      </c>
      <c r="E726" s="88">
        <v>128.16125186101331</v>
      </c>
      <c r="F726" s="88">
        <v>117.4594092105051</v>
      </c>
      <c r="G726" s="88">
        <v>102.10331488380049</v>
      </c>
      <c r="H726" s="140">
        <v>110.88196398678367</v>
      </c>
      <c r="I726" s="132">
        <v>110.88196398678367</v>
      </c>
      <c r="J726" s="132">
        <v>110.88196398678367</v>
      </c>
      <c r="K726" s="132">
        <v>110.88196398678367</v>
      </c>
      <c r="L726" s="132">
        <v>110.88196398678367</v>
      </c>
      <c r="M726" t="str">
        <f t="shared" ref="M726:M733" si="67">M620</f>
        <v>% relative to base year</v>
      </c>
      <c r="Q726" s="128" t="s">
        <v>692</v>
      </c>
    </row>
    <row r="727" spans="1:17" x14ac:dyDescent="0.25">
      <c r="A727" t="str">
        <f t="shared" si="66"/>
        <v>Annual US Lin emissions</v>
      </c>
      <c r="C727" s="90">
        <v>135.29265819944652</v>
      </c>
      <c r="D727" s="90">
        <v>134.75796162937345</v>
      </c>
      <c r="E727" s="90">
        <v>128.16125186101331</v>
      </c>
      <c r="F727" s="90">
        <v>117.4594092105051</v>
      </c>
      <c r="G727" s="90">
        <v>102.10331488380049</v>
      </c>
      <c r="H727" s="134">
        <v>110.88196398678367</v>
      </c>
      <c r="I727" s="130">
        <v>110.88196398678367</v>
      </c>
      <c r="J727" s="130">
        <v>110.88196398678367</v>
      </c>
      <c r="K727" s="130">
        <v>110.88196398678367</v>
      </c>
      <c r="L727" s="130">
        <v>110.88196398678367</v>
      </c>
      <c r="M727" t="str">
        <f t="shared" si="67"/>
        <v>% relative to base year</v>
      </c>
    </row>
    <row r="728" spans="1:17" x14ac:dyDescent="0.25">
      <c r="A728" t="str">
        <f t="shared" si="66"/>
        <v>Annual OT Lin emissions</v>
      </c>
      <c r="C728" s="90">
        <v>135.29265819944652</v>
      </c>
      <c r="D728" s="90">
        <v>134.75796162937345</v>
      </c>
      <c r="E728" s="90">
        <v>128.16125186101331</v>
      </c>
      <c r="F728" s="90">
        <v>117.4594092105051</v>
      </c>
      <c r="G728" s="90">
        <v>102.10331488380049</v>
      </c>
      <c r="H728" s="134">
        <v>110.88196398678367</v>
      </c>
      <c r="I728" s="130">
        <v>110.88196398678367</v>
      </c>
      <c r="J728" s="130">
        <v>110.88196398678367</v>
      </c>
      <c r="K728" s="130">
        <v>110.88196398678367</v>
      </c>
      <c r="L728" s="130">
        <v>110.88196398678367</v>
      </c>
      <c r="M728" t="str">
        <f t="shared" si="67"/>
        <v>% relative to base year</v>
      </c>
    </row>
    <row r="729" spans="1:17" x14ac:dyDescent="0.25">
      <c r="A729" t="str">
        <f t="shared" si="66"/>
        <v>Annual EE Lin emissions</v>
      </c>
      <c r="C729" s="90">
        <v>137.98553596082431</v>
      </c>
      <c r="D729" s="90">
        <v>162.79017824084397</v>
      </c>
      <c r="E729" s="90">
        <v>187.27007201574799</v>
      </c>
      <c r="F729" s="90">
        <v>201.67664450259863</v>
      </c>
      <c r="G729" s="90">
        <v>226.01290401192551</v>
      </c>
      <c r="H729" s="134">
        <v>260.92865692640663</v>
      </c>
      <c r="I729" s="130">
        <v>260.92865692640663</v>
      </c>
      <c r="J729" s="130">
        <v>260.92865692640663</v>
      </c>
      <c r="K729" s="130">
        <v>260.92865692640663</v>
      </c>
      <c r="L729" s="130">
        <v>260.92865692640663</v>
      </c>
      <c r="M729" t="str">
        <f t="shared" si="67"/>
        <v>% relative to base year</v>
      </c>
    </row>
    <row r="730" spans="1:17" x14ac:dyDescent="0.25">
      <c r="A730" t="str">
        <f t="shared" si="66"/>
        <v>Annual CA Lin emissions</v>
      </c>
      <c r="C730" s="90">
        <v>144.22401144691514</v>
      </c>
      <c r="D730" s="90">
        <v>182.28894776631051</v>
      </c>
      <c r="E730" s="90">
        <v>225.99271919139255</v>
      </c>
      <c r="F730" s="90">
        <v>248.62481372638985</v>
      </c>
      <c r="G730" s="90">
        <v>312.21863722165682</v>
      </c>
      <c r="H730" s="134">
        <v>379.40170673937462</v>
      </c>
      <c r="I730" s="130">
        <v>379.40170673937462</v>
      </c>
      <c r="J730" s="130">
        <v>379.40170673937462</v>
      </c>
      <c r="K730" s="130">
        <v>379.40170673937462</v>
      </c>
      <c r="L730" s="130">
        <v>379.40170673937462</v>
      </c>
      <c r="M730" t="str">
        <f t="shared" si="67"/>
        <v>% relative to base year</v>
      </c>
    </row>
    <row r="731" spans="1:17" x14ac:dyDescent="0.25">
      <c r="A731" t="str">
        <f t="shared" si="66"/>
        <v>Annual IA Lin emissions</v>
      </c>
      <c r="C731" s="90">
        <v>144.22401144691514</v>
      </c>
      <c r="D731" s="90">
        <v>182.28894776631051</v>
      </c>
      <c r="E731" s="90">
        <v>225.99271919139255</v>
      </c>
      <c r="F731" s="90">
        <v>248.62481372638985</v>
      </c>
      <c r="G731" s="90">
        <v>312.21863722165682</v>
      </c>
      <c r="H731" s="134">
        <v>379.40170673937462</v>
      </c>
      <c r="I731" s="130">
        <v>379.40170673937462</v>
      </c>
      <c r="J731" s="130">
        <v>379.40170673937462</v>
      </c>
      <c r="K731" s="130">
        <v>379.40170673937462</v>
      </c>
      <c r="L731" s="130">
        <v>379.40170673937462</v>
      </c>
      <c r="M731" t="str">
        <f t="shared" si="67"/>
        <v>% relative to base year</v>
      </c>
    </row>
    <row r="732" spans="1:17" x14ac:dyDescent="0.25">
      <c r="A732" t="str">
        <f t="shared" si="66"/>
        <v>Annual AF Lin emissions</v>
      </c>
      <c r="C732" s="90">
        <v>151.43983947155695</v>
      </c>
      <c r="D732" s="90">
        <v>175.00548065396441</v>
      </c>
      <c r="E732" s="90">
        <v>199.66361942158852</v>
      </c>
      <c r="F732" s="90">
        <v>226.83403631419662</v>
      </c>
      <c r="G732" s="90">
        <v>348.55757739335445</v>
      </c>
      <c r="H732" s="134">
        <v>466.42872588943987</v>
      </c>
      <c r="I732" s="130">
        <v>466.42872588943987</v>
      </c>
      <c r="J732" s="130">
        <v>466.42872588943987</v>
      </c>
      <c r="K732" s="130">
        <v>466.42872588943987</v>
      </c>
      <c r="L732" s="130">
        <v>466.42872588943987</v>
      </c>
      <c r="M732" t="str">
        <f t="shared" si="67"/>
        <v>% relative to base year</v>
      </c>
    </row>
    <row r="733" spans="1:17" ht="13" thickBot="1" x14ac:dyDescent="0.3">
      <c r="A733" t="str">
        <f t="shared" si="66"/>
        <v>Annual LA Lin emissions</v>
      </c>
      <c r="C733" s="92">
        <v>134.93610729132132</v>
      </c>
      <c r="D733" s="92">
        <v>157.24945373841473</v>
      </c>
      <c r="E733" s="92">
        <v>192.89045030007208</v>
      </c>
      <c r="F733" s="92">
        <v>223.89182242918633</v>
      </c>
      <c r="G733" s="92">
        <v>329.91696040037317</v>
      </c>
      <c r="H733" s="141">
        <v>444.85043275696557</v>
      </c>
      <c r="I733" s="133">
        <v>444.85043275696557</v>
      </c>
      <c r="J733" s="133">
        <v>444.85043275696557</v>
      </c>
      <c r="K733" s="133">
        <v>444.85043275696557</v>
      </c>
      <c r="L733" s="133">
        <v>444.85043275696557</v>
      </c>
      <c r="M733" t="str">
        <f t="shared" si="67"/>
        <v>% relative to base year</v>
      </c>
    </row>
    <row r="734" spans="1:17" ht="13" thickTop="1" x14ac:dyDescent="0.25"/>
    <row r="735" spans="1:17" ht="13" x14ac:dyDescent="0.3">
      <c r="A735" t="str">
        <f t="shared" ref="A735:A742" si="68">A629</f>
        <v>Annual EU sulphates</v>
      </c>
      <c r="C735" s="88">
        <f t="array" ref="C735:L742" xml:space="preserve"> RCP26_sulph * (0.25*((1 - WEIGHT_SCENARIOS/100)^2)) + RCP45_sulph * (0.5*(1 - (WEIGHT_SCENARIOS/100)^2)) +  RCP85_sulph * (0.25*((1 + WEIGHT_SCENARIOS/100)^2))</f>
        <v>63.852103365476893</v>
      </c>
      <c r="D735" s="88">
        <v>47.838821179939558</v>
      </c>
      <c r="E735" s="88">
        <v>33.457420676791415</v>
      </c>
      <c r="F735" s="88">
        <v>22.764037904546257</v>
      </c>
      <c r="G735" s="88">
        <v>14.513660112443674</v>
      </c>
      <c r="H735" s="140">
        <v>11.816364004829548</v>
      </c>
      <c r="I735" s="132">
        <v>11.816364004829548</v>
      </c>
      <c r="J735" s="132">
        <v>11.816364004829548</v>
      </c>
      <c r="K735" s="132">
        <v>11.816364004829548</v>
      </c>
      <c r="L735" s="132">
        <v>11.816364004829548</v>
      </c>
      <c r="M735" t="str">
        <f t="shared" ref="M735:M742" si="69">M629</f>
        <v>% relative to base year</v>
      </c>
      <c r="Q735" s="128" t="s">
        <v>692</v>
      </c>
    </row>
    <row r="736" spans="1:17" ht="13" x14ac:dyDescent="0.3">
      <c r="A736" t="str">
        <f t="shared" si="68"/>
        <v>Annual US sulphates</v>
      </c>
      <c r="C736" s="90">
        <v>63.852103365476893</v>
      </c>
      <c r="D736" s="90">
        <v>47.838821179939558</v>
      </c>
      <c r="E736" s="90">
        <v>33.457420676791415</v>
      </c>
      <c r="F736" s="90">
        <v>22.764037904546257</v>
      </c>
      <c r="G736" s="90">
        <v>14.513660112443674</v>
      </c>
      <c r="H736" s="134">
        <v>11.816364004829548</v>
      </c>
      <c r="I736" s="130">
        <v>11.816364004829548</v>
      </c>
      <c r="J736" s="130">
        <v>11.816364004829548</v>
      </c>
      <c r="K736" s="130">
        <v>11.816364004829548</v>
      </c>
      <c r="L736" s="130">
        <v>11.816364004829548</v>
      </c>
      <c r="M736" t="str">
        <f t="shared" si="69"/>
        <v>% relative to base year</v>
      </c>
      <c r="Q736" s="128"/>
    </row>
    <row r="737" spans="1:17" ht="13" x14ac:dyDescent="0.3">
      <c r="A737" t="str">
        <f t="shared" si="68"/>
        <v>Annual OT sulphates</v>
      </c>
      <c r="C737" s="90">
        <v>63.852103365476893</v>
      </c>
      <c r="D737" s="90">
        <v>47.838821179939558</v>
      </c>
      <c r="E737" s="90">
        <v>33.457420676791415</v>
      </c>
      <c r="F737" s="90">
        <v>22.764037904546257</v>
      </c>
      <c r="G737" s="90">
        <v>14.513660112443674</v>
      </c>
      <c r="H737" s="134">
        <v>11.816364004829548</v>
      </c>
      <c r="I737" s="130">
        <v>11.816364004829548</v>
      </c>
      <c r="J737" s="130">
        <v>11.816364004829548</v>
      </c>
      <c r="K737" s="130">
        <v>11.816364004829548</v>
      </c>
      <c r="L737" s="130">
        <v>11.816364004829548</v>
      </c>
      <c r="M737" t="str">
        <f t="shared" si="69"/>
        <v>% relative to base year</v>
      </c>
      <c r="Q737" s="128"/>
    </row>
    <row r="738" spans="1:17" ht="13" x14ac:dyDescent="0.3">
      <c r="A738" t="str">
        <f t="shared" si="68"/>
        <v>Annual EE sulphates</v>
      </c>
      <c r="C738" s="90">
        <v>68.264518217855496</v>
      </c>
      <c r="D738" s="90">
        <v>54.81324196695634</v>
      </c>
      <c r="E738" s="90">
        <v>41.396320078904438</v>
      </c>
      <c r="F738" s="90">
        <v>28.776886367634855</v>
      </c>
      <c r="G738" s="90">
        <v>15.0992091442758</v>
      </c>
      <c r="H738" s="134">
        <v>11.274086066969243</v>
      </c>
      <c r="I738" s="130">
        <v>11.274086066969243</v>
      </c>
      <c r="J738" s="130">
        <v>11.274086066969243</v>
      </c>
      <c r="K738" s="130">
        <v>11.274086066969243</v>
      </c>
      <c r="L738" s="130">
        <v>11.274086066969243</v>
      </c>
      <c r="M738" t="str">
        <f t="shared" si="69"/>
        <v>% relative to base year</v>
      </c>
      <c r="Q738" s="128"/>
    </row>
    <row r="739" spans="1:17" ht="13" x14ac:dyDescent="0.3">
      <c r="A739" t="str">
        <f t="shared" si="68"/>
        <v>Annual CA sulphates</v>
      </c>
      <c r="C739" s="90">
        <v>93.282236642104351</v>
      </c>
      <c r="D739" s="90">
        <v>73.095380484956394</v>
      </c>
      <c r="E739" s="90">
        <v>50.194879290430194</v>
      </c>
      <c r="F739" s="90">
        <v>32.90983112154138</v>
      </c>
      <c r="G739" s="90">
        <v>18.022191762502622</v>
      </c>
      <c r="H739" s="134">
        <v>11.40940710997471</v>
      </c>
      <c r="I739" s="130">
        <v>11.40940710997471</v>
      </c>
      <c r="J739" s="130">
        <v>11.40940710997471</v>
      </c>
      <c r="K739" s="130">
        <v>11.40940710997471</v>
      </c>
      <c r="L739" s="130">
        <v>11.40940710997471</v>
      </c>
      <c r="M739" t="str">
        <f t="shared" si="69"/>
        <v>% relative to base year</v>
      </c>
      <c r="Q739" s="128"/>
    </row>
    <row r="740" spans="1:17" ht="13" x14ac:dyDescent="0.3">
      <c r="A740" t="str">
        <f t="shared" si="68"/>
        <v>Annual IA sulphates</v>
      </c>
      <c r="C740" s="90">
        <v>93.282236642104351</v>
      </c>
      <c r="D740" s="90">
        <v>73.095380484956394</v>
      </c>
      <c r="E740" s="90">
        <v>50.194879290430194</v>
      </c>
      <c r="F740" s="90">
        <v>32.90983112154138</v>
      </c>
      <c r="G740" s="90">
        <v>18.022191762502622</v>
      </c>
      <c r="H740" s="134">
        <v>11.40940710997471</v>
      </c>
      <c r="I740" s="130">
        <v>11.40940710997471</v>
      </c>
      <c r="J740" s="130">
        <v>11.40940710997471</v>
      </c>
      <c r="K740" s="130">
        <v>11.40940710997471</v>
      </c>
      <c r="L740" s="130">
        <v>11.40940710997471</v>
      </c>
      <c r="M740" t="str">
        <f t="shared" si="69"/>
        <v>% relative to base year</v>
      </c>
      <c r="Q740" s="128"/>
    </row>
    <row r="741" spans="1:17" ht="13" x14ac:dyDescent="0.3">
      <c r="A741" t="str">
        <f t="shared" si="68"/>
        <v>Annual AF sulphates</v>
      </c>
      <c r="C741" s="90">
        <v>97.387193116458732</v>
      </c>
      <c r="D741" s="90">
        <v>94.309090515899882</v>
      </c>
      <c r="E741" s="90">
        <v>90.33457517775723</v>
      </c>
      <c r="F741" s="90">
        <v>84.818431792328312</v>
      </c>
      <c r="G741" s="90">
        <v>66.469103864696976</v>
      </c>
      <c r="H741" s="134">
        <v>47.101225204464605</v>
      </c>
      <c r="I741" s="130">
        <v>47.101225204464605</v>
      </c>
      <c r="J741" s="130">
        <v>47.101225204464605</v>
      </c>
      <c r="K741" s="130">
        <v>47.101225204464605</v>
      </c>
      <c r="L741" s="130">
        <v>47.101225204464605</v>
      </c>
      <c r="M741" t="str">
        <f t="shared" si="69"/>
        <v>% relative to base year</v>
      </c>
      <c r="Q741" s="128"/>
    </row>
    <row r="742" spans="1:17" ht="13.5" thickBot="1" x14ac:dyDescent="0.35">
      <c r="A742" t="str">
        <f t="shared" si="68"/>
        <v>Annual LA sulphates</v>
      </c>
      <c r="C742" s="92">
        <v>77.549998722400446</v>
      </c>
      <c r="D742" s="92">
        <v>72.727217223570889</v>
      </c>
      <c r="E742" s="92">
        <v>66.401194837987788</v>
      </c>
      <c r="F742" s="92">
        <v>56.648872188846497</v>
      </c>
      <c r="G742" s="92">
        <v>34.929084207346079</v>
      </c>
      <c r="H742" s="141">
        <v>24.99994269602972</v>
      </c>
      <c r="I742" s="133">
        <v>24.99994269602972</v>
      </c>
      <c r="J742" s="133">
        <v>24.99994269602972</v>
      </c>
      <c r="K742" s="133">
        <v>24.99994269602972</v>
      </c>
      <c r="L742" s="133">
        <v>24.99994269602972</v>
      </c>
      <c r="M742" t="str">
        <f t="shared" si="69"/>
        <v>% relative to base year</v>
      </c>
      <c r="Q742" s="128"/>
    </row>
    <row r="743" spans="1:17" ht="13.5" thickTop="1" x14ac:dyDescent="0.3">
      <c r="C743" s="61"/>
      <c r="D743" s="61"/>
      <c r="E743" s="61"/>
      <c r="F743" s="61"/>
      <c r="G743" s="61"/>
      <c r="H743" s="61"/>
      <c r="I743" s="61"/>
      <c r="J743" s="61"/>
      <c r="K743" s="61"/>
      <c r="L743" s="61"/>
      <c r="Q743" s="128"/>
    </row>
    <row r="744" spans="1:17" ht="13.5" thickBot="1" x14ac:dyDescent="0.35">
      <c r="A744" t="s">
        <v>37</v>
      </c>
      <c r="C744" s="62">
        <f t="array" ref="C744:L744" xml:space="preserve"> RCP26_Excess * (0.25*((1 - WEIGHT_SCENARIOS/100)^2)) + RCP45_Excess * (0.5*(1 - (WEIGHT_SCENARIOS/100)^2)) +  RCP85_Excess * (0.25*((1 + WEIGHT_SCENARIOS/100)^2))</f>
        <v>0.8273118819340155</v>
      </c>
      <c r="D744" s="62">
        <v>0.75682263178012377</v>
      </c>
      <c r="E744" s="62">
        <v>0.6619284002383139</v>
      </c>
      <c r="F744" s="62">
        <v>0.56695274026763698</v>
      </c>
      <c r="G744" s="62">
        <v>0.42538258039615773</v>
      </c>
      <c r="H744" s="150">
        <v>0.34738030133186615</v>
      </c>
      <c r="I744" s="120">
        <v>0.34738030133186615</v>
      </c>
      <c r="J744" s="120">
        <v>0.34738030133186615</v>
      </c>
      <c r="K744" s="120">
        <v>0.34738030133186615</v>
      </c>
      <c r="L744" s="120">
        <v>0.34738030133186615</v>
      </c>
      <c r="M744" t="str">
        <f>M638</f>
        <v>W/m2</v>
      </c>
      <c r="Q744" s="128" t="s">
        <v>692</v>
      </c>
    </row>
    <row r="745" spans="1:17" ht="13" thickTop="1" x14ac:dyDescent="0.25"/>
    <row r="747" spans="1:17" ht="13" x14ac:dyDescent="0.3">
      <c r="A747" s="2" t="s">
        <v>1029</v>
      </c>
    </row>
    <row r="748" spans="1:17" x14ac:dyDescent="0.25">
      <c r="C748">
        <f t="array" ref="C748:L748">Y</f>
        <v>2020</v>
      </c>
      <c r="D748">
        <v>2030</v>
      </c>
      <c r="E748">
        <v>2040</v>
      </c>
      <c r="F748">
        <v>2050</v>
      </c>
      <c r="G748">
        <v>2075</v>
      </c>
      <c r="H748">
        <v>2100</v>
      </c>
      <c r="I748">
        <v>2150</v>
      </c>
      <c r="J748">
        <v>2200</v>
      </c>
      <c r="K748">
        <v>2250</v>
      </c>
      <c r="L748">
        <v>2300</v>
      </c>
    </row>
    <row r="749" spans="1:17" ht="13" x14ac:dyDescent="0.3">
      <c r="A749" t="s">
        <v>989</v>
      </c>
      <c r="C749" s="88">
        <f t="array" ref="C749:L756" xml:space="preserve"> RCP26_CO2 * (0.25*((1 - WEIGHT_SCENARIOS_B/100)^2)) + RCP45_CO2 * (0.5*(1 - (WEIGHT_SCENARIOS_B/100)^2)) +  RCP85_CO2 * (0.25*((1 + WEIGHT_SCENARIOS_B/100)^2))</f>
        <v>100.14970889417899</v>
      </c>
      <c r="D749" s="88">
        <v>98.254932137882037</v>
      </c>
      <c r="E749" s="88">
        <v>89.868041713917393</v>
      </c>
      <c r="F749" s="88">
        <v>83.447866387695058</v>
      </c>
      <c r="G749" s="88">
        <v>64.844983909564277</v>
      </c>
      <c r="H749" s="140">
        <v>56.179294599420587</v>
      </c>
      <c r="I749" s="132">
        <v>50.366858340496833</v>
      </c>
      <c r="J749" s="132">
        <v>44.554422081573087</v>
      </c>
      <c r="K749" s="132">
        <v>41.935788690247868</v>
      </c>
      <c r="L749" s="132">
        <v>41.935788690247868</v>
      </c>
      <c r="M749" s="3" t="s">
        <v>482</v>
      </c>
      <c r="Q749" s="128" t="s">
        <v>692</v>
      </c>
    </row>
    <row r="750" spans="1:17" ht="13" x14ac:dyDescent="0.3">
      <c r="A750" t="s">
        <v>990</v>
      </c>
      <c r="C750" s="90">
        <v>100.149708894179</v>
      </c>
      <c r="D750" s="90">
        <v>98.254932137882065</v>
      </c>
      <c r="E750" s="90">
        <v>89.868041713917421</v>
      </c>
      <c r="F750" s="90">
        <v>83.447866387695086</v>
      </c>
      <c r="G750" s="90">
        <v>64.844983909564291</v>
      </c>
      <c r="H750" s="134">
        <v>56.179294599420601</v>
      </c>
      <c r="I750" s="130">
        <v>50.366858340496847</v>
      </c>
      <c r="J750" s="130">
        <v>44.554422081573101</v>
      </c>
      <c r="K750" s="130">
        <v>41.935788690247882</v>
      </c>
      <c r="L750" s="130">
        <v>41.935788690247882</v>
      </c>
      <c r="M750" s="3" t="s">
        <v>482</v>
      </c>
      <c r="Q750" s="128"/>
    </row>
    <row r="751" spans="1:17" ht="13" x14ac:dyDescent="0.3">
      <c r="A751" t="s">
        <v>991</v>
      </c>
      <c r="C751" s="90">
        <v>100.14970889417899</v>
      </c>
      <c r="D751" s="90">
        <v>98.254932137882065</v>
      </c>
      <c r="E751" s="90">
        <v>89.868041713917393</v>
      </c>
      <c r="F751" s="90">
        <v>83.447866387695072</v>
      </c>
      <c r="G751" s="90">
        <v>64.844983909564291</v>
      </c>
      <c r="H751" s="134">
        <v>56.179294599420594</v>
      </c>
      <c r="I751" s="130">
        <v>50.366858340496847</v>
      </c>
      <c r="J751" s="130">
        <v>44.554422081573094</v>
      </c>
      <c r="K751" s="130">
        <v>41.935788690247875</v>
      </c>
      <c r="L751" s="130">
        <v>41.935788690247875</v>
      </c>
      <c r="M751" s="3" t="s">
        <v>482</v>
      </c>
      <c r="Q751" s="128"/>
    </row>
    <row r="752" spans="1:17" ht="13" x14ac:dyDescent="0.3">
      <c r="A752" t="s">
        <v>992</v>
      </c>
      <c r="C752" s="90">
        <v>104.8971572627544</v>
      </c>
      <c r="D752" s="90">
        <v>104.30782755628353</v>
      </c>
      <c r="E752" s="90">
        <v>103.34993233487702</v>
      </c>
      <c r="F752" s="90">
        <v>105.96661263647297</v>
      </c>
      <c r="G752" s="90">
        <v>99.334421404659693</v>
      </c>
      <c r="H752" s="134">
        <v>119.56956046202131</v>
      </c>
      <c r="I752" s="130">
        <v>115.0008294650618</v>
      </c>
      <c r="J752" s="130">
        <v>110.43209846810228</v>
      </c>
      <c r="K752" s="130">
        <v>106.51147116773421</v>
      </c>
      <c r="L752" s="130">
        <v>106.51147116773421</v>
      </c>
      <c r="M752" s="3" t="s">
        <v>482</v>
      </c>
      <c r="Q752" s="128"/>
    </row>
    <row r="753" spans="1:17" ht="13" x14ac:dyDescent="0.3">
      <c r="A753" t="s">
        <v>993</v>
      </c>
      <c r="C753" s="90">
        <v>111.04545754579206</v>
      </c>
      <c r="D753" s="90">
        <v>119.83566985399561</v>
      </c>
      <c r="E753" s="90">
        <v>126.66819631396555</v>
      </c>
      <c r="F753" s="90">
        <v>132.48837727235829</v>
      </c>
      <c r="G753" s="90">
        <v>97.006419043806375</v>
      </c>
      <c r="H753" s="134">
        <v>89.395930467822637</v>
      </c>
      <c r="I753" s="130">
        <v>79.162695432779927</v>
      </c>
      <c r="J753" s="130">
        <v>68.92946039773723</v>
      </c>
      <c r="K753" s="130">
        <v>64.933698713644944</v>
      </c>
      <c r="L753" s="130">
        <v>64.933698713644944</v>
      </c>
      <c r="M753" t="s">
        <v>482</v>
      </c>
      <c r="Q753" s="128"/>
    </row>
    <row r="754" spans="1:17" ht="13" x14ac:dyDescent="0.3">
      <c r="A754" t="s">
        <v>994</v>
      </c>
      <c r="C754" s="90">
        <v>111.04545754579208</v>
      </c>
      <c r="D754" s="90">
        <v>119.83566985399563</v>
      </c>
      <c r="E754" s="90">
        <v>126.66819631396559</v>
      </c>
      <c r="F754" s="90">
        <v>132.48837727235829</v>
      </c>
      <c r="G754" s="90">
        <v>97.006419043806375</v>
      </c>
      <c r="H754" s="134">
        <v>89.395930467822637</v>
      </c>
      <c r="I754" s="130">
        <v>79.162695432779941</v>
      </c>
      <c r="J754" s="130">
        <v>68.929460397737245</v>
      </c>
      <c r="K754" s="130">
        <v>64.933698713644944</v>
      </c>
      <c r="L754" s="130">
        <v>64.933698713644944</v>
      </c>
      <c r="M754" t="s">
        <v>482</v>
      </c>
      <c r="Q754" s="128"/>
    </row>
    <row r="755" spans="1:17" ht="13" x14ac:dyDescent="0.3">
      <c r="A755" t="s">
        <v>995</v>
      </c>
      <c r="C755" s="90">
        <v>104.28476830937788</v>
      </c>
      <c r="D755" s="90">
        <v>118.37032346385395</v>
      </c>
      <c r="E755" s="90">
        <v>130.47973614713317</v>
      </c>
      <c r="F755" s="90">
        <v>145.15715060441732</v>
      </c>
      <c r="G755" s="90">
        <v>145.43249931495777</v>
      </c>
      <c r="H755" s="134">
        <v>151.97529025450774</v>
      </c>
      <c r="I755" s="130">
        <v>144.34037955311652</v>
      </c>
      <c r="J755" s="130">
        <v>136.7054688517253</v>
      </c>
      <c r="K755" s="130">
        <v>129.07055815033405</v>
      </c>
      <c r="L755" s="130">
        <v>121.43564744894283</v>
      </c>
      <c r="M755" t="s">
        <v>482</v>
      </c>
      <c r="Q755" s="128"/>
    </row>
    <row r="756" spans="1:17" ht="13.5" thickBot="1" x14ac:dyDescent="0.35">
      <c r="A756" t="s">
        <v>996</v>
      </c>
      <c r="C756" s="92">
        <v>101.40345776012762</v>
      </c>
      <c r="D756" s="92">
        <v>102.35230380114066</v>
      </c>
      <c r="E756" s="92">
        <v>105.72648874039156</v>
      </c>
      <c r="F756" s="92">
        <v>111.56586409142412</v>
      </c>
      <c r="G756" s="92">
        <v>100.91219931409171</v>
      </c>
      <c r="H756" s="141">
        <v>70.794652023725689</v>
      </c>
      <c r="I756" s="133">
        <v>63.294652023725689</v>
      </c>
      <c r="J756" s="133">
        <v>55.794652023725689</v>
      </c>
      <c r="K756" s="133">
        <v>48.294652023725689</v>
      </c>
      <c r="L756" s="133">
        <v>48.294652023725689</v>
      </c>
      <c r="M756" t="s">
        <v>482</v>
      </c>
      <c r="Q756" s="128"/>
    </row>
    <row r="757" spans="1:17" ht="13.5" thickTop="1" x14ac:dyDescent="0.3">
      <c r="Q757" s="128"/>
    </row>
    <row r="758" spans="1:17" ht="13" x14ac:dyDescent="0.3">
      <c r="A758" t="s">
        <v>997</v>
      </c>
      <c r="C758" s="88">
        <f t="array" ref="C758:L765" xml:space="preserve"> RCP26_CH4 * (0.25*((1 - WEIGHT_SCENARIOS_B/100)^2)) + RCP45_CH4 * (0.5*(1 - (WEIGHT_SCENARIOS_B/100)^2)) +  RCP85_CH4 * (0.25*((1 + WEIGHT_SCENARIOS_B/100)^2))</f>
        <v>87.781575938561716</v>
      </c>
      <c r="D758" s="88">
        <v>87.336859739575161</v>
      </c>
      <c r="E758" s="88">
        <v>86.993415075890752</v>
      </c>
      <c r="F758" s="88">
        <v>85.459170536428672</v>
      </c>
      <c r="G758" s="88">
        <v>84.932766623422552</v>
      </c>
      <c r="H758" s="140">
        <v>84.502426524608921</v>
      </c>
      <c r="I758" s="132">
        <v>84.502426524608921</v>
      </c>
      <c r="J758" s="132">
        <v>84.502426524608921</v>
      </c>
      <c r="K758" s="132">
        <v>84.502426524608921</v>
      </c>
      <c r="L758" s="132">
        <v>84.502426524608921</v>
      </c>
      <c r="M758" t="s">
        <v>482</v>
      </c>
      <c r="Q758" s="128" t="s">
        <v>692</v>
      </c>
    </row>
    <row r="759" spans="1:17" x14ac:dyDescent="0.25">
      <c r="A759" t="s">
        <v>998</v>
      </c>
      <c r="C759" s="90">
        <v>87.781575938561716</v>
      </c>
      <c r="D759" s="90">
        <v>87.336859739575161</v>
      </c>
      <c r="E759" s="90">
        <v>86.993415075890752</v>
      </c>
      <c r="F759" s="90">
        <v>85.459170536428672</v>
      </c>
      <c r="G759" s="90">
        <v>84.932766623422552</v>
      </c>
      <c r="H759" s="134">
        <v>84.502426524608921</v>
      </c>
      <c r="I759" s="130">
        <v>84.502426524608921</v>
      </c>
      <c r="J759" s="130">
        <v>84.502426524608921</v>
      </c>
      <c r="K759" s="130">
        <v>84.502426524608921</v>
      </c>
      <c r="L759" s="130">
        <v>84.502426524608921</v>
      </c>
      <c r="M759" t="s">
        <v>482</v>
      </c>
    </row>
    <row r="760" spans="1:17" x14ac:dyDescent="0.25">
      <c r="A760" t="s">
        <v>999</v>
      </c>
      <c r="C760" s="90">
        <v>87.781575938561716</v>
      </c>
      <c r="D760" s="90">
        <v>87.336859739575161</v>
      </c>
      <c r="E760" s="90">
        <v>86.993415075890752</v>
      </c>
      <c r="F760" s="90">
        <v>85.459170536428672</v>
      </c>
      <c r="G760" s="90">
        <v>84.932766623422552</v>
      </c>
      <c r="H760" s="134">
        <v>84.502426524608921</v>
      </c>
      <c r="I760" s="130">
        <v>84.502426524608921</v>
      </c>
      <c r="J760" s="130">
        <v>84.502426524608921</v>
      </c>
      <c r="K760" s="130">
        <v>84.502426524608921</v>
      </c>
      <c r="L760" s="130">
        <v>84.502426524608921</v>
      </c>
      <c r="M760" t="s">
        <v>482</v>
      </c>
    </row>
    <row r="761" spans="1:17" x14ac:dyDescent="0.25">
      <c r="A761" t="s">
        <v>1000</v>
      </c>
      <c r="C761" s="90">
        <v>100.00309054126919</v>
      </c>
      <c r="D761" s="90">
        <v>97.648060730951599</v>
      </c>
      <c r="E761" s="90">
        <v>102.17729298152058</v>
      </c>
      <c r="F761" s="90">
        <v>106.86594264041057</v>
      </c>
      <c r="G761" s="90">
        <v>83.217885370782696</v>
      </c>
      <c r="H761" s="134">
        <v>104.14868184128785</v>
      </c>
      <c r="I761" s="130">
        <v>104.14868184128785</v>
      </c>
      <c r="J761" s="130">
        <v>104.14868184128785</v>
      </c>
      <c r="K761" s="130">
        <v>104.14868184128785</v>
      </c>
      <c r="L761" s="130">
        <v>104.14868184128785</v>
      </c>
      <c r="M761" t="s">
        <v>482</v>
      </c>
    </row>
    <row r="762" spans="1:17" x14ac:dyDescent="0.25">
      <c r="A762" t="s">
        <v>1001</v>
      </c>
      <c r="C762" s="90">
        <v>102.11232187473402</v>
      </c>
      <c r="D762" s="90">
        <v>104.26287759442437</v>
      </c>
      <c r="E762" s="90">
        <v>108.49855972064546</v>
      </c>
      <c r="F762" s="90">
        <v>111.51090181024833</v>
      </c>
      <c r="G762" s="90">
        <v>115.3452478497081</v>
      </c>
      <c r="H762" s="134">
        <v>113.80433692774554</v>
      </c>
      <c r="I762" s="130">
        <v>113.80433692774554</v>
      </c>
      <c r="J762" s="130">
        <v>113.80433692774554</v>
      </c>
      <c r="K762" s="130">
        <v>113.80433692774554</v>
      </c>
      <c r="L762" s="130">
        <v>113.80433692774554</v>
      </c>
      <c r="M762" t="s">
        <v>482</v>
      </c>
    </row>
    <row r="763" spans="1:17" x14ac:dyDescent="0.25">
      <c r="A763" t="s">
        <v>1002</v>
      </c>
      <c r="C763" s="90">
        <v>102.11232187473402</v>
      </c>
      <c r="D763" s="90">
        <v>104.26287759442437</v>
      </c>
      <c r="E763" s="90">
        <v>108.49855972064546</v>
      </c>
      <c r="F763" s="90">
        <v>111.51090181024833</v>
      </c>
      <c r="G763" s="90">
        <v>115.3452478497081</v>
      </c>
      <c r="H763" s="134">
        <v>113.80433692774554</v>
      </c>
      <c r="I763" s="130">
        <v>113.80433692774554</v>
      </c>
      <c r="J763" s="130">
        <v>113.80433692774554</v>
      </c>
      <c r="K763" s="130">
        <v>113.80433692774554</v>
      </c>
      <c r="L763" s="130">
        <v>113.80433692774554</v>
      </c>
      <c r="M763" t="s">
        <v>482</v>
      </c>
    </row>
    <row r="764" spans="1:17" x14ac:dyDescent="0.25">
      <c r="A764" t="s">
        <v>1003</v>
      </c>
      <c r="C764" s="90">
        <v>108.39171465116388</v>
      </c>
      <c r="D764" s="90">
        <v>121.76637126833478</v>
      </c>
      <c r="E764" s="90">
        <v>137.53233241841019</v>
      </c>
      <c r="F764" s="90">
        <v>147.41769775799472</v>
      </c>
      <c r="G764" s="90">
        <v>148.38929593579587</v>
      </c>
      <c r="H764" s="134">
        <v>153.1655897716559</v>
      </c>
      <c r="I764" s="130">
        <v>153.1655897716559</v>
      </c>
      <c r="J764" s="130">
        <v>153.1655897716559</v>
      </c>
      <c r="K764" s="130">
        <v>153.1655897716559</v>
      </c>
      <c r="L764" s="130">
        <v>153.1655897716559</v>
      </c>
      <c r="M764" t="s">
        <v>482</v>
      </c>
    </row>
    <row r="765" spans="1:17" ht="13" thickBot="1" x14ac:dyDescent="0.3">
      <c r="A765" t="s">
        <v>1004</v>
      </c>
      <c r="C765" s="92">
        <v>99.898237832460183</v>
      </c>
      <c r="D765" s="92">
        <v>107.4551698990617</v>
      </c>
      <c r="E765" s="92">
        <v>112.90386971710967</v>
      </c>
      <c r="F765" s="92">
        <v>113.47825513253611</v>
      </c>
      <c r="G765" s="92">
        <v>113.31378742297622</v>
      </c>
      <c r="H765" s="141">
        <v>104.21545507751445</v>
      </c>
      <c r="I765" s="133">
        <v>104.21545507751445</v>
      </c>
      <c r="J765" s="133">
        <v>104.21545507751445</v>
      </c>
      <c r="K765" s="133">
        <v>104.21545507751445</v>
      </c>
      <c r="L765" s="133">
        <v>104.21545507751445</v>
      </c>
      <c r="M765" t="s">
        <v>482</v>
      </c>
    </row>
    <row r="766" spans="1:17" ht="13" thickTop="1" x14ac:dyDescent="0.25"/>
    <row r="767" spans="1:17" ht="13" x14ac:dyDescent="0.3">
      <c r="A767" t="s">
        <v>1005</v>
      </c>
      <c r="C767" s="88">
        <f t="array" ref="C767:L774" xml:space="preserve"> RCP26_N2O * (0.25*((1 - WEIGHT_SCENARIOS_B/100)^2)) + RCP45_N2O * (0.5*(1 - (WEIGHT_SCENARIOS_B/100)^2)) +  RCP85_N2O * (0.25*((1 + WEIGHT_SCENARIOS_B/100)^2))</f>
        <v>93.406335998975905</v>
      </c>
      <c r="D767" s="88">
        <v>96.692998610907907</v>
      </c>
      <c r="E767" s="88">
        <v>99.107675366157011</v>
      </c>
      <c r="F767" s="88">
        <v>98.063142183778865</v>
      </c>
      <c r="G767" s="88">
        <v>94.710619287788631</v>
      </c>
      <c r="H767" s="140">
        <v>92.977547924571695</v>
      </c>
      <c r="I767" s="132">
        <v>92.977547924571695</v>
      </c>
      <c r="J767" s="132">
        <v>92.977547924571695</v>
      </c>
      <c r="K767" s="132">
        <v>92.977547924571695</v>
      </c>
      <c r="L767" s="132">
        <v>92.977547924571695</v>
      </c>
      <c r="M767" t="s">
        <v>482</v>
      </c>
      <c r="Q767" s="128" t="s">
        <v>692</v>
      </c>
    </row>
    <row r="768" spans="1:17" ht="13" x14ac:dyDescent="0.3">
      <c r="A768" t="s">
        <v>1006</v>
      </c>
      <c r="C768" s="90">
        <v>93.406335998975905</v>
      </c>
      <c r="D768" s="90">
        <v>96.692998610907907</v>
      </c>
      <c r="E768" s="90">
        <v>99.107675366157011</v>
      </c>
      <c r="F768" s="90">
        <v>98.063142183778865</v>
      </c>
      <c r="G768" s="90">
        <v>94.710619287788631</v>
      </c>
      <c r="H768" s="134">
        <v>92.977547924571695</v>
      </c>
      <c r="I768" s="130">
        <v>92.977547924571695</v>
      </c>
      <c r="J768" s="130">
        <v>92.977547924571695</v>
      </c>
      <c r="K768" s="130">
        <v>92.977547924571695</v>
      </c>
      <c r="L768" s="130">
        <v>92.977547924571695</v>
      </c>
      <c r="M768" t="s">
        <v>482</v>
      </c>
      <c r="Q768" s="128"/>
    </row>
    <row r="769" spans="1:17" ht="13" x14ac:dyDescent="0.3">
      <c r="A769" t="s">
        <v>1007</v>
      </c>
      <c r="C769" s="90">
        <v>93.406335998975905</v>
      </c>
      <c r="D769" s="90">
        <v>96.692998610907907</v>
      </c>
      <c r="E769" s="90">
        <v>99.107675366157011</v>
      </c>
      <c r="F769" s="90">
        <v>98.063142183778865</v>
      </c>
      <c r="G769" s="90">
        <v>94.710619287788631</v>
      </c>
      <c r="H769" s="134">
        <v>92.977547924571695</v>
      </c>
      <c r="I769" s="130">
        <v>92.977547924571695</v>
      </c>
      <c r="J769" s="130">
        <v>92.977547924571695</v>
      </c>
      <c r="K769" s="130">
        <v>92.977547924571695</v>
      </c>
      <c r="L769" s="130">
        <v>92.977547924571695</v>
      </c>
      <c r="M769" t="s">
        <v>482</v>
      </c>
      <c r="Q769" s="128"/>
    </row>
    <row r="770" spans="1:17" ht="13" x14ac:dyDescent="0.3">
      <c r="A770" t="s">
        <v>1008</v>
      </c>
      <c r="C770" s="90">
        <v>111.6599059714917</v>
      </c>
      <c r="D770" s="90">
        <v>113.37597446692106</v>
      </c>
      <c r="E770" s="90">
        <v>113.95726785554314</v>
      </c>
      <c r="F770" s="90">
        <v>111.89152387400748</v>
      </c>
      <c r="G770" s="90">
        <v>113.62705718591364</v>
      </c>
      <c r="H770" s="134">
        <v>123.54617423325595</v>
      </c>
      <c r="I770" s="130">
        <v>123.54617423325595</v>
      </c>
      <c r="J770" s="130">
        <v>123.54617423325595</v>
      </c>
      <c r="K770" s="130">
        <v>123.54617423325595</v>
      </c>
      <c r="L770" s="130">
        <v>123.54617423325595</v>
      </c>
      <c r="M770" t="s">
        <v>482</v>
      </c>
      <c r="Q770" s="128"/>
    </row>
    <row r="771" spans="1:17" ht="13" x14ac:dyDescent="0.3">
      <c r="A771" t="s">
        <v>1009</v>
      </c>
      <c r="C771" s="90">
        <v>116.38196962099833</v>
      </c>
      <c r="D771" s="90">
        <v>122.51293639374531</v>
      </c>
      <c r="E771" s="90">
        <v>126.37675132681993</v>
      </c>
      <c r="F771" s="90">
        <v>122.7685664076663</v>
      </c>
      <c r="G771" s="90">
        <v>121.93722728710355</v>
      </c>
      <c r="H771" s="134">
        <v>125.8826691291264</v>
      </c>
      <c r="I771" s="130">
        <v>125.8826691291264</v>
      </c>
      <c r="J771" s="130">
        <v>125.8826691291264</v>
      </c>
      <c r="K771" s="130">
        <v>125.8826691291264</v>
      </c>
      <c r="L771" s="130">
        <v>125.8826691291264</v>
      </c>
      <c r="M771" t="s">
        <v>482</v>
      </c>
      <c r="Q771" s="128"/>
    </row>
    <row r="772" spans="1:17" ht="13" x14ac:dyDescent="0.3">
      <c r="A772" t="s">
        <v>1010</v>
      </c>
      <c r="C772" s="90">
        <v>116.38196962099833</v>
      </c>
      <c r="D772" s="90">
        <v>122.51293639374531</v>
      </c>
      <c r="E772" s="90">
        <v>126.37675132681993</v>
      </c>
      <c r="F772" s="90">
        <v>122.7685664076663</v>
      </c>
      <c r="G772" s="90">
        <v>121.93722728710355</v>
      </c>
      <c r="H772" s="134">
        <v>125.8826691291264</v>
      </c>
      <c r="I772" s="130">
        <v>125.8826691291264</v>
      </c>
      <c r="J772" s="130">
        <v>125.8826691291264</v>
      </c>
      <c r="K772" s="130">
        <v>125.8826691291264</v>
      </c>
      <c r="L772" s="130">
        <v>125.8826691291264</v>
      </c>
      <c r="M772" t="s">
        <v>482</v>
      </c>
      <c r="Q772" s="128"/>
    </row>
    <row r="773" spans="1:17" ht="13" x14ac:dyDescent="0.3">
      <c r="A773" t="s">
        <v>1011</v>
      </c>
      <c r="C773" s="90">
        <v>114.94926807022721</v>
      </c>
      <c r="D773" s="90">
        <v>125.56308023601036</v>
      </c>
      <c r="E773" s="90">
        <v>134.01950005780699</v>
      </c>
      <c r="F773" s="90">
        <v>136.72985366564293</v>
      </c>
      <c r="G773" s="90">
        <v>146.57297521414418</v>
      </c>
      <c r="H773" s="134">
        <v>154.57339447541381</v>
      </c>
      <c r="I773" s="130">
        <v>154.57339447541381</v>
      </c>
      <c r="J773" s="130">
        <v>154.57339447541381</v>
      </c>
      <c r="K773" s="130">
        <v>154.57339447541381</v>
      </c>
      <c r="L773" s="130">
        <v>154.57339447541381</v>
      </c>
      <c r="M773" t="s">
        <v>482</v>
      </c>
      <c r="Q773" s="128"/>
    </row>
    <row r="774" spans="1:17" ht="13.5" thickBot="1" x14ac:dyDescent="0.35">
      <c r="A774" t="s">
        <v>1012</v>
      </c>
      <c r="C774" s="92">
        <v>107.54180416895829</v>
      </c>
      <c r="D774" s="92">
        <v>112.42156049520825</v>
      </c>
      <c r="E774" s="92">
        <v>116.76289527195169</v>
      </c>
      <c r="F774" s="92">
        <v>114.25106606079302</v>
      </c>
      <c r="G774" s="92">
        <v>113.68507342284104</v>
      </c>
      <c r="H774" s="141">
        <v>110.83896077151448</v>
      </c>
      <c r="I774" s="133">
        <v>110.83896077151448</v>
      </c>
      <c r="J774" s="133">
        <v>110.83896077151448</v>
      </c>
      <c r="K774" s="133">
        <v>110.83896077151448</v>
      </c>
      <c r="L774" s="133">
        <v>110.83896077151448</v>
      </c>
      <c r="M774" t="s">
        <v>482</v>
      </c>
      <c r="Q774" s="128"/>
    </row>
    <row r="775" spans="1:17" ht="13.5" thickTop="1" x14ac:dyDescent="0.3">
      <c r="Q775" s="128"/>
    </row>
    <row r="776" spans="1:17" ht="13" x14ac:dyDescent="0.3">
      <c r="A776" t="s">
        <v>1013</v>
      </c>
      <c r="C776" s="88">
        <f t="array" ref="C776:L783" xml:space="preserve"> RCP26_Lin * (0.25*((1 - WEIGHT_SCENARIOS_B/100)^2)) + RCP45_Lin * (0.5*(1 - (WEIGHT_SCENARIOS_B/100)^2)) +  RCP85_Lin * (0.25*((1 + WEIGHT_SCENARIOS_B/100)^2))</f>
        <v>135.29265819944652</v>
      </c>
      <c r="D776" s="88">
        <v>134.75796162937345</v>
      </c>
      <c r="E776" s="88">
        <v>128.16125186101331</v>
      </c>
      <c r="F776" s="88">
        <v>117.4594092105051</v>
      </c>
      <c r="G776" s="88">
        <v>102.10331488380049</v>
      </c>
      <c r="H776" s="140">
        <v>110.88196398678367</v>
      </c>
      <c r="I776" s="132">
        <v>110.88196398678367</v>
      </c>
      <c r="J776" s="132">
        <v>110.88196398678367</v>
      </c>
      <c r="K776" s="132">
        <v>110.88196398678367</v>
      </c>
      <c r="L776" s="132">
        <v>110.88196398678367</v>
      </c>
      <c r="M776" t="s">
        <v>482</v>
      </c>
      <c r="Q776" s="128" t="s">
        <v>692</v>
      </c>
    </row>
    <row r="777" spans="1:17" x14ac:dyDescent="0.25">
      <c r="A777" t="s">
        <v>1014</v>
      </c>
      <c r="C777" s="90">
        <v>135.29265819944652</v>
      </c>
      <c r="D777" s="90">
        <v>134.75796162937345</v>
      </c>
      <c r="E777" s="90">
        <v>128.16125186101331</v>
      </c>
      <c r="F777" s="90">
        <v>117.4594092105051</v>
      </c>
      <c r="G777" s="90">
        <v>102.10331488380049</v>
      </c>
      <c r="H777" s="134">
        <v>110.88196398678367</v>
      </c>
      <c r="I777" s="130">
        <v>110.88196398678367</v>
      </c>
      <c r="J777" s="130">
        <v>110.88196398678367</v>
      </c>
      <c r="K777" s="130">
        <v>110.88196398678367</v>
      </c>
      <c r="L777" s="130">
        <v>110.88196398678367</v>
      </c>
      <c r="M777" t="s">
        <v>482</v>
      </c>
    </row>
    <row r="778" spans="1:17" x14ac:dyDescent="0.25">
      <c r="A778" t="s">
        <v>1015</v>
      </c>
      <c r="C778" s="90">
        <v>135.29265819944652</v>
      </c>
      <c r="D778" s="90">
        <v>134.75796162937345</v>
      </c>
      <c r="E778" s="90">
        <v>128.16125186101331</v>
      </c>
      <c r="F778" s="90">
        <v>117.4594092105051</v>
      </c>
      <c r="G778" s="90">
        <v>102.10331488380049</v>
      </c>
      <c r="H778" s="134">
        <v>110.88196398678367</v>
      </c>
      <c r="I778" s="130">
        <v>110.88196398678367</v>
      </c>
      <c r="J778" s="130">
        <v>110.88196398678367</v>
      </c>
      <c r="K778" s="130">
        <v>110.88196398678367</v>
      </c>
      <c r="L778" s="130">
        <v>110.88196398678367</v>
      </c>
      <c r="M778" t="s">
        <v>482</v>
      </c>
    </row>
    <row r="779" spans="1:17" x14ac:dyDescent="0.25">
      <c r="A779" t="s">
        <v>1016</v>
      </c>
      <c r="C779" s="90">
        <v>137.98553596082431</v>
      </c>
      <c r="D779" s="90">
        <v>162.79017824084397</v>
      </c>
      <c r="E779" s="90">
        <v>187.27007201574799</v>
      </c>
      <c r="F779" s="90">
        <v>201.67664450259863</v>
      </c>
      <c r="G779" s="90">
        <v>226.01290401192551</v>
      </c>
      <c r="H779" s="134">
        <v>260.92865692640663</v>
      </c>
      <c r="I779" s="130">
        <v>260.92865692640663</v>
      </c>
      <c r="J779" s="130">
        <v>260.92865692640663</v>
      </c>
      <c r="K779" s="130">
        <v>260.92865692640663</v>
      </c>
      <c r="L779" s="130">
        <v>260.92865692640663</v>
      </c>
      <c r="M779" t="s">
        <v>482</v>
      </c>
    </row>
    <row r="780" spans="1:17" x14ac:dyDescent="0.25">
      <c r="A780" t="s">
        <v>1017</v>
      </c>
      <c r="C780" s="90">
        <v>144.22401144691514</v>
      </c>
      <c r="D780" s="90">
        <v>182.28894776631051</v>
      </c>
      <c r="E780" s="90">
        <v>225.99271919139255</v>
      </c>
      <c r="F780" s="90">
        <v>248.62481372638985</v>
      </c>
      <c r="G780" s="90">
        <v>312.21863722165682</v>
      </c>
      <c r="H780" s="134">
        <v>379.40170673937462</v>
      </c>
      <c r="I780" s="130">
        <v>379.40170673937462</v>
      </c>
      <c r="J780" s="130">
        <v>379.40170673937462</v>
      </c>
      <c r="K780" s="130">
        <v>379.40170673937462</v>
      </c>
      <c r="L780" s="130">
        <v>379.40170673937462</v>
      </c>
      <c r="M780" t="s">
        <v>482</v>
      </c>
    </row>
    <row r="781" spans="1:17" x14ac:dyDescent="0.25">
      <c r="A781" t="s">
        <v>1018</v>
      </c>
      <c r="C781" s="90">
        <v>144.22401144691514</v>
      </c>
      <c r="D781" s="90">
        <v>182.28894776631051</v>
      </c>
      <c r="E781" s="90">
        <v>225.99271919139255</v>
      </c>
      <c r="F781" s="90">
        <v>248.62481372638985</v>
      </c>
      <c r="G781" s="90">
        <v>312.21863722165682</v>
      </c>
      <c r="H781" s="134">
        <v>379.40170673937462</v>
      </c>
      <c r="I781" s="130">
        <v>379.40170673937462</v>
      </c>
      <c r="J781" s="130">
        <v>379.40170673937462</v>
      </c>
      <c r="K781" s="130">
        <v>379.40170673937462</v>
      </c>
      <c r="L781" s="130">
        <v>379.40170673937462</v>
      </c>
      <c r="M781" t="s">
        <v>482</v>
      </c>
    </row>
    <row r="782" spans="1:17" x14ac:dyDescent="0.25">
      <c r="A782" t="s">
        <v>1019</v>
      </c>
      <c r="C782" s="90">
        <v>151.43983947155695</v>
      </c>
      <c r="D782" s="90">
        <v>175.00548065396441</v>
      </c>
      <c r="E782" s="90">
        <v>199.66361942158852</v>
      </c>
      <c r="F782" s="90">
        <v>226.83403631419662</v>
      </c>
      <c r="G782" s="90">
        <v>348.55757739335445</v>
      </c>
      <c r="H782" s="134">
        <v>466.42872588943987</v>
      </c>
      <c r="I782" s="130">
        <v>466.42872588943987</v>
      </c>
      <c r="J782" s="130">
        <v>466.42872588943987</v>
      </c>
      <c r="K782" s="130">
        <v>466.42872588943987</v>
      </c>
      <c r="L782" s="130">
        <v>466.42872588943987</v>
      </c>
      <c r="M782" t="s">
        <v>482</v>
      </c>
    </row>
    <row r="783" spans="1:17" ht="13" thickBot="1" x14ac:dyDescent="0.3">
      <c r="A783" t="s">
        <v>1020</v>
      </c>
      <c r="C783" s="92">
        <v>134.93610729132132</v>
      </c>
      <c r="D783" s="92">
        <v>157.24945373841473</v>
      </c>
      <c r="E783" s="92">
        <v>192.89045030007208</v>
      </c>
      <c r="F783" s="92">
        <v>223.89182242918633</v>
      </c>
      <c r="G783" s="92">
        <v>329.91696040037317</v>
      </c>
      <c r="H783" s="141">
        <v>444.85043275696557</v>
      </c>
      <c r="I783" s="133">
        <v>444.85043275696557</v>
      </c>
      <c r="J783" s="133">
        <v>444.85043275696557</v>
      </c>
      <c r="K783" s="133">
        <v>444.85043275696557</v>
      </c>
      <c r="L783" s="133">
        <v>444.85043275696557</v>
      </c>
      <c r="M783" t="s">
        <v>482</v>
      </c>
    </row>
    <row r="784" spans="1:17" ht="13" thickTop="1" x14ac:dyDescent="0.25"/>
    <row r="785" spans="1:17" ht="13" x14ac:dyDescent="0.3">
      <c r="A785" t="s">
        <v>1021</v>
      </c>
      <c r="C785" s="88">
        <f t="array" ref="C785:L792" xml:space="preserve"> RCP26_sulph * (0.25*((1 - WEIGHT_SCENARIOS_B/100)^2)) + RCP45_sulph * (0.5*(1 - (WEIGHT_SCENARIOS_B/100)^2)) +  RCP85_sulph * (0.25*((1 + WEIGHT_SCENARIOS_B/100)^2))</f>
        <v>63.852103365476893</v>
      </c>
      <c r="D785" s="88">
        <v>47.838821179939558</v>
      </c>
      <c r="E785" s="88">
        <v>33.457420676791415</v>
      </c>
      <c r="F785" s="88">
        <v>22.764037904546257</v>
      </c>
      <c r="G785" s="88">
        <v>14.513660112443674</v>
      </c>
      <c r="H785" s="140">
        <v>11.816364004829548</v>
      </c>
      <c r="I785" s="132">
        <v>11.816364004829548</v>
      </c>
      <c r="J785" s="132">
        <v>11.816364004829548</v>
      </c>
      <c r="K785" s="132">
        <v>11.816364004829548</v>
      </c>
      <c r="L785" s="132">
        <v>11.816364004829548</v>
      </c>
      <c r="M785" t="s">
        <v>482</v>
      </c>
      <c r="Q785" s="128" t="s">
        <v>692</v>
      </c>
    </row>
    <row r="786" spans="1:17" ht="13" x14ac:dyDescent="0.3">
      <c r="A786" t="s">
        <v>1022</v>
      </c>
      <c r="C786" s="90">
        <v>63.852103365476893</v>
      </c>
      <c r="D786" s="90">
        <v>47.838821179939558</v>
      </c>
      <c r="E786" s="90">
        <v>33.457420676791415</v>
      </c>
      <c r="F786" s="90">
        <v>22.764037904546257</v>
      </c>
      <c r="G786" s="90">
        <v>14.513660112443674</v>
      </c>
      <c r="H786" s="134">
        <v>11.816364004829548</v>
      </c>
      <c r="I786" s="130">
        <v>11.816364004829548</v>
      </c>
      <c r="J786" s="130">
        <v>11.816364004829548</v>
      </c>
      <c r="K786" s="130">
        <v>11.816364004829548</v>
      </c>
      <c r="L786" s="130">
        <v>11.816364004829548</v>
      </c>
      <c r="M786" t="s">
        <v>482</v>
      </c>
      <c r="Q786" s="128"/>
    </row>
    <row r="787" spans="1:17" ht="13" x14ac:dyDescent="0.3">
      <c r="A787" t="s">
        <v>1023</v>
      </c>
      <c r="C787" s="90">
        <v>63.852103365476893</v>
      </c>
      <c r="D787" s="90">
        <v>47.838821179939558</v>
      </c>
      <c r="E787" s="90">
        <v>33.457420676791415</v>
      </c>
      <c r="F787" s="90">
        <v>22.764037904546257</v>
      </c>
      <c r="G787" s="90">
        <v>14.513660112443674</v>
      </c>
      <c r="H787" s="134">
        <v>11.816364004829548</v>
      </c>
      <c r="I787" s="130">
        <v>11.816364004829548</v>
      </c>
      <c r="J787" s="130">
        <v>11.816364004829548</v>
      </c>
      <c r="K787" s="130">
        <v>11.816364004829548</v>
      </c>
      <c r="L787" s="130">
        <v>11.816364004829548</v>
      </c>
      <c r="M787" t="s">
        <v>482</v>
      </c>
      <c r="Q787" s="128"/>
    </row>
    <row r="788" spans="1:17" ht="13" x14ac:dyDescent="0.3">
      <c r="A788" t="s">
        <v>1024</v>
      </c>
      <c r="C788" s="90">
        <v>68.264518217855496</v>
      </c>
      <c r="D788" s="90">
        <v>54.81324196695634</v>
      </c>
      <c r="E788" s="90">
        <v>41.396320078904438</v>
      </c>
      <c r="F788" s="90">
        <v>28.776886367634855</v>
      </c>
      <c r="G788" s="90">
        <v>15.0992091442758</v>
      </c>
      <c r="H788" s="134">
        <v>11.274086066969243</v>
      </c>
      <c r="I788" s="130">
        <v>11.274086066969243</v>
      </c>
      <c r="J788" s="130">
        <v>11.274086066969243</v>
      </c>
      <c r="K788" s="130">
        <v>11.274086066969243</v>
      </c>
      <c r="L788" s="130">
        <v>11.274086066969243</v>
      </c>
      <c r="M788" t="s">
        <v>482</v>
      </c>
      <c r="Q788" s="128"/>
    </row>
    <row r="789" spans="1:17" ht="13" x14ac:dyDescent="0.3">
      <c r="A789" t="s">
        <v>1025</v>
      </c>
      <c r="C789" s="90">
        <v>93.282236642104351</v>
      </c>
      <c r="D789" s="90">
        <v>73.095380484956394</v>
      </c>
      <c r="E789" s="90">
        <v>50.194879290430194</v>
      </c>
      <c r="F789" s="90">
        <v>32.90983112154138</v>
      </c>
      <c r="G789" s="90">
        <v>18.022191762502622</v>
      </c>
      <c r="H789" s="134">
        <v>11.40940710997471</v>
      </c>
      <c r="I789" s="130">
        <v>11.40940710997471</v>
      </c>
      <c r="J789" s="130">
        <v>11.40940710997471</v>
      </c>
      <c r="K789" s="130">
        <v>11.40940710997471</v>
      </c>
      <c r="L789" s="130">
        <v>11.40940710997471</v>
      </c>
      <c r="M789" t="s">
        <v>482</v>
      </c>
      <c r="Q789" s="128"/>
    </row>
    <row r="790" spans="1:17" ht="13" x14ac:dyDescent="0.3">
      <c r="A790" t="s">
        <v>1026</v>
      </c>
      <c r="C790" s="90">
        <v>93.282236642104351</v>
      </c>
      <c r="D790" s="90">
        <v>73.095380484956394</v>
      </c>
      <c r="E790" s="90">
        <v>50.194879290430194</v>
      </c>
      <c r="F790" s="90">
        <v>32.90983112154138</v>
      </c>
      <c r="G790" s="90">
        <v>18.022191762502622</v>
      </c>
      <c r="H790" s="134">
        <v>11.40940710997471</v>
      </c>
      <c r="I790" s="130">
        <v>11.40940710997471</v>
      </c>
      <c r="J790" s="130">
        <v>11.40940710997471</v>
      </c>
      <c r="K790" s="130">
        <v>11.40940710997471</v>
      </c>
      <c r="L790" s="130">
        <v>11.40940710997471</v>
      </c>
      <c r="M790" t="s">
        <v>482</v>
      </c>
      <c r="Q790" s="128"/>
    </row>
    <row r="791" spans="1:17" ht="13" x14ac:dyDescent="0.3">
      <c r="A791" t="s">
        <v>1027</v>
      </c>
      <c r="C791" s="90">
        <v>97.387193116458732</v>
      </c>
      <c r="D791" s="90">
        <v>94.309090515899882</v>
      </c>
      <c r="E791" s="90">
        <v>90.33457517775723</v>
      </c>
      <c r="F791" s="90">
        <v>84.818431792328312</v>
      </c>
      <c r="G791" s="90">
        <v>66.469103864696976</v>
      </c>
      <c r="H791" s="134">
        <v>47.101225204464605</v>
      </c>
      <c r="I791" s="130">
        <v>47.101225204464605</v>
      </c>
      <c r="J791" s="130">
        <v>47.101225204464605</v>
      </c>
      <c r="K791" s="130">
        <v>47.101225204464605</v>
      </c>
      <c r="L791" s="130">
        <v>47.101225204464605</v>
      </c>
      <c r="M791" t="s">
        <v>482</v>
      </c>
      <c r="Q791" s="128"/>
    </row>
    <row r="792" spans="1:17" ht="13.5" thickBot="1" x14ac:dyDescent="0.35">
      <c r="A792" t="s">
        <v>1028</v>
      </c>
      <c r="C792" s="92">
        <v>77.549998722400446</v>
      </c>
      <c r="D792" s="92">
        <v>72.727217223570889</v>
      </c>
      <c r="E792" s="92">
        <v>66.401194837987788</v>
      </c>
      <c r="F792" s="92">
        <v>56.648872188846497</v>
      </c>
      <c r="G792" s="92">
        <v>34.929084207346079</v>
      </c>
      <c r="H792" s="141">
        <v>24.99994269602972</v>
      </c>
      <c r="I792" s="133">
        <v>24.99994269602972</v>
      </c>
      <c r="J792" s="133">
        <v>24.99994269602972</v>
      </c>
      <c r="K792" s="133">
        <v>24.99994269602972</v>
      </c>
      <c r="L792" s="133">
        <v>24.99994269602972</v>
      </c>
      <c r="M792" t="s">
        <v>482</v>
      </c>
      <c r="Q792" s="128"/>
    </row>
    <row r="793" spans="1:17" ht="13.5" thickTop="1" x14ac:dyDescent="0.3">
      <c r="C793" s="61"/>
      <c r="D793" s="61"/>
      <c r="E793" s="61"/>
      <c r="F793" s="61"/>
      <c r="G793" s="61"/>
      <c r="H793" s="61"/>
      <c r="I793" s="61"/>
      <c r="J793" s="61"/>
      <c r="K793" s="61"/>
      <c r="L793" s="61"/>
      <c r="Q793" s="128"/>
    </row>
    <row r="794" spans="1:17" ht="13.5" thickBot="1" x14ac:dyDescent="0.35">
      <c r="A794" t="s">
        <v>37</v>
      </c>
      <c r="C794" s="62">
        <f t="array" ref="C794:L794" xml:space="preserve"> RCP26_Excess * (0.25*((1 - WEIGHT_SCENARIOS_B/100)^2)) + RCP45_Excess * (0.5*(1 - (WEIGHT_SCENARIOS_B/100)^2)) +  RCP85_Excess * (0.25*((1 + WEIGHT_SCENARIOS_B/100)^2))</f>
        <v>0.8273118819340155</v>
      </c>
      <c r="D794" s="62">
        <v>0.75682263178012377</v>
      </c>
      <c r="E794" s="62">
        <v>0.6619284002383139</v>
      </c>
      <c r="F794" s="62">
        <v>0.56695274026763698</v>
      </c>
      <c r="G794" s="62">
        <v>0.42538258039615773</v>
      </c>
      <c r="H794" s="150">
        <v>0.34738030133186615</v>
      </c>
      <c r="I794" s="120">
        <v>0.34738030133186615</v>
      </c>
      <c r="J794" s="120">
        <v>0.34738030133186615</v>
      </c>
      <c r="K794" s="120">
        <v>0.34738030133186615</v>
      </c>
      <c r="L794" s="120">
        <v>0.34738030133186615</v>
      </c>
      <c r="M794" t="s">
        <v>44</v>
      </c>
      <c r="Q794" s="128" t="s">
        <v>692</v>
      </c>
    </row>
    <row r="795" spans="1:17" ht="13" thickTop="1" x14ac:dyDescent="0.25"/>
  </sheetData>
  <phoneticPr fontId="0" type="noConversion"/>
  <pageMargins left="0.75" right="0.75" top="1" bottom="1" header="0.5" footer="0.5"/>
  <pageSetup paperSize="9" orientation="portrait" r:id="rId1"/>
  <headerFooter alignWithMargins="0"/>
  <ignoredErrors>
    <ignoredError sqref="C210:L217 C219:L226 C228:L235 C237 I256:J256 C34" unlocked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P198"/>
  <sheetViews>
    <sheetView zoomScale="110" zoomScaleNormal="110" workbookViewId="0"/>
  </sheetViews>
  <sheetFormatPr defaultRowHeight="12.5" x14ac:dyDescent="0.25"/>
  <cols>
    <col min="1" max="1" width="21.54296875" bestFit="1" customWidth="1"/>
    <col min="2" max="2" width="44.81640625" bestFit="1" customWidth="1"/>
    <col min="3" max="3" width="12.54296875" bestFit="1" customWidth="1"/>
    <col min="4" max="5" width="9" bestFit="1" customWidth="1"/>
    <col min="6" max="6" width="9" customWidth="1"/>
    <col min="7" max="7" width="21.81640625" bestFit="1" customWidth="1"/>
    <col min="8" max="10" width="13.54296875" customWidth="1"/>
    <col min="11" max="12" width="9" customWidth="1"/>
  </cols>
  <sheetData>
    <row r="1" spans="1:11" ht="13" x14ac:dyDescent="0.3">
      <c r="A1" s="2" t="str">
        <f>MODEL_NAME</f>
        <v>PAGE-ICE Nonlinear Arctic Feedbacks</v>
      </c>
      <c r="C1" t="s">
        <v>39</v>
      </c>
      <c r="D1" s="51" t="str">
        <f>VERSION</f>
        <v>6.22</v>
      </c>
    </row>
    <row r="3" spans="1:11" s="2" customFormat="1" ht="13" x14ac:dyDescent="0.3">
      <c r="A3" s="2" t="s">
        <v>965</v>
      </c>
      <c r="B3" s="48"/>
      <c r="C3" s="48"/>
      <c r="D3" s="2" t="s">
        <v>401</v>
      </c>
      <c r="E3" s="2" t="s">
        <v>402</v>
      </c>
      <c r="F3" s="2" t="s">
        <v>403</v>
      </c>
    </row>
    <row r="4" spans="1:11" s="2" customFormat="1" ht="13" x14ac:dyDescent="0.3">
      <c r="A4" s="124" t="s">
        <v>767</v>
      </c>
      <c r="B4" s="3" t="s">
        <v>619</v>
      </c>
      <c r="C4" s="60">
        <f ca="1">_xll.RiskTriang(D4,E4,F4)</f>
        <v>22.973481829413242</v>
      </c>
      <c r="D4" s="207">
        <v>4.3464170523113577</v>
      </c>
      <c r="E4" s="207">
        <v>22.973481829413238</v>
      </c>
      <c r="F4" s="207">
        <v>41.600546606515124</v>
      </c>
      <c r="G4" s="3" t="s">
        <v>40</v>
      </c>
      <c r="I4" s="124" t="s">
        <v>637</v>
      </c>
      <c r="K4" s="124" t="s">
        <v>622</v>
      </c>
    </row>
    <row r="5" spans="1:11" s="2" customFormat="1" ht="13" x14ac:dyDescent="0.3">
      <c r="B5" s="3" t="s">
        <v>618</v>
      </c>
      <c r="C5" s="60">
        <f ca="1">_xll.RiskTriang(D5,E5,F5)</f>
        <v>26.64454562239661</v>
      </c>
      <c r="D5" s="206">
        <v>23.143282046812853</v>
      </c>
      <c r="E5" s="206">
        <v>26.64454562239661</v>
      </c>
      <c r="F5" s="206">
        <v>30.145809197980366</v>
      </c>
      <c r="G5" s="3" t="s">
        <v>40</v>
      </c>
      <c r="I5" s="124" t="s">
        <v>637</v>
      </c>
      <c r="K5" s="124" t="s">
        <v>622</v>
      </c>
    </row>
    <row r="6" spans="1:11" s="2" customFormat="1" ht="13" x14ac:dyDescent="0.3">
      <c r="B6" s="3" t="s">
        <v>606</v>
      </c>
      <c r="C6" s="60">
        <f ca="1">_xll.RiskTriang(D6,E6,F6)</f>
        <v>26.963950862067179</v>
      </c>
      <c r="D6" s="206">
        <v>11.390086099054248</v>
      </c>
      <c r="E6" s="206">
        <v>26.963950862067176</v>
      </c>
      <c r="F6" s="206">
        <v>42.537815625080107</v>
      </c>
      <c r="G6" s="3" t="s">
        <v>40</v>
      </c>
      <c r="I6" s="124" t="s">
        <v>637</v>
      </c>
      <c r="K6" s="124" t="s">
        <v>622</v>
      </c>
    </row>
    <row r="7" spans="1:11" s="2" customFormat="1" ht="13" x14ac:dyDescent="0.3">
      <c r="B7" s="3" t="s">
        <v>621</v>
      </c>
      <c r="C7" s="60">
        <f ca="1">_xll.RiskTriang(D7,E7,F7)</f>
        <v>312.54206687556456</v>
      </c>
      <c r="D7" s="206">
        <v>248.8662836098311</v>
      </c>
      <c r="E7" s="206">
        <v>312.5420668755645</v>
      </c>
      <c r="F7" s="206">
        <v>376.2178501412979</v>
      </c>
      <c r="G7" s="3" t="s">
        <v>41</v>
      </c>
      <c r="I7" s="124" t="s">
        <v>637</v>
      </c>
      <c r="K7" s="124" t="s">
        <v>622</v>
      </c>
    </row>
    <row r="8" spans="1:11" s="2" customFormat="1" ht="13" x14ac:dyDescent="0.3">
      <c r="B8" s="3" t="s">
        <v>620</v>
      </c>
      <c r="C8" s="60">
        <f ca="1">_xll.RiskTriang(D8,E8,F8)</f>
        <v>34.873449489671636</v>
      </c>
      <c r="D8" s="206">
        <v>25.889999147446169</v>
      </c>
      <c r="E8" s="206">
        <v>34.873449489671636</v>
      </c>
      <c r="F8" s="206">
        <v>43.856899831897103</v>
      </c>
      <c r="G8" s="3" t="s">
        <v>41</v>
      </c>
      <c r="I8" s="124" t="s">
        <v>637</v>
      </c>
      <c r="K8" s="124" t="s">
        <v>622</v>
      </c>
    </row>
    <row r="9" spans="1:11" s="2" customFormat="1" ht="13" x14ac:dyDescent="0.3">
      <c r="B9" s="3" t="s">
        <v>605</v>
      </c>
      <c r="C9" s="60">
        <f ca="1">_xll.RiskTriang(D9,E9,F9)</f>
        <v>4.2577015329228622</v>
      </c>
      <c r="D9" s="206">
        <v>2.8257559965001109</v>
      </c>
      <c r="E9" s="206">
        <v>4.2577015329228622</v>
      </c>
      <c r="F9" s="206">
        <v>5.6896470693456136</v>
      </c>
      <c r="G9" s="3" t="s">
        <v>41</v>
      </c>
      <c r="I9" s="124" t="s">
        <v>637</v>
      </c>
      <c r="K9" s="124" t="s">
        <v>622</v>
      </c>
    </row>
    <row r="10" spans="1:11" ht="13" x14ac:dyDescent="0.3">
      <c r="B10" s="3" t="s">
        <v>161</v>
      </c>
      <c r="C10" s="60">
        <f ca="1">_xll.RiskTriang(D10,E10,F10)</f>
        <v>0</v>
      </c>
      <c r="D10" s="157">
        <v>0</v>
      </c>
      <c r="E10" s="157">
        <v>0</v>
      </c>
      <c r="F10" s="157">
        <v>0</v>
      </c>
      <c r="G10" s="3" t="s">
        <v>162</v>
      </c>
      <c r="I10" s="124" t="s">
        <v>637</v>
      </c>
      <c r="K10" s="124" t="s">
        <v>975</v>
      </c>
    </row>
    <row r="11" spans="1:11" ht="13" x14ac:dyDescent="0.3">
      <c r="B11" s="3" t="s">
        <v>163</v>
      </c>
      <c r="C11" s="60">
        <f ca="1">_xll.RiskTriang(D11,E11,F11)</f>
        <v>20</v>
      </c>
      <c r="D11" s="210">
        <v>10</v>
      </c>
      <c r="E11" s="210">
        <v>20</v>
      </c>
      <c r="F11" s="210">
        <v>30</v>
      </c>
      <c r="G11" s="3" t="s">
        <v>40</v>
      </c>
      <c r="I11" s="124" t="s">
        <v>637</v>
      </c>
      <c r="K11" s="124" t="s">
        <v>644</v>
      </c>
    </row>
    <row r="13" spans="1:11" ht="13" x14ac:dyDescent="0.3">
      <c r="A13" s="124" t="s">
        <v>768</v>
      </c>
      <c r="B13" t="str">
        <f>"Sulfate direct (linear) effect in "&amp;Y_0</f>
        <v>Sulfate direct (linear) effect in 2015</v>
      </c>
      <c r="C13" s="60">
        <f ca="1">_xll.RiskTriang(D13,E13,F13)</f>
        <v>-0.46666666666666673</v>
      </c>
      <c r="D13" s="9">
        <v>-0.8</v>
      </c>
      <c r="E13" s="9">
        <v>-0.4</v>
      </c>
      <c r="F13" s="9">
        <v>-0.2</v>
      </c>
      <c r="G13" s="3" t="s">
        <v>44</v>
      </c>
    </row>
    <row r="14" spans="1:11" x14ac:dyDescent="0.25">
      <c r="B14" s="3" t="s">
        <v>195</v>
      </c>
      <c r="C14" s="60">
        <f ca="1">_xll.RiskTriang(D14,E14,F14)</f>
        <v>-0.23333333333333331</v>
      </c>
      <c r="D14" s="94">
        <v>-0.5</v>
      </c>
      <c r="E14" s="94">
        <v>-0.2</v>
      </c>
      <c r="F14" s="9">
        <v>0</v>
      </c>
      <c r="G14" t="s">
        <v>44</v>
      </c>
    </row>
    <row r="15" spans="1:11" x14ac:dyDescent="0.25">
      <c r="B15" t="str">
        <f>"Sea level rise in "&amp;Y_0</f>
        <v>Sea level rise in 2015</v>
      </c>
      <c r="C15" s="60">
        <f ca="1">_xll.RiskTriang(D15,E15,F15)</f>
        <v>0.18999999999999997</v>
      </c>
      <c r="D15" s="94">
        <v>0.17</v>
      </c>
      <c r="E15" s="94">
        <v>0.19</v>
      </c>
      <c r="F15" s="94">
        <v>0.21</v>
      </c>
      <c r="G15" t="s">
        <v>182</v>
      </c>
    </row>
    <row r="16" spans="1:11" x14ac:dyDescent="0.25">
      <c r="B16" s="3" t="s">
        <v>183</v>
      </c>
      <c r="C16" s="60">
        <f ca="1">_xll.RiskTriang(D16,E16,F16)</f>
        <v>1.7333333333333334</v>
      </c>
      <c r="D16" s="9">
        <v>0.7</v>
      </c>
      <c r="E16" s="9">
        <v>1.5</v>
      </c>
      <c r="F16" s="9">
        <v>3</v>
      </c>
      <c r="G16" t="s">
        <v>184</v>
      </c>
    </row>
    <row r="17" spans="1:16" ht="13" x14ac:dyDescent="0.3">
      <c r="B17" s="3" t="s">
        <v>185</v>
      </c>
      <c r="C17" s="60">
        <f ca="1">_xll.RiskTriang(D17,E17,F17)</f>
        <v>1</v>
      </c>
      <c r="D17" s="9">
        <v>0.5</v>
      </c>
      <c r="E17" s="9">
        <v>1</v>
      </c>
      <c r="F17" s="9">
        <v>1.5</v>
      </c>
      <c r="G17" t="s">
        <v>182</v>
      </c>
      <c r="K17" s="2" t="s">
        <v>402</v>
      </c>
      <c r="L17" s="2" t="s">
        <v>430</v>
      </c>
      <c r="M17" s="2" t="s">
        <v>431</v>
      </c>
      <c r="N17" s="2" t="s">
        <v>432</v>
      </c>
      <c r="O17" s="2" t="s">
        <v>433</v>
      </c>
    </row>
    <row r="18" spans="1:16" ht="13" x14ac:dyDescent="0.3">
      <c r="B18" s="3" t="s">
        <v>424</v>
      </c>
      <c r="C18" s="152">
        <f ca="1">_xll.RiskOutput() + _xll.RiskGamma(N18,O18)</f>
        <v>386</v>
      </c>
      <c r="D18" s="265" t="s">
        <v>963</v>
      </c>
      <c r="E18" s="265" t="s">
        <v>963</v>
      </c>
      <c r="F18" s="265" t="s">
        <v>963</v>
      </c>
      <c r="G18" t="s">
        <v>41</v>
      </c>
      <c r="I18" s="124" t="s">
        <v>818</v>
      </c>
      <c r="K18" s="230">
        <v>362</v>
      </c>
      <c r="L18" s="230">
        <v>386</v>
      </c>
      <c r="M18" s="149">
        <f xml:space="preserve"> SQRT(L18*(L18-K18))</f>
        <v>96.249675324127722</v>
      </c>
      <c r="N18" s="149">
        <f xml:space="preserve"> L18/(L18-K18)</f>
        <v>16.083333333333332</v>
      </c>
      <c r="O18" s="149">
        <f>L18-K18</f>
        <v>24</v>
      </c>
      <c r="P18" s="3" t="s">
        <v>41</v>
      </c>
    </row>
    <row r="19" spans="1:16" ht="13" x14ac:dyDescent="0.3">
      <c r="B19" s="3"/>
      <c r="C19" s="64"/>
      <c r="D19" s="64"/>
      <c r="E19" s="64"/>
      <c r="F19" s="64"/>
      <c r="I19" s="128" t="s">
        <v>817</v>
      </c>
      <c r="M19" s="149"/>
      <c r="N19" s="149"/>
      <c r="O19" s="64"/>
      <c r="P19" s="3"/>
    </row>
    <row r="20" spans="1:16" ht="13" x14ac:dyDescent="0.3">
      <c r="A20" s="124" t="s">
        <v>769</v>
      </c>
      <c r="B20" s="3" t="s">
        <v>196</v>
      </c>
      <c r="C20" s="60">
        <f ca="1">_xll.RiskTriang(D20, E20, F20)</f>
        <v>1.7666666666666668</v>
      </c>
      <c r="D20" s="94">
        <v>0.8</v>
      </c>
      <c r="E20" s="94">
        <v>1.8</v>
      </c>
      <c r="F20" s="94">
        <v>2.7</v>
      </c>
      <c r="G20" s="3" t="s">
        <v>43</v>
      </c>
    </row>
    <row r="21" spans="1:16" x14ac:dyDescent="0.25">
      <c r="B21" s="3" t="s">
        <v>425</v>
      </c>
      <c r="C21" s="60">
        <f ca="1">_xll.RiskTriang(D21,E21,F21)</f>
        <v>28.333333333333332</v>
      </c>
      <c r="D21" s="9">
        <v>10</v>
      </c>
      <c r="E21" s="94">
        <v>20</v>
      </c>
      <c r="F21" s="94">
        <v>55</v>
      </c>
      <c r="G21" t="s">
        <v>41</v>
      </c>
    </row>
    <row r="22" spans="1:16" ht="13" thickBot="1" x14ac:dyDescent="0.3">
      <c r="B22" t="s">
        <v>42</v>
      </c>
      <c r="C22" s="31">
        <f ca="1">_xll.RiskOutput()++TCR/(1-((FRT/70)*(1-EXP(-70/FRT))))</f>
        <v>2.8066621683580406</v>
      </c>
      <c r="D22" s="265" t="s">
        <v>963</v>
      </c>
      <c r="E22" s="265" t="s">
        <v>963</v>
      </c>
      <c r="F22" s="265" t="s">
        <v>963</v>
      </c>
      <c r="G22" t="s">
        <v>43</v>
      </c>
    </row>
    <row r="23" spans="1:16" ht="13" thickTop="1" x14ac:dyDescent="0.25">
      <c r="C23" s="6"/>
      <c r="D23" s="64"/>
      <c r="E23" s="64"/>
      <c r="F23" s="64"/>
    </row>
    <row r="24" spans="1:16" ht="13" x14ac:dyDescent="0.3">
      <c r="A24" s="124" t="s">
        <v>490</v>
      </c>
      <c r="B24" s="3" t="s">
        <v>434</v>
      </c>
      <c r="C24" s="60">
        <f ca="1">_xll.RiskTriang(D24,E24,F24)</f>
        <v>1.2700000000000002</v>
      </c>
      <c r="D24" s="143">
        <v>1.05</v>
      </c>
      <c r="E24" s="144">
        <v>1.23</v>
      </c>
      <c r="F24" s="145">
        <v>1.53</v>
      </c>
      <c r="G24" s="3" t="s">
        <v>442</v>
      </c>
    </row>
    <row r="25" spans="1:16" x14ac:dyDescent="0.25">
      <c r="B25" s="3" t="s">
        <v>435</v>
      </c>
      <c r="C25" s="60">
        <f ca="1">_xll.RiskTriang(D25,E25,F25)</f>
        <v>1.34</v>
      </c>
      <c r="D25" s="145">
        <v>1.1599999999999999</v>
      </c>
      <c r="E25" s="144">
        <v>1.3200000000000003</v>
      </c>
      <c r="F25" s="143">
        <v>1.54</v>
      </c>
      <c r="G25" s="3" t="s">
        <v>442</v>
      </c>
    </row>
    <row r="26" spans="1:16" x14ac:dyDescent="0.25">
      <c r="B26" s="3" t="s">
        <v>436</v>
      </c>
      <c r="C26" s="60">
        <f ca="1">_xll.RiskTriang(D26,E26,F26)</f>
        <v>1.22</v>
      </c>
      <c r="D26" s="143">
        <v>1.1399999999999999</v>
      </c>
      <c r="E26" s="144">
        <v>1.21</v>
      </c>
      <c r="F26" s="143">
        <v>1.31</v>
      </c>
      <c r="G26" s="3" t="s">
        <v>442</v>
      </c>
    </row>
    <row r="27" spans="1:16" x14ac:dyDescent="0.25">
      <c r="B27" s="3" t="s">
        <v>437</v>
      </c>
      <c r="C27" s="60">
        <f ca="1">_xll.RiskTriang(D27,E27,F27)</f>
        <v>1.6499999999999997</v>
      </c>
      <c r="D27" s="145">
        <v>1.41</v>
      </c>
      <c r="E27" s="144">
        <v>1.6399999999999997</v>
      </c>
      <c r="F27" s="143">
        <v>1.9</v>
      </c>
      <c r="G27" s="3" t="s">
        <v>442</v>
      </c>
    </row>
    <row r="28" spans="1:16" x14ac:dyDescent="0.25">
      <c r="B28" s="3" t="s">
        <v>438</v>
      </c>
      <c r="C28" s="60">
        <f ca="1">_xll.RiskTriang(D28,E28,F28)</f>
        <v>1.17</v>
      </c>
      <c r="D28" s="143">
        <v>1</v>
      </c>
      <c r="E28" s="144">
        <v>1.21</v>
      </c>
      <c r="F28" s="145">
        <v>1.3</v>
      </c>
      <c r="G28" s="3" t="s">
        <v>442</v>
      </c>
    </row>
    <row r="29" spans="1:16" x14ac:dyDescent="0.25">
      <c r="B29" s="3" t="s">
        <v>439</v>
      </c>
      <c r="C29" s="60">
        <f ca="1">_xll.RiskTriang(D29,E29,F29)</f>
        <v>1.01</v>
      </c>
      <c r="D29" s="143">
        <v>0.84</v>
      </c>
      <c r="E29" s="144">
        <v>1.0400000000000005</v>
      </c>
      <c r="F29" s="143">
        <v>1.1499999999999999</v>
      </c>
      <c r="G29" s="3" t="s">
        <v>442</v>
      </c>
    </row>
    <row r="30" spans="1:16" x14ac:dyDescent="0.25">
      <c r="B30" s="3" t="s">
        <v>440</v>
      </c>
      <c r="C30" s="60">
        <f ca="1">_xll.RiskTriang(D30,E30,F30)</f>
        <v>1.21</v>
      </c>
      <c r="D30" s="143">
        <v>0.99</v>
      </c>
      <c r="E30" s="144">
        <v>1.2199999999999998</v>
      </c>
      <c r="F30" s="143">
        <v>1.42</v>
      </c>
      <c r="G30" s="3" t="s">
        <v>442</v>
      </c>
    </row>
    <row r="31" spans="1:16" ht="13" thickBot="1" x14ac:dyDescent="0.3">
      <c r="B31" s="3" t="s">
        <v>441</v>
      </c>
      <c r="C31" s="60">
        <f ca="1">_xll.RiskTriang(D31,E31,F31)</f>
        <v>1.04</v>
      </c>
      <c r="D31" s="146">
        <v>0.9</v>
      </c>
      <c r="E31" s="146">
        <v>1.04</v>
      </c>
      <c r="F31" s="146">
        <v>1.18</v>
      </c>
      <c r="G31" s="3" t="s">
        <v>442</v>
      </c>
    </row>
    <row r="32" spans="1:16" ht="13" thickTop="1" x14ac:dyDescent="0.25">
      <c r="B32" s="3"/>
      <c r="C32" s="6"/>
      <c r="D32" s="64"/>
      <c r="E32" s="64"/>
      <c r="F32" s="64"/>
      <c r="G32" s="3"/>
    </row>
    <row r="33" spans="1:10" ht="13" x14ac:dyDescent="0.3">
      <c r="A33" s="124" t="s">
        <v>904</v>
      </c>
      <c r="B33" s="3" t="s">
        <v>914</v>
      </c>
      <c r="C33" s="60">
        <f ca="1">_xll.RiskTriang(D33,E33,F33)</f>
        <v>0</v>
      </c>
      <c r="D33" s="152">
        <v>-1</v>
      </c>
      <c r="E33" s="152">
        <v>0</v>
      </c>
      <c r="F33" s="152">
        <v>1</v>
      </c>
      <c r="G33" s="3" t="s">
        <v>509</v>
      </c>
      <c r="I33" s="124" t="s">
        <v>948</v>
      </c>
    </row>
    <row r="34" spans="1:10" x14ac:dyDescent="0.25">
      <c r="B34" s="3"/>
      <c r="C34" s="6"/>
      <c r="D34" s="64"/>
      <c r="E34" s="64"/>
      <c r="F34" s="64"/>
      <c r="G34" s="3"/>
    </row>
    <row r="35" spans="1:10" ht="13" x14ac:dyDescent="0.3">
      <c r="A35" s="124" t="s">
        <v>489</v>
      </c>
      <c r="B35" s="3"/>
      <c r="C35" s="6"/>
      <c r="D35" s="64"/>
      <c r="E35" s="64"/>
      <c r="F35" s="64"/>
      <c r="G35" s="3"/>
    </row>
    <row r="36" spans="1:10" ht="13" x14ac:dyDescent="0.3">
      <c r="A36" s="124"/>
      <c r="B36" s="3" t="s">
        <v>831</v>
      </c>
      <c r="C36" s="240">
        <f ca="1">_xll.RiskTriang(D36,E36,F36)</f>
        <v>0</v>
      </c>
      <c r="D36" s="152">
        <v>-15</v>
      </c>
      <c r="E36" s="152">
        <v>0</v>
      </c>
      <c r="F36" s="152">
        <v>15</v>
      </c>
      <c r="G36" s="3" t="s">
        <v>40</v>
      </c>
      <c r="I36" s="124" t="s">
        <v>832</v>
      </c>
    </row>
    <row r="37" spans="1:10" ht="13" x14ac:dyDescent="0.3">
      <c r="A37" s="124"/>
      <c r="B37" s="3"/>
      <c r="C37" s="6"/>
      <c r="D37" s="64"/>
      <c r="E37" s="64"/>
      <c r="F37" s="64"/>
      <c r="G37" s="3"/>
      <c r="I37" s="124" t="s">
        <v>753</v>
      </c>
    </row>
    <row r="38" spans="1:10" ht="13" x14ac:dyDescent="0.3">
      <c r="A38" s="124" t="s">
        <v>828</v>
      </c>
      <c r="B38" s="3" t="s">
        <v>522</v>
      </c>
      <c r="C38" s="60">
        <f ca="1">_xll.RiskTriang(D38,E38,F38)</f>
        <v>1.8755694887303616</v>
      </c>
      <c r="D38" s="147">
        <v>1.4260914989725766</v>
      </c>
      <c r="E38" s="147">
        <v>1.8755694887303616</v>
      </c>
      <c r="F38" s="147">
        <v>2.3250474784881465</v>
      </c>
      <c r="G38" s="3" t="s">
        <v>509</v>
      </c>
      <c r="I38" s="124" t="s">
        <v>842</v>
      </c>
    </row>
    <row r="39" spans="1:10" ht="13" x14ac:dyDescent="0.3">
      <c r="A39" s="124"/>
      <c r="B39" s="3" t="s">
        <v>510</v>
      </c>
      <c r="C39" s="18">
        <f ca="1">_xll.RiskTriang(D39,E39,F39)</f>
        <v>31939.740443072169</v>
      </c>
      <c r="D39" s="148">
        <v>28191.155542886914</v>
      </c>
      <c r="E39" s="148">
        <v>31939.740443072169</v>
      </c>
      <c r="F39" s="148">
        <v>35688.325343257427</v>
      </c>
      <c r="G39" s="3" t="s">
        <v>502</v>
      </c>
      <c r="H39" s="124"/>
      <c r="I39" s="124" t="s">
        <v>825</v>
      </c>
    </row>
    <row r="40" spans="1:10" ht="13" x14ac:dyDescent="0.3">
      <c r="B40" s="3" t="s">
        <v>507</v>
      </c>
      <c r="C40" s="60">
        <f ca="1">_xll.RiskTriang(D40,E40,F40)</f>
        <v>61.693785559934845</v>
      </c>
      <c r="D40" s="147">
        <v>35.492666985691521</v>
      </c>
      <c r="E40" s="147">
        <v>61.693785559934852</v>
      </c>
      <c r="F40" s="147">
        <v>87.894904134178176</v>
      </c>
      <c r="G40" s="3" t="s">
        <v>459</v>
      </c>
      <c r="I40" s="124" t="s">
        <v>825</v>
      </c>
    </row>
    <row r="41" spans="1:10" ht="13" x14ac:dyDescent="0.3">
      <c r="B41" s="3" t="s">
        <v>749</v>
      </c>
      <c r="C41" s="60">
        <f ca="1">_xll.RiskTriang(D41,E41,F41)</f>
        <v>0.25899071642927252</v>
      </c>
      <c r="D41" s="147">
        <v>0.10702024771572888</v>
      </c>
      <c r="E41" s="147">
        <v>0.25899071642927252</v>
      </c>
      <c r="F41" s="147">
        <v>0.41096118514281615</v>
      </c>
      <c r="G41" s="3" t="s">
        <v>509</v>
      </c>
      <c r="I41" s="124" t="s">
        <v>825</v>
      </c>
    </row>
    <row r="42" spans="1:10" ht="13" x14ac:dyDescent="0.3">
      <c r="D42" s="110"/>
      <c r="E42" s="110"/>
      <c r="F42" s="110"/>
      <c r="G42" s="3"/>
      <c r="I42" s="124" t="s">
        <v>878</v>
      </c>
    </row>
    <row r="43" spans="1:10" ht="13" x14ac:dyDescent="0.3">
      <c r="B43" s="3" t="s">
        <v>512</v>
      </c>
      <c r="C43" s="18">
        <f ca="1">_xll.RiskTriang(D43,E43,F43)</f>
        <v>2294.2376416053089</v>
      </c>
      <c r="D43" s="148">
        <v>1240.3553299182977</v>
      </c>
      <c r="E43" s="148">
        <v>2294.2376416053094</v>
      </c>
      <c r="F43" s="148">
        <v>3348.1199532923206</v>
      </c>
      <c r="G43" s="3" t="s">
        <v>502</v>
      </c>
      <c r="I43" s="124" t="s">
        <v>864</v>
      </c>
    </row>
    <row r="44" spans="1:10" ht="13" x14ac:dyDescent="0.3">
      <c r="B44" s="3" t="s">
        <v>750</v>
      </c>
      <c r="C44" s="60">
        <f ca="1">_xll.RiskTriang(D44,E44,F44)</f>
        <v>206.28841306311747</v>
      </c>
      <c r="D44" s="147">
        <v>75.194316002313087</v>
      </c>
      <c r="E44" s="147">
        <v>206.28841306311747</v>
      </c>
      <c r="F44" s="147">
        <v>337.38251012392186</v>
      </c>
      <c r="G44" s="3" t="s">
        <v>459</v>
      </c>
      <c r="H44" s="226"/>
      <c r="I44" s="124" t="s">
        <v>864</v>
      </c>
      <c r="J44" s="227"/>
    </row>
    <row r="45" spans="1:10" ht="13" x14ac:dyDescent="0.3">
      <c r="B45" s="3" t="s">
        <v>867</v>
      </c>
      <c r="C45" s="60">
        <f ca="1">_xll.RiskTriang(D45,E45,F45)</f>
        <v>0.2510548621108904</v>
      </c>
      <c r="D45" s="147">
        <v>-0.10877928373270773</v>
      </c>
      <c r="E45" s="147">
        <v>0.2510548621108904</v>
      </c>
      <c r="F45" s="147">
        <v>0.61088900795448853</v>
      </c>
      <c r="G45" s="3" t="s">
        <v>509</v>
      </c>
      <c r="I45" s="124" t="s">
        <v>864</v>
      </c>
    </row>
    <row r="47" spans="1:10" ht="13" x14ac:dyDescent="0.3">
      <c r="C47" s="226"/>
      <c r="D47" s="227"/>
      <c r="E47" s="227"/>
      <c r="I47" s="124" t="s">
        <v>830</v>
      </c>
    </row>
    <row r="48" spans="1:10" ht="13" x14ac:dyDescent="0.3">
      <c r="A48" s="124" t="s">
        <v>829</v>
      </c>
      <c r="B48" s="3" t="s">
        <v>522</v>
      </c>
      <c r="C48" s="60">
        <f ca="1">_xll.RiskTriang(D48,E48,F48)</f>
        <v>1.9359078717122433</v>
      </c>
      <c r="D48" s="147">
        <v>1.709604118161359</v>
      </c>
      <c r="E48" s="147">
        <v>1.9359078717122433</v>
      </c>
      <c r="F48" s="147">
        <v>2.1622116252631276</v>
      </c>
      <c r="G48" s="3" t="s">
        <v>509</v>
      </c>
      <c r="I48" s="124" t="s">
        <v>843</v>
      </c>
    </row>
    <row r="49" spans="1:9" ht="13" x14ac:dyDescent="0.3">
      <c r="B49" s="3" t="s">
        <v>510</v>
      </c>
      <c r="C49" s="18">
        <f ca="1">_xll.RiskTriang(D49,E49,F49)</f>
        <v>61867.779459651385</v>
      </c>
      <c r="D49" s="148">
        <v>24726.803569564941</v>
      </c>
      <c r="E49" s="148">
        <v>61867.779459651392</v>
      </c>
      <c r="F49" s="148">
        <v>99008.755349737839</v>
      </c>
      <c r="G49" s="3" t="s">
        <v>502</v>
      </c>
      <c r="H49" s="124"/>
      <c r="I49" s="124" t="s">
        <v>827</v>
      </c>
    </row>
    <row r="50" spans="1:9" ht="13" x14ac:dyDescent="0.3">
      <c r="B50" s="3" t="s">
        <v>507</v>
      </c>
      <c r="C50" s="60">
        <f ca="1">_xll.RiskTriang(D50,E50,F50)</f>
        <v>543.61635577597474</v>
      </c>
      <c r="D50" s="147">
        <v>252.55836838967616</v>
      </c>
      <c r="E50" s="147">
        <v>543.61635577597474</v>
      </c>
      <c r="F50" s="147">
        <v>834.67434316227332</v>
      </c>
      <c r="G50" s="3" t="s">
        <v>459</v>
      </c>
      <c r="I50" s="124" t="s">
        <v>827</v>
      </c>
    </row>
    <row r="51" spans="1:9" ht="13" x14ac:dyDescent="0.3">
      <c r="B51" s="3" t="s">
        <v>749</v>
      </c>
      <c r="C51" s="60">
        <f ca="1">_xll.RiskTriang(D51,E51,F51)</f>
        <v>0.45703075682935701</v>
      </c>
      <c r="D51" s="147">
        <v>-0.2260459870624707</v>
      </c>
      <c r="E51" s="147">
        <v>0.45703075682935701</v>
      </c>
      <c r="F51" s="147">
        <v>1.1401075007211847</v>
      </c>
      <c r="I51" s="124" t="s">
        <v>827</v>
      </c>
    </row>
    <row r="53" spans="1:9" ht="13" x14ac:dyDescent="0.3">
      <c r="B53" t="s">
        <v>868</v>
      </c>
      <c r="C53" s="60">
        <f ca="1">_xll.RiskTriang(D53,E53,F53)</f>
        <v>6.1161622722467444</v>
      </c>
      <c r="D53" s="147">
        <v>2.7749229188078113</v>
      </c>
      <c r="E53" s="147">
        <v>6.0445387062566285</v>
      </c>
      <c r="F53" s="147">
        <v>9.5290251916757924</v>
      </c>
      <c r="G53" t="s">
        <v>40</v>
      </c>
      <c r="I53" s="124" t="s">
        <v>869</v>
      </c>
    </row>
    <row r="56" spans="1:9" s="2" customFormat="1" ht="13" x14ac:dyDescent="0.3">
      <c r="A56" s="2" t="s">
        <v>766</v>
      </c>
      <c r="B56" s="48"/>
      <c r="C56" s="48"/>
      <c r="D56" s="2" t="s">
        <v>401</v>
      </c>
      <c r="E56" s="2" t="s">
        <v>402</v>
      </c>
      <c r="F56" s="2" t="s">
        <v>403</v>
      </c>
    </row>
    <row r="57" spans="1:9" s="2" customFormat="1" ht="13" x14ac:dyDescent="0.3">
      <c r="A57" s="124" t="s">
        <v>770</v>
      </c>
      <c r="B57" s="3" t="s">
        <v>964</v>
      </c>
      <c r="C57" s="60">
        <f ca="1">_xll.RiskUniform(D57,F57)</f>
        <v>0.5</v>
      </c>
      <c r="D57" s="264">
        <v>0</v>
      </c>
      <c r="E57" s="3" t="s">
        <v>963</v>
      </c>
      <c r="F57" s="264">
        <v>1</v>
      </c>
    </row>
    <row r="58" spans="1:9" x14ac:dyDescent="0.25">
      <c r="B58" t="s">
        <v>130</v>
      </c>
      <c r="C58" s="60">
        <f ca="1">_xll.RiskTriang(D58,E58,F58)</f>
        <v>1.5</v>
      </c>
      <c r="D58" s="94">
        <v>1</v>
      </c>
      <c r="E58" s="94">
        <v>1.5</v>
      </c>
      <c r="F58" s="94">
        <v>2</v>
      </c>
      <c r="G58" s="1" t="s">
        <v>43</v>
      </c>
    </row>
    <row r="59" spans="1:9" ht="13" thickBot="1" x14ac:dyDescent="0.3">
      <c r="B59" t="s">
        <v>131</v>
      </c>
      <c r="C59" s="60">
        <f ca="1">_xll.RiskTriang(D59,E59,F59)</f>
        <v>20</v>
      </c>
      <c r="D59" s="10">
        <v>10</v>
      </c>
      <c r="E59" s="10">
        <v>20</v>
      </c>
      <c r="F59" s="10">
        <v>30</v>
      </c>
      <c r="G59" s="1" t="s">
        <v>132</v>
      </c>
    </row>
    <row r="60" spans="1:9" ht="13" thickTop="1" x14ac:dyDescent="0.25"/>
    <row r="61" spans="1:9" s="2" customFormat="1" ht="13" x14ac:dyDescent="0.3">
      <c r="B61" s="48"/>
      <c r="C61" s="48"/>
    </row>
    <row r="62" spans="1:9" ht="13" x14ac:dyDescent="0.3">
      <c r="A62" s="124" t="s">
        <v>771</v>
      </c>
      <c r="B62" t="s">
        <v>208</v>
      </c>
      <c r="C62" s="60">
        <f ca="1">_xll.RiskTriang(D62,E62,F62)</f>
        <v>15</v>
      </c>
      <c r="D62" s="9">
        <v>10</v>
      </c>
      <c r="E62" s="9">
        <v>15</v>
      </c>
      <c r="F62" s="9">
        <v>20</v>
      </c>
      <c r="G62" t="s">
        <v>40</v>
      </c>
    </row>
    <row r="63" spans="1:9" x14ac:dyDescent="0.25">
      <c r="B63" t="s">
        <v>211</v>
      </c>
      <c r="C63" s="60">
        <f ca="1">_xll.RiskTriang(D63,E63,F63)</f>
        <v>0.5</v>
      </c>
      <c r="D63" s="9">
        <v>0.45</v>
      </c>
      <c r="E63" s="9">
        <v>0.5</v>
      </c>
      <c r="F63" s="9">
        <v>0.55000000000000004</v>
      </c>
      <c r="G63" t="s">
        <v>182</v>
      </c>
    </row>
    <row r="64" spans="1:9" x14ac:dyDescent="0.25">
      <c r="B64" t="s">
        <v>209</v>
      </c>
      <c r="C64" s="60">
        <f ca="1">_xll.RiskTriang(D64,E64,F64)</f>
        <v>3</v>
      </c>
      <c r="D64" s="9">
        <v>2.5</v>
      </c>
      <c r="E64" s="9">
        <v>3</v>
      </c>
      <c r="F64" s="9">
        <v>3.5</v>
      </c>
      <c r="G64" t="s">
        <v>43</v>
      </c>
    </row>
    <row r="65" spans="1:7" x14ac:dyDescent="0.25">
      <c r="C65" s="6"/>
      <c r="D65" s="64"/>
      <c r="E65" s="64"/>
      <c r="F65" s="64"/>
    </row>
    <row r="66" spans="1:7" x14ac:dyDescent="0.25">
      <c r="B66" t="s">
        <v>214</v>
      </c>
      <c r="C66" s="60">
        <f ca="1">_xll.RiskTriang(D66,E66,F66)</f>
        <v>0</v>
      </c>
      <c r="D66" s="9">
        <v>0</v>
      </c>
      <c r="E66" s="9">
        <v>0</v>
      </c>
      <c r="F66" s="9">
        <v>0</v>
      </c>
      <c r="G66" t="s">
        <v>212</v>
      </c>
    </row>
    <row r="67" spans="1:7" x14ac:dyDescent="0.25">
      <c r="B67" t="s">
        <v>210</v>
      </c>
      <c r="C67" s="60">
        <f ca="1">_xll.RiskTriang(D67,E67,F67)</f>
        <v>1</v>
      </c>
      <c r="D67" s="9">
        <v>0.5</v>
      </c>
      <c r="E67" s="9">
        <v>1</v>
      </c>
      <c r="F67" s="9">
        <v>1.5</v>
      </c>
      <c r="G67" t="s">
        <v>134</v>
      </c>
    </row>
    <row r="68" spans="1:7" x14ac:dyDescent="0.25">
      <c r="B68" t="s">
        <v>218</v>
      </c>
      <c r="C68" s="60">
        <f ca="1">_xll.RiskTriang(D68,E68,F68)</f>
        <v>0.73333333333333339</v>
      </c>
      <c r="D68" s="9">
        <v>0.5</v>
      </c>
      <c r="E68" s="9">
        <v>0.7</v>
      </c>
      <c r="F68" s="9">
        <v>1</v>
      </c>
    </row>
    <row r="69" spans="1:7" x14ac:dyDescent="0.25">
      <c r="B69" t="s">
        <v>213</v>
      </c>
      <c r="C69" s="60">
        <f ca="1">_xll.RiskTriang(D69,E69,F69)</f>
        <v>-0.3</v>
      </c>
      <c r="D69" s="9">
        <v>-0.4</v>
      </c>
      <c r="E69" s="9">
        <v>-0.3</v>
      </c>
      <c r="F69" s="9">
        <v>-0.2</v>
      </c>
    </row>
    <row r="70" spans="1:7" x14ac:dyDescent="0.25">
      <c r="C70" s="6"/>
      <c r="D70" s="64"/>
      <c r="E70" s="64"/>
      <c r="F70" s="64"/>
    </row>
    <row r="71" spans="1:7" x14ac:dyDescent="0.25">
      <c r="A71" s="3" t="s">
        <v>799</v>
      </c>
      <c r="B71" t="str">
        <f>I_1_NAME&amp;" initial benefit"</f>
        <v>Economic initial benefit</v>
      </c>
      <c r="C71" s="60">
        <f ca="1">_xll.RiskTriang(D71,E71,F71)</f>
        <v>0</v>
      </c>
      <c r="D71" s="147">
        <f t="array" ref="D71:F74" xml:space="preserve"> IF(ECON_IMPF_SWITCH = 0, ( IF(ECON_IMPF = ECON_IMPF_PAGE09_DEFAULT, PARAM_ECON_IMPF_PAGE09_DEFAULT, 0) + IF(ECON_IMPF = ECON_IMPF_PAGE09_IPCCAR5_BURKE, PARAM_ECON_IMPF_PAGE09_IPCCAR5_BURKE, 0) + IF(ECON_IMPF = ECON_IMPF_PAGE09_DELL_MIMIC, PARAM_ECON_IMPF_PAGE09_DELL_MIMIC, 0) + IF(ECON_IMPF = ECON_IMPF_PAGE09_BURKE_MIMIC, PARAM_ECON_IMPF_PAGE09_BURKE_MIMIC, 0) ), 0)</f>
        <v>0</v>
      </c>
      <c r="E71" s="147">
        <v>0</v>
      </c>
      <c r="F71" s="147">
        <v>0</v>
      </c>
      <c r="G71" t="s">
        <v>215</v>
      </c>
    </row>
    <row r="72" spans="1:7" x14ac:dyDescent="0.25">
      <c r="B72" t="str">
        <f>I_1_NAME&amp;" impact at calibration temperature"</f>
        <v>Economic impact at calibration temperature</v>
      </c>
      <c r="C72" s="60">
        <f ca="1">_xll.RiskTriang(D72,E72,F72)</f>
        <v>0</v>
      </c>
      <c r="D72" s="147">
        <v>0</v>
      </c>
      <c r="E72" s="147">
        <v>0</v>
      </c>
      <c r="F72" s="147">
        <v>0</v>
      </c>
      <c r="G72" t="s">
        <v>134</v>
      </c>
    </row>
    <row r="73" spans="1:7" x14ac:dyDescent="0.25">
      <c r="B73" t="str">
        <f>I_1_NAME&amp;" impact function exponent"</f>
        <v>Economic impact function exponent</v>
      </c>
      <c r="C73" s="60">
        <f ca="1">_xll.RiskTriang(D73,E73,F73)</f>
        <v>0</v>
      </c>
      <c r="D73" s="147">
        <v>0</v>
      </c>
      <c r="E73" s="147">
        <v>0</v>
      </c>
      <c r="F73" s="147">
        <v>0</v>
      </c>
    </row>
    <row r="74" spans="1:7" x14ac:dyDescent="0.25">
      <c r="B74" t="str">
        <f>I_1_NAME&amp;" exponent with income"</f>
        <v>Economic exponent with income</v>
      </c>
      <c r="C74" s="60">
        <f ca="1">_xll.RiskTriang(D74,E74,F74)</f>
        <v>0</v>
      </c>
      <c r="D74" s="147">
        <v>0</v>
      </c>
      <c r="E74" s="147">
        <v>0</v>
      </c>
      <c r="F74" s="147">
        <v>0</v>
      </c>
    </row>
    <row r="75" spans="1:7" x14ac:dyDescent="0.25">
      <c r="C75" s="6"/>
      <c r="D75" s="64"/>
      <c r="E75" s="64"/>
      <c r="F75" s="64"/>
    </row>
    <row r="76" spans="1:7" x14ac:dyDescent="0.25">
      <c r="A76" s="3" t="s">
        <v>800</v>
      </c>
      <c r="B76" t="str">
        <f>I_1_NAME&amp;" impact Burke: temp coeff"</f>
        <v>Economic impact Burke: temp coeff</v>
      </c>
      <c r="C76" s="18">
        <f ca="1">_xll.RiskTriang(D76,E76,F76)</f>
        <v>-8.2999096646943719E-3</v>
      </c>
      <c r="D76" s="148">
        <v>-1.3979188534789841E-2</v>
      </c>
      <c r="E76" s="148">
        <v>-8.2999096646943719E-3</v>
      </c>
      <c r="F76" s="148">
        <v>-2.620630794598902E-3</v>
      </c>
      <c r="G76" t="s">
        <v>708</v>
      </c>
    </row>
    <row r="77" spans="1:7" x14ac:dyDescent="0.25">
      <c r="B77" t="str">
        <f>I_1_NAME&amp;" impact Burke: temp squared coeff"</f>
        <v>Economic impact Burke: temp squared coeff</v>
      </c>
      <c r="C77" s="18">
        <f ca="1">_xll.RiskTriang(D77,E77,F77)</f>
        <v>-5.0000340370357757E-4</v>
      </c>
      <c r="D77" s="148">
        <v>-5.9999950648257619E-4</v>
      </c>
      <c r="E77" s="148">
        <v>-5.0000340370357757E-4</v>
      </c>
      <c r="F77" s="148">
        <v>-4.000073009245789E-4</v>
      </c>
      <c r="G77" t="s">
        <v>709</v>
      </c>
    </row>
    <row r="78" spans="1:7" x14ac:dyDescent="0.25">
      <c r="C78" s="6"/>
      <c r="D78" s="64"/>
      <c r="E78" s="64"/>
      <c r="F78" s="64"/>
    </row>
    <row r="79" spans="1:7" x14ac:dyDescent="0.25">
      <c r="B79" t="str">
        <f>I_2_NAME&amp;" initial benefit"</f>
        <v>Non-econ initial benefit</v>
      </c>
      <c r="C79" s="60">
        <f ca="1">_xll.RiskTriang(D79,E79,F79)</f>
        <v>8.3333333333333329E-2</v>
      </c>
      <c r="D79" s="9">
        <v>0</v>
      </c>
      <c r="E79" s="9">
        <v>0.05</v>
      </c>
      <c r="F79" s="9">
        <v>0.2</v>
      </c>
      <c r="G79" t="s">
        <v>215</v>
      </c>
    </row>
    <row r="80" spans="1:7" x14ac:dyDescent="0.25">
      <c r="B80" t="str">
        <f>I_2_NAME&amp;" impact at calibration temperature"</f>
        <v>Non-econ impact at calibration temperature</v>
      </c>
      <c r="C80" s="60">
        <f ca="1">_xll.RiskTriang(D80,E80,F80)</f>
        <v>0.6333333333333333</v>
      </c>
      <c r="D80" s="9">
        <v>0.1</v>
      </c>
      <c r="E80" s="94">
        <v>0.6</v>
      </c>
      <c r="F80" s="94">
        <v>1.2</v>
      </c>
      <c r="G80" t="s">
        <v>134</v>
      </c>
    </row>
    <row r="81" spans="2:9" x14ac:dyDescent="0.25">
      <c r="B81" t="str">
        <f>I_2_NAME&amp;" impact function exponent"</f>
        <v>Non-econ impact function exponent</v>
      </c>
      <c r="C81" s="60">
        <f ca="1">_xll.RiskTriang(D81,E81,F81)</f>
        <v>2.1666666666666665</v>
      </c>
      <c r="D81" s="9">
        <v>1.5</v>
      </c>
      <c r="E81" s="9">
        <v>2</v>
      </c>
      <c r="F81" s="9">
        <v>3</v>
      </c>
    </row>
    <row r="82" spans="2:9" x14ac:dyDescent="0.25">
      <c r="B82" t="str">
        <f>I_2_NAME&amp;" exponent with income"</f>
        <v>Non-econ exponent with income</v>
      </c>
      <c r="C82" s="60">
        <f ca="1">_xll.RiskTriang(D82,E82,F82)</f>
        <v>0</v>
      </c>
      <c r="D82" s="9">
        <v>-0.2</v>
      </c>
      <c r="E82" s="9">
        <v>0</v>
      </c>
      <c r="F82" s="9">
        <v>0.2</v>
      </c>
    </row>
    <row r="83" spans="2:9" ht="13" x14ac:dyDescent="0.3">
      <c r="B83" t="s">
        <v>133</v>
      </c>
      <c r="C83" s="60">
        <f ca="1">_xll.RiskTriang(D83,E83,F83)</f>
        <v>3</v>
      </c>
      <c r="D83" s="143">
        <v>1</v>
      </c>
      <c r="E83" s="143">
        <v>3</v>
      </c>
      <c r="F83" s="143">
        <v>5</v>
      </c>
      <c r="G83" t="s">
        <v>134</v>
      </c>
      <c r="I83" s="124" t="s">
        <v>913</v>
      </c>
    </row>
    <row r="84" spans="2:9" x14ac:dyDescent="0.25">
      <c r="B84" t="s">
        <v>217</v>
      </c>
      <c r="C84" s="60">
        <f ca="1">_xll.RiskTriang(D84,E84,F84)</f>
        <v>-0.13333333333333333</v>
      </c>
      <c r="D84" s="9">
        <v>-0.3</v>
      </c>
      <c r="E84" s="9">
        <v>-0.1</v>
      </c>
      <c r="F84" s="9">
        <v>0</v>
      </c>
    </row>
    <row r="85" spans="2:9" ht="13" x14ac:dyDescent="0.3">
      <c r="B85" s="3" t="s">
        <v>426</v>
      </c>
      <c r="C85" s="60">
        <f ca="1">_xll.RiskTriang(D85,E85,F85)</f>
        <v>20</v>
      </c>
      <c r="D85" s="143">
        <v>10</v>
      </c>
      <c r="E85" s="143">
        <v>20</v>
      </c>
      <c r="F85" s="143">
        <v>30</v>
      </c>
      <c r="G85" t="s">
        <v>41</v>
      </c>
      <c r="I85" s="124" t="s">
        <v>912</v>
      </c>
    </row>
    <row r="86" spans="2:9" ht="13" x14ac:dyDescent="0.3">
      <c r="B86" t="s">
        <v>216</v>
      </c>
      <c r="C86" s="60">
        <f ca="1">_xll.RiskTriang(D86,E86,F86)</f>
        <v>20</v>
      </c>
      <c r="D86" s="93">
        <v>15</v>
      </c>
      <c r="E86" s="93">
        <v>20</v>
      </c>
      <c r="F86" s="93">
        <v>25</v>
      </c>
      <c r="G86" t="s">
        <v>259</v>
      </c>
      <c r="I86" s="124" t="s">
        <v>798</v>
      </c>
    </row>
    <row r="87" spans="2:9" x14ac:dyDescent="0.25">
      <c r="B87" t="s">
        <v>407</v>
      </c>
      <c r="C87" s="217">
        <f ca="1">_xll.RiskTriang(D87,E87,F87)</f>
        <v>61333333333.333336</v>
      </c>
      <c r="D87" s="218">
        <v>11500000000</v>
      </c>
      <c r="E87" s="218">
        <v>57499999999.999992</v>
      </c>
      <c r="F87" s="218">
        <v>114999999999.99998</v>
      </c>
      <c r="G87" t="str">
        <f>CURRENCY_NAME</f>
        <v>$M(2015)</v>
      </c>
    </row>
    <row r="88" spans="2:9" x14ac:dyDescent="0.25">
      <c r="C88" s="219"/>
      <c r="D88" s="220"/>
      <c r="E88" s="220"/>
      <c r="F88" s="220"/>
    </row>
    <row r="89" spans="2:9" x14ac:dyDescent="0.25">
      <c r="B89" t="str">
        <f t="array" ref="B89:B95">R_CODE_NOT_1&amp;" "&amp;I_S_NAME&amp;" weights factor"</f>
        <v>US Sea level weights factor</v>
      </c>
      <c r="C89" s="60">
        <f ca="1">_xll.RiskTriang(D89,E89,F89)</f>
        <v>0.79999999999999993</v>
      </c>
      <c r="D89" s="9">
        <v>0.6</v>
      </c>
      <c r="E89" s="9">
        <v>0.8</v>
      </c>
      <c r="F89" s="9">
        <v>1</v>
      </c>
    </row>
    <row r="90" spans="2:9" x14ac:dyDescent="0.25">
      <c r="B90" t="str">
        <v>OT Sea level weights factor</v>
      </c>
      <c r="C90" s="60">
        <f ca="1">_xll.RiskTriang(D90,E90,F90)</f>
        <v>0.80000000000000016</v>
      </c>
      <c r="D90" s="9">
        <v>0.4</v>
      </c>
      <c r="E90" s="9">
        <v>0.8</v>
      </c>
      <c r="F90" s="9">
        <v>1.2</v>
      </c>
    </row>
    <row r="91" spans="2:9" x14ac:dyDescent="0.25">
      <c r="B91" t="str">
        <v>EE Sea level weights factor</v>
      </c>
      <c r="C91" s="60">
        <f ca="1">_xll.RiskTriang(D91,E91,F91)</f>
        <v>0.40000000000000008</v>
      </c>
      <c r="D91" s="9">
        <v>0.2</v>
      </c>
      <c r="E91" s="9">
        <v>0.4</v>
      </c>
      <c r="F91" s="9">
        <v>0.6</v>
      </c>
    </row>
    <row r="92" spans="2:9" x14ac:dyDescent="0.25">
      <c r="B92" t="str">
        <v>CA Sea level weights factor</v>
      </c>
      <c r="C92" s="60">
        <f ca="1">_xll.RiskTriang(D92,E92,F92)</f>
        <v>0.80000000000000016</v>
      </c>
      <c r="D92" s="9">
        <v>0.4</v>
      </c>
      <c r="E92" s="9">
        <v>0.8</v>
      </c>
      <c r="F92" s="9">
        <v>1.2</v>
      </c>
    </row>
    <row r="93" spans="2:9" x14ac:dyDescent="0.25">
      <c r="B93" t="str">
        <v>IA Sea level weights factor</v>
      </c>
      <c r="C93" s="60">
        <f ca="1">_xll.RiskTriang(D93,E93,F93)</f>
        <v>0.80000000000000016</v>
      </c>
      <c r="D93" s="9">
        <v>0.4</v>
      </c>
      <c r="E93" s="9">
        <v>0.8</v>
      </c>
      <c r="F93" s="9">
        <v>1.2</v>
      </c>
    </row>
    <row r="94" spans="2:9" x14ac:dyDescent="0.25">
      <c r="B94" t="str">
        <v>AF Sea level weights factor</v>
      </c>
      <c r="C94" s="60">
        <f ca="1">_xll.RiskTriang(D94,E94,F94)</f>
        <v>0.6</v>
      </c>
      <c r="D94" s="9">
        <v>0.4</v>
      </c>
      <c r="E94" s="9">
        <v>0.6</v>
      </c>
      <c r="F94" s="9">
        <v>0.8</v>
      </c>
    </row>
    <row r="95" spans="2:9" ht="13" thickBot="1" x14ac:dyDescent="0.3">
      <c r="B95" t="str">
        <v>LA Sea level weights factor</v>
      </c>
      <c r="C95" s="60">
        <f ca="1">_xll.RiskTriang(D95,E95,F95)</f>
        <v>0.6</v>
      </c>
      <c r="D95" s="10">
        <v>0.4</v>
      </c>
      <c r="E95" s="10">
        <v>0.6</v>
      </c>
      <c r="F95" s="10">
        <v>0.8</v>
      </c>
    </row>
    <row r="96" spans="2:9" ht="13" thickTop="1" x14ac:dyDescent="0.25">
      <c r="C96" s="6"/>
      <c r="D96" s="64"/>
      <c r="E96" s="64"/>
      <c r="F96" s="64"/>
    </row>
    <row r="97" spans="2:6" x14ac:dyDescent="0.25">
      <c r="B97" t="str">
        <f t="array" ref="B97:B103">R_CODE_NOT_1&amp;" "&amp;I_1_NAME&amp;" weights factor"</f>
        <v>US Economic weights factor</v>
      </c>
      <c r="C97" s="60">
        <f ca="1">_xll.RiskTriang(D97,E97,F97)</f>
        <v>1</v>
      </c>
      <c r="D97" s="9">
        <v>1</v>
      </c>
      <c r="E97" s="9">
        <v>1</v>
      </c>
      <c r="F97" s="9">
        <v>1</v>
      </c>
    </row>
    <row r="98" spans="2:6" x14ac:dyDescent="0.25">
      <c r="B98" t="str">
        <v>OT Economic weights factor</v>
      </c>
      <c r="C98" s="60">
        <f ca="1">_xll.RiskTriang(D98,E98,F98)</f>
        <v>1</v>
      </c>
      <c r="D98" s="9">
        <v>1</v>
      </c>
      <c r="E98" s="9">
        <v>1</v>
      </c>
      <c r="F98" s="9">
        <v>1</v>
      </c>
    </row>
    <row r="99" spans="2:6" x14ac:dyDescent="0.25">
      <c r="B99" t="str">
        <v>EE Economic weights factor</v>
      </c>
      <c r="C99" s="60">
        <f ca="1">_xll.RiskTriang(D99,E99,F99)</f>
        <v>1</v>
      </c>
      <c r="D99" s="9">
        <v>1</v>
      </c>
      <c r="E99" s="9">
        <v>1</v>
      </c>
      <c r="F99" s="9">
        <v>1</v>
      </c>
    </row>
    <row r="100" spans="2:6" x14ac:dyDescent="0.25">
      <c r="B100" t="str">
        <v>CA Economic weights factor</v>
      </c>
      <c r="C100" s="60">
        <f ca="1">_xll.RiskTriang(D100,E100,F100)</f>
        <v>1</v>
      </c>
      <c r="D100" s="9">
        <v>1</v>
      </c>
      <c r="E100" s="9">
        <v>1</v>
      </c>
      <c r="F100" s="9">
        <v>1</v>
      </c>
    </row>
    <row r="101" spans="2:6" x14ac:dyDescent="0.25">
      <c r="B101" t="str">
        <v>IA Economic weights factor</v>
      </c>
      <c r="C101" s="60">
        <f ca="1">_xll.RiskTriang(D101,E101,F101)</f>
        <v>1</v>
      </c>
      <c r="D101" s="9">
        <v>1</v>
      </c>
      <c r="E101" s="9">
        <v>1</v>
      </c>
      <c r="F101" s="9">
        <v>1</v>
      </c>
    </row>
    <row r="102" spans="2:6" x14ac:dyDescent="0.25">
      <c r="B102" t="str">
        <v>AF Economic weights factor</v>
      </c>
      <c r="C102" s="60">
        <f ca="1">_xll.RiskTriang(D102,E102,F102)</f>
        <v>1</v>
      </c>
      <c r="D102" s="9">
        <v>1</v>
      </c>
      <c r="E102" s="9">
        <v>1</v>
      </c>
      <c r="F102" s="9">
        <v>1</v>
      </c>
    </row>
    <row r="103" spans="2:6" x14ac:dyDescent="0.25">
      <c r="B103" t="str">
        <v>LA Economic weights factor</v>
      </c>
      <c r="C103" s="60">
        <f ca="1">_xll.RiskTriang(D103,E103,F103)</f>
        <v>1</v>
      </c>
      <c r="D103" s="9">
        <v>1</v>
      </c>
      <c r="E103" s="9">
        <v>1</v>
      </c>
      <c r="F103" s="9">
        <v>1</v>
      </c>
    </row>
    <row r="104" spans="2:6" x14ac:dyDescent="0.25">
      <c r="C104" s="6"/>
      <c r="D104" s="64"/>
      <c r="E104" s="64"/>
      <c r="F104" s="64"/>
    </row>
    <row r="105" spans="2:6" x14ac:dyDescent="0.25">
      <c r="B105" t="str">
        <f t="array" ref="B105:B111">R_CODE_NOT_1&amp;" "&amp;I_2_NAME&amp;" weights factor"</f>
        <v>US Non-econ weights factor</v>
      </c>
      <c r="C105" s="60">
        <f ca="1">_xll.RiskTriang(D105,E105,F105)</f>
        <v>1</v>
      </c>
      <c r="D105" s="9">
        <v>1</v>
      </c>
      <c r="E105" s="9">
        <v>1</v>
      </c>
      <c r="F105" s="9">
        <v>1</v>
      </c>
    </row>
    <row r="106" spans="2:6" x14ac:dyDescent="0.25">
      <c r="B106" t="str">
        <v>OT Non-econ weights factor</v>
      </c>
      <c r="C106" s="60">
        <f ca="1">_xll.RiskTriang(D106,E106,F106)</f>
        <v>1</v>
      </c>
      <c r="D106" s="9">
        <v>1</v>
      </c>
      <c r="E106" s="9">
        <v>1</v>
      </c>
      <c r="F106" s="9">
        <v>1</v>
      </c>
    </row>
    <row r="107" spans="2:6" x14ac:dyDescent="0.25">
      <c r="B107" t="str">
        <v>EE Non-econ weights factor</v>
      </c>
      <c r="C107" s="60">
        <f ca="1">_xll.RiskTriang(D107,E107,F107)</f>
        <v>1</v>
      </c>
      <c r="D107" s="9">
        <v>1</v>
      </c>
      <c r="E107" s="9">
        <v>1</v>
      </c>
      <c r="F107" s="9">
        <v>1</v>
      </c>
    </row>
    <row r="108" spans="2:6" x14ac:dyDescent="0.25">
      <c r="B108" t="str">
        <v>CA Non-econ weights factor</v>
      </c>
      <c r="C108" s="60">
        <f ca="1">_xll.RiskTriang(D108,E108,F108)</f>
        <v>1</v>
      </c>
      <c r="D108" s="9">
        <v>1</v>
      </c>
      <c r="E108" s="9">
        <v>1</v>
      </c>
      <c r="F108" s="9">
        <v>1</v>
      </c>
    </row>
    <row r="109" spans="2:6" x14ac:dyDescent="0.25">
      <c r="B109" t="str">
        <v>IA Non-econ weights factor</v>
      </c>
      <c r="C109" s="60">
        <f ca="1">_xll.RiskTriang(D109,E109,F109)</f>
        <v>1</v>
      </c>
      <c r="D109" s="9">
        <v>1</v>
      </c>
      <c r="E109" s="9">
        <v>1</v>
      </c>
      <c r="F109" s="9">
        <v>1</v>
      </c>
    </row>
    <row r="110" spans="2:6" x14ac:dyDescent="0.25">
      <c r="B110" t="str">
        <v>AF Non-econ weights factor</v>
      </c>
      <c r="C110" s="60">
        <f ca="1">_xll.RiskTriang(D110,E110,F110)</f>
        <v>1</v>
      </c>
      <c r="D110" s="9">
        <v>1</v>
      </c>
      <c r="E110" s="9">
        <v>1</v>
      </c>
      <c r="F110" s="9">
        <v>1</v>
      </c>
    </row>
    <row r="111" spans="2:6" x14ac:dyDescent="0.25">
      <c r="B111" t="str">
        <v>LA Non-econ weights factor</v>
      </c>
      <c r="C111" s="60">
        <f ca="1">_xll.RiskTriang(D111,E111,F111)</f>
        <v>1</v>
      </c>
      <c r="D111" s="9">
        <v>1</v>
      </c>
      <c r="E111" s="9">
        <v>1</v>
      </c>
      <c r="F111" s="9">
        <v>1</v>
      </c>
    </row>
    <row r="112" spans="2:6" x14ac:dyDescent="0.25">
      <c r="C112" s="6"/>
      <c r="D112" s="64"/>
      <c r="E112" s="64"/>
      <c r="F112" s="64"/>
    </row>
    <row r="114" spans="1:12" s="2" customFormat="1" ht="13" x14ac:dyDescent="0.3">
      <c r="A114" s="2" t="s">
        <v>45</v>
      </c>
      <c r="B114" s="48"/>
      <c r="C114" s="48"/>
      <c r="D114" s="2" t="s">
        <v>401</v>
      </c>
      <c r="E114" s="2" t="s">
        <v>402</v>
      </c>
      <c r="F114" s="2" t="s">
        <v>403</v>
      </c>
    </row>
    <row r="115" spans="1:12" x14ac:dyDescent="0.25">
      <c r="B115" t="str">
        <f>$A$114&amp;" sea level plateau"</f>
        <v>Adaptive costs sea level plateau</v>
      </c>
      <c r="C115" s="69">
        <f ca="1">_xll.RiskTriang(D115,E115,F115)</f>
        <v>2.3333333333333334E-2</v>
      </c>
      <c r="D115" s="9">
        <v>0.01</v>
      </c>
      <c r="E115" s="9">
        <v>0.02</v>
      </c>
      <c r="F115" s="9">
        <v>0.04</v>
      </c>
      <c r="G115" s="3" t="s">
        <v>367</v>
      </c>
      <c r="H115" s="1"/>
      <c r="I115" s="1"/>
    </row>
    <row r="116" spans="1:12" x14ac:dyDescent="0.25">
      <c r="B116" t="str">
        <f>$A$114&amp;" sea level impact"</f>
        <v>Adaptive costs sea level impact</v>
      </c>
      <c r="C116" s="69">
        <f ca="1">_xll.RiskTriang(D116,E116,F116)</f>
        <v>1.1666666666666668E-3</v>
      </c>
      <c r="D116" s="9">
        <v>5.0000000000000001E-4</v>
      </c>
      <c r="E116" s="9">
        <v>1E-3</v>
      </c>
      <c r="F116" s="9">
        <v>2E-3</v>
      </c>
      <c r="G116" s="3" t="s">
        <v>408</v>
      </c>
    </row>
    <row r="117" spans="1:12" x14ac:dyDescent="0.25">
      <c r="B117" t="str">
        <f>$A$114&amp;" "&amp;I_1_NAME&amp;" plateau"</f>
        <v>Adaptive costs Economic plateau</v>
      </c>
      <c r="C117" s="69">
        <f ca="1">_xll.RiskTriang(D117,E117,F117)</f>
        <v>1.1666666666666667E-2</v>
      </c>
      <c r="D117" s="9">
        <v>5.0000000000000001E-3</v>
      </c>
      <c r="E117" s="9">
        <v>0.01</v>
      </c>
      <c r="F117" s="9">
        <v>0.02</v>
      </c>
      <c r="G117" s="3" t="s">
        <v>215</v>
      </c>
      <c r="H117" s="1"/>
      <c r="I117" s="1"/>
    </row>
    <row r="118" spans="1:12" x14ac:dyDescent="0.25">
      <c r="B118" t="str">
        <f>$A$114&amp;" "&amp;I_1_NAME&amp;" impact"</f>
        <v>Adaptive costs Economic impact</v>
      </c>
      <c r="C118" s="69">
        <f ca="1">_xll.RiskTriang(D118,E118,F118)</f>
        <v>4.0000000000000001E-3</v>
      </c>
      <c r="D118" s="9">
        <v>1E-3</v>
      </c>
      <c r="E118" s="9">
        <v>3.0000000000000001E-3</v>
      </c>
      <c r="F118" s="9">
        <v>8.0000000000000002E-3</v>
      </c>
      <c r="G118" s="3" t="s">
        <v>409</v>
      </c>
      <c r="H118" s="1"/>
      <c r="I118" s="1"/>
    </row>
    <row r="119" spans="1:12" x14ac:dyDescent="0.25">
      <c r="B119" t="str">
        <f>$A$114&amp;" "&amp;I_2_NAME&amp;" plateau"</f>
        <v>Adaptive costs Non-econ plateau</v>
      </c>
      <c r="C119" s="69">
        <f ca="1">_xll.RiskTriang(D119,E119,F119)</f>
        <v>2.3333333333333334E-2</v>
      </c>
      <c r="D119" s="9">
        <v>0.01</v>
      </c>
      <c r="E119" s="9">
        <v>0.02</v>
      </c>
      <c r="F119" s="9">
        <v>0.04</v>
      </c>
      <c r="G119" s="3" t="s">
        <v>215</v>
      </c>
      <c r="H119" s="1"/>
      <c r="I119" s="1"/>
      <c r="K119" s="1"/>
      <c r="L119" s="1"/>
    </row>
    <row r="120" spans="1:12" x14ac:dyDescent="0.25">
      <c r="B120" t="str">
        <f>$A$114&amp;" "&amp;I_2_NAME&amp;" impact"</f>
        <v>Adaptive costs Non-econ impact</v>
      </c>
      <c r="C120" s="69">
        <f ca="1">_xll.RiskTriang(D120,E120,F120)</f>
        <v>5.6666666666666671E-3</v>
      </c>
      <c r="D120" s="9">
        <v>2E-3</v>
      </c>
      <c r="E120" s="9">
        <v>5.0000000000000001E-3</v>
      </c>
      <c r="F120" s="9">
        <v>0.01</v>
      </c>
      <c r="G120" s="3" t="s">
        <v>409</v>
      </c>
      <c r="H120" s="1"/>
      <c r="I120" s="1"/>
      <c r="K120" s="1"/>
      <c r="L120" s="1"/>
    </row>
    <row r="121" spans="1:12" x14ac:dyDescent="0.25">
      <c r="B121" t="str">
        <f t="array" ref="B121:B127">R_CODE_NOT_1&amp;" "&amp;$A$114&amp;" factor"</f>
        <v>US Adaptive costs factor</v>
      </c>
      <c r="C121" s="60">
        <f ca="1">_xll.RiskTriang(D121,E121,F121)</f>
        <v>0.79999999999999993</v>
      </c>
      <c r="D121" s="9">
        <v>0.6</v>
      </c>
      <c r="E121" s="9">
        <v>0.8</v>
      </c>
      <c r="F121" s="9">
        <v>1</v>
      </c>
    </row>
    <row r="122" spans="1:12" x14ac:dyDescent="0.25">
      <c r="B122" t="str">
        <v>OT Adaptive costs factor</v>
      </c>
      <c r="C122" s="60">
        <f ca="1">_xll.RiskTriang(D122,E122,F122)</f>
        <v>0.80000000000000016</v>
      </c>
      <c r="D122" s="9">
        <v>0.4</v>
      </c>
      <c r="E122" s="9">
        <v>0.8</v>
      </c>
      <c r="F122" s="9">
        <v>1.2</v>
      </c>
    </row>
    <row r="123" spans="1:12" x14ac:dyDescent="0.25">
      <c r="B123" t="str">
        <v>EE Adaptive costs factor</v>
      </c>
      <c r="C123" s="60">
        <f ca="1">_xll.RiskTriang(D123,E123,F123)</f>
        <v>0.40000000000000008</v>
      </c>
      <c r="D123" s="9">
        <v>0.2</v>
      </c>
      <c r="E123" s="9">
        <v>0.4</v>
      </c>
      <c r="F123" s="9">
        <v>0.6</v>
      </c>
    </row>
    <row r="124" spans="1:12" x14ac:dyDescent="0.25">
      <c r="B124" t="str">
        <v>CA Adaptive costs factor</v>
      </c>
      <c r="C124" s="60">
        <f ca="1">_xll.RiskTriang(D124,E124,F124)</f>
        <v>0.80000000000000016</v>
      </c>
      <c r="D124" s="9">
        <v>0.4</v>
      </c>
      <c r="E124" s="9">
        <v>0.8</v>
      </c>
      <c r="F124" s="9">
        <v>1.2</v>
      </c>
    </row>
    <row r="125" spans="1:12" x14ac:dyDescent="0.25">
      <c r="B125" t="str">
        <v>IA Adaptive costs factor</v>
      </c>
      <c r="C125" s="60">
        <f ca="1">_xll.RiskTriang(D125,E125,F125)</f>
        <v>0.80000000000000016</v>
      </c>
      <c r="D125" s="9">
        <v>0.4</v>
      </c>
      <c r="E125" s="9">
        <v>0.8</v>
      </c>
      <c r="F125" s="9">
        <v>1.2</v>
      </c>
    </row>
    <row r="126" spans="1:12" x14ac:dyDescent="0.25">
      <c r="B126" t="str">
        <v>AF Adaptive costs factor</v>
      </c>
      <c r="C126" s="60">
        <f ca="1">_xll.RiskTriang(D126,E126,F126)</f>
        <v>0.6</v>
      </c>
      <c r="D126" s="9">
        <v>0.4</v>
      </c>
      <c r="E126" s="9">
        <v>0.6</v>
      </c>
      <c r="F126" s="9">
        <v>0.8</v>
      </c>
    </row>
    <row r="127" spans="1:12" ht="13" thickBot="1" x14ac:dyDescent="0.3">
      <c r="B127" t="str">
        <v>LA Adaptive costs factor</v>
      </c>
      <c r="C127" s="60">
        <f ca="1">_xll.RiskTriang(D127,E127,F127)</f>
        <v>0.6</v>
      </c>
      <c r="D127" s="10">
        <v>0.4</v>
      </c>
      <c r="E127" s="10">
        <v>0.6</v>
      </c>
      <c r="F127" s="10">
        <v>0.8</v>
      </c>
    </row>
    <row r="128" spans="1:12" ht="13" thickTop="1" x14ac:dyDescent="0.25"/>
    <row r="129" spans="1:9" s="2" customFormat="1" ht="13" x14ac:dyDescent="0.3">
      <c r="A129" s="2" t="s">
        <v>46</v>
      </c>
      <c r="B129" s="48"/>
      <c r="C129" s="48"/>
    </row>
    <row r="130" spans="1:9" ht="13" x14ac:dyDescent="0.3">
      <c r="B130" s="2" t="s">
        <v>14</v>
      </c>
      <c r="C130" s="6"/>
      <c r="D130" s="2" t="s">
        <v>401</v>
      </c>
      <c r="E130" s="2" t="s">
        <v>402</v>
      </c>
      <c r="F130" s="2" t="s">
        <v>403</v>
      </c>
    </row>
    <row r="131" spans="1:9" ht="13" x14ac:dyDescent="0.3">
      <c r="B131" t="str">
        <f>"Uncertainty in BAU emissions in "&amp;Y_LAST_SSP</f>
        <v>Uncertainty in BAU emissions in 2100</v>
      </c>
      <c r="C131" s="60">
        <f ca="1">_xll.RiskTriang(D131,E131,F131)</f>
        <v>-22</v>
      </c>
      <c r="D131" s="106">
        <v>-50</v>
      </c>
      <c r="E131" s="106">
        <v>-22</v>
      </c>
      <c r="F131" s="106">
        <v>6</v>
      </c>
      <c r="G131" s="3" t="s">
        <v>534</v>
      </c>
      <c r="I131" s="124" t="s">
        <v>802</v>
      </c>
    </row>
    <row r="132" spans="1:9" ht="13" x14ac:dyDescent="0.3">
      <c r="B132" s="3" t="s">
        <v>275</v>
      </c>
      <c r="C132" s="60">
        <f ca="1">_xll.RiskTriang(D132,E132,F132)</f>
        <v>10</v>
      </c>
      <c r="D132" s="142">
        <v>0</v>
      </c>
      <c r="E132" s="142">
        <v>10</v>
      </c>
      <c r="F132" s="142">
        <v>20</v>
      </c>
      <c r="G132" s="3" t="s">
        <v>264</v>
      </c>
      <c r="I132" s="124"/>
    </row>
    <row r="133" spans="1:9" x14ac:dyDescent="0.25">
      <c r="B133" s="3" t="s">
        <v>803</v>
      </c>
      <c r="C133" s="60">
        <f ca="1">_xll.RiskTriang(D133,E133,F133)</f>
        <v>-100</v>
      </c>
      <c r="D133" s="142">
        <v>-150</v>
      </c>
      <c r="E133" s="142">
        <v>-100</v>
      </c>
      <c r="F133" s="142">
        <v>-50</v>
      </c>
      <c r="G133" s="3" t="str">
        <f>CURRENCY_NAME&amp;" per "&amp;EMIT_NAME</f>
        <v>$M(2015) per Mtonne</v>
      </c>
    </row>
    <row r="134" spans="1:9" x14ac:dyDescent="0.25">
      <c r="B134" s="3" t="s">
        <v>804</v>
      </c>
      <c r="C134" s="60">
        <f ca="1">_xll.RiskTriang(D134,E134,F134)</f>
        <v>60</v>
      </c>
      <c r="D134" s="142">
        <v>50</v>
      </c>
      <c r="E134" s="142">
        <v>60</v>
      </c>
      <c r="F134" s="142">
        <v>70</v>
      </c>
      <c r="G134" s="3" t="s">
        <v>264</v>
      </c>
    </row>
    <row r="135" spans="1:9" ht="13" x14ac:dyDescent="0.3">
      <c r="B135" s="3" t="s">
        <v>805</v>
      </c>
      <c r="C135" s="60">
        <f ca="1">_xll.RiskTriang(D135,E135,F135)</f>
        <v>150</v>
      </c>
      <c r="D135" s="142">
        <v>100</v>
      </c>
      <c r="E135" s="142">
        <v>150</v>
      </c>
      <c r="F135" s="142">
        <v>200</v>
      </c>
      <c r="G135" s="3" t="str">
        <f>CURRENCY_NAME&amp;" per "&amp;EMIT_NAME</f>
        <v>$M(2015) per Mtonne</v>
      </c>
      <c r="I135" s="124" t="s">
        <v>819</v>
      </c>
    </row>
    <row r="136" spans="1:9" x14ac:dyDescent="0.25">
      <c r="B136" s="3" t="s">
        <v>265</v>
      </c>
      <c r="C136" s="60">
        <f ca="1">_xll.RiskTriang(D136,E136,F136)</f>
        <v>150000</v>
      </c>
      <c r="D136" s="9">
        <v>100000</v>
      </c>
      <c r="E136" s="9">
        <v>150000</v>
      </c>
      <c r="F136" s="9">
        <v>200000</v>
      </c>
      <c r="G136" s="3" t="str">
        <f>EMIT_NAME</f>
        <v>Mtonne</v>
      </c>
    </row>
    <row r="137" spans="1:9" ht="13" x14ac:dyDescent="0.3">
      <c r="B137" s="2" t="s">
        <v>15</v>
      </c>
      <c r="C137" s="6"/>
      <c r="D137" s="64"/>
      <c r="E137" s="64"/>
      <c r="F137" s="64"/>
    </row>
    <row r="138" spans="1:9" ht="13" x14ac:dyDescent="0.3">
      <c r="B138" t="str">
        <f>"Uncertainty in BAU emissions in "&amp;Y_LAST_SSP</f>
        <v>Uncertainty in BAU emissions in 2100</v>
      </c>
      <c r="C138" s="60">
        <f ca="1">_xll.RiskTriang(D138,E138,F138)</f>
        <v>-30.333333333333332</v>
      </c>
      <c r="D138" s="106">
        <v>-67</v>
      </c>
      <c r="E138" s="106">
        <v>-30</v>
      </c>
      <c r="F138" s="106">
        <v>6</v>
      </c>
      <c r="G138" s="3" t="s">
        <v>534</v>
      </c>
      <c r="I138" s="124" t="s">
        <v>802</v>
      </c>
    </row>
    <row r="139" spans="1:9" ht="13" x14ac:dyDescent="0.3">
      <c r="B139" s="3" t="s">
        <v>275</v>
      </c>
      <c r="C139" s="60">
        <f ca="1">_xll.RiskTriang(D139,E139,F139)</f>
        <v>10</v>
      </c>
      <c r="D139" s="9">
        <v>0</v>
      </c>
      <c r="E139" s="9">
        <v>10</v>
      </c>
      <c r="F139" s="9">
        <v>20</v>
      </c>
      <c r="G139" s="3" t="s">
        <v>264</v>
      </c>
      <c r="I139" s="124"/>
    </row>
    <row r="140" spans="1:9" x14ac:dyDescent="0.25">
      <c r="B140" s="3" t="s">
        <v>803</v>
      </c>
      <c r="C140" s="60">
        <f ca="1">_xll.RiskTriang(D140,E140,F140)</f>
        <v>-4983.333333333333</v>
      </c>
      <c r="D140" s="94">
        <v>-9200</v>
      </c>
      <c r="E140" s="94">
        <v>-4600</v>
      </c>
      <c r="F140" s="94">
        <v>-1150</v>
      </c>
      <c r="G140" s="3" t="str">
        <f>CURRENCY_NAME&amp;" per "&amp;EMIT_NAME</f>
        <v>$M(2015) per Mtonne</v>
      </c>
    </row>
    <row r="141" spans="1:9" x14ac:dyDescent="0.25">
      <c r="B141" s="3" t="s">
        <v>804</v>
      </c>
      <c r="C141" s="60">
        <f ca="1">_xll.RiskTriang(D141,E141,F141)</f>
        <v>51.666666666666664</v>
      </c>
      <c r="D141" s="9">
        <v>35</v>
      </c>
      <c r="E141" s="9">
        <v>50</v>
      </c>
      <c r="F141" s="9">
        <v>70</v>
      </c>
      <c r="G141" s="3" t="s">
        <v>264</v>
      </c>
    </row>
    <row r="142" spans="1:9" x14ac:dyDescent="0.25">
      <c r="B142" s="3" t="s">
        <v>805</v>
      </c>
      <c r="C142" s="60">
        <f ca="1">_xll.RiskTriang(D142,E142,F142)</f>
        <v>7283.333333333333</v>
      </c>
      <c r="D142" s="94">
        <v>3449.9999999999995</v>
      </c>
      <c r="E142" s="94">
        <v>6899.9999999999991</v>
      </c>
      <c r="F142" s="94">
        <v>11500</v>
      </c>
      <c r="G142" s="3" t="str">
        <f>CURRENCY_NAME&amp;" per "&amp;EMIT_NAME</f>
        <v>$M(2015) per Mtonne</v>
      </c>
    </row>
    <row r="143" spans="1:9" x14ac:dyDescent="0.25">
      <c r="B143" s="3" t="s">
        <v>265</v>
      </c>
      <c r="C143" s="60">
        <f ca="1">_xll.RiskTriang(D143,E143,F143)</f>
        <v>2000</v>
      </c>
      <c r="D143" s="9">
        <v>1500</v>
      </c>
      <c r="E143" s="9">
        <v>2000</v>
      </c>
      <c r="F143" s="9">
        <v>2500</v>
      </c>
      <c r="G143" s="3" t="str">
        <f>EMIT_NAME</f>
        <v>Mtonne</v>
      </c>
    </row>
    <row r="144" spans="1:9" ht="13" x14ac:dyDescent="0.3">
      <c r="B144" s="2" t="s">
        <v>146</v>
      </c>
      <c r="C144" s="6"/>
      <c r="D144" s="64"/>
      <c r="E144" s="64"/>
      <c r="F144" s="64"/>
    </row>
    <row r="145" spans="2:9" ht="13" x14ac:dyDescent="0.3">
      <c r="B145" t="str">
        <f>"Uncertainty in BAU emissions in "&amp;Y_LAST_SSP</f>
        <v>Uncertainty in BAU emissions in 2100</v>
      </c>
      <c r="C145" s="60">
        <f ca="1">_xll.RiskTriang(D145,E145,F145)</f>
        <v>-7</v>
      </c>
      <c r="D145" s="106">
        <v>-20</v>
      </c>
      <c r="E145" s="106">
        <v>-7</v>
      </c>
      <c r="F145" s="106">
        <v>6</v>
      </c>
      <c r="G145" s="3" t="s">
        <v>534</v>
      </c>
      <c r="I145" s="124" t="s">
        <v>802</v>
      </c>
    </row>
    <row r="146" spans="2:9" ht="13" x14ac:dyDescent="0.3">
      <c r="B146" s="3" t="s">
        <v>275</v>
      </c>
      <c r="C146" s="60">
        <f ca="1">_xll.RiskTriang(D146,E146,F146)</f>
        <v>10</v>
      </c>
      <c r="D146" s="9">
        <v>0</v>
      </c>
      <c r="E146" s="9">
        <v>10</v>
      </c>
      <c r="F146" s="9">
        <v>20</v>
      </c>
      <c r="G146" s="3" t="s">
        <v>264</v>
      </c>
      <c r="I146" s="124"/>
    </row>
    <row r="147" spans="2:9" x14ac:dyDescent="0.25">
      <c r="B147" s="3" t="s">
        <v>803</v>
      </c>
      <c r="C147" s="60">
        <f ca="1">_xll.RiskTriang(D147,E147,F147)</f>
        <v>-8433.3333333333339</v>
      </c>
      <c r="D147" s="94">
        <v>-17250</v>
      </c>
      <c r="E147" s="94">
        <v>-8049.9999999999991</v>
      </c>
      <c r="F147" s="94">
        <v>0</v>
      </c>
      <c r="G147" s="3" t="str">
        <f>CURRENCY_NAME&amp;" per "&amp;EMIT_NAME</f>
        <v>$M(2015) per Mtonne</v>
      </c>
    </row>
    <row r="148" spans="2:9" x14ac:dyDescent="0.25">
      <c r="B148" s="3" t="s">
        <v>804</v>
      </c>
      <c r="C148" s="60">
        <f ca="1">_xll.RiskTriang(D148,E148,F148)</f>
        <v>51.666666666666664</v>
      </c>
      <c r="D148" s="9">
        <v>35</v>
      </c>
      <c r="E148" s="9">
        <v>50</v>
      </c>
      <c r="F148" s="9">
        <v>70</v>
      </c>
      <c r="G148" s="3" t="s">
        <v>264</v>
      </c>
    </row>
    <row r="149" spans="2:9" x14ac:dyDescent="0.25">
      <c r="B149" s="3" t="s">
        <v>805</v>
      </c>
      <c r="C149" s="60">
        <f ca="1">_xll.RiskTriang(D149,E149,F149)</f>
        <v>31433.333333333332</v>
      </c>
      <c r="D149" s="94">
        <v>2300</v>
      </c>
      <c r="E149" s="94">
        <v>23000</v>
      </c>
      <c r="F149" s="94">
        <v>69000</v>
      </c>
      <c r="G149" s="3" t="str">
        <f>CURRENCY_NAME&amp;" per "&amp;EMIT_NAME</f>
        <v>$M(2015) per Mtonne</v>
      </c>
    </row>
    <row r="150" spans="2:9" x14ac:dyDescent="0.25">
      <c r="B150" s="3" t="s">
        <v>265</v>
      </c>
      <c r="C150" s="60">
        <f ca="1">_xll.RiskTriang(D150,E150,F150)</f>
        <v>53.333333333333336</v>
      </c>
      <c r="D150" s="9">
        <v>30</v>
      </c>
      <c r="E150" s="9">
        <v>50</v>
      </c>
      <c r="F150" s="9">
        <v>80</v>
      </c>
      <c r="G150" s="3" t="str">
        <f>EMIT_NAME</f>
        <v>Mtonne</v>
      </c>
    </row>
    <row r="151" spans="2:9" ht="13" x14ac:dyDescent="0.3">
      <c r="B151" s="2" t="str">
        <f>GLIN_NAME</f>
        <v>Lin</v>
      </c>
      <c r="C151" s="6"/>
      <c r="D151" s="64"/>
      <c r="E151" s="64"/>
      <c r="F151" s="64"/>
    </row>
    <row r="152" spans="2:9" ht="13" x14ac:dyDescent="0.3">
      <c r="B152" t="str">
        <f>"Uncertainty in BAU emissions in "&amp;Y_LAST_SSP</f>
        <v>Uncertainty in BAU emissions in 2100</v>
      </c>
      <c r="C152" s="60">
        <f ca="1">_xll.RiskTriang(D152,E152,F152)</f>
        <v>0</v>
      </c>
      <c r="D152" s="106">
        <v>-50</v>
      </c>
      <c r="E152" s="106">
        <v>0</v>
      </c>
      <c r="F152" s="106">
        <v>50</v>
      </c>
      <c r="G152" s="3" t="s">
        <v>534</v>
      </c>
      <c r="I152" s="124" t="s">
        <v>802</v>
      </c>
    </row>
    <row r="153" spans="2:9" ht="13" x14ac:dyDescent="0.3">
      <c r="B153" s="3" t="s">
        <v>275</v>
      </c>
      <c r="C153" s="60">
        <f ca="1">_xll.RiskTriang(D153,E153,F153)</f>
        <v>10</v>
      </c>
      <c r="D153" s="9">
        <v>0</v>
      </c>
      <c r="E153" s="9">
        <v>10</v>
      </c>
      <c r="F153" s="9">
        <v>20</v>
      </c>
      <c r="G153" s="3" t="s">
        <v>264</v>
      </c>
      <c r="I153" s="124"/>
    </row>
    <row r="154" spans="2:9" x14ac:dyDescent="0.25">
      <c r="B154" s="3" t="s">
        <v>803</v>
      </c>
      <c r="C154" s="60">
        <f ca="1">_xll.RiskTriang(D154,E154,F154)</f>
        <v>-268.33333333333331</v>
      </c>
      <c r="D154" s="94">
        <v>-459.99999999999994</v>
      </c>
      <c r="E154" s="94">
        <v>-229.99999999999997</v>
      </c>
      <c r="F154" s="94">
        <v>-114.99999999999999</v>
      </c>
      <c r="G154" s="3" t="str">
        <f>CURRENCY_NAME&amp;" per "&amp;EMIT_NAME</f>
        <v>$M(2015) per Mtonne</v>
      </c>
    </row>
    <row r="155" spans="2:9" x14ac:dyDescent="0.25">
      <c r="B155" s="3" t="s">
        <v>804</v>
      </c>
      <c r="C155" s="60">
        <f ca="1">_xll.RiskTriang(D155,E155,F155)</f>
        <v>70</v>
      </c>
      <c r="D155" s="9">
        <v>60</v>
      </c>
      <c r="E155" s="9">
        <v>70</v>
      </c>
      <c r="F155" s="9">
        <v>80</v>
      </c>
      <c r="G155" s="3" t="s">
        <v>264</v>
      </c>
    </row>
    <row r="156" spans="2:9" x14ac:dyDescent="0.25">
      <c r="B156" s="3" t="s">
        <v>805</v>
      </c>
      <c r="C156" s="60">
        <f ca="1">_xll.RiskTriang(D156,E156,F156)</f>
        <v>383.33333333333331</v>
      </c>
      <c r="D156" s="94">
        <v>114.99999999999999</v>
      </c>
      <c r="E156" s="94">
        <v>345</v>
      </c>
      <c r="F156" s="94">
        <v>690</v>
      </c>
      <c r="G156" s="3" t="str">
        <f>CURRENCY_NAME&amp;" per "&amp;EMIT_NAME</f>
        <v>$M(2015) per Mtonne</v>
      </c>
    </row>
    <row r="157" spans="2:9" x14ac:dyDescent="0.25">
      <c r="B157" s="3" t="s">
        <v>265</v>
      </c>
      <c r="C157" s="60">
        <f ca="1">_xll.RiskTriang(D157,E157,F157)</f>
        <v>2000</v>
      </c>
      <c r="D157" s="9">
        <v>1500</v>
      </c>
      <c r="E157" s="9">
        <v>2000</v>
      </c>
      <c r="F157" s="9">
        <v>2500</v>
      </c>
      <c r="G157" s="3" t="str">
        <f>EMIT_NAME</f>
        <v>Mtonne</v>
      </c>
    </row>
    <row r="158" spans="2:9" x14ac:dyDescent="0.25">
      <c r="C158" s="6"/>
      <c r="D158" s="64"/>
      <c r="E158" s="64"/>
      <c r="F158" s="64"/>
    </row>
    <row r="159" spans="2:9" x14ac:dyDescent="0.25">
      <c r="B159" t="str">
        <f t="array" ref="B159:B165">R_CODE_NOT_1&amp;" uncertainty in BAU emissions factor"</f>
        <v>US uncertainty in BAU emissions factor</v>
      </c>
      <c r="C159" s="60">
        <f ca="1">_xll.RiskTriang(D159,E159,F159)</f>
        <v>1</v>
      </c>
      <c r="D159" s="9">
        <v>0.8</v>
      </c>
      <c r="E159" s="9">
        <v>1</v>
      </c>
      <c r="F159" s="9">
        <v>1.2</v>
      </c>
    </row>
    <row r="160" spans="2:9" x14ac:dyDescent="0.25">
      <c r="B160" t="str">
        <v>OT uncertainty in BAU emissions factor</v>
      </c>
      <c r="C160" s="60">
        <f ca="1">_xll.RiskTriang(D160,E160,F160)</f>
        <v>1</v>
      </c>
      <c r="D160" s="9">
        <v>0.8</v>
      </c>
      <c r="E160" s="9">
        <v>1</v>
      </c>
      <c r="F160" s="9">
        <v>1.2</v>
      </c>
    </row>
    <row r="161" spans="2:6" x14ac:dyDescent="0.25">
      <c r="B161" t="str">
        <v>EE uncertainty in BAU emissions factor</v>
      </c>
      <c r="C161" s="60">
        <f ca="1">_xll.RiskTriang(D161,E161,F161)</f>
        <v>1</v>
      </c>
      <c r="D161" s="9">
        <v>0.65</v>
      </c>
      <c r="E161" s="9">
        <v>1</v>
      </c>
      <c r="F161" s="9">
        <v>1.35</v>
      </c>
    </row>
    <row r="162" spans="2:6" x14ac:dyDescent="0.25">
      <c r="B162" t="str">
        <v>CA uncertainty in BAU emissions factor</v>
      </c>
      <c r="C162" s="60">
        <f ca="1">_xll.RiskTriang(D162,E162,F162)</f>
        <v>1</v>
      </c>
      <c r="D162" s="9">
        <v>0.5</v>
      </c>
      <c r="E162" s="9">
        <v>1</v>
      </c>
      <c r="F162" s="9">
        <v>1.5</v>
      </c>
    </row>
    <row r="163" spans="2:6" x14ac:dyDescent="0.25">
      <c r="B163" t="str">
        <v>IA uncertainty in BAU emissions factor</v>
      </c>
      <c r="C163" s="60">
        <f ca="1">_xll.RiskTriang(D163,E163,F163)</f>
        <v>1</v>
      </c>
      <c r="D163" s="9">
        <v>0.5</v>
      </c>
      <c r="E163" s="9">
        <v>1</v>
      </c>
      <c r="F163" s="9">
        <v>1.5</v>
      </c>
    </row>
    <row r="164" spans="2:6" x14ac:dyDescent="0.25">
      <c r="B164" t="str">
        <v>AF uncertainty in BAU emissions factor</v>
      </c>
      <c r="C164" s="60">
        <f ca="1">_xll.RiskTriang(D164,E164,F164)</f>
        <v>1</v>
      </c>
      <c r="D164" s="9">
        <v>0.5</v>
      </c>
      <c r="E164" s="9">
        <v>1</v>
      </c>
      <c r="F164" s="9">
        <v>1.5</v>
      </c>
    </row>
    <row r="165" spans="2:6" ht="13" thickBot="1" x14ac:dyDescent="0.3">
      <c r="B165" t="str">
        <v>LA uncertainty in BAU emissions factor</v>
      </c>
      <c r="C165" s="60">
        <f ca="1">_xll.RiskTriang(D165,E165,F165)</f>
        <v>1</v>
      </c>
      <c r="D165" s="10">
        <v>0.5</v>
      </c>
      <c r="E165" s="10">
        <v>1</v>
      </c>
      <c r="F165" s="10">
        <v>1.5</v>
      </c>
    </row>
    <row r="166" spans="2:6" ht="13" thickTop="1" x14ac:dyDescent="0.25">
      <c r="C166" s="6"/>
      <c r="D166" s="64"/>
      <c r="E166" s="64"/>
      <c r="F166" s="64"/>
    </row>
    <row r="167" spans="2:6" x14ac:dyDescent="0.25">
      <c r="B167" t="str">
        <f t="array" ref="B167:B173">R_CODE_NOT_1&amp;" negative cost percentage factor"</f>
        <v>US negative cost percentage factor</v>
      </c>
      <c r="C167" s="60">
        <f ca="1">_xll.RiskTriang(D167,E167,F167)</f>
        <v>1.0833333333333333</v>
      </c>
      <c r="D167" s="9">
        <v>0.75</v>
      </c>
      <c r="E167" s="9">
        <v>1</v>
      </c>
      <c r="F167" s="9">
        <v>1.5</v>
      </c>
    </row>
    <row r="168" spans="2:6" x14ac:dyDescent="0.25">
      <c r="B168" t="str">
        <v>OT negative cost percentage factor</v>
      </c>
      <c r="C168" s="60">
        <f ca="1">_xll.RiskTriang(D168,E168,F168)</f>
        <v>1</v>
      </c>
      <c r="D168" s="9">
        <v>0.75</v>
      </c>
      <c r="E168" s="9">
        <v>1</v>
      </c>
      <c r="F168" s="9">
        <v>1.25</v>
      </c>
    </row>
    <row r="169" spans="2:6" x14ac:dyDescent="0.25">
      <c r="B169" t="str">
        <v>EE negative cost percentage factor</v>
      </c>
      <c r="C169" s="60">
        <f ca="1">_xll.RiskTriang(D169,E169,F169)</f>
        <v>0.70000000000000007</v>
      </c>
      <c r="D169" s="9">
        <v>0.4</v>
      </c>
      <c r="E169" s="9">
        <v>0.7</v>
      </c>
      <c r="F169" s="9">
        <v>1</v>
      </c>
    </row>
    <row r="170" spans="2:6" x14ac:dyDescent="0.25">
      <c r="B170" t="str">
        <v>CA negative cost percentage factor</v>
      </c>
      <c r="C170" s="60">
        <f ca="1">_xll.RiskTriang(D170,E170,F170)</f>
        <v>0.70000000000000007</v>
      </c>
      <c r="D170" s="9">
        <v>0.4</v>
      </c>
      <c r="E170" s="9">
        <v>0.7</v>
      </c>
      <c r="F170" s="9">
        <v>1</v>
      </c>
    </row>
    <row r="171" spans="2:6" x14ac:dyDescent="0.25">
      <c r="B171" t="str">
        <v>IA negative cost percentage factor</v>
      </c>
      <c r="C171" s="60">
        <f ca="1">_xll.RiskTriang(D171,E171,F171)</f>
        <v>0.70000000000000007</v>
      </c>
      <c r="D171" s="9">
        <v>0.4</v>
      </c>
      <c r="E171" s="9">
        <v>0.7</v>
      </c>
      <c r="F171" s="9">
        <v>1</v>
      </c>
    </row>
    <row r="172" spans="2:6" x14ac:dyDescent="0.25">
      <c r="B172" t="str">
        <v>AF negative cost percentage factor</v>
      </c>
      <c r="C172" s="60">
        <f ca="1">_xll.RiskTriang(D172,E172,F172)</f>
        <v>0.70000000000000007</v>
      </c>
      <c r="D172" s="9">
        <v>0.4</v>
      </c>
      <c r="E172" s="9">
        <v>0.7</v>
      </c>
      <c r="F172" s="9">
        <v>1</v>
      </c>
    </row>
    <row r="173" spans="2:6" ht="13" thickBot="1" x14ac:dyDescent="0.3">
      <c r="B173" t="str">
        <v>LA negative cost percentage factor</v>
      </c>
      <c r="C173" s="60">
        <f ca="1">_xll.RiskTriang(D173,E173,F173)</f>
        <v>0.70000000000000007</v>
      </c>
      <c r="D173" s="10">
        <v>0.4</v>
      </c>
      <c r="E173" s="10">
        <v>0.7</v>
      </c>
      <c r="F173" s="10">
        <v>1</v>
      </c>
    </row>
    <row r="174" spans="2:6" ht="13" thickTop="1" x14ac:dyDescent="0.25">
      <c r="C174" s="6"/>
      <c r="D174" s="64"/>
      <c r="E174" s="64"/>
      <c r="F174" s="64"/>
    </row>
    <row r="175" spans="2:6" x14ac:dyDescent="0.25">
      <c r="B175" t="str">
        <f t="array" ref="B175:B181">R_CODE_NOT_1&amp;" maximum cost factor"</f>
        <v>US maximum cost factor</v>
      </c>
      <c r="C175" s="60">
        <f ca="1">_xll.RiskTriang(D175,E175,F175)</f>
        <v>1</v>
      </c>
      <c r="D175" s="9">
        <v>0.8</v>
      </c>
      <c r="E175" s="9">
        <v>1</v>
      </c>
      <c r="F175" s="9">
        <v>1.2</v>
      </c>
    </row>
    <row r="176" spans="2:6" x14ac:dyDescent="0.25">
      <c r="B176" t="str">
        <v>OT maximum cost factor</v>
      </c>
      <c r="C176" s="60">
        <f ca="1">_xll.RiskTriang(D176,E176,F176)</f>
        <v>1.2333333333333334</v>
      </c>
      <c r="D176" s="9">
        <v>1</v>
      </c>
      <c r="E176" s="9">
        <v>1.2</v>
      </c>
      <c r="F176" s="9">
        <v>1.5</v>
      </c>
    </row>
    <row r="177" spans="2:9" x14ac:dyDescent="0.25">
      <c r="B177" t="str">
        <v>EE maximum cost factor</v>
      </c>
      <c r="C177" s="60">
        <f ca="1">_xll.RiskTriang(D177,E177,F177)</f>
        <v>0.70000000000000007</v>
      </c>
      <c r="D177" s="9">
        <v>0.4</v>
      </c>
      <c r="E177" s="9">
        <v>0.7</v>
      </c>
      <c r="F177" s="9">
        <v>1</v>
      </c>
    </row>
    <row r="178" spans="2:9" x14ac:dyDescent="0.25">
      <c r="B178" t="str">
        <v>CA maximum cost factor</v>
      </c>
      <c r="C178" s="60">
        <f ca="1">_xll.RiskTriang(D178,E178,F178)</f>
        <v>1</v>
      </c>
      <c r="D178" s="9">
        <v>0.8</v>
      </c>
      <c r="E178" s="9">
        <v>1</v>
      </c>
      <c r="F178" s="9">
        <v>1.2</v>
      </c>
    </row>
    <row r="179" spans="2:9" x14ac:dyDescent="0.25">
      <c r="B179" t="str">
        <v>IA maximum cost factor</v>
      </c>
      <c r="C179" s="60">
        <f ca="1">_xll.RiskTriang(D179,E179,F179)</f>
        <v>1.2333333333333334</v>
      </c>
      <c r="D179" s="9">
        <v>1</v>
      </c>
      <c r="E179" s="9">
        <v>1.2</v>
      </c>
      <c r="F179" s="9">
        <v>1.5</v>
      </c>
    </row>
    <row r="180" spans="2:9" x14ac:dyDescent="0.25">
      <c r="B180" t="str">
        <v>AF maximum cost factor</v>
      </c>
      <c r="C180" s="60">
        <f ca="1">_xll.RiskTriang(D180,E180,F180)</f>
        <v>1.2333333333333334</v>
      </c>
      <c r="D180" s="9">
        <v>1</v>
      </c>
      <c r="E180" s="9">
        <v>1.2</v>
      </c>
      <c r="F180" s="9">
        <v>1.5</v>
      </c>
    </row>
    <row r="181" spans="2:9" ht="13" thickBot="1" x14ac:dyDescent="0.3">
      <c r="B181" t="str">
        <v>LA maximum cost factor</v>
      </c>
      <c r="C181" s="60">
        <f ca="1">_xll.RiskTriang(D181,E181,F181)</f>
        <v>0.70000000000000007</v>
      </c>
      <c r="D181" s="10">
        <v>0.4</v>
      </c>
      <c r="E181" s="10">
        <v>0.7</v>
      </c>
      <c r="F181" s="10">
        <v>1</v>
      </c>
    </row>
    <row r="182" spans="2:9" ht="13" thickTop="1" x14ac:dyDescent="0.25">
      <c r="C182" s="6"/>
      <c r="D182" s="64"/>
      <c r="E182" s="64"/>
      <c r="F182" s="64"/>
    </row>
    <row r="183" spans="2:9" ht="13" x14ac:dyDescent="0.3">
      <c r="B183" t="str">
        <f>"Cutbacks at negative cost in "&amp;Y_LAST_SSP&amp;" as multiple of "&amp;Y_0</f>
        <v>Cutbacks at negative cost in 2100 as multiple of 2015</v>
      </c>
      <c r="C183" s="60">
        <f ca="1">_xll.RiskTriang(D183,E183,F183)</f>
        <v>0.8833333333333333</v>
      </c>
      <c r="D183" s="93">
        <v>0.6</v>
      </c>
      <c r="E183" s="93">
        <v>0.9</v>
      </c>
      <c r="F183" s="93">
        <v>1.1499999999999999</v>
      </c>
      <c r="I183" s="124" t="s">
        <v>807</v>
      </c>
    </row>
    <row r="184" spans="2:9" ht="13" x14ac:dyDescent="0.3">
      <c r="B184" s="3" t="s">
        <v>267</v>
      </c>
      <c r="C184" s="30">
        <f ca="1">((Q0PROPMULT)^(1/(Y_LAST_SSP-Y_0))-1)*100</f>
        <v>-0.14583784566095659</v>
      </c>
      <c r="D184" s="265" t="s">
        <v>963</v>
      </c>
      <c r="E184" s="265" t="s">
        <v>963</v>
      </c>
      <c r="F184" s="265" t="s">
        <v>963</v>
      </c>
      <c r="G184" s="3" t="s">
        <v>48</v>
      </c>
      <c r="H184" s="124" t="s">
        <v>808</v>
      </c>
    </row>
    <row r="185" spans="2:9" ht="13" x14ac:dyDescent="0.3">
      <c r="B185" t="str">
        <f>"Most negative cost in "&amp;Y_LAST_SSP&amp;" as multiple of "&amp;Y_0</f>
        <v>Most negative cost in 2100 as multiple of 2015</v>
      </c>
      <c r="C185" s="60">
        <f ca="1">_xll.RiskTriang(D185,E185,F185)</f>
        <v>0.93333333333333346</v>
      </c>
      <c r="D185" s="93">
        <v>0.8</v>
      </c>
      <c r="E185" s="93">
        <v>0.9</v>
      </c>
      <c r="F185" s="93">
        <v>1.1000000000000001</v>
      </c>
      <c r="G185" s="3"/>
      <c r="I185" s="124" t="s">
        <v>807</v>
      </c>
    </row>
    <row r="186" spans="2:9" ht="13" x14ac:dyDescent="0.3">
      <c r="B186" s="3" t="s">
        <v>269</v>
      </c>
      <c r="C186" s="30">
        <f ca="1">((C0MULT)^(1/(Y_LAST_SSP-Y_0))-1)*100</f>
        <v>-8.1135151723710219E-2</v>
      </c>
      <c r="D186" s="265" t="s">
        <v>963</v>
      </c>
      <c r="E186" s="265" t="s">
        <v>963</v>
      </c>
      <c r="F186" s="265" t="s">
        <v>963</v>
      </c>
      <c r="G186" s="3" t="s">
        <v>48</v>
      </c>
      <c r="H186" s="124" t="s">
        <v>810</v>
      </c>
    </row>
    <row r="187" spans="2:9" ht="13" x14ac:dyDescent="0.3">
      <c r="B187" t="str">
        <f>"Maximum cutbacks in "&amp;Y_LAST_SSP&amp;" as multiple of "&amp;Y_0</f>
        <v>Maximum cutbacks in 2100 as multiple of 2015</v>
      </c>
      <c r="C187" s="60">
        <f ca="1">_xll.RiskTriang(D187,E187,F187)</f>
        <v>1.1166666666666667</v>
      </c>
      <c r="D187" s="93">
        <v>1</v>
      </c>
      <c r="E187" s="93">
        <v>1.1000000000000001</v>
      </c>
      <c r="F187" s="93">
        <v>1.25</v>
      </c>
      <c r="G187" s="3"/>
      <c r="I187" s="124" t="s">
        <v>807</v>
      </c>
    </row>
    <row r="188" spans="2:9" ht="13" x14ac:dyDescent="0.3">
      <c r="B188" s="3" t="s">
        <v>268</v>
      </c>
      <c r="C188" s="30">
        <f ca="1">((QMAX_MINUS_Q0_PROPMULT)^(1/(Y_LAST_SSP-Y_0))-1)*100</f>
        <v>0.12990554798235632</v>
      </c>
      <c r="D188" s="265" t="s">
        <v>963</v>
      </c>
      <c r="E188" s="265" t="s">
        <v>963</v>
      </c>
      <c r="F188" s="265" t="s">
        <v>963</v>
      </c>
      <c r="G188" s="3" t="s">
        <v>48</v>
      </c>
      <c r="H188" s="124" t="s">
        <v>809</v>
      </c>
    </row>
    <row r="189" spans="2:9" x14ac:dyDescent="0.25">
      <c r="B189" s="3" t="s">
        <v>270</v>
      </c>
      <c r="C189" s="60">
        <f ca="1">_xll.RiskTriang(D189,E189,F189)</f>
        <v>0.5</v>
      </c>
      <c r="D189" s="9">
        <v>0.25</v>
      </c>
      <c r="E189" s="9">
        <v>0.45</v>
      </c>
      <c r="F189" s="9">
        <v>0.8</v>
      </c>
      <c r="G189" s="3"/>
    </row>
    <row r="190" spans="2:9" x14ac:dyDescent="0.25">
      <c r="B190" s="3" t="s">
        <v>271</v>
      </c>
      <c r="C190" s="60">
        <f ca="1">_xll.RiskTriang(D190,E190,F190)</f>
        <v>0.39999999999999997</v>
      </c>
      <c r="D190" s="9">
        <v>0.1</v>
      </c>
      <c r="E190" s="9">
        <v>0.4</v>
      </c>
      <c r="F190" s="9">
        <v>0.7</v>
      </c>
      <c r="G190" s="3"/>
    </row>
    <row r="191" spans="2:9" x14ac:dyDescent="0.25">
      <c r="B191" s="3" t="s">
        <v>272</v>
      </c>
      <c r="C191" s="60">
        <f ca="1">_xll.RiskTriang(D191,E191,F191)</f>
        <v>0.20000000000000004</v>
      </c>
      <c r="D191" s="9">
        <v>0.1</v>
      </c>
      <c r="E191" s="9">
        <v>0.2</v>
      </c>
      <c r="F191" s="9">
        <v>0.3</v>
      </c>
      <c r="G191" s="3"/>
    </row>
    <row r="192" spans="2:9" ht="13" x14ac:dyDescent="0.3">
      <c r="B192" s="3" t="s">
        <v>812</v>
      </c>
      <c r="C192" s="60">
        <f ca="1">_xll.RiskTriang(D192,E192,F192)</f>
        <v>0.19999999999999998</v>
      </c>
      <c r="D192" s="9">
        <v>0.05</v>
      </c>
      <c r="E192" s="9">
        <v>0.2</v>
      </c>
      <c r="F192" s="9">
        <v>0.35</v>
      </c>
      <c r="G192" s="3" t="s">
        <v>806</v>
      </c>
      <c r="I192" s="124" t="s">
        <v>801</v>
      </c>
    </row>
    <row r="193" spans="1:11" s="2" customFormat="1" ht="13" x14ac:dyDescent="0.3">
      <c r="I193"/>
      <c r="J193"/>
      <c r="K193"/>
    </row>
    <row r="194" spans="1:11" ht="13" x14ac:dyDescent="0.3">
      <c r="A194" s="2"/>
      <c r="B194" t="str">
        <f>"Costs in "&amp;Y_LAST_SSP&amp;" as multiple of "&amp;Y_0</f>
        <v>Costs in 2100 as multiple of 2015</v>
      </c>
      <c r="C194" s="60">
        <f ca="1">_xll.RiskTriang(D194,E194,F194)</f>
        <v>0.65</v>
      </c>
      <c r="D194" s="93">
        <v>0.6</v>
      </c>
      <c r="E194" s="93">
        <v>0.65</v>
      </c>
      <c r="F194" s="93">
        <v>0.7</v>
      </c>
      <c r="G194" s="2"/>
      <c r="I194" s="124" t="s">
        <v>820</v>
      </c>
    </row>
    <row r="195" spans="1:11" ht="13" x14ac:dyDescent="0.3">
      <c r="B195" s="3" t="s">
        <v>273</v>
      </c>
      <c r="C195" s="30">
        <f ca="1" xml:space="preserve"> _xll.RiskOutput() + (-((AUTOMULT)^(1/(Y_LAST_SSP-Y_0))-1))*100</f>
        <v>0.50552134890277101</v>
      </c>
      <c r="D195" s="265" t="s">
        <v>963</v>
      </c>
      <c r="E195" s="265" t="s">
        <v>963</v>
      </c>
      <c r="F195" s="265" t="s">
        <v>963</v>
      </c>
      <c r="G195" s="3" t="s">
        <v>48</v>
      </c>
      <c r="H195" s="124" t="s">
        <v>811</v>
      </c>
    </row>
    <row r="196" spans="1:11" x14ac:dyDescent="0.25">
      <c r="B196" s="3" t="s">
        <v>274</v>
      </c>
      <c r="C196" s="60">
        <f ca="1">_xll.RiskTriang(D196,E196,F196)</f>
        <v>1</v>
      </c>
      <c r="D196" s="9">
        <v>1</v>
      </c>
      <c r="E196" s="9">
        <v>1</v>
      </c>
      <c r="F196" s="9">
        <v>1</v>
      </c>
      <c r="G196" s="3"/>
    </row>
    <row r="198" spans="1:11" ht="13" x14ac:dyDescent="0.3">
      <c r="B198" s="124" t="s">
        <v>821</v>
      </c>
      <c r="D198" s="124">
        <f>(-((D194)^(1/(Y_LAST_SSP-Y_0))-1))*100</f>
        <v>0.59916910151143199</v>
      </c>
      <c r="E198" s="124">
        <f>(-((E194)^(1/(Y_LAST_SSP-Y_0))-1))*100</f>
        <v>0.50552134890277101</v>
      </c>
      <c r="F198" s="124">
        <f>(-((F194)^(1/(Y_LAST_SSP-Y_0))-1))*100</f>
        <v>0.41873841667192657</v>
      </c>
      <c r="G198" s="3" t="s">
        <v>48</v>
      </c>
    </row>
  </sheetData>
  <phoneticPr fontId="0" type="noConversion"/>
  <pageMargins left="0.75" right="0.75" top="1" bottom="1" header="0.5" footer="0.5"/>
  <pageSetup paperSize="9" orientation="portrait" horizontalDpi="4294967293"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O90"/>
  <sheetViews>
    <sheetView workbookViewId="0">
      <selection activeCell="B5" sqref="B5"/>
    </sheetView>
  </sheetViews>
  <sheetFormatPr defaultRowHeight="12.5" x14ac:dyDescent="0.25"/>
  <cols>
    <col min="1" max="1" width="33.453125" customWidth="1"/>
    <col min="2" max="11" width="7" customWidth="1"/>
    <col min="12" max="12" width="11.81640625" bestFit="1" customWidth="1"/>
  </cols>
  <sheetData>
    <row r="1" spans="1:15" ht="13" x14ac:dyDescent="0.3">
      <c r="A1" s="2" t="str">
        <f>MODEL_NAME</f>
        <v>PAGE-ICE Nonlinear Arctic Feedbacks</v>
      </c>
      <c r="B1" t="s">
        <v>39</v>
      </c>
      <c r="C1" s="51" t="str">
        <f>VERSION</f>
        <v>6.22</v>
      </c>
    </row>
    <row r="3" spans="1:15" ht="13" x14ac:dyDescent="0.3">
      <c r="A3" s="2" t="s">
        <v>47</v>
      </c>
      <c r="B3" s="47" t="s">
        <v>485</v>
      </c>
      <c r="C3" s="46"/>
      <c r="D3" s="46"/>
      <c r="E3" s="46"/>
      <c r="F3" s="46"/>
      <c r="G3" s="47" t="str">
        <f>SCENARIO_PAIR</f>
        <v>2 degC Target</v>
      </c>
      <c r="H3" s="46"/>
      <c r="I3" s="46"/>
      <c r="J3" s="46"/>
      <c r="K3" s="46"/>
    </row>
    <row r="4" spans="1:15" s="2" customFormat="1" ht="13" x14ac:dyDescent="0.3">
      <c r="A4" s="47"/>
      <c r="B4" s="2">
        <f t="array" ref="B4:K4">Y</f>
        <v>2020</v>
      </c>
      <c r="C4" s="2">
        <v>2030</v>
      </c>
      <c r="D4" s="2">
        <v>2040</v>
      </c>
      <c r="E4" s="2">
        <v>2050</v>
      </c>
      <c r="F4" s="2">
        <v>2075</v>
      </c>
      <c r="G4" s="2">
        <v>2100</v>
      </c>
      <c r="H4" s="2">
        <v>2150</v>
      </c>
      <c r="I4" s="2">
        <v>2200</v>
      </c>
      <c r="J4" s="2">
        <v>2250</v>
      </c>
      <c r="K4" s="2">
        <v>2300</v>
      </c>
    </row>
    <row r="5" spans="1:15" ht="13" x14ac:dyDescent="0.3">
      <c r="A5" t="str">
        <f t="array" ref="A5:A12">R_CODE&amp;" "&amp;'Base data'!$B$12&amp;" emissions"</f>
        <v>EU CO2 emissions</v>
      </c>
      <c r="B5" s="88">
        <f t="array" ref="B5:K12" xml:space="preserve"> IF(SCENARIO_SWITCH = 0, 0, 0) + IF(SCENARIO_SWITCH = 1, RCP26extra_CO2, 0) + IF(SCENARIO_SWITCH = 2, RCPW_CO2, 0) + IF(SCENARIO_SWITCH = 3, ( IF(SCENARIO_PAIR = PAIR_RCP26, RCP26_CO2, 0) + IF(SCENARIO_PAIR = PAIR_RCP45, RCP45_CO2, 0) +  IF(SCENARIO_PAIR = PAIR_RCP85, RCP85_CO2, 0) ), 0)</f>
        <v>93.691998358166117</v>
      </c>
      <c r="C5" s="88">
        <v>64.65054690759483</v>
      </c>
      <c r="D5" s="88">
        <v>31.870274979749929</v>
      </c>
      <c r="E5" s="88">
        <v>15.884821211713627</v>
      </c>
      <c r="F5" s="88">
        <v>-6.6082129828167151</v>
      </c>
      <c r="G5" s="88">
        <v>-9.3709245458557273</v>
      </c>
      <c r="H5" s="88">
        <v>-9.3709245458557273</v>
      </c>
      <c r="I5" s="88">
        <v>-9.3709245458557273</v>
      </c>
      <c r="J5" s="88">
        <v>-9.3709245458557273</v>
      </c>
      <c r="K5" s="88">
        <v>-9.3709245458557273</v>
      </c>
      <c r="L5" s="3" t="s">
        <v>482</v>
      </c>
      <c r="O5" s="128" t="s">
        <v>659</v>
      </c>
    </row>
    <row r="6" spans="1:15" x14ac:dyDescent="0.25">
      <c r="A6" t="str">
        <v>US CO2 emissions</v>
      </c>
      <c r="B6" s="90">
        <v>93.691998358166117</v>
      </c>
      <c r="C6" s="90">
        <v>64.65054690759483</v>
      </c>
      <c r="D6" s="90">
        <v>31.870274979749929</v>
      </c>
      <c r="E6" s="90">
        <v>15.884821211713627</v>
      </c>
      <c r="F6" s="90">
        <v>-6.6082129828167151</v>
      </c>
      <c r="G6" s="90">
        <v>-9.3709245458557273</v>
      </c>
      <c r="H6" s="90">
        <v>-9.3709245458557273</v>
      </c>
      <c r="I6" s="90">
        <v>-9.3709245458557273</v>
      </c>
      <c r="J6" s="90">
        <v>-9.3709245458557273</v>
      </c>
      <c r="K6" s="90">
        <v>-9.3709245458557273</v>
      </c>
      <c r="L6" s="3" t="s">
        <v>482</v>
      </c>
    </row>
    <row r="7" spans="1:15" x14ac:dyDescent="0.25">
      <c r="A7" t="str">
        <v>OT CO2 emissions</v>
      </c>
      <c r="B7" s="90">
        <v>93.691998358166117</v>
      </c>
      <c r="C7" s="90">
        <v>64.65054690759483</v>
      </c>
      <c r="D7" s="90">
        <v>31.870274979749929</v>
      </c>
      <c r="E7" s="90">
        <v>15.884821211713627</v>
      </c>
      <c r="F7" s="90">
        <v>-6.6082129828167151</v>
      </c>
      <c r="G7" s="90">
        <v>-9.3709245458557273</v>
      </c>
      <c r="H7" s="90">
        <v>-9.3709245458557273</v>
      </c>
      <c r="I7" s="90">
        <v>-9.3709245458557273</v>
      </c>
      <c r="J7" s="90">
        <v>-9.3709245458557273</v>
      </c>
      <c r="K7" s="90">
        <v>-9.3709245458557273</v>
      </c>
      <c r="L7" s="3" t="s">
        <v>482</v>
      </c>
    </row>
    <row r="8" spans="1:15" x14ac:dyDescent="0.25">
      <c r="A8" t="str">
        <v>EE CO2 emissions</v>
      </c>
      <c r="B8" s="90">
        <v>94.773070654740792</v>
      </c>
      <c r="C8" s="90">
        <v>63.392204296306531</v>
      </c>
      <c r="D8" s="90">
        <v>39.104552675694329</v>
      </c>
      <c r="E8" s="90">
        <v>31.147846963528757</v>
      </c>
      <c r="F8" s="90">
        <v>3.0426140617735999</v>
      </c>
      <c r="G8" s="90">
        <v>-4.6216780583083912</v>
      </c>
      <c r="H8" s="90">
        <v>-4.6216780583083912</v>
      </c>
      <c r="I8" s="90">
        <v>-4.6216780583083912</v>
      </c>
      <c r="J8" s="90">
        <v>-4.6216780583083912</v>
      </c>
      <c r="K8" s="90">
        <v>-4.6216780583083912</v>
      </c>
      <c r="L8" s="3" t="s">
        <v>482</v>
      </c>
    </row>
    <row r="9" spans="1:15" x14ac:dyDescent="0.25">
      <c r="A9" t="str">
        <v>CA CO2 emissions</v>
      </c>
      <c r="B9" s="90">
        <v>105.77104096083347</v>
      </c>
      <c r="C9" s="90">
        <v>82.415160952298137</v>
      </c>
      <c r="D9" s="90">
        <v>52.130848596501963</v>
      </c>
      <c r="E9" s="90">
        <v>33.912674430926444</v>
      </c>
      <c r="F9" s="90">
        <v>-2.6707766404864581</v>
      </c>
      <c r="G9" s="90">
        <v>-4.2454475359193005</v>
      </c>
      <c r="H9" s="90">
        <v>-4.2454475359193005</v>
      </c>
      <c r="I9" s="90">
        <v>-4.2454475359193005</v>
      </c>
      <c r="J9" s="90">
        <v>-4.2454475359193005</v>
      </c>
      <c r="K9" s="90">
        <v>-4.2454475359193005</v>
      </c>
      <c r="L9" s="3" t="s">
        <v>482</v>
      </c>
    </row>
    <row r="10" spans="1:15" x14ac:dyDescent="0.25">
      <c r="A10" t="str">
        <v>IA CO2 emissions</v>
      </c>
      <c r="B10" s="90">
        <v>105.77104096083347</v>
      </c>
      <c r="C10" s="90">
        <v>82.415160952298137</v>
      </c>
      <c r="D10" s="90">
        <v>52.130848596501963</v>
      </c>
      <c r="E10" s="90">
        <v>33.912674430926444</v>
      </c>
      <c r="F10" s="90">
        <v>-2.6707766404864581</v>
      </c>
      <c r="G10" s="90">
        <v>-4.2454475359193005</v>
      </c>
      <c r="H10" s="90">
        <v>-4.2454475359193005</v>
      </c>
      <c r="I10" s="90">
        <v>-4.2454475359193005</v>
      </c>
      <c r="J10" s="90">
        <v>-4.2454475359193005</v>
      </c>
      <c r="K10" s="90">
        <v>-4.2454475359193005</v>
      </c>
      <c r="L10" s="3" t="s">
        <v>482</v>
      </c>
    </row>
    <row r="11" spans="1:15" x14ac:dyDescent="0.25">
      <c r="A11" t="str">
        <v>AF CO2 emissions</v>
      </c>
      <c r="B11" s="90">
        <v>85.296768505285186</v>
      </c>
      <c r="C11" s="90">
        <v>76.473105505937241</v>
      </c>
      <c r="D11" s="90">
        <v>54.352576585916061</v>
      </c>
      <c r="E11" s="90">
        <v>41.847352304423325</v>
      </c>
      <c r="F11" s="90">
        <v>21.883076220208405</v>
      </c>
      <c r="G11" s="90">
        <v>0</v>
      </c>
      <c r="H11" s="90">
        <v>0</v>
      </c>
      <c r="I11" s="90">
        <v>0</v>
      </c>
      <c r="J11" s="90">
        <v>0</v>
      </c>
      <c r="K11" s="90">
        <v>0</v>
      </c>
      <c r="L11" s="3" t="s">
        <v>482</v>
      </c>
    </row>
    <row r="12" spans="1:15" ht="13" thickBot="1" x14ac:dyDescent="0.3">
      <c r="A12" t="str">
        <v>LA CO2 emissions</v>
      </c>
      <c r="B12" s="92">
        <v>85</v>
      </c>
      <c r="C12" s="92">
        <v>53.57919255221784</v>
      </c>
      <c r="D12" s="92">
        <v>44.519326325561025</v>
      </c>
      <c r="E12" s="92">
        <v>35.666370296334364</v>
      </c>
      <c r="F12" s="92">
        <v>14.722683843372973</v>
      </c>
      <c r="G12" s="92">
        <v>0</v>
      </c>
      <c r="H12" s="92">
        <v>0</v>
      </c>
      <c r="I12" s="92">
        <v>0</v>
      </c>
      <c r="J12" s="92">
        <v>0</v>
      </c>
      <c r="K12" s="92">
        <v>0</v>
      </c>
      <c r="L12" s="3" t="s">
        <v>482</v>
      </c>
    </row>
    <row r="13" spans="1:15" ht="13" thickTop="1" x14ac:dyDescent="0.25">
      <c r="L13" s="3"/>
    </row>
    <row r="14" spans="1:15" ht="13" x14ac:dyDescent="0.3">
      <c r="A14" t="str">
        <f t="array" ref="A14:A21">R_CODE&amp;" "&amp;'Base data'!$C$12&amp;" emissions"</f>
        <v>EU CH4 emissions</v>
      </c>
      <c r="B14" s="54">
        <f t="array" ref="B14:K21" xml:space="preserve"> IF(SCENARIO_SWITCH = 0, 0, 0) + IF(SCENARIO_SWITCH = 1, RCP26extra_CH4, 0) + IF(SCENARIO_SWITCH = 2, RCPW_CH4, 0) + IF(SCENARIO_SWITCH = 3, ( IF(SCENARIO_PAIR = PAIR_RCP26, RCP26_CH4, 0) + IF(SCENARIO_PAIR = PAIR_RCP45, RCP45_CH4, 0) +  IF(SCENARIO_PAIR = PAIR_RCP85, RCP85_CH4, 0) ), 0)</f>
        <v>49.15382164311815</v>
      </c>
      <c r="C14" s="54">
        <v>40.909284770877328</v>
      </c>
      <c r="D14" s="54">
        <v>36.104699678289819</v>
      </c>
      <c r="E14" s="54">
        <v>29.036423344312436</v>
      </c>
      <c r="F14" s="54">
        <v>23.476281955436271</v>
      </c>
      <c r="G14" s="54">
        <v>18.983067459237372</v>
      </c>
      <c r="H14" s="54">
        <v>18.983067459237372</v>
      </c>
      <c r="I14" s="54">
        <v>18.983067459237372</v>
      </c>
      <c r="J14" s="54">
        <v>18.983067459237372</v>
      </c>
      <c r="K14" s="54">
        <v>18.983067459237372</v>
      </c>
      <c r="L14" s="3" t="s">
        <v>482</v>
      </c>
      <c r="O14" s="128" t="s">
        <v>659</v>
      </c>
    </row>
    <row r="15" spans="1:15" x14ac:dyDescent="0.25">
      <c r="A15" t="str">
        <v>US CH4 emissions</v>
      </c>
      <c r="B15" s="55">
        <v>49.15382164311815</v>
      </c>
      <c r="C15" s="55">
        <v>40.909284770877328</v>
      </c>
      <c r="D15" s="55">
        <v>36.104699678289819</v>
      </c>
      <c r="E15" s="55">
        <v>29.036423344312436</v>
      </c>
      <c r="F15" s="55">
        <v>23.476281955436271</v>
      </c>
      <c r="G15" s="55">
        <v>18.983067459237372</v>
      </c>
      <c r="H15" s="55">
        <v>18.983067459237372</v>
      </c>
      <c r="I15" s="55">
        <v>18.983067459237372</v>
      </c>
      <c r="J15" s="55">
        <v>18.983067459237372</v>
      </c>
      <c r="K15" s="55">
        <v>18.983067459237372</v>
      </c>
      <c r="L15" s="3" t="s">
        <v>482</v>
      </c>
    </row>
    <row r="16" spans="1:15" x14ac:dyDescent="0.25">
      <c r="A16" t="str">
        <v>OT CH4 emissions</v>
      </c>
      <c r="B16" s="55">
        <v>49.15382164311815</v>
      </c>
      <c r="C16" s="55">
        <v>40.909284770877328</v>
      </c>
      <c r="D16" s="55">
        <v>36.104699678289819</v>
      </c>
      <c r="E16" s="55">
        <v>29.036423344312436</v>
      </c>
      <c r="F16" s="55">
        <v>23.476281955436271</v>
      </c>
      <c r="G16" s="55">
        <v>18.983067459237372</v>
      </c>
      <c r="H16" s="55">
        <v>18.983067459237372</v>
      </c>
      <c r="I16" s="55">
        <v>18.983067459237372</v>
      </c>
      <c r="J16" s="55">
        <v>18.983067459237372</v>
      </c>
      <c r="K16" s="55">
        <v>18.983067459237372</v>
      </c>
      <c r="L16" s="3" t="s">
        <v>482</v>
      </c>
    </row>
    <row r="17" spans="1:15" x14ac:dyDescent="0.25">
      <c r="A17" t="str">
        <v>EE CH4 emissions</v>
      </c>
      <c r="B17" s="55">
        <v>54.414650584156213</v>
      </c>
      <c r="C17" s="55">
        <v>45.006460918664814</v>
      </c>
      <c r="D17" s="55">
        <v>40.252002334851781</v>
      </c>
      <c r="E17" s="55">
        <v>31.731037729992813</v>
      </c>
      <c r="F17" s="55">
        <v>27.998865855860775</v>
      </c>
      <c r="G17" s="55">
        <v>26.211362976748514</v>
      </c>
      <c r="H17" s="55">
        <v>26.211362976748514</v>
      </c>
      <c r="I17" s="55">
        <v>26.211362976748514</v>
      </c>
      <c r="J17" s="55">
        <v>26.211362976748514</v>
      </c>
      <c r="K17" s="55">
        <v>26.211362976748514</v>
      </c>
      <c r="L17" s="3" t="s">
        <v>482</v>
      </c>
    </row>
    <row r="18" spans="1:15" x14ac:dyDescent="0.25">
      <c r="A18" t="str">
        <v>CA CH4 emissions</v>
      </c>
      <c r="B18" s="55">
        <v>84.66172821973106</v>
      </c>
      <c r="C18" s="55">
        <v>75.796177029460381</v>
      </c>
      <c r="D18" s="55">
        <v>68.148934598496552</v>
      </c>
      <c r="E18" s="55">
        <v>54.036072765136637</v>
      </c>
      <c r="F18" s="55">
        <v>41.875181533144833</v>
      </c>
      <c r="G18" s="55">
        <v>35.244611404312941</v>
      </c>
      <c r="H18" s="55">
        <v>35.244611404312941</v>
      </c>
      <c r="I18" s="55">
        <v>35.244611404312941</v>
      </c>
      <c r="J18" s="55">
        <v>35.244611404312941</v>
      </c>
      <c r="K18" s="55">
        <v>35.244611404312941</v>
      </c>
      <c r="L18" s="3" t="s">
        <v>482</v>
      </c>
    </row>
    <row r="19" spans="1:15" x14ac:dyDescent="0.25">
      <c r="A19" t="str">
        <v>IA CH4 emissions</v>
      </c>
      <c r="B19" s="55">
        <v>84.66172821973106</v>
      </c>
      <c r="C19" s="55">
        <v>75.796177029460381</v>
      </c>
      <c r="D19" s="55">
        <v>68.148934598496552</v>
      </c>
      <c r="E19" s="55">
        <v>54.036072765136637</v>
      </c>
      <c r="F19" s="55">
        <v>41.875181533144833</v>
      </c>
      <c r="G19" s="55">
        <v>35.244611404312941</v>
      </c>
      <c r="H19" s="55">
        <v>35.244611404312941</v>
      </c>
      <c r="I19" s="55">
        <v>35.244611404312941</v>
      </c>
      <c r="J19" s="55">
        <v>35.244611404312941</v>
      </c>
      <c r="K19" s="55">
        <v>35.244611404312941</v>
      </c>
      <c r="L19" s="3" t="s">
        <v>482</v>
      </c>
    </row>
    <row r="20" spans="1:15" x14ac:dyDescent="0.25">
      <c r="A20" t="str">
        <v>AF CH4 emissions</v>
      </c>
      <c r="B20" s="55">
        <v>74.340673493013071</v>
      </c>
      <c r="C20" s="55">
        <v>73.193387082230842</v>
      </c>
      <c r="D20" s="55">
        <v>77.297717201042403</v>
      </c>
      <c r="E20" s="55">
        <v>68.017494665250936</v>
      </c>
      <c r="F20" s="55">
        <v>49.489263561361454</v>
      </c>
      <c r="G20" s="55">
        <v>42.18003363203011</v>
      </c>
      <c r="H20" s="55">
        <v>42.18003363203011</v>
      </c>
      <c r="I20" s="55">
        <v>42.18003363203011</v>
      </c>
      <c r="J20" s="55">
        <v>42.18003363203011</v>
      </c>
      <c r="K20" s="55">
        <v>42.18003363203011</v>
      </c>
      <c r="L20" s="3" t="s">
        <v>482</v>
      </c>
    </row>
    <row r="21" spans="1:15" ht="13" thickBot="1" x14ac:dyDescent="0.3">
      <c r="A21" t="str">
        <v>LA CH4 emissions</v>
      </c>
      <c r="B21" s="56">
        <v>67.217171481575392</v>
      </c>
      <c r="C21" s="56">
        <v>61.199933648313262</v>
      </c>
      <c r="D21" s="56">
        <v>58.193840327234419</v>
      </c>
      <c r="E21" s="56">
        <v>50.300440012835502</v>
      </c>
      <c r="F21" s="56">
        <v>42.694641352569121</v>
      </c>
      <c r="G21" s="56">
        <v>35.450199293178478</v>
      </c>
      <c r="H21" s="56">
        <v>35.450199293178478</v>
      </c>
      <c r="I21" s="56">
        <v>35.450199293178478</v>
      </c>
      <c r="J21" s="56">
        <v>35.450199293178478</v>
      </c>
      <c r="K21" s="56">
        <v>35.450199293178478</v>
      </c>
      <c r="L21" s="3" t="s">
        <v>482</v>
      </c>
    </row>
    <row r="22" spans="1:15" ht="13" thickTop="1" x14ac:dyDescent="0.25">
      <c r="L22" s="3"/>
    </row>
    <row r="23" spans="1:15" ht="13" x14ac:dyDescent="0.3">
      <c r="A23" t="str">
        <f t="array" ref="A23:A30">R_CODE&amp;" "&amp;'Base data'!$D$12&amp;" emissions"</f>
        <v>EU N2O emissions</v>
      </c>
      <c r="B23" s="54">
        <f t="array" ref="B23:K30" xml:space="preserve"> IF(SCENARIO_SWITCH = 0, 0, 0) + IF(SCENARIO_SWITCH = 1, RCP26extra_N2O, 0) + IF(SCENARIO_SWITCH = 2, RCPW_N2O, 0) + IF(SCENARIO_SWITCH = 3, ( IF(SCENARIO_PAIR = PAIR_RCP26, RCP26_N2O, 0) + IF(SCENARIO_PAIR = PAIR_RCP45, RCP45_N2O, 0) +  IF(SCENARIO_PAIR = PAIR_RCP85, RCP85_N2O, 0) ), 0)</f>
        <v>77.575259852913533</v>
      </c>
      <c r="C23" s="54">
        <v>74.441086090490487</v>
      </c>
      <c r="D23" s="54">
        <v>69.991813074395296</v>
      </c>
      <c r="E23" s="54">
        <v>61.570832963290655</v>
      </c>
      <c r="F23" s="54">
        <v>49.898754307615079</v>
      </c>
      <c r="G23" s="54">
        <v>40.684353442409197</v>
      </c>
      <c r="H23" s="54">
        <v>40.684353442409197</v>
      </c>
      <c r="I23" s="54">
        <v>40.684353442409197</v>
      </c>
      <c r="J23" s="54">
        <v>40.684353442409197</v>
      </c>
      <c r="K23" s="54">
        <v>40.684353442409197</v>
      </c>
      <c r="L23" s="3" t="s">
        <v>482</v>
      </c>
      <c r="O23" s="128" t="s">
        <v>659</v>
      </c>
    </row>
    <row r="24" spans="1:15" x14ac:dyDescent="0.25">
      <c r="A24" t="str">
        <v>US N2O emissions</v>
      </c>
      <c r="B24" s="55">
        <v>77.575259852913533</v>
      </c>
      <c r="C24" s="55">
        <v>74.441086090490487</v>
      </c>
      <c r="D24" s="55">
        <v>69.991813074395296</v>
      </c>
      <c r="E24" s="55">
        <v>61.570832963290655</v>
      </c>
      <c r="F24" s="55">
        <v>49.898754307615079</v>
      </c>
      <c r="G24" s="55">
        <v>40.684353442409197</v>
      </c>
      <c r="H24" s="55">
        <v>40.684353442409197</v>
      </c>
      <c r="I24" s="55">
        <v>40.684353442409197</v>
      </c>
      <c r="J24" s="55">
        <v>40.684353442409197</v>
      </c>
      <c r="K24" s="55">
        <v>40.684353442409197</v>
      </c>
      <c r="L24" s="3" t="s">
        <v>482</v>
      </c>
    </row>
    <row r="25" spans="1:15" x14ac:dyDescent="0.25">
      <c r="A25" t="str">
        <v>OT N2O emissions</v>
      </c>
      <c r="B25" s="55">
        <v>77.575259852913533</v>
      </c>
      <c r="C25" s="55">
        <v>74.441086090490487</v>
      </c>
      <c r="D25" s="55">
        <v>69.991813074395296</v>
      </c>
      <c r="E25" s="55">
        <v>61.570832963290655</v>
      </c>
      <c r="F25" s="55">
        <v>49.898754307615079</v>
      </c>
      <c r="G25" s="55">
        <v>40.684353442409197</v>
      </c>
      <c r="H25" s="55">
        <v>40.684353442409197</v>
      </c>
      <c r="I25" s="55">
        <v>40.684353442409197</v>
      </c>
      <c r="J25" s="55">
        <v>40.684353442409197</v>
      </c>
      <c r="K25" s="55">
        <v>40.684353442409197</v>
      </c>
      <c r="L25" s="3" t="s">
        <v>482</v>
      </c>
    </row>
    <row r="26" spans="1:15" x14ac:dyDescent="0.25">
      <c r="A26" t="str">
        <v>EE N2O emissions</v>
      </c>
      <c r="B26" s="55">
        <v>132.09229913647778</v>
      </c>
      <c r="C26" s="55">
        <v>128.6930488988811</v>
      </c>
      <c r="D26" s="55">
        <v>126.15024349435053</v>
      </c>
      <c r="E26" s="55">
        <v>121.53522878787858</v>
      </c>
      <c r="F26" s="55">
        <v>124.17055819800201</v>
      </c>
      <c r="G26" s="55">
        <v>122.0333837781171</v>
      </c>
      <c r="H26" s="55">
        <v>122.0333837781171</v>
      </c>
      <c r="I26" s="55">
        <v>122.0333837781171</v>
      </c>
      <c r="J26" s="55">
        <v>122.0333837781171</v>
      </c>
      <c r="K26" s="55">
        <v>122.0333837781171</v>
      </c>
      <c r="L26" s="3" t="s">
        <v>482</v>
      </c>
    </row>
    <row r="27" spans="1:15" x14ac:dyDescent="0.25">
      <c r="A27" t="str">
        <v>CA N2O emissions</v>
      </c>
      <c r="B27" s="55">
        <v>130.97661461205334</v>
      </c>
      <c r="C27" s="55">
        <v>127.68411397282313</v>
      </c>
      <c r="D27" s="55">
        <v>123.66425589612693</v>
      </c>
      <c r="E27" s="55">
        <v>105.70142820568108</v>
      </c>
      <c r="F27" s="55">
        <v>94.67469232965739</v>
      </c>
      <c r="G27" s="55">
        <v>85.357398334323818</v>
      </c>
      <c r="H27" s="55">
        <v>85.357398334323818</v>
      </c>
      <c r="I27" s="55">
        <v>85.357398334323818</v>
      </c>
      <c r="J27" s="55">
        <v>85.357398334323818</v>
      </c>
      <c r="K27" s="55">
        <v>85.357398334323818</v>
      </c>
      <c r="L27" s="3" t="s">
        <v>482</v>
      </c>
    </row>
    <row r="28" spans="1:15" x14ac:dyDescent="0.25">
      <c r="A28" t="str">
        <v>IA N2O emissions</v>
      </c>
      <c r="B28" s="55">
        <v>130.97661461205334</v>
      </c>
      <c r="C28" s="55">
        <v>127.68411397282313</v>
      </c>
      <c r="D28" s="55">
        <v>123.66425589612693</v>
      </c>
      <c r="E28" s="55">
        <v>105.70142820568108</v>
      </c>
      <c r="F28" s="55">
        <v>94.67469232965739</v>
      </c>
      <c r="G28" s="55">
        <v>85.357398334323818</v>
      </c>
      <c r="H28" s="55">
        <v>85.357398334323818</v>
      </c>
      <c r="I28" s="55">
        <v>85.357398334323818</v>
      </c>
      <c r="J28" s="55">
        <v>85.357398334323818</v>
      </c>
      <c r="K28" s="55">
        <v>85.357398334323818</v>
      </c>
      <c r="L28" s="3" t="s">
        <v>482</v>
      </c>
    </row>
    <row r="29" spans="1:15" x14ac:dyDescent="0.25">
      <c r="A29" t="str">
        <v>AF N2O emissions</v>
      </c>
      <c r="B29" s="55">
        <v>104.79399303614998</v>
      </c>
      <c r="C29" s="55">
        <v>102.74334385124514</v>
      </c>
      <c r="D29" s="55">
        <v>97.661969078227997</v>
      </c>
      <c r="E29" s="55">
        <v>78.217843941371086</v>
      </c>
      <c r="F29" s="55">
        <v>64.649114682931327</v>
      </c>
      <c r="G29" s="55">
        <v>54.493971203686293</v>
      </c>
      <c r="H29" s="55">
        <v>54.493971203686293</v>
      </c>
      <c r="I29" s="55">
        <v>54.493971203686293</v>
      </c>
      <c r="J29" s="55">
        <v>54.493971203686293</v>
      </c>
      <c r="K29" s="55">
        <v>54.493971203686293</v>
      </c>
      <c r="L29" s="3" t="s">
        <v>482</v>
      </c>
    </row>
    <row r="30" spans="1:15" ht="13" thickBot="1" x14ac:dyDescent="0.3">
      <c r="A30" t="str">
        <v>LA N2O emissions</v>
      </c>
      <c r="B30" s="56">
        <v>97.648618195415906</v>
      </c>
      <c r="C30" s="56">
        <v>92.682077083503387</v>
      </c>
      <c r="D30" s="56">
        <v>89.340016336347105</v>
      </c>
      <c r="E30" s="56">
        <v>72.522034920034329</v>
      </c>
      <c r="F30" s="56">
        <v>56.657403754948383</v>
      </c>
      <c r="G30" s="56">
        <v>49.457857065335929</v>
      </c>
      <c r="H30" s="56">
        <v>49.457857065335929</v>
      </c>
      <c r="I30" s="56">
        <v>49.457857065335929</v>
      </c>
      <c r="J30" s="56">
        <v>49.457857065335929</v>
      </c>
      <c r="K30" s="56">
        <v>49.457857065335929</v>
      </c>
      <c r="L30" s="3" t="s">
        <v>482</v>
      </c>
    </row>
    <row r="31" spans="1:15" ht="13" thickTop="1" x14ac:dyDescent="0.25">
      <c r="L31" s="3"/>
    </row>
    <row r="32" spans="1:15" ht="13" x14ac:dyDescent="0.3">
      <c r="A32" t="str">
        <f t="array" ref="A32:A39">R_CODE&amp;" "&amp;GLIN_NAME&amp;" emissions"</f>
        <v>EU Lin emissions</v>
      </c>
      <c r="B32" s="54">
        <f t="array" ref="B32:K39" xml:space="preserve"> IF(SCENARIO_SWITCH = 0, 0, 0) + IF(SCENARIO_SWITCH = 1, RCP26extra_Lin, 0) + IF(SCENARIO_SWITCH = 2, RCPW_Lin, 0) + IF(SCENARIO_SWITCH = 3, ( IF(SCENARIO_PAIR = PAIR_RCP26, RCP26_Lin, 0) + IF(SCENARIO_PAIR = PAIR_RCP45, RCP45_Lin, 0) +  IF(SCENARIO_PAIR = PAIR_RCP85, RCP85_Lin, 0) ), 0)</f>
        <v>90</v>
      </c>
      <c r="C32" s="54">
        <v>63.445162461324443</v>
      </c>
      <c r="D32" s="54">
        <v>42.872896754668247</v>
      </c>
      <c r="E32" s="54">
        <v>18.598823246410369</v>
      </c>
      <c r="F32" s="54">
        <v>17.506460976166725</v>
      </c>
      <c r="G32" s="54">
        <v>16.47825627727277</v>
      </c>
      <c r="H32" s="54">
        <v>16.47825627727277</v>
      </c>
      <c r="I32" s="54">
        <v>16.47825627727277</v>
      </c>
      <c r="J32" s="54">
        <v>16.47825627727277</v>
      </c>
      <c r="K32" s="54">
        <v>16.47825627727277</v>
      </c>
      <c r="L32" s="3" t="s">
        <v>482</v>
      </c>
      <c r="O32" s="128" t="s">
        <v>659</v>
      </c>
    </row>
    <row r="33" spans="1:15" x14ac:dyDescent="0.25">
      <c r="A33" t="str">
        <v>US Lin emissions</v>
      </c>
      <c r="B33" s="55">
        <v>90</v>
      </c>
      <c r="C33" s="55">
        <v>63.445162461324443</v>
      </c>
      <c r="D33" s="55">
        <v>42.872896754668247</v>
      </c>
      <c r="E33" s="55">
        <v>18.598823246410369</v>
      </c>
      <c r="F33" s="55">
        <v>17.506460976166725</v>
      </c>
      <c r="G33" s="55">
        <v>16.47825627727277</v>
      </c>
      <c r="H33" s="55">
        <v>16.47825627727277</v>
      </c>
      <c r="I33" s="55">
        <v>16.47825627727277</v>
      </c>
      <c r="J33" s="55">
        <v>16.47825627727277</v>
      </c>
      <c r="K33" s="55">
        <v>16.47825627727277</v>
      </c>
      <c r="L33" s="3" t="s">
        <v>482</v>
      </c>
    </row>
    <row r="34" spans="1:15" x14ac:dyDescent="0.25">
      <c r="A34" t="str">
        <v>OT Lin emissions</v>
      </c>
      <c r="B34" s="55">
        <v>90</v>
      </c>
      <c r="C34" s="55">
        <v>63.445162461324443</v>
      </c>
      <c r="D34" s="55">
        <v>42.872896754668247</v>
      </c>
      <c r="E34" s="55">
        <v>18.598823246410369</v>
      </c>
      <c r="F34" s="55">
        <v>17.506460976166725</v>
      </c>
      <c r="G34" s="55">
        <v>16.47825627727277</v>
      </c>
      <c r="H34" s="55">
        <v>16.47825627727277</v>
      </c>
      <c r="I34" s="55">
        <v>16.47825627727277</v>
      </c>
      <c r="J34" s="55">
        <v>16.47825627727277</v>
      </c>
      <c r="K34" s="55">
        <v>16.47825627727277</v>
      </c>
      <c r="L34" s="3" t="s">
        <v>482</v>
      </c>
    </row>
    <row r="35" spans="1:15" x14ac:dyDescent="0.25">
      <c r="A35" t="str">
        <v>EE Lin emissions</v>
      </c>
      <c r="B35" s="55">
        <v>90</v>
      </c>
      <c r="C35" s="55">
        <v>63.445162461324443</v>
      </c>
      <c r="D35" s="55">
        <v>42.872896754668247</v>
      </c>
      <c r="E35" s="55">
        <v>18.598823246410369</v>
      </c>
      <c r="F35" s="55">
        <v>17.506460976166725</v>
      </c>
      <c r="G35" s="55">
        <v>16.47825627727277</v>
      </c>
      <c r="H35" s="55">
        <v>16.47825627727277</v>
      </c>
      <c r="I35" s="55">
        <v>16.47825627727277</v>
      </c>
      <c r="J35" s="55">
        <v>16.47825627727277</v>
      </c>
      <c r="K35" s="55">
        <v>16.47825627727277</v>
      </c>
      <c r="L35" s="3" t="s">
        <v>482</v>
      </c>
    </row>
    <row r="36" spans="1:15" x14ac:dyDescent="0.25">
      <c r="A36" t="str">
        <v>CA Lin emissions</v>
      </c>
      <c r="B36" s="55">
        <v>90</v>
      </c>
      <c r="C36" s="55">
        <v>63.445162461324443</v>
      </c>
      <c r="D36" s="55">
        <v>42.872896754668247</v>
      </c>
      <c r="E36" s="55">
        <v>18.598823246410369</v>
      </c>
      <c r="F36" s="55">
        <v>17.506460976166725</v>
      </c>
      <c r="G36" s="55">
        <v>16.47825627727277</v>
      </c>
      <c r="H36" s="55">
        <v>16.47825627727277</v>
      </c>
      <c r="I36" s="55">
        <v>16.47825627727277</v>
      </c>
      <c r="J36" s="55">
        <v>16.47825627727277</v>
      </c>
      <c r="K36" s="55">
        <v>16.47825627727277</v>
      </c>
      <c r="L36" s="3" t="s">
        <v>482</v>
      </c>
    </row>
    <row r="37" spans="1:15" x14ac:dyDescent="0.25">
      <c r="A37" t="str">
        <v>IA Lin emissions</v>
      </c>
      <c r="B37" s="55">
        <v>90</v>
      </c>
      <c r="C37" s="55">
        <v>63.445162461324443</v>
      </c>
      <c r="D37" s="55">
        <v>42.872896754668247</v>
      </c>
      <c r="E37" s="55">
        <v>18.598823246410369</v>
      </c>
      <c r="F37" s="55">
        <v>17.506460976166725</v>
      </c>
      <c r="G37" s="55">
        <v>16.47825627727277</v>
      </c>
      <c r="H37" s="55">
        <v>16.47825627727277</v>
      </c>
      <c r="I37" s="55">
        <v>16.47825627727277</v>
      </c>
      <c r="J37" s="55">
        <v>16.47825627727277</v>
      </c>
      <c r="K37" s="55">
        <v>16.47825627727277</v>
      </c>
      <c r="L37" s="3" t="s">
        <v>482</v>
      </c>
    </row>
    <row r="38" spans="1:15" x14ac:dyDescent="0.25">
      <c r="A38" t="str">
        <v>AF Lin emissions</v>
      </c>
      <c r="B38" s="55">
        <v>90</v>
      </c>
      <c r="C38" s="55">
        <v>63.445162461324443</v>
      </c>
      <c r="D38" s="55">
        <v>42.872896754668247</v>
      </c>
      <c r="E38" s="55">
        <v>18.598823246410369</v>
      </c>
      <c r="F38" s="55">
        <v>17.506460976166725</v>
      </c>
      <c r="G38" s="55">
        <v>16.47825627727277</v>
      </c>
      <c r="H38" s="55">
        <v>16.47825627727277</v>
      </c>
      <c r="I38" s="55">
        <v>16.47825627727277</v>
      </c>
      <c r="J38" s="55">
        <v>16.47825627727277</v>
      </c>
      <c r="K38" s="55">
        <v>16.47825627727277</v>
      </c>
      <c r="L38" s="3" t="s">
        <v>482</v>
      </c>
    </row>
    <row r="39" spans="1:15" ht="13" thickBot="1" x14ac:dyDescent="0.3">
      <c r="A39" t="str">
        <v>LA Lin emissions</v>
      </c>
      <c r="B39" s="56">
        <v>90</v>
      </c>
      <c r="C39" s="56">
        <v>63.445162461324443</v>
      </c>
      <c r="D39" s="56">
        <v>42.872896754668247</v>
      </c>
      <c r="E39" s="56">
        <v>18.598823246410369</v>
      </c>
      <c r="F39" s="56">
        <v>17.506460976166725</v>
      </c>
      <c r="G39" s="56">
        <v>16.47825627727277</v>
      </c>
      <c r="H39" s="56">
        <v>16.47825627727277</v>
      </c>
      <c r="I39" s="56">
        <v>16.47825627727277</v>
      </c>
      <c r="J39" s="56">
        <v>16.47825627727277</v>
      </c>
      <c r="K39" s="56">
        <v>16.47825627727277</v>
      </c>
      <c r="L39" s="3" t="s">
        <v>482</v>
      </c>
    </row>
    <row r="40" spans="1:15" ht="13" thickTop="1" x14ac:dyDescent="0.25">
      <c r="L40" s="3"/>
    </row>
    <row r="41" spans="1:15" ht="13" x14ac:dyDescent="0.3">
      <c r="A41" t="str">
        <f t="array" ref="A41:A48">R_CODE&amp;" sulphates"</f>
        <v>EU sulphates</v>
      </c>
      <c r="B41" s="54">
        <f t="array" ref="B41:K48" xml:space="preserve"> IF(SCENARIO_SWITCH = 0, 0, 0) + IF(SCENARIO_SWITCH = 1, RCP26extra_sulph, 0) + IF(SCENARIO_SWITCH = 2, RCPW_sulph, 0) + IF(SCENARIO_SWITCH = 3, ( IF(SCENARIO_PAIR = PAIR_RCP26, RCP26_sulph, 0) + IF(SCENARIO_PAIR = PAIR_RCP45, RCP45_sulph, 0) +  IF(SCENARIO_PAIR = PAIR_RCP85, RCP85_sulph, 0) ), 0)</f>
        <v>50.624277766564255</v>
      </c>
      <c r="C41" s="54">
        <v>23.25503219421336</v>
      </c>
      <c r="D41" s="54">
        <v>11.333740520958859</v>
      </c>
      <c r="E41" s="54">
        <v>8.10776015098293</v>
      </c>
      <c r="F41" s="54">
        <v>5.2934476813944977</v>
      </c>
      <c r="G41" s="54">
        <v>4.2914299276360275</v>
      </c>
      <c r="H41" s="54">
        <v>4.2914299276360275</v>
      </c>
      <c r="I41" s="54">
        <v>4.2914299276360275</v>
      </c>
      <c r="J41" s="54">
        <v>4.2914299276360275</v>
      </c>
      <c r="K41" s="54">
        <v>4.2914299276360275</v>
      </c>
      <c r="L41" s="3" t="s">
        <v>482</v>
      </c>
      <c r="O41" s="128" t="s">
        <v>659</v>
      </c>
    </row>
    <row r="42" spans="1:15" x14ac:dyDescent="0.25">
      <c r="A42" t="str">
        <v>US sulphates</v>
      </c>
      <c r="B42" s="55">
        <v>50.624277766564255</v>
      </c>
      <c r="C42" s="55">
        <v>23.25503219421336</v>
      </c>
      <c r="D42" s="55">
        <v>11.333740520958859</v>
      </c>
      <c r="E42" s="55">
        <v>8.10776015098293</v>
      </c>
      <c r="F42" s="55">
        <v>5.2934476813944977</v>
      </c>
      <c r="G42" s="55">
        <v>4.2914299276360275</v>
      </c>
      <c r="H42" s="55">
        <v>4.2914299276360275</v>
      </c>
      <c r="I42" s="55">
        <v>4.2914299276360275</v>
      </c>
      <c r="J42" s="55">
        <v>4.2914299276360275</v>
      </c>
      <c r="K42" s="55">
        <v>4.2914299276360275</v>
      </c>
      <c r="L42" s="3" t="s">
        <v>482</v>
      </c>
    </row>
    <row r="43" spans="1:15" x14ac:dyDescent="0.25">
      <c r="A43" t="str">
        <v>OT sulphates</v>
      </c>
      <c r="B43" s="55">
        <v>50.624277766564255</v>
      </c>
      <c r="C43" s="55">
        <v>23.25503219421336</v>
      </c>
      <c r="D43" s="55">
        <v>11.333740520958859</v>
      </c>
      <c r="E43" s="55">
        <v>8.10776015098293</v>
      </c>
      <c r="F43" s="55">
        <v>5.2934476813944977</v>
      </c>
      <c r="G43" s="55">
        <v>4.2914299276360275</v>
      </c>
      <c r="H43" s="55">
        <v>4.2914299276360275</v>
      </c>
      <c r="I43" s="55">
        <v>4.2914299276360275</v>
      </c>
      <c r="J43" s="55">
        <v>4.2914299276360275</v>
      </c>
      <c r="K43" s="55">
        <v>4.2914299276360275</v>
      </c>
      <c r="L43" s="3" t="s">
        <v>482</v>
      </c>
    </row>
    <row r="44" spans="1:15" x14ac:dyDescent="0.25">
      <c r="A44" t="str">
        <v>EE sulphates</v>
      </c>
      <c r="B44" s="55">
        <v>32.799379775035852</v>
      </c>
      <c r="C44" s="55">
        <v>16.239573837147116</v>
      </c>
      <c r="D44" s="55">
        <v>11.300970415245956</v>
      </c>
      <c r="E44" s="55">
        <v>7.5962732873307059</v>
      </c>
      <c r="F44" s="55">
        <v>3.0614882902988074</v>
      </c>
      <c r="G44" s="55">
        <v>2.5437029347407822</v>
      </c>
      <c r="H44" s="55">
        <v>2.5437029347407822</v>
      </c>
      <c r="I44" s="55">
        <v>2.5437029347407822</v>
      </c>
      <c r="J44" s="55">
        <v>2.5437029347407822</v>
      </c>
      <c r="K44" s="55">
        <v>2.5437029347407822</v>
      </c>
      <c r="L44" s="3" t="s">
        <v>482</v>
      </c>
    </row>
    <row r="45" spans="1:15" x14ac:dyDescent="0.25">
      <c r="A45" t="str">
        <v>CA sulphates</v>
      </c>
      <c r="B45" s="55">
        <v>56.778724716616011</v>
      </c>
      <c r="C45" s="55">
        <v>37.835492462592178</v>
      </c>
      <c r="D45" s="55">
        <v>21.515667703138934</v>
      </c>
      <c r="E45" s="55">
        <v>15.017463227067228</v>
      </c>
      <c r="F45" s="55">
        <v>8.4748570386041084</v>
      </c>
      <c r="G45" s="55">
        <v>3.7642250966922952</v>
      </c>
      <c r="H45" s="55">
        <v>3.7642250966922952</v>
      </c>
      <c r="I45" s="55">
        <v>3.7642250966922952</v>
      </c>
      <c r="J45" s="55">
        <v>3.7642250966922952</v>
      </c>
      <c r="K45" s="55">
        <v>3.7642250966922952</v>
      </c>
      <c r="L45" s="3" t="s">
        <v>482</v>
      </c>
    </row>
    <row r="46" spans="1:15" x14ac:dyDescent="0.25">
      <c r="A46" t="str">
        <v>IA sulphates</v>
      </c>
      <c r="B46" s="55">
        <v>56.778724716616011</v>
      </c>
      <c r="C46" s="55">
        <v>37.835492462592178</v>
      </c>
      <c r="D46" s="55">
        <v>21.515667703138934</v>
      </c>
      <c r="E46" s="55">
        <v>15.017463227067228</v>
      </c>
      <c r="F46" s="55">
        <v>8.4748570386041084</v>
      </c>
      <c r="G46" s="55">
        <v>3.7642250966922952</v>
      </c>
      <c r="H46" s="55">
        <v>3.7642250966922952</v>
      </c>
      <c r="I46" s="55">
        <v>3.7642250966922952</v>
      </c>
      <c r="J46" s="55">
        <v>3.7642250966922952</v>
      </c>
      <c r="K46" s="55">
        <v>3.7642250966922952</v>
      </c>
      <c r="L46" s="3" t="s">
        <v>482</v>
      </c>
    </row>
    <row r="47" spans="1:15" x14ac:dyDescent="0.25">
      <c r="A47" t="str">
        <v>AF sulphates</v>
      </c>
      <c r="B47" s="55">
        <v>58.630704234873363</v>
      </c>
      <c r="C47" s="55">
        <v>45.627505155511216</v>
      </c>
      <c r="D47" s="55">
        <v>39.02660637420847</v>
      </c>
      <c r="E47" s="55">
        <v>37.771955791395783</v>
      </c>
      <c r="F47" s="55">
        <v>38.280738459556531</v>
      </c>
      <c r="G47" s="55">
        <v>22.579144935351831</v>
      </c>
      <c r="H47" s="55">
        <v>22.579144935351831</v>
      </c>
      <c r="I47" s="55">
        <v>22.579144935351831</v>
      </c>
      <c r="J47" s="55">
        <v>22.579144935351831</v>
      </c>
      <c r="K47" s="55">
        <v>22.579144935351831</v>
      </c>
      <c r="L47" s="3" t="s">
        <v>482</v>
      </c>
    </row>
    <row r="48" spans="1:15" ht="13" thickBot="1" x14ac:dyDescent="0.3">
      <c r="A48" t="str">
        <v>LA sulphates</v>
      </c>
      <c r="B48" s="56">
        <v>42.897430296138495</v>
      </c>
      <c r="C48" s="56">
        <v>38.722006622692653</v>
      </c>
      <c r="D48" s="56">
        <v>36.70768072530899</v>
      </c>
      <c r="E48" s="56">
        <v>31.169740580727868</v>
      </c>
      <c r="F48" s="56">
        <v>9.573521490506824</v>
      </c>
      <c r="G48" s="56">
        <v>5.3042498193722487</v>
      </c>
      <c r="H48" s="56">
        <v>5.3042498193722487</v>
      </c>
      <c r="I48" s="56">
        <v>5.3042498193722487</v>
      </c>
      <c r="J48" s="56">
        <v>5.3042498193722487</v>
      </c>
      <c r="K48" s="56">
        <v>5.3042498193722487</v>
      </c>
      <c r="L48" s="3" t="s">
        <v>482</v>
      </c>
    </row>
    <row r="49" spans="1:15" ht="13" thickTop="1" x14ac:dyDescent="0.25">
      <c r="B49" s="61"/>
      <c r="C49" s="61"/>
      <c r="D49" s="61"/>
      <c r="E49" s="61"/>
      <c r="F49" s="61"/>
      <c r="G49" s="61"/>
      <c r="H49" s="61"/>
      <c r="I49" s="61"/>
      <c r="J49" s="61"/>
      <c r="K49" s="61"/>
    </row>
    <row r="50" spans="1:15" ht="13.5" thickBot="1" x14ac:dyDescent="0.35">
      <c r="A50" s="3" t="s">
        <v>37</v>
      </c>
      <c r="B50" s="62">
        <f t="array" ref="B50:K50" xml:space="preserve"> IF(SCENARIO_SWITCH = 0, 0, 0) + IF(SCENARIO_SWITCH = 1, RCP26extra_Excess, 0) + IF(SCENARIO_SWITCH = 2, RCPW_Excess, 0) + IF(SCENARIO_SWITCH = 3, ( IF(SCENARIO_PAIR = PAIR_RCP26, RCP26_Excess, 0) + IF(SCENARIO_PAIR = PAIR_RCP45, RCP45_Excess, 0) +  IF(SCENARIO_PAIR = PAIR_RCP85, RCP85_Excess, 0) ), 0)</f>
        <v>0.73837032266629909</v>
      </c>
      <c r="C50" s="62">
        <v>0.56202109433745318</v>
      </c>
      <c r="D50" s="62">
        <v>0.37736904720450726</v>
      </c>
      <c r="E50" s="62">
        <v>0.25494947028270482</v>
      </c>
      <c r="F50" s="62">
        <v>0.13627638218744276</v>
      </c>
      <c r="G50" s="62">
        <v>0.10007132127305299</v>
      </c>
      <c r="H50" s="62">
        <v>0.10007132127305299</v>
      </c>
      <c r="I50" s="62">
        <v>0.10007132127305299</v>
      </c>
      <c r="J50" s="62">
        <v>0.10007132127305299</v>
      </c>
      <c r="K50" s="62">
        <v>0.10007132127305299</v>
      </c>
      <c r="L50" s="3" t="s">
        <v>44</v>
      </c>
      <c r="O50" s="128" t="s">
        <v>659</v>
      </c>
    </row>
    <row r="51" spans="1:15" ht="13" thickTop="1" x14ac:dyDescent="0.25">
      <c r="B51" s="61"/>
      <c r="C51" s="61"/>
      <c r="D51" s="61"/>
      <c r="E51" s="61"/>
      <c r="F51" s="61"/>
      <c r="G51" s="61"/>
      <c r="H51" s="61"/>
      <c r="I51" s="61"/>
      <c r="J51" s="61"/>
      <c r="K51" s="61"/>
    </row>
    <row r="52" spans="1:15" ht="13" x14ac:dyDescent="0.3">
      <c r="A52" s="2" t="s">
        <v>197</v>
      </c>
    </row>
    <row r="53" spans="1:15" ht="13" x14ac:dyDescent="0.3">
      <c r="A53" s="2"/>
      <c r="B53" s="3" t="s">
        <v>731</v>
      </c>
      <c r="C53" s="216"/>
      <c r="D53" s="216"/>
      <c r="E53" s="216"/>
      <c r="F53" s="216"/>
    </row>
    <row r="54" spans="1:15" ht="13" x14ac:dyDescent="0.3">
      <c r="A54" s="2"/>
      <c r="B54" s="3"/>
      <c r="F54" s="3" t="s">
        <v>730</v>
      </c>
    </row>
    <row r="55" spans="1:15" ht="13" x14ac:dyDescent="0.3">
      <c r="A55" s="2"/>
      <c r="B55" s="3" t="s">
        <v>202</v>
      </c>
      <c r="C55" s="3" t="s">
        <v>198</v>
      </c>
      <c r="D55" s="3" t="s">
        <v>199</v>
      </c>
      <c r="F55" s="3" t="s">
        <v>410</v>
      </c>
      <c r="G55" s="3" t="s">
        <v>200</v>
      </c>
      <c r="H55" s="3" t="s">
        <v>201</v>
      </c>
      <c r="I55" s="3" t="s">
        <v>411</v>
      </c>
    </row>
    <row r="56" spans="1:15" s="2" customFormat="1" ht="13" x14ac:dyDescent="0.3">
      <c r="A56" t="str">
        <f t="array" ref="A56:A63">R_CODE&amp;" sea level"</f>
        <v>EU sea level</v>
      </c>
      <c r="B56" s="232">
        <v>0.25</v>
      </c>
      <c r="C56" s="54">
        <v>2000</v>
      </c>
      <c r="D56" s="140">
        <v>50</v>
      </c>
      <c r="E56"/>
      <c r="F56" s="54">
        <v>50</v>
      </c>
      <c r="G56" s="54">
        <v>2020</v>
      </c>
      <c r="H56" s="140">
        <v>50</v>
      </c>
      <c r="I56" s="235">
        <v>1</v>
      </c>
      <c r="J56"/>
      <c r="K56"/>
      <c r="L56"/>
      <c r="O56" s="124" t="s">
        <v>719</v>
      </c>
    </row>
    <row r="57" spans="1:15" ht="13" x14ac:dyDescent="0.3">
      <c r="A57" t="str">
        <v>US sea level</v>
      </c>
      <c r="B57" s="233">
        <v>0.25</v>
      </c>
      <c r="C57" s="55">
        <v>2000</v>
      </c>
      <c r="D57" s="134">
        <v>50</v>
      </c>
      <c r="F57" s="55">
        <v>50</v>
      </c>
      <c r="G57" s="55">
        <v>2020</v>
      </c>
      <c r="H57" s="134">
        <v>50</v>
      </c>
      <c r="I57" s="236">
        <v>1</v>
      </c>
      <c r="O57" s="124" t="s">
        <v>891</v>
      </c>
    </row>
    <row r="58" spans="1:15" x14ac:dyDescent="0.25">
      <c r="A58" t="str">
        <v>OT sea level</v>
      </c>
      <c r="B58" s="233">
        <v>0.25</v>
      </c>
      <c r="C58" s="55">
        <v>2000</v>
      </c>
      <c r="D58" s="134">
        <v>50</v>
      </c>
      <c r="F58" s="55">
        <v>50</v>
      </c>
      <c r="G58" s="55">
        <v>2020</v>
      </c>
      <c r="H58" s="134">
        <v>50</v>
      </c>
      <c r="I58" s="236">
        <v>1</v>
      </c>
    </row>
    <row r="59" spans="1:15" x14ac:dyDescent="0.25">
      <c r="A59" t="str">
        <v>EE sea level</v>
      </c>
      <c r="B59" s="233">
        <v>0.25</v>
      </c>
      <c r="C59" s="55">
        <v>2000</v>
      </c>
      <c r="D59" s="134">
        <v>50</v>
      </c>
      <c r="F59" s="55">
        <v>50</v>
      </c>
      <c r="G59" s="55">
        <v>2020</v>
      </c>
      <c r="H59" s="134">
        <v>50</v>
      </c>
      <c r="I59" s="236">
        <v>1</v>
      </c>
    </row>
    <row r="60" spans="1:15" x14ac:dyDescent="0.25">
      <c r="A60" t="str">
        <v>CA sea level</v>
      </c>
      <c r="B60" s="233">
        <v>0.2</v>
      </c>
      <c r="C60" s="55">
        <v>2000</v>
      </c>
      <c r="D60" s="134">
        <v>75</v>
      </c>
      <c r="F60" s="55">
        <v>25</v>
      </c>
      <c r="G60" s="55">
        <v>2020</v>
      </c>
      <c r="H60" s="134">
        <v>75</v>
      </c>
      <c r="I60" s="236">
        <v>1</v>
      </c>
    </row>
    <row r="61" spans="1:15" x14ac:dyDescent="0.25">
      <c r="A61" t="str">
        <v>IA sea level</v>
      </c>
      <c r="B61" s="233">
        <v>0.2</v>
      </c>
      <c r="C61" s="55">
        <v>2000</v>
      </c>
      <c r="D61" s="134">
        <v>75</v>
      </c>
      <c r="F61" s="55">
        <v>25</v>
      </c>
      <c r="G61" s="55">
        <v>2020</v>
      </c>
      <c r="H61" s="134">
        <v>75</v>
      </c>
      <c r="I61" s="236">
        <v>1</v>
      </c>
    </row>
    <row r="62" spans="1:15" x14ac:dyDescent="0.25">
      <c r="A62" t="str">
        <v>AF sea level</v>
      </c>
      <c r="B62" s="233">
        <v>0.2</v>
      </c>
      <c r="C62" s="55">
        <v>2000</v>
      </c>
      <c r="D62" s="134">
        <v>75</v>
      </c>
      <c r="F62" s="55">
        <v>25</v>
      </c>
      <c r="G62" s="55">
        <v>2020</v>
      </c>
      <c r="H62" s="134">
        <v>75</v>
      </c>
      <c r="I62" s="236">
        <v>1</v>
      </c>
    </row>
    <row r="63" spans="1:15" ht="13" thickBot="1" x14ac:dyDescent="0.3">
      <c r="A63" t="str">
        <v>LA sea level</v>
      </c>
      <c r="B63" s="234">
        <v>0.2</v>
      </c>
      <c r="C63" s="56">
        <v>2000</v>
      </c>
      <c r="D63" s="141">
        <v>75</v>
      </c>
      <c r="F63" s="56">
        <v>25</v>
      </c>
      <c r="G63" s="56">
        <v>2020</v>
      </c>
      <c r="H63" s="141">
        <v>75</v>
      </c>
      <c r="I63" s="237">
        <v>1</v>
      </c>
    </row>
    <row r="64" spans="1:15" ht="13" thickTop="1" x14ac:dyDescent="0.25">
      <c r="B64" s="216" t="s">
        <v>182</v>
      </c>
      <c r="C64" s="216"/>
      <c r="D64" s="216"/>
      <c r="E64" s="216"/>
      <c r="F64" s="216" t="s">
        <v>40</v>
      </c>
      <c r="G64" s="216"/>
      <c r="H64" s="216"/>
      <c r="I64" s="216" t="s">
        <v>182</v>
      </c>
    </row>
    <row r="65" spans="1:15" x14ac:dyDescent="0.25">
      <c r="B65" s="216"/>
      <c r="C65" s="216"/>
      <c r="D65" s="216"/>
      <c r="E65" s="216"/>
      <c r="F65" s="216"/>
      <c r="G65" s="216"/>
      <c r="H65" s="216"/>
      <c r="I65" s="216"/>
    </row>
    <row r="66" spans="1:15" x14ac:dyDescent="0.25">
      <c r="B66" s="3" t="s">
        <v>731</v>
      </c>
      <c r="C66" s="216"/>
      <c r="D66" s="216"/>
      <c r="E66" s="216"/>
      <c r="F66" s="216"/>
      <c r="G66" s="216"/>
      <c r="H66" s="216"/>
      <c r="I66" s="216"/>
    </row>
    <row r="67" spans="1:15" x14ac:dyDescent="0.25">
      <c r="B67" s="3"/>
      <c r="F67" s="3" t="s">
        <v>730</v>
      </c>
    </row>
    <row r="68" spans="1:15" ht="13" x14ac:dyDescent="0.3">
      <c r="A68" s="2"/>
      <c r="B68" s="3" t="s">
        <v>202</v>
      </c>
      <c r="C68" s="3" t="s">
        <v>198</v>
      </c>
      <c r="D68" s="3" t="s">
        <v>199</v>
      </c>
      <c r="F68" s="3" t="s">
        <v>410</v>
      </c>
      <c r="G68" s="3" t="s">
        <v>200</v>
      </c>
      <c r="H68" s="3" t="s">
        <v>201</v>
      </c>
      <c r="I68" s="3" t="s">
        <v>411</v>
      </c>
    </row>
    <row r="69" spans="1:15" ht="13" x14ac:dyDescent="0.3">
      <c r="A69" t="str">
        <f t="array" ref="A69:A76">R_CODE&amp;" "&amp;I_1_NAME</f>
        <v>EU Economic</v>
      </c>
      <c r="B69" s="235">
        <v>0</v>
      </c>
      <c r="C69" s="54">
        <v>2000</v>
      </c>
      <c r="D69" s="140">
        <v>40</v>
      </c>
      <c r="F69" s="54">
        <v>30</v>
      </c>
      <c r="G69" s="54">
        <v>2010</v>
      </c>
      <c r="H69" s="140">
        <v>30</v>
      </c>
      <c r="I69" s="235">
        <v>0</v>
      </c>
      <c r="O69" s="124" t="s">
        <v>719</v>
      </c>
    </row>
    <row r="70" spans="1:15" ht="13" x14ac:dyDescent="0.3">
      <c r="A70" t="str">
        <v>US Economic</v>
      </c>
      <c r="B70" s="236">
        <v>0</v>
      </c>
      <c r="C70" s="55">
        <v>2000</v>
      </c>
      <c r="D70" s="134">
        <v>40</v>
      </c>
      <c r="F70" s="55">
        <v>30</v>
      </c>
      <c r="G70" s="55">
        <v>2010</v>
      </c>
      <c r="H70" s="134">
        <v>30</v>
      </c>
      <c r="I70" s="236">
        <v>0</v>
      </c>
      <c r="O70" s="124" t="s">
        <v>889</v>
      </c>
    </row>
    <row r="71" spans="1:15" x14ac:dyDescent="0.25">
      <c r="A71" t="str">
        <v>OT Economic</v>
      </c>
      <c r="B71" s="236">
        <v>0</v>
      </c>
      <c r="C71" s="55">
        <v>2000</v>
      </c>
      <c r="D71" s="134">
        <v>40</v>
      </c>
      <c r="F71" s="55">
        <v>30</v>
      </c>
      <c r="G71" s="55">
        <v>2010</v>
      </c>
      <c r="H71" s="134">
        <v>30</v>
      </c>
      <c r="I71" s="236">
        <v>0</v>
      </c>
    </row>
    <row r="72" spans="1:15" x14ac:dyDescent="0.25">
      <c r="A72" t="str">
        <v>EE Economic</v>
      </c>
      <c r="B72" s="236">
        <v>0</v>
      </c>
      <c r="C72" s="55">
        <v>2000</v>
      </c>
      <c r="D72" s="134">
        <v>40</v>
      </c>
      <c r="F72" s="55">
        <v>30</v>
      </c>
      <c r="G72" s="55">
        <v>2010</v>
      </c>
      <c r="H72" s="134">
        <v>30</v>
      </c>
      <c r="I72" s="236">
        <v>0</v>
      </c>
    </row>
    <row r="73" spans="1:15" x14ac:dyDescent="0.25">
      <c r="A73" t="str">
        <v>CA Economic</v>
      </c>
      <c r="B73" s="236">
        <v>0</v>
      </c>
      <c r="C73" s="55">
        <v>2010</v>
      </c>
      <c r="D73" s="134">
        <v>60</v>
      </c>
      <c r="F73" s="134">
        <v>20</v>
      </c>
      <c r="G73" s="134">
        <v>2020</v>
      </c>
      <c r="H73" s="134">
        <v>50</v>
      </c>
      <c r="I73" s="236">
        <v>0</v>
      </c>
    </row>
    <row r="74" spans="1:15" x14ac:dyDescent="0.25">
      <c r="A74" t="str">
        <v>IA Economic</v>
      </c>
      <c r="B74" s="236">
        <v>0</v>
      </c>
      <c r="C74" s="55">
        <v>2010</v>
      </c>
      <c r="D74" s="134">
        <v>60</v>
      </c>
      <c r="F74" s="134">
        <v>20</v>
      </c>
      <c r="G74" s="134">
        <v>2020</v>
      </c>
      <c r="H74" s="134">
        <v>50</v>
      </c>
      <c r="I74" s="236">
        <v>0</v>
      </c>
    </row>
    <row r="75" spans="1:15" x14ac:dyDescent="0.25">
      <c r="A75" t="str">
        <v>AF Economic</v>
      </c>
      <c r="B75" s="236">
        <v>0</v>
      </c>
      <c r="C75" s="55">
        <v>2010</v>
      </c>
      <c r="D75" s="134">
        <v>60</v>
      </c>
      <c r="F75" s="134">
        <v>20</v>
      </c>
      <c r="G75" s="134">
        <v>2020</v>
      </c>
      <c r="H75" s="134">
        <v>50</v>
      </c>
      <c r="I75" s="236">
        <v>0</v>
      </c>
    </row>
    <row r="76" spans="1:15" ht="13" thickBot="1" x14ac:dyDescent="0.3">
      <c r="A76" t="str">
        <v>LA Economic</v>
      </c>
      <c r="B76" s="237">
        <v>0</v>
      </c>
      <c r="C76" s="56">
        <v>2010</v>
      </c>
      <c r="D76" s="141">
        <v>60</v>
      </c>
      <c r="F76" s="141">
        <v>20</v>
      </c>
      <c r="G76" s="141">
        <v>2020</v>
      </c>
      <c r="H76" s="141">
        <v>50</v>
      </c>
      <c r="I76" s="237">
        <v>0</v>
      </c>
    </row>
    <row r="77" spans="1:15" ht="13" thickTop="1" x14ac:dyDescent="0.25">
      <c r="B77" t="s">
        <v>43</v>
      </c>
      <c r="F77" t="s">
        <v>40</v>
      </c>
      <c r="I77" t="s">
        <v>43</v>
      </c>
    </row>
    <row r="79" spans="1:15" x14ac:dyDescent="0.25">
      <c r="B79" s="3" t="s">
        <v>731</v>
      </c>
      <c r="C79" s="216"/>
      <c r="D79" s="216"/>
      <c r="E79" s="216"/>
      <c r="F79" s="216"/>
    </row>
    <row r="80" spans="1:15" x14ac:dyDescent="0.25">
      <c r="B80" s="3"/>
      <c r="F80" s="3" t="s">
        <v>730</v>
      </c>
    </row>
    <row r="81" spans="1:15" ht="13" x14ac:dyDescent="0.3">
      <c r="A81" s="2"/>
      <c r="B81" s="3" t="s">
        <v>202</v>
      </c>
      <c r="C81" s="3" t="s">
        <v>198</v>
      </c>
      <c r="D81" s="3" t="s">
        <v>199</v>
      </c>
      <c r="F81" s="3" t="s">
        <v>410</v>
      </c>
      <c r="G81" s="3" t="s">
        <v>200</v>
      </c>
      <c r="H81" s="3" t="s">
        <v>201</v>
      </c>
      <c r="I81" s="3" t="s">
        <v>411</v>
      </c>
    </row>
    <row r="82" spans="1:15" ht="13" x14ac:dyDescent="0.3">
      <c r="A82" t="str">
        <f t="array" ref="A82:A89">R_CODE&amp;" "&amp;I_2_NAME</f>
        <v>EU Non-econ</v>
      </c>
      <c r="B82" s="235">
        <v>0</v>
      </c>
      <c r="C82" s="54">
        <v>2000</v>
      </c>
      <c r="D82" s="54">
        <v>100</v>
      </c>
      <c r="F82" s="54">
        <v>15</v>
      </c>
      <c r="G82" s="54">
        <v>2010</v>
      </c>
      <c r="H82" s="54">
        <v>40</v>
      </c>
      <c r="I82" s="238">
        <v>0</v>
      </c>
      <c r="O82" s="124" t="s">
        <v>719</v>
      </c>
    </row>
    <row r="83" spans="1:15" ht="13" x14ac:dyDescent="0.3">
      <c r="A83" t="str">
        <v>US Non-econ</v>
      </c>
      <c r="B83" s="236">
        <v>0</v>
      </c>
      <c r="C83" s="55">
        <v>2000</v>
      </c>
      <c r="D83" s="55">
        <v>100</v>
      </c>
      <c r="F83" s="55">
        <v>15</v>
      </c>
      <c r="G83" s="55">
        <v>2010</v>
      </c>
      <c r="H83" s="55">
        <v>40</v>
      </c>
      <c r="I83" s="209">
        <v>0</v>
      </c>
      <c r="O83" s="124" t="s">
        <v>890</v>
      </c>
    </row>
    <row r="84" spans="1:15" x14ac:dyDescent="0.25">
      <c r="A84" t="str">
        <v>OT Non-econ</v>
      </c>
      <c r="B84" s="236">
        <v>0</v>
      </c>
      <c r="C84" s="55">
        <v>2000</v>
      </c>
      <c r="D84" s="55">
        <v>100</v>
      </c>
      <c r="F84" s="55">
        <v>15</v>
      </c>
      <c r="G84" s="55">
        <v>2010</v>
      </c>
      <c r="H84" s="55">
        <v>40</v>
      </c>
      <c r="I84" s="209">
        <v>0</v>
      </c>
    </row>
    <row r="85" spans="1:15" x14ac:dyDescent="0.25">
      <c r="A85" t="str">
        <v>EE Non-econ</v>
      </c>
      <c r="B85" s="236">
        <v>0</v>
      </c>
      <c r="C85" s="55">
        <v>2000</v>
      </c>
      <c r="D85" s="55">
        <v>100</v>
      </c>
      <c r="F85" s="55">
        <v>15</v>
      </c>
      <c r="G85" s="55">
        <v>2010</v>
      </c>
      <c r="H85" s="55">
        <v>40</v>
      </c>
      <c r="I85" s="209">
        <v>0</v>
      </c>
    </row>
    <row r="86" spans="1:15" x14ac:dyDescent="0.25">
      <c r="A86" t="str">
        <v>CA Non-econ</v>
      </c>
      <c r="B86" s="236">
        <v>0</v>
      </c>
      <c r="C86" s="55">
        <v>2000</v>
      </c>
      <c r="D86" s="55">
        <v>100</v>
      </c>
      <c r="F86" s="55">
        <v>15</v>
      </c>
      <c r="G86" s="55">
        <v>2010</v>
      </c>
      <c r="H86" s="55">
        <v>40</v>
      </c>
      <c r="I86" s="209">
        <v>0</v>
      </c>
    </row>
    <row r="87" spans="1:15" x14ac:dyDescent="0.25">
      <c r="A87" t="str">
        <v>IA Non-econ</v>
      </c>
      <c r="B87" s="236">
        <v>0</v>
      </c>
      <c r="C87" s="55">
        <v>2000</v>
      </c>
      <c r="D87" s="55">
        <v>100</v>
      </c>
      <c r="F87" s="55">
        <v>15</v>
      </c>
      <c r="G87" s="55">
        <v>2010</v>
      </c>
      <c r="H87" s="55">
        <v>40</v>
      </c>
      <c r="I87" s="209">
        <v>0</v>
      </c>
    </row>
    <row r="88" spans="1:15" x14ac:dyDescent="0.25">
      <c r="A88" t="str">
        <v>AF Non-econ</v>
      </c>
      <c r="B88" s="236">
        <v>0</v>
      </c>
      <c r="C88" s="55">
        <v>2000</v>
      </c>
      <c r="D88" s="55">
        <v>100</v>
      </c>
      <c r="F88" s="55">
        <v>15</v>
      </c>
      <c r="G88" s="55">
        <v>2010</v>
      </c>
      <c r="H88" s="55">
        <v>40</v>
      </c>
      <c r="I88" s="209">
        <v>0</v>
      </c>
    </row>
    <row r="89" spans="1:15" ht="13" thickBot="1" x14ac:dyDescent="0.3">
      <c r="A89" t="str">
        <v>LA Non-econ</v>
      </c>
      <c r="B89" s="237">
        <v>0</v>
      </c>
      <c r="C89" s="56">
        <v>2000</v>
      </c>
      <c r="D89" s="56">
        <v>100</v>
      </c>
      <c r="F89" s="56">
        <v>15</v>
      </c>
      <c r="G89" s="56">
        <v>2010</v>
      </c>
      <c r="H89" s="56">
        <v>40</v>
      </c>
      <c r="I89" s="239">
        <v>0</v>
      </c>
    </row>
    <row r="90" spans="1:15" ht="13" thickTop="1" x14ac:dyDescent="0.25">
      <c r="B90" t="s">
        <v>43</v>
      </c>
      <c r="F90" t="s">
        <v>40</v>
      </c>
      <c r="I90" t="s">
        <v>43</v>
      </c>
    </row>
  </sheetData>
  <phoneticPr fontId="0" type="noConversion"/>
  <pageMargins left="0.75" right="0.75" top="1" bottom="1" header="0.5" footer="0.5"/>
  <pageSetup paperSize="9" orientation="portrait" horizontalDpi="36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90"/>
  <sheetViews>
    <sheetView workbookViewId="0">
      <selection activeCell="B5" sqref="B5"/>
    </sheetView>
  </sheetViews>
  <sheetFormatPr defaultRowHeight="12.5" x14ac:dyDescent="0.25"/>
  <cols>
    <col min="1" max="1" width="33.26953125" customWidth="1"/>
    <col min="2" max="11" width="7" customWidth="1"/>
    <col min="12" max="12" width="11.81640625" bestFit="1" customWidth="1"/>
  </cols>
  <sheetData>
    <row r="1" spans="1:15" ht="13" x14ac:dyDescent="0.3">
      <c r="A1" s="2" t="str">
        <f>MODEL_NAME</f>
        <v>PAGE-ICE Nonlinear Arctic Feedbacks</v>
      </c>
      <c r="B1" t="s">
        <v>39</v>
      </c>
      <c r="C1" s="51" t="str">
        <f>VERSION</f>
        <v>6.22</v>
      </c>
    </row>
    <row r="2" spans="1:15" ht="13" x14ac:dyDescent="0.3">
      <c r="O2" s="124" t="s">
        <v>794</v>
      </c>
    </row>
    <row r="3" spans="1:15" ht="13" x14ac:dyDescent="0.3">
      <c r="A3" s="2" t="s">
        <v>47</v>
      </c>
      <c r="B3" s="47" t="str">
        <f>'Policy A'!B3</f>
        <v xml:space="preserve">Chosen RCP scenario (emissions): </v>
      </c>
      <c r="C3" s="47"/>
      <c r="D3" s="47"/>
      <c r="E3" s="47"/>
      <c r="F3" s="47"/>
      <c r="G3" s="47" t="str">
        <f>SCENARIO_PAIR_B</f>
        <v>2 degC Target</v>
      </c>
      <c r="H3" s="46"/>
      <c r="I3" s="46"/>
      <c r="J3" s="46"/>
      <c r="K3" s="46"/>
    </row>
    <row r="4" spans="1:15" s="2" customFormat="1" ht="13" x14ac:dyDescent="0.3">
      <c r="A4" s="47"/>
      <c r="B4" s="2">
        <f t="array" ref="B4:K4">Y</f>
        <v>2020</v>
      </c>
      <c r="C4" s="2">
        <v>2030</v>
      </c>
      <c r="D4" s="2">
        <v>2040</v>
      </c>
      <c r="E4" s="2">
        <v>2050</v>
      </c>
      <c r="F4" s="2">
        <v>2075</v>
      </c>
      <c r="G4" s="2">
        <v>2100</v>
      </c>
      <c r="H4" s="2">
        <v>2150</v>
      </c>
      <c r="I4" s="2">
        <v>2200</v>
      </c>
      <c r="J4" s="2">
        <v>2250</v>
      </c>
      <c r="K4" s="2">
        <v>2300</v>
      </c>
    </row>
    <row r="5" spans="1:15" ht="13" x14ac:dyDescent="0.3">
      <c r="A5" t="str">
        <f t="array" ref="A5:A12">R_CODE&amp;" "&amp;'Base data'!$B$12&amp;" emissions"</f>
        <v>EU CO2 emissions</v>
      </c>
      <c r="B5" s="230">
        <f t="array" ref="B5:K12" xml:space="preserve"> IF(SCENARIO_SWITCH_B = 0, 0, 0) + IF(SCENARIO_SWITCH_B = 1, RCP26extra_CO2_B, 0) + IF(SCENARIO_SWITCH_B = 2, RCPW_CO2_B, 0) + IF(SCENARIO_SWITCH_B = 3, ( IF(SCENARIO_PAIR_B = PAIR_RCP26, RCP26_CO2, 0) + IF(SCENARIO_PAIR_B = PAIR_RCP45, RCP45_CO2, 0) +  IF(SCENARIO_PAIR_B = PAIR_RCP85, RCP85_CO2, 0) ), 0)</f>
        <v>93.691998358166117</v>
      </c>
      <c r="C5" s="230">
        <v>64.65054690759483</v>
      </c>
      <c r="D5" s="230">
        <v>31.870274979749929</v>
      </c>
      <c r="E5" s="230">
        <v>15.884821211713627</v>
      </c>
      <c r="F5" s="230">
        <v>-6.6082129828167151</v>
      </c>
      <c r="G5" s="230">
        <v>-9.3709245458557273</v>
      </c>
      <c r="H5" s="230">
        <v>-9.3709245458557273</v>
      </c>
      <c r="I5" s="230">
        <v>-9.3709245458557273</v>
      </c>
      <c r="J5" s="230">
        <v>-9.3709245458557273</v>
      </c>
      <c r="K5" s="230">
        <v>-9.3709245458557273</v>
      </c>
      <c r="L5" s="3" t="s">
        <v>482</v>
      </c>
      <c r="O5" s="124" t="s">
        <v>794</v>
      </c>
    </row>
    <row r="6" spans="1:15" x14ac:dyDescent="0.25">
      <c r="A6" t="str">
        <v>US CO2 emissions</v>
      </c>
      <c r="B6" s="230">
        <v>93.691998358166117</v>
      </c>
      <c r="C6" s="230">
        <v>64.65054690759483</v>
      </c>
      <c r="D6" s="230">
        <v>31.870274979749929</v>
      </c>
      <c r="E6" s="230">
        <v>15.884821211713627</v>
      </c>
      <c r="F6" s="230">
        <v>-6.6082129828167151</v>
      </c>
      <c r="G6" s="230">
        <v>-9.3709245458557273</v>
      </c>
      <c r="H6" s="230">
        <v>-9.3709245458557273</v>
      </c>
      <c r="I6" s="230">
        <v>-9.3709245458557273</v>
      </c>
      <c r="J6" s="230">
        <v>-9.3709245458557273</v>
      </c>
      <c r="K6" s="230">
        <v>-9.3709245458557273</v>
      </c>
      <c r="L6" s="3" t="s">
        <v>482</v>
      </c>
    </row>
    <row r="7" spans="1:15" x14ac:dyDescent="0.25">
      <c r="A7" t="str">
        <v>OT CO2 emissions</v>
      </c>
      <c r="B7" s="230">
        <v>93.691998358166117</v>
      </c>
      <c r="C7" s="230">
        <v>64.65054690759483</v>
      </c>
      <c r="D7" s="230">
        <v>31.870274979749929</v>
      </c>
      <c r="E7" s="230">
        <v>15.884821211713627</v>
      </c>
      <c r="F7" s="230">
        <v>-6.6082129828167151</v>
      </c>
      <c r="G7" s="230">
        <v>-9.3709245458557273</v>
      </c>
      <c r="H7" s="230">
        <v>-9.3709245458557273</v>
      </c>
      <c r="I7" s="230">
        <v>-9.3709245458557273</v>
      </c>
      <c r="J7" s="230">
        <v>-9.3709245458557273</v>
      </c>
      <c r="K7" s="230">
        <v>-9.3709245458557273</v>
      </c>
      <c r="L7" s="3" t="s">
        <v>482</v>
      </c>
    </row>
    <row r="8" spans="1:15" x14ac:dyDescent="0.25">
      <c r="A8" t="str">
        <v>EE CO2 emissions</v>
      </c>
      <c r="B8" s="230">
        <v>94.773070654740792</v>
      </c>
      <c r="C8" s="230">
        <v>63.392204296306531</v>
      </c>
      <c r="D8" s="230">
        <v>39.104552675694329</v>
      </c>
      <c r="E8" s="230">
        <v>31.147846963528757</v>
      </c>
      <c r="F8" s="230">
        <v>3.0426140617735999</v>
      </c>
      <c r="G8" s="230">
        <v>-4.6216780583083912</v>
      </c>
      <c r="H8" s="230">
        <v>-4.6216780583083912</v>
      </c>
      <c r="I8" s="230">
        <v>-4.6216780583083912</v>
      </c>
      <c r="J8" s="230">
        <v>-4.6216780583083912</v>
      </c>
      <c r="K8" s="230">
        <v>-4.6216780583083912</v>
      </c>
      <c r="L8" s="3" t="s">
        <v>482</v>
      </c>
    </row>
    <row r="9" spans="1:15" x14ac:dyDescent="0.25">
      <c r="A9" t="str">
        <v>CA CO2 emissions</v>
      </c>
      <c r="B9" s="230">
        <v>105.77104096083347</v>
      </c>
      <c r="C9" s="230">
        <v>82.415160952298137</v>
      </c>
      <c r="D9" s="230">
        <v>52.130848596501963</v>
      </c>
      <c r="E9" s="230">
        <v>33.912674430926444</v>
      </c>
      <c r="F9" s="230">
        <v>-2.6707766404864581</v>
      </c>
      <c r="G9" s="230">
        <v>-4.2454475359193005</v>
      </c>
      <c r="H9" s="230">
        <v>-4.2454475359193005</v>
      </c>
      <c r="I9" s="230">
        <v>-4.2454475359193005</v>
      </c>
      <c r="J9" s="230">
        <v>-4.2454475359193005</v>
      </c>
      <c r="K9" s="230">
        <v>-4.2454475359193005</v>
      </c>
      <c r="L9" s="3" t="s">
        <v>482</v>
      </c>
    </row>
    <row r="10" spans="1:15" x14ac:dyDescent="0.25">
      <c r="A10" t="str">
        <v>IA CO2 emissions</v>
      </c>
      <c r="B10" s="230">
        <v>105.77104096083347</v>
      </c>
      <c r="C10" s="230">
        <v>82.415160952298137</v>
      </c>
      <c r="D10" s="230">
        <v>52.130848596501963</v>
      </c>
      <c r="E10" s="230">
        <v>33.912674430926444</v>
      </c>
      <c r="F10" s="230">
        <v>-2.6707766404864581</v>
      </c>
      <c r="G10" s="230">
        <v>-4.2454475359193005</v>
      </c>
      <c r="H10" s="230">
        <v>-4.2454475359193005</v>
      </c>
      <c r="I10" s="230">
        <v>-4.2454475359193005</v>
      </c>
      <c r="J10" s="230">
        <v>-4.2454475359193005</v>
      </c>
      <c r="K10" s="230">
        <v>-4.2454475359193005</v>
      </c>
      <c r="L10" s="3" t="s">
        <v>482</v>
      </c>
    </row>
    <row r="11" spans="1:15" x14ac:dyDescent="0.25">
      <c r="A11" t="str">
        <v>AF CO2 emissions</v>
      </c>
      <c r="B11" s="230">
        <v>85.296768505285186</v>
      </c>
      <c r="C11" s="230">
        <v>76.473105505937241</v>
      </c>
      <c r="D11" s="230">
        <v>54.352576585916061</v>
      </c>
      <c r="E11" s="230">
        <v>41.847352304423325</v>
      </c>
      <c r="F11" s="230">
        <v>21.883076220208405</v>
      </c>
      <c r="G11" s="230">
        <v>0</v>
      </c>
      <c r="H11" s="230">
        <v>0</v>
      </c>
      <c r="I11" s="230">
        <v>0</v>
      </c>
      <c r="J11" s="230">
        <v>0</v>
      </c>
      <c r="K11" s="230">
        <v>0</v>
      </c>
      <c r="L11" s="3" t="s">
        <v>482</v>
      </c>
    </row>
    <row r="12" spans="1:15" x14ac:dyDescent="0.25">
      <c r="A12" t="str">
        <v>LA CO2 emissions</v>
      </c>
      <c r="B12" s="230">
        <v>85</v>
      </c>
      <c r="C12" s="230">
        <v>53.57919255221784</v>
      </c>
      <c r="D12" s="230">
        <v>44.519326325561025</v>
      </c>
      <c r="E12" s="230">
        <v>35.666370296334364</v>
      </c>
      <c r="F12" s="230">
        <v>14.722683843372973</v>
      </c>
      <c r="G12" s="230">
        <v>0</v>
      </c>
      <c r="H12" s="230">
        <v>0</v>
      </c>
      <c r="I12" s="230">
        <v>0</v>
      </c>
      <c r="J12" s="230">
        <v>0</v>
      </c>
      <c r="K12" s="230">
        <v>0</v>
      </c>
      <c r="L12" s="3" t="s">
        <v>482</v>
      </c>
    </row>
    <row r="13" spans="1:15" x14ac:dyDescent="0.25">
      <c r="L13" s="3"/>
    </row>
    <row r="14" spans="1:15" x14ac:dyDescent="0.25">
      <c r="A14" t="str">
        <f t="array" ref="A14:A21">R_CODE&amp;" "&amp;'Base data'!$C$12&amp;" emissions"</f>
        <v>EU CH4 emissions</v>
      </c>
      <c r="B14" s="230">
        <f t="array" ref="B14:K21" xml:space="preserve"> IF(SCENARIO_SWITCH_B = 0, 0, 0) + IF(SCENARIO_SWITCH_B = 1, RCP26extra_CH4_B, 0) + IF(SCENARIO_SWITCH_B = 2, RCPW_CH4_B, 0) + IF(SCENARIO_SWITCH_B = 3, ( IF(SCENARIO_PAIR_B = PAIR_RCP26, RCP26_CH4, 0) + IF(SCENARIO_PAIR_B = PAIR_RCP45, RCP45_CH4, 0) +  IF(SCENARIO_PAIR_B = PAIR_RCP85, RCP85_CH4, 0) ), 0)</f>
        <v>49.15382164311815</v>
      </c>
      <c r="C14" s="230">
        <v>40.909284770877328</v>
      </c>
      <c r="D14" s="230">
        <v>36.104699678289819</v>
      </c>
      <c r="E14" s="230">
        <v>29.036423344312436</v>
      </c>
      <c r="F14" s="230">
        <v>23.476281955436271</v>
      </c>
      <c r="G14" s="230">
        <v>18.983067459237372</v>
      </c>
      <c r="H14" s="230">
        <v>18.983067459237372</v>
      </c>
      <c r="I14" s="230">
        <v>18.983067459237372</v>
      </c>
      <c r="J14" s="230">
        <v>18.983067459237372</v>
      </c>
      <c r="K14" s="230">
        <v>18.983067459237372</v>
      </c>
      <c r="L14" s="3" t="s">
        <v>482</v>
      </c>
    </row>
    <row r="15" spans="1:15" x14ac:dyDescent="0.25">
      <c r="A15" t="str">
        <v>US CH4 emissions</v>
      </c>
      <c r="B15" s="230">
        <v>49.15382164311815</v>
      </c>
      <c r="C15" s="230">
        <v>40.909284770877328</v>
      </c>
      <c r="D15" s="230">
        <v>36.104699678289819</v>
      </c>
      <c r="E15" s="230">
        <v>29.036423344312436</v>
      </c>
      <c r="F15" s="230">
        <v>23.476281955436271</v>
      </c>
      <c r="G15" s="230">
        <v>18.983067459237372</v>
      </c>
      <c r="H15" s="230">
        <v>18.983067459237372</v>
      </c>
      <c r="I15" s="230">
        <v>18.983067459237372</v>
      </c>
      <c r="J15" s="230">
        <v>18.983067459237372</v>
      </c>
      <c r="K15" s="230">
        <v>18.983067459237372</v>
      </c>
      <c r="L15" s="3" t="s">
        <v>482</v>
      </c>
    </row>
    <row r="16" spans="1:15" x14ac:dyDescent="0.25">
      <c r="A16" t="str">
        <v>OT CH4 emissions</v>
      </c>
      <c r="B16" s="230">
        <v>49.15382164311815</v>
      </c>
      <c r="C16" s="230">
        <v>40.909284770877328</v>
      </c>
      <c r="D16" s="230">
        <v>36.104699678289819</v>
      </c>
      <c r="E16" s="230">
        <v>29.036423344312436</v>
      </c>
      <c r="F16" s="230">
        <v>23.476281955436271</v>
      </c>
      <c r="G16" s="230">
        <v>18.983067459237372</v>
      </c>
      <c r="H16" s="230">
        <v>18.983067459237372</v>
      </c>
      <c r="I16" s="230">
        <v>18.983067459237372</v>
      </c>
      <c r="J16" s="230">
        <v>18.983067459237372</v>
      </c>
      <c r="K16" s="230">
        <v>18.983067459237372</v>
      </c>
      <c r="L16" s="3" t="s">
        <v>482</v>
      </c>
    </row>
    <row r="17" spans="1:12" x14ac:dyDescent="0.25">
      <c r="A17" t="str">
        <v>EE CH4 emissions</v>
      </c>
      <c r="B17" s="230">
        <v>54.414650584156213</v>
      </c>
      <c r="C17" s="230">
        <v>45.006460918664814</v>
      </c>
      <c r="D17" s="230">
        <v>40.252002334851781</v>
      </c>
      <c r="E17" s="230">
        <v>31.731037729992813</v>
      </c>
      <c r="F17" s="230">
        <v>27.998865855860775</v>
      </c>
      <c r="G17" s="230">
        <v>26.211362976748514</v>
      </c>
      <c r="H17" s="230">
        <v>26.211362976748514</v>
      </c>
      <c r="I17" s="230">
        <v>26.211362976748514</v>
      </c>
      <c r="J17" s="230">
        <v>26.211362976748514</v>
      </c>
      <c r="K17" s="230">
        <v>26.211362976748514</v>
      </c>
      <c r="L17" s="3" t="s">
        <v>482</v>
      </c>
    </row>
    <row r="18" spans="1:12" x14ac:dyDescent="0.25">
      <c r="A18" t="str">
        <v>CA CH4 emissions</v>
      </c>
      <c r="B18" s="230">
        <v>84.66172821973106</v>
      </c>
      <c r="C18" s="230">
        <v>75.796177029460381</v>
      </c>
      <c r="D18" s="230">
        <v>68.148934598496552</v>
      </c>
      <c r="E18" s="230">
        <v>54.036072765136637</v>
      </c>
      <c r="F18" s="230">
        <v>41.875181533144833</v>
      </c>
      <c r="G18" s="230">
        <v>35.244611404312941</v>
      </c>
      <c r="H18" s="230">
        <v>35.244611404312941</v>
      </c>
      <c r="I18" s="230">
        <v>35.244611404312941</v>
      </c>
      <c r="J18" s="230">
        <v>35.244611404312941</v>
      </c>
      <c r="K18" s="230">
        <v>35.244611404312941</v>
      </c>
      <c r="L18" s="3" t="s">
        <v>482</v>
      </c>
    </row>
    <row r="19" spans="1:12" x14ac:dyDescent="0.25">
      <c r="A19" t="str">
        <v>IA CH4 emissions</v>
      </c>
      <c r="B19" s="230">
        <v>84.66172821973106</v>
      </c>
      <c r="C19" s="230">
        <v>75.796177029460381</v>
      </c>
      <c r="D19" s="230">
        <v>68.148934598496552</v>
      </c>
      <c r="E19" s="230">
        <v>54.036072765136637</v>
      </c>
      <c r="F19" s="230">
        <v>41.875181533144833</v>
      </c>
      <c r="G19" s="230">
        <v>35.244611404312941</v>
      </c>
      <c r="H19" s="230">
        <v>35.244611404312941</v>
      </c>
      <c r="I19" s="230">
        <v>35.244611404312941</v>
      </c>
      <c r="J19" s="230">
        <v>35.244611404312941</v>
      </c>
      <c r="K19" s="230">
        <v>35.244611404312941</v>
      </c>
      <c r="L19" s="3" t="s">
        <v>482</v>
      </c>
    </row>
    <row r="20" spans="1:12" x14ac:dyDescent="0.25">
      <c r="A20" t="str">
        <v>AF CH4 emissions</v>
      </c>
      <c r="B20" s="230">
        <v>74.340673493013071</v>
      </c>
      <c r="C20" s="230">
        <v>73.193387082230842</v>
      </c>
      <c r="D20" s="230">
        <v>77.297717201042403</v>
      </c>
      <c r="E20" s="230">
        <v>68.017494665250936</v>
      </c>
      <c r="F20" s="230">
        <v>49.489263561361454</v>
      </c>
      <c r="G20" s="230">
        <v>42.18003363203011</v>
      </c>
      <c r="H20" s="230">
        <v>42.18003363203011</v>
      </c>
      <c r="I20" s="230">
        <v>42.18003363203011</v>
      </c>
      <c r="J20" s="230">
        <v>42.18003363203011</v>
      </c>
      <c r="K20" s="230">
        <v>42.18003363203011</v>
      </c>
      <c r="L20" s="3" t="s">
        <v>482</v>
      </c>
    </row>
    <row r="21" spans="1:12" x14ac:dyDescent="0.25">
      <c r="A21" t="str">
        <v>LA CH4 emissions</v>
      </c>
      <c r="B21" s="230">
        <v>67.217171481575392</v>
      </c>
      <c r="C21" s="230">
        <v>61.199933648313262</v>
      </c>
      <c r="D21" s="230">
        <v>58.193840327234419</v>
      </c>
      <c r="E21" s="230">
        <v>50.300440012835502</v>
      </c>
      <c r="F21" s="230">
        <v>42.694641352569121</v>
      </c>
      <c r="G21" s="230">
        <v>35.450199293178478</v>
      </c>
      <c r="H21" s="230">
        <v>35.450199293178478</v>
      </c>
      <c r="I21" s="230">
        <v>35.450199293178478</v>
      </c>
      <c r="J21" s="230">
        <v>35.450199293178478</v>
      </c>
      <c r="K21" s="230">
        <v>35.450199293178478</v>
      </c>
      <c r="L21" s="3" t="s">
        <v>482</v>
      </c>
    </row>
    <row r="22" spans="1:12" x14ac:dyDescent="0.25">
      <c r="L22" s="3"/>
    </row>
    <row r="23" spans="1:12" x14ac:dyDescent="0.25">
      <c r="A23" t="str">
        <f t="array" ref="A23:A30">R_CODE&amp;" "&amp;'Base data'!$D$12&amp;" emissions"</f>
        <v>EU N2O emissions</v>
      </c>
      <c r="B23" s="230">
        <f t="array" ref="B23:K30" xml:space="preserve"> IF(SCENARIO_SWITCH_B = 0, 0, 0) + IF(SCENARIO_SWITCH_B = 1, RCP26extra_N2O_B, 0) + IF(SCENARIO_SWITCH_B = 2, RCPW_N2O_B, 0) + IF(SCENARIO_SWITCH_B = 3, ( IF(SCENARIO_PAIR_B = PAIR_RCP26, RCP26_N2O, 0) + IF(SCENARIO_PAIR_B = PAIR_RCP45, RCP45_N2O, 0) +  IF(SCENARIO_PAIR_B = PAIR_RCP85, RCP85_N2O, 0) ), 0)</f>
        <v>77.575259852913533</v>
      </c>
      <c r="C23" s="230">
        <v>74.441086090490487</v>
      </c>
      <c r="D23" s="230">
        <v>69.991813074395296</v>
      </c>
      <c r="E23" s="230">
        <v>61.570832963290655</v>
      </c>
      <c r="F23" s="230">
        <v>49.898754307615079</v>
      </c>
      <c r="G23" s="230">
        <v>40.684353442409197</v>
      </c>
      <c r="H23" s="230">
        <v>40.684353442409197</v>
      </c>
      <c r="I23" s="230">
        <v>40.684353442409197</v>
      </c>
      <c r="J23" s="230">
        <v>40.684353442409197</v>
      </c>
      <c r="K23" s="230">
        <v>40.684353442409197</v>
      </c>
      <c r="L23" s="3" t="s">
        <v>482</v>
      </c>
    </row>
    <row r="24" spans="1:12" x14ac:dyDescent="0.25">
      <c r="A24" t="str">
        <v>US N2O emissions</v>
      </c>
      <c r="B24" s="230">
        <v>77.575259852913533</v>
      </c>
      <c r="C24" s="230">
        <v>74.441086090490487</v>
      </c>
      <c r="D24" s="230">
        <v>69.991813074395296</v>
      </c>
      <c r="E24" s="230">
        <v>61.570832963290655</v>
      </c>
      <c r="F24" s="230">
        <v>49.898754307615079</v>
      </c>
      <c r="G24" s="230">
        <v>40.684353442409197</v>
      </c>
      <c r="H24" s="230">
        <v>40.684353442409197</v>
      </c>
      <c r="I24" s="230">
        <v>40.684353442409197</v>
      </c>
      <c r="J24" s="230">
        <v>40.684353442409197</v>
      </c>
      <c r="K24" s="230">
        <v>40.684353442409197</v>
      </c>
      <c r="L24" s="3" t="s">
        <v>482</v>
      </c>
    </row>
    <row r="25" spans="1:12" x14ac:dyDescent="0.25">
      <c r="A25" t="str">
        <v>OT N2O emissions</v>
      </c>
      <c r="B25" s="230">
        <v>77.575259852913533</v>
      </c>
      <c r="C25" s="230">
        <v>74.441086090490487</v>
      </c>
      <c r="D25" s="230">
        <v>69.991813074395296</v>
      </c>
      <c r="E25" s="230">
        <v>61.570832963290655</v>
      </c>
      <c r="F25" s="230">
        <v>49.898754307615079</v>
      </c>
      <c r="G25" s="230">
        <v>40.684353442409197</v>
      </c>
      <c r="H25" s="230">
        <v>40.684353442409197</v>
      </c>
      <c r="I25" s="230">
        <v>40.684353442409197</v>
      </c>
      <c r="J25" s="230">
        <v>40.684353442409197</v>
      </c>
      <c r="K25" s="230">
        <v>40.684353442409197</v>
      </c>
      <c r="L25" s="3" t="s">
        <v>482</v>
      </c>
    </row>
    <row r="26" spans="1:12" x14ac:dyDescent="0.25">
      <c r="A26" t="str">
        <v>EE N2O emissions</v>
      </c>
      <c r="B26" s="230">
        <v>132.09229913647778</v>
      </c>
      <c r="C26" s="230">
        <v>128.6930488988811</v>
      </c>
      <c r="D26" s="230">
        <v>126.15024349435053</v>
      </c>
      <c r="E26" s="230">
        <v>121.53522878787858</v>
      </c>
      <c r="F26" s="230">
        <v>124.17055819800201</v>
      </c>
      <c r="G26" s="230">
        <v>122.0333837781171</v>
      </c>
      <c r="H26" s="230">
        <v>122.0333837781171</v>
      </c>
      <c r="I26" s="230">
        <v>122.0333837781171</v>
      </c>
      <c r="J26" s="230">
        <v>122.0333837781171</v>
      </c>
      <c r="K26" s="230">
        <v>122.0333837781171</v>
      </c>
      <c r="L26" s="3" t="s">
        <v>482</v>
      </c>
    </row>
    <row r="27" spans="1:12" x14ac:dyDescent="0.25">
      <c r="A27" t="str">
        <v>CA N2O emissions</v>
      </c>
      <c r="B27" s="230">
        <v>130.97661461205334</v>
      </c>
      <c r="C27" s="230">
        <v>127.68411397282313</v>
      </c>
      <c r="D27" s="230">
        <v>123.66425589612693</v>
      </c>
      <c r="E27" s="230">
        <v>105.70142820568108</v>
      </c>
      <c r="F27" s="230">
        <v>94.67469232965739</v>
      </c>
      <c r="G27" s="230">
        <v>85.357398334323818</v>
      </c>
      <c r="H27" s="230">
        <v>85.357398334323818</v>
      </c>
      <c r="I27" s="230">
        <v>85.357398334323818</v>
      </c>
      <c r="J27" s="230">
        <v>85.357398334323818</v>
      </c>
      <c r="K27" s="230">
        <v>85.357398334323818</v>
      </c>
      <c r="L27" s="3" t="s">
        <v>482</v>
      </c>
    </row>
    <row r="28" spans="1:12" x14ac:dyDescent="0.25">
      <c r="A28" t="str">
        <v>IA N2O emissions</v>
      </c>
      <c r="B28" s="230">
        <v>130.97661461205334</v>
      </c>
      <c r="C28" s="230">
        <v>127.68411397282313</v>
      </c>
      <c r="D28" s="230">
        <v>123.66425589612693</v>
      </c>
      <c r="E28" s="230">
        <v>105.70142820568108</v>
      </c>
      <c r="F28" s="230">
        <v>94.67469232965739</v>
      </c>
      <c r="G28" s="230">
        <v>85.357398334323818</v>
      </c>
      <c r="H28" s="230">
        <v>85.357398334323818</v>
      </c>
      <c r="I28" s="230">
        <v>85.357398334323818</v>
      </c>
      <c r="J28" s="230">
        <v>85.357398334323818</v>
      </c>
      <c r="K28" s="230">
        <v>85.357398334323818</v>
      </c>
      <c r="L28" s="3" t="s">
        <v>482</v>
      </c>
    </row>
    <row r="29" spans="1:12" x14ac:dyDescent="0.25">
      <c r="A29" t="str">
        <v>AF N2O emissions</v>
      </c>
      <c r="B29" s="230">
        <v>104.79399303614998</v>
      </c>
      <c r="C29" s="230">
        <v>102.74334385124514</v>
      </c>
      <c r="D29" s="230">
        <v>97.661969078227997</v>
      </c>
      <c r="E29" s="230">
        <v>78.217843941371086</v>
      </c>
      <c r="F29" s="230">
        <v>64.649114682931327</v>
      </c>
      <c r="G29" s="230">
        <v>54.493971203686293</v>
      </c>
      <c r="H29" s="230">
        <v>54.493971203686293</v>
      </c>
      <c r="I29" s="230">
        <v>54.493971203686293</v>
      </c>
      <c r="J29" s="230">
        <v>54.493971203686293</v>
      </c>
      <c r="K29" s="230">
        <v>54.493971203686293</v>
      </c>
      <c r="L29" s="3" t="s">
        <v>482</v>
      </c>
    </row>
    <row r="30" spans="1:12" x14ac:dyDescent="0.25">
      <c r="A30" t="str">
        <v>LA N2O emissions</v>
      </c>
      <c r="B30" s="230">
        <v>97.648618195415906</v>
      </c>
      <c r="C30" s="230">
        <v>92.682077083503387</v>
      </c>
      <c r="D30" s="230">
        <v>89.340016336347105</v>
      </c>
      <c r="E30" s="230">
        <v>72.522034920034329</v>
      </c>
      <c r="F30" s="230">
        <v>56.657403754948383</v>
      </c>
      <c r="G30" s="230">
        <v>49.457857065335929</v>
      </c>
      <c r="H30" s="230">
        <v>49.457857065335929</v>
      </c>
      <c r="I30" s="230">
        <v>49.457857065335929</v>
      </c>
      <c r="J30" s="230">
        <v>49.457857065335929</v>
      </c>
      <c r="K30" s="230">
        <v>49.457857065335929</v>
      </c>
      <c r="L30" s="3" t="s">
        <v>482</v>
      </c>
    </row>
    <row r="31" spans="1:12" x14ac:dyDescent="0.25">
      <c r="L31" s="3"/>
    </row>
    <row r="32" spans="1:12" x14ac:dyDescent="0.25">
      <c r="A32" t="str">
        <f t="array" ref="A32:A39">R_CODE&amp;" "&amp;GLIN_NAME&amp;" emissions"</f>
        <v>EU Lin emissions</v>
      </c>
      <c r="B32" s="230">
        <f t="array" ref="B32:K39" xml:space="preserve"> IF(SCENARIO_SWITCH_B = 0, 0, 0) + IF(SCENARIO_SWITCH_B = 1, RCP26extra_Lin_B, 0) + IF(SCENARIO_SWITCH_B = 2, RCPW_Lin_B, 0) + IF(SCENARIO_SWITCH_B = 3, ( IF(SCENARIO_PAIR_B = PAIR_RCP26, RCP26_Lin, 0) + IF(SCENARIO_PAIR_B = PAIR_RCP45, RCP45_Lin, 0) +  IF(SCENARIO_PAIR_B = PAIR_RCP85, RCP85_Lin, 0) ), 0)</f>
        <v>90</v>
      </c>
      <c r="C32" s="230">
        <v>63.445162461324443</v>
      </c>
      <c r="D32" s="230">
        <v>42.872896754668247</v>
      </c>
      <c r="E32" s="230">
        <v>18.598823246410369</v>
      </c>
      <c r="F32" s="230">
        <v>17.506460976166725</v>
      </c>
      <c r="G32" s="230">
        <v>16.47825627727277</v>
      </c>
      <c r="H32" s="230">
        <v>16.47825627727277</v>
      </c>
      <c r="I32" s="230">
        <v>16.47825627727277</v>
      </c>
      <c r="J32" s="230">
        <v>16.47825627727277</v>
      </c>
      <c r="K32" s="230">
        <v>16.47825627727277</v>
      </c>
      <c r="L32" s="3" t="s">
        <v>482</v>
      </c>
    </row>
    <row r="33" spans="1:12" x14ac:dyDescent="0.25">
      <c r="A33" t="str">
        <v>US Lin emissions</v>
      </c>
      <c r="B33" s="230">
        <v>90</v>
      </c>
      <c r="C33" s="230">
        <v>63.445162461324443</v>
      </c>
      <c r="D33" s="230">
        <v>42.872896754668247</v>
      </c>
      <c r="E33" s="230">
        <v>18.598823246410369</v>
      </c>
      <c r="F33" s="230">
        <v>17.506460976166725</v>
      </c>
      <c r="G33" s="230">
        <v>16.47825627727277</v>
      </c>
      <c r="H33" s="230">
        <v>16.47825627727277</v>
      </c>
      <c r="I33" s="230">
        <v>16.47825627727277</v>
      </c>
      <c r="J33" s="230">
        <v>16.47825627727277</v>
      </c>
      <c r="K33" s="230">
        <v>16.47825627727277</v>
      </c>
      <c r="L33" s="3" t="s">
        <v>482</v>
      </c>
    </row>
    <row r="34" spans="1:12" x14ac:dyDescent="0.25">
      <c r="A34" t="str">
        <v>OT Lin emissions</v>
      </c>
      <c r="B34" s="230">
        <v>90</v>
      </c>
      <c r="C34" s="230">
        <v>63.445162461324443</v>
      </c>
      <c r="D34" s="230">
        <v>42.872896754668247</v>
      </c>
      <c r="E34" s="230">
        <v>18.598823246410369</v>
      </c>
      <c r="F34" s="230">
        <v>17.506460976166725</v>
      </c>
      <c r="G34" s="230">
        <v>16.47825627727277</v>
      </c>
      <c r="H34" s="230">
        <v>16.47825627727277</v>
      </c>
      <c r="I34" s="230">
        <v>16.47825627727277</v>
      </c>
      <c r="J34" s="230">
        <v>16.47825627727277</v>
      </c>
      <c r="K34" s="230">
        <v>16.47825627727277</v>
      </c>
      <c r="L34" s="3" t="s">
        <v>482</v>
      </c>
    </row>
    <row r="35" spans="1:12" x14ac:dyDescent="0.25">
      <c r="A35" t="str">
        <v>EE Lin emissions</v>
      </c>
      <c r="B35" s="230">
        <v>90</v>
      </c>
      <c r="C35" s="230">
        <v>63.445162461324443</v>
      </c>
      <c r="D35" s="230">
        <v>42.872896754668247</v>
      </c>
      <c r="E35" s="230">
        <v>18.598823246410369</v>
      </c>
      <c r="F35" s="230">
        <v>17.506460976166725</v>
      </c>
      <c r="G35" s="230">
        <v>16.47825627727277</v>
      </c>
      <c r="H35" s="230">
        <v>16.47825627727277</v>
      </c>
      <c r="I35" s="230">
        <v>16.47825627727277</v>
      </c>
      <c r="J35" s="230">
        <v>16.47825627727277</v>
      </c>
      <c r="K35" s="230">
        <v>16.47825627727277</v>
      </c>
      <c r="L35" s="3" t="s">
        <v>482</v>
      </c>
    </row>
    <row r="36" spans="1:12" x14ac:dyDescent="0.25">
      <c r="A36" t="str">
        <v>CA Lin emissions</v>
      </c>
      <c r="B36" s="230">
        <v>90</v>
      </c>
      <c r="C36" s="230">
        <v>63.445162461324443</v>
      </c>
      <c r="D36" s="230">
        <v>42.872896754668247</v>
      </c>
      <c r="E36" s="230">
        <v>18.598823246410369</v>
      </c>
      <c r="F36" s="230">
        <v>17.506460976166725</v>
      </c>
      <c r="G36" s="230">
        <v>16.47825627727277</v>
      </c>
      <c r="H36" s="230">
        <v>16.47825627727277</v>
      </c>
      <c r="I36" s="230">
        <v>16.47825627727277</v>
      </c>
      <c r="J36" s="230">
        <v>16.47825627727277</v>
      </c>
      <c r="K36" s="230">
        <v>16.47825627727277</v>
      </c>
      <c r="L36" s="3" t="s">
        <v>482</v>
      </c>
    </row>
    <row r="37" spans="1:12" x14ac:dyDescent="0.25">
      <c r="A37" t="str">
        <v>IA Lin emissions</v>
      </c>
      <c r="B37" s="230">
        <v>90</v>
      </c>
      <c r="C37" s="230">
        <v>63.445162461324443</v>
      </c>
      <c r="D37" s="230">
        <v>42.872896754668247</v>
      </c>
      <c r="E37" s="230">
        <v>18.598823246410369</v>
      </c>
      <c r="F37" s="230">
        <v>17.506460976166725</v>
      </c>
      <c r="G37" s="230">
        <v>16.47825627727277</v>
      </c>
      <c r="H37" s="230">
        <v>16.47825627727277</v>
      </c>
      <c r="I37" s="230">
        <v>16.47825627727277</v>
      </c>
      <c r="J37" s="230">
        <v>16.47825627727277</v>
      </c>
      <c r="K37" s="230">
        <v>16.47825627727277</v>
      </c>
      <c r="L37" s="3" t="s">
        <v>482</v>
      </c>
    </row>
    <row r="38" spans="1:12" x14ac:dyDescent="0.25">
      <c r="A38" t="str">
        <v>AF Lin emissions</v>
      </c>
      <c r="B38" s="230">
        <v>90</v>
      </c>
      <c r="C38" s="230">
        <v>63.445162461324443</v>
      </c>
      <c r="D38" s="230">
        <v>42.872896754668247</v>
      </c>
      <c r="E38" s="230">
        <v>18.598823246410369</v>
      </c>
      <c r="F38" s="230">
        <v>17.506460976166725</v>
      </c>
      <c r="G38" s="230">
        <v>16.47825627727277</v>
      </c>
      <c r="H38" s="230">
        <v>16.47825627727277</v>
      </c>
      <c r="I38" s="230">
        <v>16.47825627727277</v>
      </c>
      <c r="J38" s="230">
        <v>16.47825627727277</v>
      </c>
      <c r="K38" s="230">
        <v>16.47825627727277</v>
      </c>
      <c r="L38" s="3" t="s">
        <v>482</v>
      </c>
    </row>
    <row r="39" spans="1:12" x14ac:dyDescent="0.25">
      <c r="A39" t="str">
        <v>LA Lin emissions</v>
      </c>
      <c r="B39" s="230">
        <v>90</v>
      </c>
      <c r="C39" s="230">
        <v>63.445162461324443</v>
      </c>
      <c r="D39" s="230">
        <v>42.872896754668247</v>
      </c>
      <c r="E39" s="230">
        <v>18.598823246410369</v>
      </c>
      <c r="F39" s="230">
        <v>17.506460976166725</v>
      </c>
      <c r="G39" s="230">
        <v>16.47825627727277</v>
      </c>
      <c r="H39" s="230">
        <v>16.47825627727277</v>
      </c>
      <c r="I39" s="230">
        <v>16.47825627727277</v>
      </c>
      <c r="J39" s="230">
        <v>16.47825627727277</v>
      </c>
      <c r="K39" s="230">
        <v>16.47825627727277</v>
      </c>
      <c r="L39" s="3" t="s">
        <v>482</v>
      </c>
    </row>
    <row r="40" spans="1:12" x14ac:dyDescent="0.25">
      <c r="L40" s="3"/>
    </row>
    <row r="41" spans="1:12" x14ac:dyDescent="0.25">
      <c r="A41" t="str">
        <f t="array" ref="A41:A48">R_CODE&amp;" sulphates"</f>
        <v>EU sulphates</v>
      </c>
      <c r="B41" s="230">
        <f t="array" ref="B41:K48" xml:space="preserve"> IF(SCENARIO_SWITCH_B = 0, 0, 0) + IF(SCENARIO_SWITCH_B = 1, RCP26extra_sulph_B, 0) + IF(SCENARIO_SWITCH_B = 2, RCPW_sulph_B, 0) + IF(SCENARIO_SWITCH_B = 3, ( IF(SCENARIO_PAIR_B = PAIR_RCP26, RCP26_sulph, 0) + IF(SCENARIO_PAIR_B = PAIR_RCP45, RCP45_sulph, 0) +  IF(SCENARIO_PAIR_B = PAIR_RCP85, RCP85_sulph, 0) ), 0)</f>
        <v>50.624277766564255</v>
      </c>
      <c r="C41" s="230">
        <v>23.25503219421336</v>
      </c>
      <c r="D41" s="230">
        <v>11.333740520958859</v>
      </c>
      <c r="E41" s="230">
        <v>8.10776015098293</v>
      </c>
      <c r="F41" s="230">
        <v>5.2934476813944977</v>
      </c>
      <c r="G41" s="230">
        <v>4.2914299276360275</v>
      </c>
      <c r="H41" s="230">
        <v>4.2914299276360275</v>
      </c>
      <c r="I41" s="230">
        <v>4.2914299276360275</v>
      </c>
      <c r="J41" s="230">
        <v>4.2914299276360275</v>
      </c>
      <c r="K41" s="230">
        <v>4.2914299276360275</v>
      </c>
      <c r="L41" s="3" t="s">
        <v>482</v>
      </c>
    </row>
    <row r="42" spans="1:12" x14ac:dyDescent="0.25">
      <c r="A42" t="str">
        <v>US sulphates</v>
      </c>
      <c r="B42" s="230">
        <v>50.624277766564255</v>
      </c>
      <c r="C42" s="230">
        <v>23.25503219421336</v>
      </c>
      <c r="D42" s="230">
        <v>11.333740520958859</v>
      </c>
      <c r="E42" s="230">
        <v>8.10776015098293</v>
      </c>
      <c r="F42" s="230">
        <v>5.2934476813944977</v>
      </c>
      <c r="G42" s="230">
        <v>4.2914299276360275</v>
      </c>
      <c r="H42" s="230">
        <v>4.2914299276360275</v>
      </c>
      <c r="I42" s="230">
        <v>4.2914299276360275</v>
      </c>
      <c r="J42" s="230">
        <v>4.2914299276360275</v>
      </c>
      <c r="K42" s="230">
        <v>4.2914299276360275</v>
      </c>
      <c r="L42" s="3" t="s">
        <v>482</v>
      </c>
    </row>
    <row r="43" spans="1:12" x14ac:dyDescent="0.25">
      <c r="A43" t="str">
        <v>OT sulphates</v>
      </c>
      <c r="B43" s="230">
        <v>50.624277766564255</v>
      </c>
      <c r="C43" s="230">
        <v>23.25503219421336</v>
      </c>
      <c r="D43" s="230">
        <v>11.333740520958859</v>
      </c>
      <c r="E43" s="230">
        <v>8.10776015098293</v>
      </c>
      <c r="F43" s="230">
        <v>5.2934476813944977</v>
      </c>
      <c r="G43" s="230">
        <v>4.2914299276360275</v>
      </c>
      <c r="H43" s="230">
        <v>4.2914299276360275</v>
      </c>
      <c r="I43" s="230">
        <v>4.2914299276360275</v>
      </c>
      <c r="J43" s="230">
        <v>4.2914299276360275</v>
      </c>
      <c r="K43" s="230">
        <v>4.2914299276360275</v>
      </c>
      <c r="L43" s="3" t="s">
        <v>482</v>
      </c>
    </row>
    <row r="44" spans="1:12" x14ac:dyDescent="0.25">
      <c r="A44" t="str">
        <v>EE sulphates</v>
      </c>
      <c r="B44" s="230">
        <v>32.799379775035852</v>
      </c>
      <c r="C44" s="230">
        <v>16.239573837147116</v>
      </c>
      <c r="D44" s="230">
        <v>11.300970415245956</v>
      </c>
      <c r="E44" s="230">
        <v>7.5962732873307059</v>
      </c>
      <c r="F44" s="230">
        <v>3.0614882902988074</v>
      </c>
      <c r="G44" s="230">
        <v>2.5437029347407822</v>
      </c>
      <c r="H44" s="230">
        <v>2.5437029347407822</v>
      </c>
      <c r="I44" s="230">
        <v>2.5437029347407822</v>
      </c>
      <c r="J44" s="230">
        <v>2.5437029347407822</v>
      </c>
      <c r="K44" s="230">
        <v>2.5437029347407822</v>
      </c>
      <c r="L44" s="3" t="s">
        <v>482</v>
      </c>
    </row>
    <row r="45" spans="1:12" x14ac:dyDescent="0.25">
      <c r="A45" t="str">
        <v>CA sulphates</v>
      </c>
      <c r="B45" s="230">
        <v>56.778724716616011</v>
      </c>
      <c r="C45" s="230">
        <v>37.835492462592178</v>
      </c>
      <c r="D45" s="230">
        <v>21.515667703138934</v>
      </c>
      <c r="E45" s="230">
        <v>15.017463227067228</v>
      </c>
      <c r="F45" s="230">
        <v>8.4748570386041084</v>
      </c>
      <c r="G45" s="230">
        <v>3.7642250966922952</v>
      </c>
      <c r="H45" s="230">
        <v>3.7642250966922952</v>
      </c>
      <c r="I45" s="230">
        <v>3.7642250966922952</v>
      </c>
      <c r="J45" s="230">
        <v>3.7642250966922952</v>
      </c>
      <c r="K45" s="230">
        <v>3.7642250966922952</v>
      </c>
      <c r="L45" s="3" t="s">
        <v>482</v>
      </c>
    </row>
    <row r="46" spans="1:12" x14ac:dyDescent="0.25">
      <c r="A46" t="str">
        <v>IA sulphates</v>
      </c>
      <c r="B46" s="230">
        <v>56.778724716616011</v>
      </c>
      <c r="C46" s="230">
        <v>37.835492462592178</v>
      </c>
      <c r="D46" s="230">
        <v>21.515667703138934</v>
      </c>
      <c r="E46" s="230">
        <v>15.017463227067228</v>
      </c>
      <c r="F46" s="230">
        <v>8.4748570386041084</v>
      </c>
      <c r="G46" s="230">
        <v>3.7642250966922952</v>
      </c>
      <c r="H46" s="230">
        <v>3.7642250966922952</v>
      </c>
      <c r="I46" s="230">
        <v>3.7642250966922952</v>
      </c>
      <c r="J46" s="230">
        <v>3.7642250966922952</v>
      </c>
      <c r="K46" s="230">
        <v>3.7642250966922952</v>
      </c>
      <c r="L46" s="3" t="s">
        <v>482</v>
      </c>
    </row>
    <row r="47" spans="1:12" x14ac:dyDescent="0.25">
      <c r="A47" t="str">
        <v>AF sulphates</v>
      </c>
      <c r="B47" s="230">
        <v>58.630704234873363</v>
      </c>
      <c r="C47" s="230">
        <v>45.627505155511216</v>
      </c>
      <c r="D47" s="230">
        <v>39.02660637420847</v>
      </c>
      <c r="E47" s="230">
        <v>37.771955791395783</v>
      </c>
      <c r="F47" s="230">
        <v>38.280738459556531</v>
      </c>
      <c r="G47" s="230">
        <v>22.579144935351831</v>
      </c>
      <c r="H47" s="230">
        <v>22.579144935351831</v>
      </c>
      <c r="I47" s="230">
        <v>22.579144935351831</v>
      </c>
      <c r="J47" s="230">
        <v>22.579144935351831</v>
      </c>
      <c r="K47" s="230">
        <v>22.579144935351831</v>
      </c>
      <c r="L47" s="3" t="s">
        <v>482</v>
      </c>
    </row>
    <row r="48" spans="1:12" x14ac:dyDescent="0.25">
      <c r="A48" t="str">
        <v>LA sulphates</v>
      </c>
      <c r="B48" s="230">
        <v>42.897430296138495</v>
      </c>
      <c r="C48" s="230">
        <v>38.722006622692653</v>
      </c>
      <c r="D48" s="230">
        <v>36.70768072530899</v>
      </c>
      <c r="E48" s="230">
        <v>31.169740580727868</v>
      </c>
      <c r="F48" s="230">
        <v>9.573521490506824</v>
      </c>
      <c r="G48" s="230">
        <v>5.3042498193722487</v>
      </c>
      <c r="H48" s="230">
        <v>5.3042498193722487</v>
      </c>
      <c r="I48" s="230">
        <v>5.3042498193722487</v>
      </c>
      <c r="J48" s="230">
        <v>5.3042498193722487</v>
      </c>
      <c r="K48" s="230">
        <v>5.3042498193722487</v>
      </c>
      <c r="L48" s="3" t="s">
        <v>482</v>
      </c>
    </row>
    <row r="49" spans="1:12" x14ac:dyDescent="0.25">
      <c r="B49" s="61"/>
      <c r="C49" s="61"/>
      <c r="D49" s="61"/>
      <c r="E49" s="61"/>
      <c r="F49" s="61"/>
      <c r="G49" s="61"/>
      <c r="H49" s="61"/>
      <c r="I49" s="61"/>
      <c r="J49" s="61"/>
      <c r="K49" s="61"/>
    </row>
    <row r="50" spans="1:12" x14ac:dyDescent="0.25">
      <c r="A50" t="s">
        <v>37</v>
      </c>
      <c r="B50" s="266">
        <f t="array" ref="B50:K50" xml:space="preserve"> IF(SCENARIO_SWITCH_B = 0, 0, 0) + IF(SCENARIO_SWITCH_B = 1, RCP26extra_Excess_B, 0) + IF(SCENARIO_SWITCH_B = 2, RCPW_Excess_B, 0) + IF(SCENARIO_SWITCH_B = 3, ( IF(SCENARIO_PAIR_B = PAIR_RCP26, RCP26_Excess, 0) + IF(SCENARIO_PAIR_B = PAIR_RCP45, RCP45_Excess, 0) +  IF(SCENARIO_PAIR_B = PAIR_RCP85, RCP85_Excess, 0) ), 0)</f>
        <v>0.73837032266629909</v>
      </c>
      <c r="C50" s="266">
        <v>0.56202109433745318</v>
      </c>
      <c r="D50" s="266">
        <v>0.37736904720450726</v>
      </c>
      <c r="E50" s="266">
        <v>0.25494947028270482</v>
      </c>
      <c r="F50" s="266">
        <v>0.13627638218744276</v>
      </c>
      <c r="G50" s="266">
        <v>0.10007132127305299</v>
      </c>
      <c r="H50" s="266">
        <v>0.10007132127305299</v>
      </c>
      <c r="I50" s="266">
        <v>0.10007132127305299</v>
      </c>
      <c r="J50" s="266">
        <v>0.10007132127305299</v>
      </c>
      <c r="K50" s="266">
        <v>0.10007132127305299</v>
      </c>
      <c r="L50" s="3" t="s">
        <v>44</v>
      </c>
    </row>
    <row r="51" spans="1:12" x14ac:dyDescent="0.25">
      <c r="B51" s="61"/>
      <c r="C51" s="61"/>
      <c r="D51" s="61"/>
      <c r="E51" s="61"/>
      <c r="F51" s="61"/>
      <c r="G51" s="61"/>
      <c r="H51" s="61"/>
      <c r="I51" s="61"/>
      <c r="J51" s="61"/>
      <c r="K51" s="61"/>
    </row>
    <row r="52" spans="1:12" ht="13" x14ac:dyDescent="0.3">
      <c r="A52" s="2" t="s">
        <v>197</v>
      </c>
    </row>
    <row r="53" spans="1:12" ht="13" x14ac:dyDescent="0.3">
      <c r="A53" s="281" t="s">
        <v>1030</v>
      </c>
      <c r="B53" s="3" t="s">
        <v>731</v>
      </c>
      <c r="C53" s="216"/>
      <c r="D53" s="216"/>
      <c r="E53" s="216"/>
      <c r="F53" s="216"/>
    </row>
    <row r="54" spans="1:12" s="2" customFormat="1" ht="13" x14ac:dyDescent="0.3">
      <c r="B54" s="3"/>
      <c r="C54"/>
      <c r="D54"/>
      <c r="E54"/>
      <c r="F54" s="3" t="s">
        <v>730</v>
      </c>
      <c r="G54"/>
      <c r="H54"/>
      <c r="I54"/>
      <c r="J54"/>
      <c r="K54"/>
      <c r="L54"/>
    </row>
    <row r="55" spans="1:12" ht="13" x14ac:dyDescent="0.3">
      <c r="A55" s="2"/>
      <c r="B55" s="3" t="s">
        <v>202</v>
      </c>
      <c r="C55" s="3" t="s">
        <v>198</v>
      </c>
      <c r="D55" s="3" t="s">
        <v>199</v>
      </c>
      <c r="F55" s="3" t="s">
        <v>410</v>
      </c>
      <c r="G55" s="3" t="s">
        <v>200</v>
      </c>
      <c r="H55" s="3" t="s">
        <v>201</v>
      </c>
      <c r="I55" s="3" t="s">
        <v>411</v>
      </c>
    </row>
    <row r="56" spans="1:12" x14ac:dyDescent="0.25">
      <c r="A56" t="str">
        <f t="array" ref="A56:A63">R_CODE&amp;" sea level"</f>
        <v>EU sea level</v>
      </c>
      <c r="B56" s="232">
        <v>0.25</v>
      </c>
      <c r="C56" s="54">
        <v>2000</v>
      </c>
      <c r="D56" s="140">
        <v>50</v>
      </c>
      <c r="F56" s="54">
        <v>50</v>
      </c>
      <c r="G56" s="54">
        <v>2020</v>
      </c>
      <c r="H56" s="140">
        <v>50</v>
      </c>
      <c r="I56" s="235">
        <v>1</v>
      </c>
    </row>
    <row r="57" spans="1:12" x14ac:dyDescent="0.25">
      <c r="A57" t="str">
        <v>US sea level</v>
      </c>
      <c r="B57" s="233">
        <v>0.25</v>
      </c>
      <c r="C57" s="55">
        <v>2000</v>
      </c>
      <c r="D57" s="134">
        <v>50</v>
      </c>
      <c r="F57" s="55">
        <v>50</v>
      </c>
      <c r="G57" s="55">
        <v>2020</v>
      </c>
      <c r="H57" s="134">
        <v>50</v>
      </c>
      <c r="I57" s="236">
        <v>1</v>
      </c>
    </row>
    <row r="58" spans="1:12" x14ac:dyDescent="0.25">
      <c r="A58" t="str">
        <v>OT sea level</v>
      </c>
      <c r="B58" s="233">
        <v>0.25</v>
      </c>
      <c r="C58" s="55">
        <v>2000</v>
      </c>
      <c r="D58" s="134">
        <v>50</v>
      </c>
      <c r="F58" s="55">
        <v>50</v>
      </c>
      <c r="G58" s="55">
        <v>2020</v>
      </c>
      <c r="H58" s="134">
        <v>50</v>
      </c>
      <c r="I58" s="236">
        <v>1</v>
      </c>
    </row>
    <row r="59" spans="1:12" x14ac:dyDescent="0.25">
      <c r="A59" t="str">
        <v>EE sea level</v>
      </c>
      <c r="B59" s="233">
        <v>0.25</v>
      </c>
      <c r="C59" s="55">
        <v>2000</v>
      </c>
      <c r="D59" s="134">
        <v>50</v>
      </c>
      <c r="F59" s="55">
        <v>50</v>
      </c>
      <c r="G59" s="55">
        <v>2020</v>
      </c>
      <c r="H59" s="134">
        <v>50</v>
      </c>
      <c r="I59" s="236">
        <v>1</v>
      </c>
    </row>
    <row r="60" spans="1:12" x14ac:dyDescent="0.25">
      <c r="A60" t="str">
        <v>CA sea level</v>
      </c>
      <c r="B60" s="233">
        <v>0.2</v>
      </c>
      <c r="C60" s="55">
        <v>2000</v>
      </c>
      <c r="D60" s="134">
        <v>75</v>
      </c>
      <c r="F60" s="55">
        <v>25</v>
      </c>
      <c r="G60" s="55">
        <v>2020</v>
      </c>
      <c r="H60" s="134">
        <v>75</v>
      </c>
      <c r="I60" s="236">
        <v>1</v>
      </c>
    </row>
    <row r="61" spans="1:12" x14ac:dyDescent="0.25">
      <c r="A61" t="str">
        <v>IA sea level</v>
      </c>
      <c r="B61" s="233">
        <v>0.2</v>
      </c>
      <c r="C61" s="55">
        <v>2000</v>
      </c>
      <c r="D61" s="134">
        <v>75</v>
      </c>
      <c r="F61" s="55">
        <v>25</v>
      </c>
      <c r="G61" s="55">
        <v>2020</v>
      </c>
      <c r="H61" s="134">
        <v>75</v>
      </c>
      <c r="I61" s="236">
        <v>1</v>
      </c>
    </row>
    <row r="62" spans="1:12" x14ac:dyDescent="0.25">
      <c r="A62" t="str">
        <v>AF sea level</v>
      </c>
      <c r="B62" s="233">
        <v>0.2</v>
      </c>
      <c r="C62" s="55">
        <v>2000</v>
      </c>
      <c r="D62" s="134">
        <v>75</v>
      </c>
      <c r="F62" s="55">
        <v>25</v>
      </c>
      <c r="G62" s="55">
        <v>2020</v>
      </c>
      <c r="H62" s="134">
        <v>75</v>
      </c>
      <c r="I62" s="236">
        <v>1</v>
      </c>
    </row>
    <row r="63" spans="1:12" ht="13" thickBot="1" x14ac:dyDescent="0.3">
      <c r="A63" t="str">
        <v>LA sea level</v>
      </c>
      <c r="B63" s="234">
        <v>0.2</v>
      </c>
      <c r="C63" s="56">
        <v>2000</v>
      </c>
      <c r="D63" s="141">
        <v>75</v>
      </c>
      <c r="F63" s="56">
        <v>25</v>
      </c>
      <c r="G63" s="56">
        <v>2020</v>
      </c>
      <c r="H63" s="141">
        <v>75</v>
      </c>
      <c r="I63" s="237">
        <v>1</v>
      </c>
    </row>
    <row r="64" spans="1:12" ht="13" thickTop="1" x14ac:dyDescent="0.25">
      <c r="B64" s="216" t="s">
        <v>182</v>
      </c>
      <c r="C64" s="216"/>
      <c r="D64" s="216"/>
      <c r="E64" s="216"/>
      <c r="F64" s="216" t="s">
        <v>40</v>
      </c>
      <c r="G64" s="216"/>
      <c r="H64" s="216"/>
      <c r="I64" s="216" t="s">
        <v>182</v>
      </c>
    </row>
    <row r="65" spans="1:9" x14ac:dyDescent="0.25">
      <c r="B65" s="216"/>
      <c r="C65" s="216"/>
      <c r="D65" s="216"/>
      <c r="E65" s="216"/>
      <c r="F65" s="216"/>
      <c r="G65" s="216"/>
      <c r="H65" s="216"/>
      <c r="I65" s="216"/>
    </row>
    <row r="66" spans="1:9" x14ac:dyDescent="0.25">
      <c r="B66" s="3" t="s">
        <v>731</v>
      </c>
      <c r="C66" s="216"/>
      <c r="D66" s="216"/>
      <c r="E66" s="216"/>
      <c r="F66" s="216"/>
      <c r="G66" s="216"/>
      <c r="H66" s="216"/>
      <c r="I66" s="216"/>
    </row>
    <row r="67" spans="1:9" x14ac:dyDescent="0.25">
      <c r="B67" s="3"/>
      <c r="F67" s="3" t="s">
        <v>730</v>
      </c>
    </row>
    <row r="68" spans="1:9" ht="13" x14ac:dyDescent="0.3">
      <c r="A68" s="2"/>
      <c r="B68" s="3" t="s">
        <v>202</v>
      </c>
      <c r="C68" s="3" t="s">
        <v>198</v>
      </c>
      <c r="D68" s="3" t="s">
        <v>199</v>
      </c>
      <c r="F68" s="3" t="s">
        <v>410</v>
      </c>
      <c r="G68" s="3" t="s">
        <v>200</v>
      </c>
      <c r="H68" s="3" t="s">
        <v>201</v>
      </c>
      <c r="I68" s="3" t="s">
        <v>411</v>
      </c>
    </row>
    <row r="69" spans="1:9" x14ac:dyDescent="0.25">
      <c r="A69" t="str">
        <f t="array" ref="A69:A76">R_CODE&amp;" "&amp;I_1_NAME</f>
        <v>EU Economic</v>
      </c>
      <c r="B69" s="235">
        <v>0</v>
      </c>
      <c r="C69" s="54">
        <v>2000</v>
      </c>
      <c r="D69" s="140">
        <v>40</v>
      </c>
      <c r="F69" s="54">
        <v>30</v>
      </c>
      <c r="G69" s="54">
        <v>2010</v>
      </c>
      <c r="H69" s="140">
        <v>30</v>
      </c>
      <c r="I69" s="235">
        <v>0</v>
      </c>
    </row>
    <row r="70" spans="1:9" x14ac:dyDescent="0.25">
      <c r="A70" t="str">
        <v>US Economic</v>
      </c>
      <c r="B70" s="236">
        <v>0</v>
      </c>
      <c r="C70" s="55">
        <v>2000</v>
      </c>
      <c r="D70" s="134">
        <v>40</v>
      </c>
      <c r="F70" s="55">
        <v>30</v>
      </c>
      <c r="G70" s="55">
        <v>2010</v>
      </c>
      <c r="H70" s="134">
        <v>30</v>
      </c>
      <c r="I70" s="236">
        <v>0</v>
      </c>
    </row>
    <row r="71" spans="1:9" x14ac:dyDescent="0.25">
      <c r="A71" t="str">
        <v>OT Economic</v>
      </c>
      <c r="B71" s="236">
        <v>0</v>
      </c>
      <c r="C71" s="55">
        <v>2000</v>
      </c>
      <c r="D71" s="134">
        <v>40</v>
      </c>
      <c r="F71" s="55">
        <v>30</v>
      </c>
      <c r="G71" s="55">
        <v>2010</v>
      </c>
      <c r="H71" s="134">
        <v>30</v>
      </c>
      <c r="I71" s="236">
        <v>0</v>
      </c>
    </row>
    <row r="72" spans="1:9" x14ac:dyDescent="0.25">
      <c r="A72" t="str">
        <v>EE Economic</v>
      </c>
      <c r="B72" s="236">
        <v>0</v>
      </c>
      <c r="C72" s="55">
        <v>2000</v>
      </c>
      <c r="D72" s="134">
        <v>40</v>
      </c>
      <c r="F72" s="55">
        <v>30</v>
      </c>
      <c r="G72" s="55">
        <v>2010</v>
      </c>
      <c r="H72" s="134">
        <v>30</v>
      </c>
      <c r="I72" s="236">
        <v>0</v>
      </c>
    </row>
    <row r="73" spans="1:9" x14ac:dyDescent="0.25">
      <c r="A73" t="str">
        <v>CA Economic</v>
      </c>
      <c r="B73" s="236">
        <v>0</v>
      </c>
      <c r="C73" s="55">
        <v>2010</v>
      </c>
      <c r="D73" s="134">
        <v>60</v>
      </c>
      <c r="F73" s="134">
        <v>20</v>
      </c>
      <c r="G73" s="134">
        <v>2020</v>
      </c>
      <c r="H73" s="134">
        <v>50</v>
      </c>
      <c r="I73" s="236">
        <v>0</v>
      </c>
    </row>
    <row r="74" spans="1:9" x14ac:dyDescent="0.25">
      <c r="A74" t="str">
        <v>IA Economic</v>
      </c>
      <c r="B74" s="236">
        <v>0</v>
      </c>
      <c r="C74" s="55">
        <v>2010</v>
      </c>
      <c r="D74" s="134">
        <v>60</v>
      </c>
      <c r="F74" s="134">
        <v>20</v>
      </c>
      <c r="G74" s="134">
        <v>2020</v>
      </c>
      <c r="H74" s="134">
        <v>50</v>
      </c>
      <c r="I74" s="236">
        <v>0</v>
      </c>
    </row>
    <row r="75" spans="1:9" x14ac:dyDescent="0.25">
      <c r="A75" t="str">
        <v>AF Economic</v>
      </c>
      <c r="B75" s="236">
        <v>0</v>
      </c>
      <c r="C75" s="55">
        <v>2010</v>
      </c>
      <c r="D75" s="134">
        <v>60</v>
      </c>
      <c r="F75" s="134">
        <v>20</v>
      </c>
      <c r="G75" s="134">
        <v>2020</v>
      </c>
      <c r="H75" s="134">
        <v>50</v>
      </c>
      <c r="I75" s="236">
        <v>0</v>
      </c>
    </row>
    <row r="76" spans="1:9" ht="13" thickBot="1" x14ac:dyDescent="0.3">
      <c r="A76" t="str">
        <v>LA Economic</v>
      </c>
      <c r="B76" s="237">
        <v>0</v>
      </c>
      <c r="C76" s="56">
        <v>2010</v>
      </c>
      <c r="D76" s="141">
        <v>60</v>
      </c>
      <c r="F76" s="141">
        <v>20</v>
      </c>
      <c r="G76" s="141">
        <v>2020</v>
      </c>
      <c r="H76" s="141">
        <v>50</v>
      </c>
      <c r="I76" s="237">
        <v>0</v>
      </c>
    </row>
    <row r="77" spans="1:9" ht="13" thickTop="1" x14ac:dyDescent="0.25">
      <c r="B77" t="s">
        <v>43</v>
      </c>
      <c r="F77" t="s">
        <v>40</v>
      </c>
      <c r="I77" t="s">
        <v>43</v>
      </c>
    </row>
    <row r="79" spans="1:9" x14ac:dyDescent="0.25">
      <c r="B79" s="3" t="s">
        <v>731</v>
      </c>
      <c r="C79" s="216"/>
      <c r="D79" s="216"/>
      <c r="E79" s="216"/>
      <c r="F79" s="216"/>
    </row>
    <row r="80" spans="1:9" x14ac:dyDescent="0.25">
      <c r="B80" s="3"/>
      <c r="F80" s="3" t="s">
        <v>730</v>
      </c>
    </row>
    <row r="81" spans="1:9" ht="13" x14ac:dyDescent="0.3">
      <c r="A81" s="2"/>
      <c r="B81" s="3" t="s">
        <v>202</v>
      </c>
      <c r="C81" s="3" t="s">
        <v>198</v>
      </c>
      <c r="D81" s="3" t="s">
        <v>199</v>
      </c>
      <c r="F81" s="3" t="s">
        <v>410</v>
      </c>
      <c r="G81" s="3" t="s">
        <v>200</v>
      </c>
      <c r="H81" s="3" t="s">
        <v>201</v>
      </c>
      <c r="I81" s="3" t="s">
        <v>411</v>
      </c>
    </row>
    <row r="82" spans="1:9" x14ac:dyDescent="0.25">
      <c r="A82" t="str">
        <f t="array" ref="A82:A89">R_CODE&amp;" "&amp;I_2_NAME</f>
        <v>EU Non-econ</v>
      </c>
      <c r="B82" s="235">
        <v>0</v>
      </c>
      <c r="C82" s="54">
        <v>2000</v>
      </c>
      <c r="D82" s="54">
        <v>100</v>
      </c>
      <c r="F82" s="54">
        <v>15</v>
      </c>
      <c r="G82" s="54">
        <v>2010</v>
      </c>
      <c r="H82" s="54">
        <v>40</v>
      </c>
      <c r="I82" s="238">
        <v>0</v>
      </c>
    </row>
    <row r="83" spans="1:9" x14ac:dyDescent="0.25">
      <c r="A83" t="str">
        <v>US Non-econ</v>
      </c>
      <c r="B83" s="236">
        <v>0</v>
      </c>
      <c r="C83" s="55">
        <v>2000</v>
      </c>
      <c r="D83" s="55">
        <v>100</v>
      </c>
      <c r="F83" s="55">
        <v>15</v>
      </c>
      <c r="G83" s="55">
        <v>2010</v>
      </c>
      <c r="H83" s="55">
        <v>40</v>
      </c>
      <c r="I83" s="209">
        <v>0</v>
      </c>
    </row>
    <row r="84" spans="1:9" x14ac:dyDescent="0.25">
      <c r="A84" t="str">
        <v>OT Non-econ</v>
      </c>
      <c r="B84" s="236">
        <v>0</v>
      </c>
      <c r="C84" s="55">
        <v>2000</v>
      </c>
      <c r="D84" s="55">
        <v>100</v>
      </c>
      <c r="F84" s="55">
        <v>15</v>
      </c>
      <c r="G84" s="55">
        <v>2010</v>
      </c>
      <c r="H84" s="55">
        <v>40</v>
      </c>
      <c r="I84" s="209">
        <v>0</v>
      </c>
    </row>
    <row r="85" spans="1:9" x14ac:dyDescent="0.25">
      <c r="A85" t="str">
        <v>EE Non-econ</v>
      </c>
      <c r="B85" s="236">
        <v>0</v>
      </c>
      <c r="C85" s="55">
        <v>2000</v>
      </c>
      <c r="D85" s="55">
        <v>100</v>
      </c>
      <c r="F85" s="55">
        <v>15</v>
      </c>
      <c r="G85" s="55">
        <v>2010</v>
      </c>
      <c r="H85" s="55">
        <v>40</v>
      </c>
      <c r="I85" s="209">
        <v>0</v>
      </c>
    </row>
    <row r="86" spans="1:9" x14ac:dyDescent="0.25">
      <c r="A86" t="str">
        <v>CA Non-econ</v>
      </c>
      <c r="B86" s="236">
        <v>0</v>
      </c>
      <c r="C86" s="55">
        <v>2000</v>
      </c>
      <c r="D86" s="55">
        <v>100</v>
      </c>
      <c r="F86" s="55">
        <v>15</v>
      </c>
      <c r="G86" s="55">
        <v>2010</v>
      </c>
      <c r="H86" s="55">
        <v>40</v>
      </c>
      <c r="I86" s="209">
        <v>0</v>
      </c>
    </row>
    <row r="87" spans="1:9" x14ac:dyDescent="0.25">
      <c r="A87" t="str">
        <v>IA Non-econ</v>
      </c>
      <c r="B87" s="236">
        <v>0</v>
      </c>
      <c r="C87" s="55">
        <v>2000</v>
      </c>
      <c r="D87" s="55">
        <v>100</v>
      </c>
      <c r="F87" s="55">
        <v>15</v>
      </c>
      <c r="G87" s="55">
        <v>2010</v>
      </c>
      <c r="H87" s="55">
        <v>40</v>
      </c>
      <c r="I87" s="209">
        <v>0</v>
      </c>
    </row>
    <row r="88" spans="1:9" x14ac:dyDescent="0.25">
      <c r="A88" t="str">
        <v>AF Non-econ</v>
      </c>
      <c r="B88" s="236">
        <v>0</v>
      </c>
      <c r="C88" s="55">
        <v>2000</v>
      </c>
      <c r="D88" s="55">
        <v>100</v>
      </c>
      <c r="F88" s="55">
        <v>15</v>
      </c>
      <c r="G88" s="55">
        <v>2010</v>
      </c>
      <c r="H88" s="55">
        <v>40</v>
      </c>
      <c r="I88" s="209">
        <v>0</v>
      </c>
    </row>
    <row r="89" spans="1:9" ht="13" thickBot="1" x14ac:dyDescent="0.3">
      <c r="A89" t="str">
        <v>LA Non-econ</v>
      </c>
      <c r="B89" s="237">
        <v>0</v>
      </c>
      <c r="C89" s="56">
        <v>2000</v>
      </c>
      <c r="D89" s="56">
        <v>100</v>
      </c>
      <c r="F89" s="56">
        <v>15</v>
      </c>
      <c r="G89" s="56">
        <v>2010</v>
      </c>
      <c r="H89" s="56">
        <v>40</v>
      </c>
      <c r="I89" s="239">
        <v>0</v>
      </c>
    </row>
    <row r="90" spans="1:9" ht="13" thickTop="1" x14ac:dyDescent="0.25">
      <c r="B90" t="s">
        <v>43</v>
      </c>
      <c r="F90" t="s">
        <v>40</v>
      </c>
      <c r="I90" t="s">
        <v>43</v>
      </c>
    </row>
  </sheetData>
  <pageMargins left="0.75" right="0.75" top="1" bottom="1" header="0.5" footer="0.5"/>
  <pageSetup paperSize="9" orientation="portrait" horizontalDpi="36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89"/>
  <sheetViews>
    <sheetView topLeftCell="A50" workbookViewId="0">
      <selection activeCell="E53" sqref="E53"/>
    </sheetView>
  </sheetViews>
  <sheetFormatPr defaultRowHeight="12.5" x14ac:dyDescent="0.25"/>
  <cols>
    <col min="1" max="1" width="33.453125" customWidth="1"/>
    <col min="2" max="11" width="7" customWidth="1"/>
    <col min="12" max="12" width="11.81640625" bestFit="1" customWidth="1"/>
  </cols>
  <sheetData>
    <row r="1" spans="1:12" ht="13" x14ac:dyDescent="0.3">
      <c r="A1" s="2" t="str">
        <f>MODEL_NAME</f>
        <v>PAGE-ICE Nonlinear Arctic Feedbacks</v>
      </c>
      <c r="B1" t="s">
        <v>39</v>
      </c>
      <c r="C1" s="51" t="str">
        <f>VERSION</f>
        <v>6.22</v>
      </c>
    </row>
    <row r="3" spans="1:12" ht="13" x14ac:dyDescent="0.3">
      <c r="A3" s="2" t="s">
        <v>47</v>
      </c>
      <c r="B3" s="47" t="s">
        <v>261</v>
      </c>
      <c r="C3" s="46"/>
      <c r="D3" s="46"/>
      <c r="E3" s="46"/>
      <c r="F3" s="46"/>
      <c r="G3" s="46"/>
      <c r="H3" s="46"/>
      <c r="I3" s="46"/>
      <c r="J3" s="46"/>
      <c r="K3" s="46"/>
    </row>
    <row r="4" spans="1:12" s="2" customFormat="1" ht="13" x14ac:dyDescent="0.3">
      <c r="A4" s="47"/>
      <c r="B4" s="2">
        <f t="array" ref="B4:K4">Y</f>
        <v>2020</v>
      </c>
      <c r="C4" s="2">
        <v>2030</v>
      </c>
      <c r="D4" s="2">
        <v>2040</v>
      </c>
      <c r="E4" s="2">
        <v>2050</v>
      </c>
      <c r="F4" s="2">
        <v>2075</v>
      </c>
      <c r="G4" s="2">
        <v>2100</v>
      </c>
      <c r="H4" s="2">
        <v>2150</v>
      </c>
      <c r="I4" s="2">
        <v>2200</v>
      </c>
      <c r="J4" s="2">
        <v>2250</v>
      </c>
      <c r="K4" s="2">
        <v>2300</v>
      </c>
    </row>
    <row r="5" spans="1:12" x14ac:dyDescent="0.25">
      <c r="A5" t="str">
        <f t="array" ref="A5:A12">R_CODE&amp;" "&amp;'Base data'!$B$12&amp;" emissions"</f>
        <v>EU CO2 emissions</v>
      </c>
      <c r="B5" s="14">
        <f>'Policy A'!B5-'Policy B'!B5</f>
        <v>0</v>
      </c>
      <c r="C5" s="14">
        <f>'Policy A'!C5-'Policy B'!C5</f>
        <v>0</v>
      </c>
      <c r="D5" s="14">
        <f>'Policy A'!D5-'Policy B'!D5</f>
        <v>0</v>
      </c>
      <c r="E5" s="14">
        <f>'Policy A'!E5-'Policy B'!E5</f>
        <v>0</v>
      </c>
      <c r="F5" s="14">
        <f>'Policy A'!F5-'Policy B'!F5</f>
        <v>0</v>
      </c>
      <c r="G5" s="14">
        <f>'Policy A'!G5-'Policy B'!G5</f>
        <v>0</v>
      </c>
      <c r="H5" s="14">
        <f>'Policy A'!H5-'Policy B'!H5</f>
        <v>0</v>
      </c>
      <c r="I5" s="14">
        <f>'Policy A'!I5-'Policy B'!I5</f>
        <v>0</v>
      </c>
      <c r="J5" s="14">
        <f>'Policy A'!J5-'Policy B'!J5</f>
        <v>0</v>
      </c>
      <c r="K5" s="14">
        <f>'Policy A'!K5-'Policy B'!K5</f>
        <v>0</v>
      </c>
      <c r="L5" t="s">
        <v>40</v>
      </c>
    </row>
    <row r="6" spans="1:12" x14ac:dyDescent="0.25">
      <c r="A6" t="str">
        <v>US CO2 emissions</v>
      </c>
      <c r="B6" s="14">
        <f>'Policy A'!B6-'Policy B'!B6</f>
        <v>0</v>
      </c>
      <c r="C6" s="14">
        <f>'Policy A'!C6-'Policy B'!C6</f>
        <v>0</v>
      </c>
      <c r="D6" s="14">
        <f>'Policy A'!D6-'Policy B'!D6</f>
        <v>0</v>
      </c>
      <c r="E6" s="14">
        <f>'Policy A'!E6-'Policy B'!E6</f>
        <v>0</v>
      </c>
      <c r="F6" s="14">
        <f>'Policy A'!F6-'Policy B'!F6</f>
        <v>0</v>
      </c>
      <c r="G6" s="14">
        <f>'Policy A'!G6-'Policy B'!G6</f>
        <v>0</v>
      </c>
      <c r="H6" s="14">
        <f>'Policy A'!H6-'Policy B'!H6</f>
        <v>0</v>
      </c>
      <c r="I6" s="14">
        <f>'Policy A'!I6-'Policy B'!I6</f>
        <v>0</v>
      </c>
      <c r="J6" s="14">
        <f>'Policy A'!J6-'Policy B'!J6</f>
        <v>0</v>
      </c>
      <c r="K6" s="14">
        <f>'Policy A'!K6-'Policy B'!K6</f>
        <v>0</v>
      </c>
      <c r="L6" t="s">
        <v>40</v>
      </c>
    </row>
    <row r="7" spans="1:12" x14ac:dyDescent="0.25">
      <c r="A7" t="str">
        <v>OT CO2 emissions</v>
      </c>
      <c r="B7" s="14">
        <f>'Policy A'!B7-'Policy B'!B7</f>
        <v>0</v>
      </c>
      <c r="C7" s="14">
        <f>'Policy A'!C7-'Policy B'!C7</f>
        <v>0</v>
      </c>
      <c r="D7" s="14">
        <f>'Policy A'!D7-'Policy B'!D7</f>
        <v>0</v>
      </c>
      <c r="E7" s="14">
        <f>'Policy A'!E7-'Policy B'!E7</f>
        <v>0</v>
      </c>
      <c r="F7" s="14">
        <f>'Policy A'!F7-'Policy B'!F7</f>
        <v>0</v>
      </c>
      <c r="G7" s="14">
        <f>'Policy A'!G7-'Policy B'!G7</f>
        <v>0</v>
      </c>
      <c r="H7" s="14">
        <f>'Policy A'!H7-'Policy B'!H7</f>
        <v>0</v>
      </c>
      <c r="I7" s="14">
        <f>'Policy A'!I7-'Policy B'!I7</f>
        <v>0</v>
      </c>
      <c r="J7" s="14">
        <f>'Policy A'!J7-'Policy B'!J7</f>
        <v>0</v>
      </c>
      <c r="K7" s="14">
        <f>'Policy A'!K7-'Policy B'!K7</f>
        <v>0</v>
      </c>
      <c r="L7" t="s">
        <v>40</v>
      </c>
    </row>
    <row r="8" spans="1:12" x14ac:dyDescent="0.25">
      <c r="A8" t="str">
        <v>EE CO2 emissions</v>
      </c>
      <c r="B8" s="14">
        <f>'Policy A'!B8-'Policy B'!B8</f>
        <v>0</v>
      </c>
      <c r="C8" s="14">
        <f>'Policy A'!C8-'Policy B'!C8</f>
        <v>0</v>
      </c>
      <c r="D8" s="14">
        <f>'Policy A'!D8-'Policy B'!D8</f>
        <v>0</v>
      </c>
      <c r="E8" s="14">
        <f>'Policy A'!E8-'Policy B'!E8</f>
        <v>0</v>
      </c>
      <c r="F8" s="14">
        <f>'Policy A'!F8-'Policy B'!F8</f>
        <v>0</v>
      </c>
      <c r="G8" s="14">
        <f>'Policy A'!G8-'Policy B'!G8</f>
        <v>0</v>
      </c>
      <c r="H8" s="14">
        <f>'Policy A'!H8-'Policy B'!H8</f>
        <v>0</v>
      </c>
      <c r="I8" s="14">
        <f>'Policy A'!I8-'Policy B'!I8</f>
        <v>0</v>
      </c>
      <c r="J8" s="14">
        <f>'Policy A'!J8-'Policy B'!J8</f>
        <v>0</v>
      </c>
      <c r="K8" s="14">
        <f>'Policy A'!K8-'Policy B'!K8</f>
        <v>0</v>
      </c>
      <c r="L8" t="s">
        <v>40</v>
      </c>
    </row>
    <row r="9" spans="1:12" x14ac:dyDescent="0.25">
      <c r="A9" t="str">
        <v>CA CO2 emissions</v>
      </c>
      <c r="B9" s="14">
        <f>'Policy A'!B9-'Policy B'!B9</f>
        <v>0</v>
      </c>
      <c r="C9" s="14">
        <f>'Policy A'!C9-'Policy B'!C9</f>
        <v>0</v>
      </c>
      <c r="D9" s="14">
        <f>'Policy A'!D9-'Policy B'!D9</f>
        <v>0</v>
      </c>
      <c r="E9" s="14">
        <f>'Policy A'!E9-'Policy B'!E9</f>
        <v>0</v>
      </c>
      <c r="F9" s="14">
        <f>'Policy A'!F9-'Policy B'!F9</f>
        <v>0</v>
      </c>
      <c r="G9" s="14">
        <f>'Policy A'!G9-'Policy B'!G9</f>
        <v>0</v>
      </c>
      <c r="H9" s="14">
        <f>'Policy A'!H9-'Policy B'!H9</f>
        <v>0</v>
      </c>
      <c r="I9" s="14">
        <f>'Policy A'!I9-'Policy B'!I9</f>
        <v>0</v>
      </c>
      <c r="J9" s="14">
        <f>'Policy A'!J9-'Policy B'!J9</f>
        <v>0</v>
      </c>
      <c r="K9" s="14">
        <f>'Policy A'!K9-'Policy B'!K9</f>
        <v>0</v>
      </c>
      <c r="L9" t="s">
        <v>40</v>
      </c>
    </row>
    <row r="10" spans="1:12" x14ac:dyDescent="0.25">
      <c r="A10" t="str">
        <v>IA CO2 emissions</v>
      </c>
      <c r="B10" s="14">
        <f>'Policy A'!B10-'Policy B'!B10</f>
        <v>0</v>
      </c>
      <c r="C10" s="14">
        <f>'Policy A'!C10-'Policy B'!C10</f>
        <v>0</v>
      </c>
      <c r="D10" s="14">
        <f>'Policy A'!D10-'Policy B'!D10</f>
        <v>0</v>
      </c>
      <c r="E10" s="14">
        <f>'Policy A'!E10-'Policy B'!E10</f>
        <v>0</v>
      </c>
      <c r="F10" s="14">
        <f>'Policy A'!F10-'Policy B'!F10</f>
        <v>0</v>
      </c>
      <c r="G10" s="14">
        <f>'Policy A'!G10-'Policy B'!G10</f>
        <v>0</v>
      </c>
      <c r="H10" s="14">
        <f>'Policy A'!H10-'Policy B'!H10</f>
        <v>0</v>
      </c>
      <c r="I10" s="14">
        <f>'Policy A'!I10-'Policy B'!I10</f>
        <v>0</v>
      </c>
      <c r="J10" s="14">
        <f>'Policy A'!J10-'Policy B'!J10</f>
        <v>0</v>
      </c>
      <c r="K10" s="14">
        <f>'Policy A'!K10-'Policy B'!K10</f>
        <v>0</v>
      </c>
      <c r="L10" t="s">
        <v>40</v>
      </c>
    </row>
    <row r="11" spans="1:12" x14ac:dyDescent="0.25">
      <c r="A11" t="str">
        <v>AF CO2 emissions</v>
      </c>
      <c r="B11" s="14">
        <f>'Policy A'!B11-'Policy B'!B11</f>
        <v>0</v>
      </c>
      <c r="C11" s="14">
        <f>'Policy A'!C11-'Policy B'!C11</f>
        <v>0</v>
      </c>
      <c r="D11" s="14">
        <f>'Policy A'!D11-'Policy B'!D11</f>
        <v>0</v>
      </c>
      <c r="E11" s="14">
        <f>'Policy A'!E11-'Policy B'!E11</f>
        <v>0</v>
      </c>
      <c r="F11" s="14">
        <f>'Policy A'!F11-'Policy B'!F11</f>
        <v>0</v>
      </c>
      <c r="G11" s="14">
        <f>'Policy A'!G11-'Policy B'!G11</f>
        <v>0</v>
      </c>
      <c r="H11" s="14">
        <f>'Policy A'!H11-'Policy B'!H11</f>
        <v>0</v>
      </c>
      <c r="I11" s="14">
        <f>'Policy A'!I11-'Policy B'!I11</f>
        <v>0</v>
      </c>
      <c r="J11" s="14">
        <f>'Policy A'!J11-'Policy B'!J11</f>
        <v>0</v>
      </c>
      <c r="K11" s="14">
        <f>'Policy A'!K11-'Policy B'!K11</f>
        <v>0</v>
      </c>
      <c r="L11" t="s">
        <v>40</v>
      </c>
    </row>
    <row r="12" spans="1:12" x14ac:dyDescent="0.25">
      <c r="A12" t="str">
        <v>LA CO2 emissions</v>
      </c>
      <c r="B12" s="14">
        <f>'Policy A'!B12-'Policy B'!B12</f>
        <v>0</v>
      </c>
      <c r="C12" s="14">
        <f>'Policy A'!C12-'Policy B'!C12</f>
        <v>0</v>
      </c>
      <c r="D12" s="14">
        <f>'Policy A'!D12-'Policy B'!D12</f>
        <v>0</v>
      </c>
      <c r="E12" s="14">
        <f>'Policy A'!E12-'Policy B'!E12</f>
        <v>0</v>
      </c>
      <c r="F12" s="14">
        <f>'Policy A'!F12-'Policy B'!F12</f>
        <v>0</v>
      </c>
      <c r="G12" s="14">
        <f>'Policy A'!G12-'Policy B'!G12</f>
        <v>0</v>
      </c>
      <c r="H12" s="14">
        <f>'Policy A'!H12-'Policy B'!H12</f>
        <v>0</v>
      </c>
      <c r="I12" s="14">
        <f>'Policy A'!I12-'Policy B'!I12</f>
        <v>0</v>
      </c>
      <c r="J12" s="14">
        <f>'Policy A'!J12-'Policy B'!J12</f>
        <v>0</v>
      </c>
      <c r="K12" s="14">
        <f>'Policy A'!K12-'Policy B'!K12</f>
        <v>0</v>
      </c>
      <c r="L12" t="s">
        <v>40</v>
      </c>
    </row>
    <row r="14" spans="1:12" x14ac:dyDescent="0.25">
      <c r="A14" t="str">
        <f t="array" ref="A14:A21">R_CODE&amp;" "&amp;'Base data'!$C$12&amp;" emissions"</f>
        <v>EU CH4 emissions</v>
      </c>
      <c r="B14" s="14">
        <f>'Policy A'!B14-'Policy B'!B14</f>
        <v>0</v>
      </c>
      <c r="C14" s="14">
        <f>'Policy A'!C14-'Policy B'!C14</f>
        <v>0</v>
      </c>
      <c r="D14" s="14">
        <f>'Policy A'!D14-'Policy B'!D14</f>
        <v>0</v>
      </c>
      <c r="E14" s="14">
        <f>'Policy A'!E14-'Policy B'!E14</f>
        <v>0</v>
      </c>
      <c r="F14" s="14">
        <f>'Policy A'!F14-'Policy B'!F14</f>
        <v>0</v>
      </c>
      <c r="G14" s="14">
        <f>'Policy A'!G14-'Policy B'!G14</f>
        <v>0</v>
      </c>
      <c r="H14" s="14">
        <f>'Policy A'!H14-'Policy B'!H14</f>
        <v>0</v>
      </c>
      <c r="I14" s="14">
        <f>'Policy A'!I14-'Policy B'!I14</f>
        <v>0</v>
      </c>
      <c r="J14" s="14">
        <f>'Policy A'!J14-'Policy B'!J14</f>
        <v>0</v>
      </c>
      <c r="K14" s="14">
        <f>'Policy A'!K14-'Policy B'!K14</f>
        <v>0</v>
      </c>
      <c r="L14" t="s">
        <v>40</v>
      </c>
    </row>
    <row r="15" spans="1:12" x14ac:dyDescent="0.25">
      <c r="A15" t="str">
        <v>US CH4 emissions</v>
      </c>
      <c r="B15" s="14">
        <f>'Policy A'!B15-'Policy B'!B15</f>
        <v>0</v>
      </c>
      <c r="C15" s="14">
        <f>'Policy A'!C15-'Policy B'!C15</f>
        <v>0</v>
      </c>
      <c r="D15" s="14">
        <f>'Policy A'!D15-'Policy B'!D15</f>
        <v>0</v>
      </c>
      <c r="E15" s="14">
        <f>'Policy A'!E15-'Policy B'!E15</f>
        <v>0</v>
      </c>
      <c r="F15" s="14">
        <f>'Policy A'!F15-'Policy B'!F15</f>
        <v>0</v>
      </c>
      <c r="G15" s="14">
        <f>'Policy A'!G15-'Policy B'!G15</f>
        <v>0</v>
      </c>
      <c r="H15" s="14">
        <f>'Policy A'!H15-'Policy B'!H15</f>
        <v>0</v>
      </c>
      <c r="I15" s="14">
        <f>'Policy A'!I15-'Policy B'!I15</f>
        <v>0</v>
      </c>
      <c r="J15" s="14">
        <f>'Policy A'!J15-'Policy B'!J15</f>
        <v>0</v>
      </c>
      <c r="K15" s="14">
        <f>'Policy A'!K15-'Policy B'!K15</f>
        <v>0</v>
      </c>
      <c r="L15" t="s">
        <v>40</v>
      </c>
    </row>
    <row r="16" spans="1:12" x14ac:dyDescent="0.25">
      <c r="A16" t="str">
        <v>OT CH4 emissions</v>
      </c>
      <c r="B16" s="14">
        <f>'Policy A'!B16-'Policy B'!B16</f>
        <v>0</v>
      </c>
      <c r="C16" s="14">
        <f>'Policy A'!C16-'Policy B'!C16</f>
        <v>0</v>
      </c>
      <c r="D16" s="14">
        <f>'Policy A'!D16-'Policy B'!D16</f>
        <v>0</v>
      </c>
      <c r="E16" s="14">
        <f>'Policy A'!E16-'Policy B'!E16</f>
        <v>0</v>
      </c>
      <c r="F16" s="14">
        <f>'Policy A'!F16-'Policy B'!F16</f>
        <v>0</v>
      </c>
      <c r="G16" s="14">
        <f>'Policy A'!G16-'Policy B'!G16</f>
        <v>0</v>
      </c>
      <c r="H16" s="14">
        <f>'Policy A'!H16-'Policy B'!H16</f>
        <v>0</v>
      </c>
      <c r="I16" s="14">
        <f>'Policy A'!I16-'Policy B'!I16</f>
        <v>0</v>
      </c>
      <c r="J16" s="14">
        <f>'Policy A'!J16-'Policy B'!J16</f>
        <v>0</v>
      </c>
      <c r="K16" s="14">
        <f>'Policy A'!K16-'Policy B'!K16</f>
        <v>0</v>
      </c>
      <c r="L16" t="s">
        <v>40</v>
      </c>
    </row>
    <row r="17" spans="1:12" x14ac:dyDescent="0.25">
      <c r="A17" t="str">
        <v>EE CH4 emissions</v>
      </c>
      <c r="B17" s="14">
        <f>'Policy A'!B17-'Policy B'!B17</f>
        <v>0</v>
      </c>
      <c r="C17" s="14">
        <f>'Policy A'!C17-'Policy B'!C17</f>
        <v>0</v>
      </c>
      <c r="D17" s="14">
        <f>'Policy A'!D17-'Policy B'!D17</f>
        <v>0</v>
      </c>
      <c r="E17" s="14">
        <f>'Policy A'!E17-'Policy B'!E17</f>
        <v>0</v>
      </c>
      <c r="F17" s="14">
        <f>'Policy A'!F17-'Policy B'!F17</f>
        <v>0</v>
      </c>
      <c r="G17" s="14">
        <f>'Policy A'!G17-'Policy B'!G17</f>
        <v>0</v>
      </c>
      <c r="H17" s="14">
        <f>'Policy A'!H17-'Policy B'!H17</f>
        <v>0</v>
      </c>
      <c r="I17" s="14">
        <f>'Policy A'!I17-'Policy B'!I17</f>
        <v>0</v>
      </c>
      <c r="J17" s="14">
        <f>'Policy A'!J17-'Policy B'!J17</f>
        <v>0</v>
      </c>
      <c r="K17" s="14">
        <f>'Policy A'!K17-'Policy B'!K17</f>
        <v>0</v>
      </c>
      <c r="L17" t="s">
        <v>40</v>
      </c>
    </row>
    <row r="18" spans="1:12" x14ac:dyDescent="0.25">
      <c r="A18" t="str">
        <v>CA CH4 emissions</v>
      </c>
      <c r="B18" s="14">
        <f>'Policy A'!B18-'Policy B'!B18</f>
        <v>0</v>
      </c>
      <c r="C18" s="14">
        <f>'Policy A'!C18-'Policy B'!C18</f>
        <v>0</v>
      </c>
      <c r="D18" s="14">
        <f>'Policy A'!D18-'Policy B'!D18</f>
        <v>0</v>
      </c>
      <c r="E18" s="14">
        <f>'Policy A'!E18-'Policy B'!E18</f>
        <v>0</v>
      </c>
      <c r="F18" s="14">
        <f>'Policy A'!F18-'Policy B'!F18</f>
        <v>0</v>
      </c>
      <c r="G18" s="14">
        <f>'Policy A'!G18-'Policy B'!G18</f>
        <v>0</v>
      </c>
      <c r="H18" s="14">
        <f>'Policy A'!H18-'Policy B'!H18</f>
        <v>0</v>
      </c>
      <c r="I18" s="14">
        <f>'Policy A'!I18-'Policy B'!I18</f>
        <v>0</v>
      </c>
      <c r="J18" s="14">
        <f>'Policy A'!J18-'Policy B'!J18</f>
        <v>0</v>
      </c>
      <c r="K18" s="14">
        <f>'Policy A'!K18-'Policy B'!K18</f>
        <v>0</v>
      </c>
      <c r="L18" t="s">
        <v>40</v>
      </c>
    </row>
    <row r="19" spans="1:12" x14ac:dyDescent="0.25">
      <c r="A19" t="str">
        <v>IA CH4 emissions</v>
      </c>
      <c r="B19" s="14">
        <f>'Policy A'!B19-'Policy B'!B19</f>
        <v>0</v>
      </c>
      <c r="C19" s="14">
        <f>'Policy A'!C19-'Policy B'!C19</f>
        <v>0</v>
      </c>
      <c r="D19" s="14">
        <f>'Policy A'!D19-'Policy B'!D19</f>
        <v>0</v>
      </c>
      <c r="E19" s="14">
        <f>'Policy A'!E19-'Policy B'!E19</f>
        <v>0</v>
      </c>
      <c r="F19" s="14">
        <f>'Policy A'!F19-'Policy B'!F19</f>
        <v>0</v>
      </c>
      <c r="G19" s="14">
        <f>'Policy A'!G19-'Policy B'!G19</f>
        <v>0</v>
      </c>
      <c r="H19" s="14">
        <f>'Policy A'!H19-'Policy B'!H19</f>
        <v>0</v>
      </c>
      <c r="I19" s="14">
        <f>'Policy A'!I19-'Policy B'!I19</f>
        <v>0</v>
      </c>
      <c r="J19" s="14">
        <f>'Policy A'!J19-'Policy B'!J19</f>
        <v>0</v>
      </c>
      <c r="K19" s="14">
        <f>'Policy A'!K19-'Policy B'!K19</f>
        <v>0</v>
      </c>
      <c r="L19" t="s">
        <v>40</v>
      </c>
    </row>
    <row r="20" spans="1:12" x14ac:dyDescent="0.25">
      <c r="A20" t="str">
        <v>AF CH4 emissions</v>
      </c>
      <c r="B20" s="14">
        <f>'Policy A'!B20-'Policy B'!B20</f>
        <v>0</v>
      </c>
      <c r="C20" s="14">
        <f>'Policy A'!C20-'Policy B'!C20</f>
        <v>0</v>
      </c>
      <c r="D20" s="14">
        <f>'Policy A'!D20-'Policy B'!D20</f>
        <v>0</v>
      </c>
      <c r="E20" s="14">
        <f>'Policy A'!E20-'Policy B'!E20</f>
        <v>0</v>
      </c>
      <c r="F20" s="14">
        <f>'Policy A'!F20-'Policy B'!F20</f>
        <v>0</v>
      </c>
      <c r="G20" s="14">
        <f>'Policy A'!G20-'Policy B'!G20</f>
        <v>0</v>
      </c>
      <c r="H20" s="14">
        <f>'Policy A'!H20-'Policy B'!H20</f>
        <v>0</v>
      </c>
      <c r="I20" s="14">
        <f>'Policy A'!I20-'Policy B'!I20</f>
        <v>0</v>
      </c>
      <c r="J20" s="14">
        <f>'Policy A'!J20-'Policy B'!J20</f>
        <v>0</v>
      </c>
      <c r="K20" s="14">
        <f>'Policy A'!K20-'Policy B'!K20</f>
        <v>0</v>
      </c>
      <c r="L20" t="s">
        <v>40</v>
      </c>
    </row>
    <row r="21" spans="1:12" x14ac:dyDescent="0.25">
      <c r="A21" t="str">
        <v>LA CH4 emissions</v>
      </c>
      <c r="B21" s="14">
        <f>'Policy A'!B21-'Policy B'!B21</f>
        <v>0</v>
      </c>
      <c r="C21" s="14">
        <f>'Policy A'!C21-'Policy B'!C21</f>
        <v>0</v>
      </c>
      <c r="D21" s="14">
        <f>'Policy A'!D21-'Policy B'!D21</f>
        <v>0</v>
      </c>
      <c r="E21" s="14">
        <f>'Policy A'!E21-'Policy B'!E21</f>
        <v>0</v>
      </c>
      <c r="F21" s="14">
        <f>'Policy A'!F21-'Policy B'!F21</f>
        <v>0</v>
      </c>
      <c r="G21" s="14">
        <f>'Policy A'!G21-'Policy B'!G21</f>
        <v>0</v>
      </c>
      <c r="H21" s="14">
        <f>'Policy A'!H21-'Policy B'!H21</f>
        <v>0</v>
      </c>
      <c r="I21" s="14">
        <f>'Policy A'!I21-'Policy B'!I21</f>
        <v>0</v>
      </c>
      <c r="J21" s="14">
        <f>'Policy A'!J21-'Policy B'!J21</f>
        <v>0</v>
      </c>
      <c r="K21" s="14">
        <f>'Policy A'!K21-'Policy B'!K21</f>
        <v>0</v>
      </c>
      <c r="L21" t="s">
        <v>40</v>
      </c>
    </row>
    <row r="23" spans="1:12" x14ac:dyDescent="0.25">
      <c r="A23" t="str">
        <f t="array" ref="A23:A30">R_CODE&amp;" "&amp;'Base data'!$D$12&amp;" emissions"</f>
        <v>EU N2O emissions</v>
      </c>
      <c r="B23" s="14">
        <f>'Policy A'!B23-'Policy B'!B23</f>
        <v>0</v>
      </c>
      <c r="C23" s="14">
        <f>'Policy A'!C23-'Policy B'!C23</f>
        <v>0</v>
      </c>
      <c r="D23" s="14">
        <f>'Policy A'!D23-'Policy B'!D23</f>
        <v>0</v>
      </c>
      <c r="E23" s="14">
        <f>'Policy A'!E23-'Policy B'!E23</f>
        <v>0</v>
      </c>
      <c r="F23" s="14">
        <f>'Policy A'!F23-'Policy B'!F23</f>
        <v>0</v>
      </c>
      <c r="G23" s="14">
        <f>'Policy A'!G23-'Policy B'!G23</f>
        <v>0</v>
      </c>
      <c r="H23" s="14">
        <f>'Policy A'!H23-'Policy B'!H23</f>
        <v>0</v>
      </c>
      <c r="I23" s="14">
        <f>'Policy A'!I23-'Policy B'!I23</f>
        <v>0</v>
      </c>
      <c r="J23" s="14">
        <f>'Policy A'!J23-'Policy B'!J23</f>
        <v>0</v>
      </c>
      <c r="K23" s="14">
        <f>'Policy A'!K23-'Policy B'!K23</f>
        <v>0</v>
      </c>
      <c r="L23" t="s">
        <v>40</v>
      </c>
    </row>
    <row r="24" spans="1:12" x14ac:dyDescent="0.25">
      <c r="A24" t="str">
        <v>US N2O emissions</v>
      </c>
      <c r="B24" s="14">
        <f>'Policy A'!B24-'Policy B'!B24</f>
        <v>0</v>
      </c>
      <c r="C24" s="14">
        <f>'Policy A'!C24-'Policy B'!C24</f>
        <v>0</v>
      </c>
      <c r="D24" s="14">
        <f>'Policy A'!D24-'Policy B'!D24</f>
        <v>0</v>
      </c>
      <c r="E24" s="14">
        <f>'Policy A'!E24-'Policy B'!E24</f>
        <v>0</v>
      </c>
      <c r="F24" s="14">
        <f>'Policy A'!F24-'Policy B'!F24</f>
        <v>0</v>
      </c>
      <c r="G24" s="14">
        <f>'Policy A'!G24-'Policy B'!G24</f>
        <v>0</v>
      </c>
      <c r="H24" s="14">
        <f>'Policy A'!H24-'Policy B'!H24</f>
        <v>0</v>
      </c>
      <c r="I24" s="14">
        <f>'Policy A'!I24-'Policy B'!I24</f>
        <v>0</v>
      </c>
      <c r="J24" s="14">
        <f>'Policy A'!J24-'Policy B'!J24</f>
        <v>0</v>
      </c>
      <c r="K24" s="14">
        <f>'Policy A'!K24-'Policy B'!K24</f>
        <v>0</v>
      </c>
      <c r="L24" t="s">
        <v>40</v>
      </c>
    </row>
    <row r="25" spans="1:12" x14ac:dyDescent="0.25">
      <c r="A25" t="str">
        <v>OT N2O emissions</v>
      </c>
      <c r="B25" s="14">
        <f>'Policy A'!B25-'Policy B'!B25</f>
        <v>0</v>
      </c>
      <c r="C25" s="14">
        <f>'Policy A'!C25-'Policy B'!C25</f>
        <v>0</v>
      </c>
      <c r="D25" s="14">
        <f>'Policy A'!D25-'Policy B'!D25</f>
        <v>0</v>
      </c>
      <c r="E25" s="14">
        <f>'Policy A'!E25-'Policy B'!E25</f>
        <v>0</v>
      </c>
      <c r="F25" s="14">
        <f>'Policy A'!F25-'Policy B'!F25</f>
        <v>0</v>
      </c>
      <c r="G25" s="14">
        <f>'Policy A'!G25-'Policy B'!G25</f>
        <v>0</v>
      </c>
      <c r="H25" s="14">
        <f>'Policy A'!H25-'Policy B'!H25</f>
        <v>0</v>
      </c>
      <c r="I25" s="14">
        <f>'Policy A'!I25-'Policy B'!I25</f>
        <v>0</v>
      </c>
      <c r="J25" s="14">
        <f>'Policy A'!J25-'Policy B'!J25</f>
        <v>0</v>
      </c>
      <c r="K25" s="14">
        <f>'Policy A'!K25-'Policy B'!K25</f>
        <v>0</v>
      </c>
      <c r="L25" t="s">
        <v>40</v>
      </c>
    </row>
    <row r="26" spans="1:12" x14ac:dyDescent="0.25">
      <c r="A26" t="str">
        <v>EE N2O emissions</v>
      </c>
      <c r="B26" s="14">
        <f>'Policy A'!B26-'Policy B'!B26</f>
        <v>0</v>
      </c>
      <c r="C26" s="14">
        <f>'Policy A'!C26-'Policy B'!C26</f>
        <v>0</v>
      </c>
      <c r="D26" s="14">
        <f>'Policy A'!D26-'Policy B'!D26</f>
        <v>0</v>
      </c>
      <c r="E26" s="14">
        <f>'Policy A'!E26-'Policy B'!E26</f>
        <v>0</v>
      </c>
      <c r="F26" s="14">
        <f>'Policy A'!F26-'Policy B'!F26</f>
        <v>0</v>
      </c>
      <c r="G26" s="14">
        <f>'Policy A'!G26-'Policy B'!G26</f>
        <v>0</v>
      </c>
      <c r="H26" s="14">
        <f>'Policy A'!H26-'Policy B'!H26</f>
        <v>0</v>
      </c>
      <c r="I26" s="14">
        <f>'Policy A'!I26-'Policy B'!I26</f>
        <v>0</v>
      </c>
      <c r="J26" s="14">
        <f>'Policy A'!J26-'Policy B'!J26</f>
        <v>0</v>
      </c>
      <c r="K26" s="14">
        <f>'Policy A'!K26-'Policy B'!K26</f>
        <v>0</v>
      </c>
      <c r="L26" t="s">
        <v>40</v>
      </c>
    </row>
    <row r="27" spans="1:12" x14ac:dyDescent="0.25">
      <c r="A27" t="str">
        <v>CA N2O emissions</v>
      </c>
      <c r="B27" s="14">
        <f>'Policy A'!B27-'Policy B'!B27</f>
        <v>0</v>
      </c>
      <c r="C27" s="14">
        <f>'Policy A'!C27-'Policy B'!C27</f>
        <v>0</v>
      </c>
      <c r="D27" s="14">
        <f>'Policy A'!D27-'Policy B'!D27</f>
        <v>0</v>
      </c>
      <c r="E27" s="14">
        <f>'Policy A'!E27-'Policy B'!E27</f>
        <v>0</v>
      </c>
      <c r="F27" s="14">
        <f>'Policy A'!F27-'Policy B'!F27</f>
        <v>0</v>
      </c>
      <c r="G27" s="14">
        <f>'Policy A'!G27-'Policy B'!G27</f>
        <v>0</v>
      </c>
      <c r="H27" s="14">
        <f>'Policy A'!H27-'Policy B'!H27</f>
        <v>0</v>
      </c>
      <c r="I27" s="14">
        <f>'Policy A'!I27-'Policy B'!I27</f>
        <v>0</v>
      </c>
      <c r="J27" s="14">
        <f>'Policy A'!J27-'Policy B'!J27</f>
        <v>0</v>
      </c>
      <c r="K27" s="14">
        <f>'Policy A'!K27-'Policy B'!K27</f>
        <v>0</v>
      </c>
      <c r="L27" t="s">
        <v>40</v>
      </c>
    </row>
    <row r="28" spans="1:12" x14ac:dyDescent="0.25">
      <c r="A28" t="str">
        <v>IA N2O emissions</v>
      </c>
      <c r="B28" s="14">
        <f>'Policy A'!B28-'Policy B'!B28</f>
        <v>0</v>
      </c>
      <c r="C28" s="14">
        <f>'Policy A'!C28-'Policy B'!C28</f>
        <v>0</v>
      </c>
      <c r="D28" s="14">
        <f>'Policy A'!D28-'Policy B'!D28</f>
        <v>0</v>
      </c>
      <c r="E28" s="14">
        <f>'Policy A'!E28-'Policy B'!E28</f>
        <v>0</v>
      </c>
      <c r="F28" s="14">
        <f>'Policy A'!F28-'Policy B'!F28</f>
        <v>0</v>
      </c>
      <c r="G28" s="14">
        <f>'Policy A'!G28-'Policy B'!G28</f>
        <v>0</v>
      </c>
      <c r="H28" s="14">
        <f>'Policy A'!H28-'Policy B'!H28</f>
        <v>0</v>
      </c>
      <c r="I28" s="14">
        <f>'Policy A'!I28-'Policy B'!I28</f>
        <v>0</v>
      </c>
      <c r="J28" s="14">
        <f>'Policy A'!J28-'Policy B'!J28</f>
        <v>0</v>
      </c>
      <c r="K28" s="14">
        <f>'Policy A'!K28-'Policy B'!K28</f>
        <v>0</v>
      </c>
      <c r="L28" t="s">
        <v>40</v>
      </c>
    </row>
    <row r="29" spans="1:12" x14ac:dyDescent="0.25">
      <c r="A29" t="str">
        <v>AF N2O emissions</v>
      </c>
      <c r="B29" s="14">
        <f>'Policy A'!B29-'Policy B'!B29</f>
        <v>0</v>
      </c>
      <c r="C29" s="14">
        <f>'Policy A'!C29-'Policy B'!C29</f>
        <v>0</v>
      </c>
      <c r="D29" s="14">
        <f>'Policy A'!D29-'Policy B'!D29</f>
        <v>0</v>
      </c>
      <c r="E29" s="14">
        <f>'Policy A'!E29-'Policy B'!E29</f>
        <v>0</v>
      </c>
      <c r="F29" s="14">
        <f>'Policy A'!F29-'Policy B'!F29</f>
        <v>0</v>
      </c>
      <c r="G29" s="14">
        <f>'Policy A'!G29-'Policy B'!G29</f>
        <v>0</v>
      </c>
      <c r="H29" s="14">
        <f>'Policy A'!H29-'Policy B'!H29</f>
        <v>0</v>
      </c>
      <c r="I29" s="14">
        <f>'Policy A'!I29-'Policy B'!I29</f>
        <v>0</v>
      </c>
      <c r="J29" s="14">
        <f>'Policy A'!J29-'Policy B'!J29</f>
        <v>0</v>
      </c>
      <c r="K29" s="14">
        <f>'Policy A'!K29-'Policy B'!K29</f>
        <v>0</v>
      </c>
      <c r="L29" t="s">
        <v>40</v>
      </c>
    </row>
    <row r="30" spans="1:12" x14ac:dyDescent="0.25">
      <c r="A30" t="str">
        <v>LA N2O emissions</v>
      </c>
      <c r="B30" s="14">
        <f>'Policy A'!B30-'Policy B'!B30</f>
        <v>0</v>
      </c>
      <c r="C30" s="14">
        <f>'Policy A'!C30-'Policy B'!C30</f>
        <v>0</v>
      </c>
      <c r="D30" s="14">
        <f>'Policy A'!D30-'Policy B'!D30</f>
        <v>0</v>
      </c>
      <c r="E30" s="14">
        <f>'Policy A'!E30-'Policy B'!E30</f>
        <v>0</v>
      </c>
      <c r="F30" s="14">
        <f>'Policy A'!F30-'Policy B'!F30</f>
        <v>0</v>
      </c>
      <c r="G30" s="14">
        <f>'Policy A'!G30-'Policy B'!G30</f>
        <v>0</v>
      </c>
      <c r="H30" s="14">
        <f>'Policy A'!H30-'Policy B'!H30</f>
        <v>0</v>
      </c>
      <c r="I30" s="14">
        <f>'Policy A'!I30-'Policy B'!I30</f>
        <v>0</v>
      </c>
      <c r="J30" s="14">
        <f>'Policy A'!J30-'Policy B'!J30</f>
        <v>0</v>
      </c>
      <c r="K30" s="14">
        <f>'Policy A'!K30-'Policy B'!K30</f>
        <v>0</v>
      </c>
      <c r="L30" t="s">
        <v>40</v>
      </c>
    </row>
    <row r="32" spans="1:12" x14ac:dyDescent="0.25">
      <c r="A32" t="str">
        <f t="array" ref="A32:A39">R_CODE&amp;" "&amp;GLIN_NAME&amp;" emissions"</f>
        <v>EU Lin emissions</v>
      </c>
      <c r="B32" s="14">
        <f>'Policy A'!B32-'Policy B'!B32</f>
        <v>0</v>
      </c>
      <c r="C32" s="14">
        <f>'Policy A'!C32-'Policy B'!C32</f>
        <v>0</v>
      </c>
      <c r="D32" s="14">
        <f>'Policy A'!D32-'Policy B'!D32</f>
        <v>0</v>
      </c>
      <c r="E32" s="14">
        <f>'Policy A'!E32-'Policy B'!E32</f>
        <v>0</v>
      </c>
      <c r="F32" s="14">
        <f>'Policy A'!F32-'Policy B'!F32</f>
        <v>0</v>
      </c>
      <c r="G32" s="14">
        <f>'Policy A'!G32-'Policy B'!G32</f>
        <v>0</v>
      </c>
      <c r="H32" s="14">
        <f>'Policy A'!H32-'Policy B'!H32</f>
        <v>0</v>
      </c>
      <c r="I32" s="14">
        <f>'Policy A'!I32-'Policy B'!I32</f>
        <v>0</v>
      </c>
      <c r="J32" s="14">
        <f>'Policy A'!J32-'Policy B'!J32</f>
        <v>0</v>
      </c>
      <c r="K32" s="14">
        <f>'Policy A'!K32-'Policy B'!K32</f>
        <v>0</v>
      </c>
      <c r="L32" t="s">
        <v>40</v>
      </c>
    </row>
    <row r="33" spans="1:12" x14ac:dyDescent="0.25">
      <c r="A33" t="str">
        <v>US Lin emissions</v>
      </c>
      <c r="B33" s="14">
        <f>'Policy A'!B33-'Policy B'!B33</f>
        <v>0</v>
      </c>
      <c r="C33" s="14">
        <f>'Policy A'!C33-'Policy B'!C33</f>
        <v>0</v>
      </c>
      <c r="D33" s="14">
        <f>'Policy A'!D33-'Policy B'!D33</f>
        <v>0</v>
      </c>
      <c r="E33" s="14">
        <f>'Policy A'!E33-'Policy B'!E33</f>
        <v>0</v>
      </c>
      <c r="F33" s="14">
        <f>'Policy A'!F33-'Policy B'!F33</f>
        <v>0</v>
      </c>
      <c r="G33" s="14">
        <f>'Policy A'!G33-'Policy B'!G33</f>
        <v>0</v>
      </c>
      <c r="H33" s="14">
        <f>'Policy A'!H33-'Policy B'!H33</f>
        <v>0</v>
      </c>
      <c r="I33" s="14">
        <f>'Policy A'!I33-'Policy B'!I33</f>
        <v>0</v>
      </c>
      <c r="J33" s="14">
        <f>'Policy A'!J33-'Policy B'!J33</f>
        <v>0</v>
      </c>
      <c r="K33" s="14">
        <f>'Policy A'!K33-'Policy B'!K33</f>
        <v>0</v>
      </c>
      <c r="L33" t="s">
        <v>40</v>
      </c>
    </row>
    <row r="34" spans="1:12" x14ac:dyDescent="0.25">
      <c r="A34" t="str">
        <v>OT Lin emissions</v>
      </c>
      <c r="B34" s="14">
        <f>'Policy A'!B34-'Policy B'!B34</f>
        <v>0</v>
      </c>
      <c r="C34" s="14">
        <f>'Policy A'!C34-'Policy B'!C34</f>
        <v>0</v>
      </c>
      <c r="D34" s="14">
        <f>'Policy A'!D34-'Policy B'!D34</f>
        <v>0</v>
      </c>
      <c r="E34" s="14">
        <f>'Policy A'!E34-'Policy B'!E34</f>
        <v>0</v>
      </c>
      <c r="F34" s="14">
        <f>'Policy A'!F34-'Policy B'!F34</f>
        <v>0</v>
      </c>
      <c r="G34" s="14">
        <f>'Policy A'!G34-'Policy B'!G34</f>
        <v>0</v>
      </c>
      <c r="H34" s="14">
        <f>'Policy A'!H34-'Policy B'!H34</f>
        <v>0</v>
      </c>
      <c r="I34" s="14">
        <f>'Policy A'!I34-'Policy B'!I34</f>
        <v>0</v>
      </c>
      <c r="J34" s="14">
        <f>'Policy A'!J34-'Policy B'!J34</f>
        <v>0</v>
      </c>
      <c r="K34" s="14">
        <f>'Policy A'!K34-'Policy B'!K34</f>
        <v>0</v>
      </c>
      <c r="L34" t="s">
        <v>40</v>
      </c>
    </row>
    <row r="35" spans="1:12" x14ac:dyDescent="0.25">
      <c r="A35" t="str">
        <v>EE Lin emissions</v>
      </c>
      <c r="B35" s="14">
        <f>'Policy A'!B35-'Policy B'!B35</f>
        <v>0</v>
      </c>
      <c r="C35" s="14">
        <f>'Policy A'!C35-'Policy B'!C35</f>
        <v>0</v>
      </c>
      <c r="D35" s="14">
        <f>'Policy A'!D35-'Policy B'!D35</f>
        <v>0</v>
      </c>
      <c r="E35" s="14">
        <f>'Policy A'!E35-'Policy B'!E35</f>
        <v>0</v>
      </c>
      <c r="F35" s="14">
        <f>'Policy A'!F35-'Policy B'!F35</f>
        <v>0</v>
      </c>
      <c r="G35" s="14">
        <f>'Policy A'!G35-'Policy B'!G35</f>
        <v>0</v>
      </c>
      <c r="H35" s="14">
        <f>'Policy A'!H35-'Policy B'!H35</f>
        <v>0</v>
      </c>
      <c r="I35" s="14">
        <f>'Policy A'!I35-'Policy B'!I35</f>
        <v>0</v>
      </c>
      <c r="J35" s="14">
        <f>'Policy A'!J35-'Policy B'!J35</f>
        <v>0</v>
      </c>
      <c r="K35" s="14">
        <f>'Policy A'!K35-'Policy B'!K35</f>
        <v>0</v>
      </c>
      <c r="L35" t="s">
        <v>40</v>
      </c>
    </row>
    <row r="36" spans="1:12" x14ac:dyDescent="0.25">
      <c r="A36" t="str">
        <v>CA Lin emissions</v>
      </c>
      <c r="B36" s="14">
        <f>'Policy A'!B36-'Policy B'!B36</f>
        <v>0</v>
      </c>
      <c r="C36" s="14">
        <f>'Policy A'!C36-'Policy B'!C36</f>
        <v>0</v>
      </c>
      <c r="D36" s="14">
        <f>'Policy A'!D36-'Policy B'!D36</f>
        <v>0</v>
      </c>
      <c r="E36" s="14">
        <f>'Policy A'!E36-'Policy B'!E36</f>
        <v>0</v>
      </c>
      <c r="F36" s="14">
        <f>'Policy A'!F36-'Policy B'!F36</f>
        <v>0</v>
      </c>
      <c r="G36" s="14">
        <f>'Policy A'!G36-'Policy B'!G36</f>
        <v>0</v>
      </c>
      <c r="H36" s="14">
        <f>'Policy A'!H36-'Policy B'!H36</f>
        <v>0</v>
      </c>
      <c r="I36" s="14">
        <f>'Policy A'!I36-'Policy B'!I36</f>
        <v>0</v>
      </c>
      <c r="J36" s="14">
        <f>'Policy A'!J36-'Policy B'!J36</f>
        <v>0</v>
      </c>
      <c r="K36" s="14">
        <f>'Policy A'!K36-'Policy B'!K36</f>
        <v>0</v>
      </c>
      <c r="L36" t="s">
        <v>40</v>
      </c>
    </row>
    <row r="37" spans="1:12" x14ac:dyDescent="0.25">
      <c r="A37" t="str">
        <v>IA Lin emissions</v>
      </c>
      <c r="B37" s="14">
        <f>'Policy A'!B37-'Policy B'!B37</f>
        <v>0</v>
      </c>
      <c r="C37" s="14">
        <f>'Policy A'!C37-'Policy B'!C37</f>
        <v>0</v>
      </c>
      <c r="D37" s="14">
        <f>'Policy A'!D37-'Policy B'!D37</f>
        <v>0</v>
      </c>
      <c r="E37" s="14">
        <f>'Policy A'!E37-'Policy B'!E37</f>
        <v>0</v>
      </c>
      <c r="F37" s="14">
        <f>'Policy A'!F37-'Policy B'!F37</f>
        <v>0</v>
      </c>
      <c r="G37" s="14">
        <f>'Policy A'!G37-'Policy B'!G37</f>
        <v>0</v>
      </c>
      <c r="H37" s="14">
        <f>'Policy A'!H37-'Policy B'!H37</f>
        <v>0</v>
      </c>
      <c r="I37" s="14">
        <f>'Policy A'!I37-'Policy B'!I37</f>
        <v>0</v>
      </c>
      <c r="J37" s="14">
        <f>'Policy A'!J37-'Policy B'!J37</f>
        <v>0</v>
      </c>
      <c r="K37" s="14">
        <f>'Policy A'!K37-'Policy B'!K37</f>
        <v>0</v>
      </c>
      <c r="L37" t="s">
        <v>40</v>
      </c>
    </row>
    <row r="38" spans="1:12" x14ac:dyDescent="0.25">
      <c r="A38" t="str">
        <v>AF Lin emissions</v>
      </c>
      <c r="B38" s="14">
        <f>'Policy A'!B38-'Policy B'!B38</f>
        <v>0</v>
      </c>
      <c r="C38" s="14">
        <f>'Policy A'!C38-'Policy B'!C38</f>
        <v>0</v>
      </c>
      <c r="D38" s="14">
        <f>'Policy A'!D38-'Policy B'!D38</f>
        <v>0</v>
      </c>
      <c r="E38" s="14">
        <f>'Policy A'!E38-'Policy B'!E38</f>
        <v>0</v>
      </c>
      <c r="F38" s="14">
        <f>'Policy A'!F38-'Policy B'!F38</f>
        <v>0</v>
      </c>
      <c r="G38" s="14">
        <f>'Policy A'!G38-'Policy B'!G38</f>
        <v>0</v>
      </c>
      <c r="H38" s="14">
        <f>'Policy A'!H38-'Policy B'!H38</f>
        <v>0</v>
      </c>
      <c r="I38" s="14">
        <f>'Policy A'!I38-'Policy B'!I38</f>
        <v>0</v>
      </c>
      <c r="J38" s="14">
        <f>'Policy A'!J38-'Policy B'!J38</f>
        <v>0</v>
      </c>
      <c r="K38" s="14">
        <f>'Policy A'!K38-'Policy B'!K38</f>
        <v>0</v>
      </c>
      <c r="L38" t="s">
        <v>40</v>
      </c>
    </row>
    <row r="39" spans="1:12" x14ac:dyDescent="0.25">
      <c r="A39" t="str">
        <v>LA Lin emissions</v>
      </c>
      <c r="B39" s="14">
        <f>'Policy A'!B39-'Policy B'!B39</f>
        <v>0</v>
      </c>
      <c r="C39" s="14">
        <f>'Policy A'!C39-'Policy B'!C39</f>
        <v>0</v>
      </c>
      <c r="D39" s="14">
        <f>'Policy A'!D39-'Policy B'!D39</f>
        <v>0</v>
      </c>
      <c r="E39" s="14">
        <f>'Policy A'!E39-'Policy B'!E39</f>
        <v>0</v>
      </c>
      <c r="F39" s="14">
        <f>'Policy A'!F39-'Policy B'!F39</f>
        <v>0</v>
      </c>
      <c r="G39" s="14">
        <f>'Policy A'!G39-'Policy B'!G39</f>
        <v>0</v>
      </c>
      <c r="H39" s="14">
        <f>'Policy A'!H39-'Policy B'!H39</f>
        <v>0</v>
      </c>
      <c r="I39" s="14">
        <f>'Policy A'!I39-'Policy B'!I39</f>
        <v>0</v>
      </c>
      <c r="J39" s="14">
        <f>'Policy A'!J39-'Policy B'!J39</f>
        <v>0</v>
      </c>
      <c r="K39" s="14">
        <f>'Policy A'!K39-'Policy B'!K39</f>
        <v>0</v>
      </c>
      <c r="L39" t="s">
        <v>40</v>
      </c>
    </row>
    <row r="41" spans="1:12" x14ac:dyDescent="0.25">
      <c r="A41" t="str">
        <f t="array" ref="A41:A48">R_CODE&amp;" sulphates"</f>
        <v>EU sulphates</v>
      </c>
      <c r="B41" s="14">
        <f>'Policy A'!B41-'Policy B'!B41</f>
        <v>0</v>
      </c>
      <c r="C41" s="14">
        <f>'Policy A'!C41-'Policy B'!C41</f>
        <v>0</v>
      </c>
      <c r="D41" s="14">
        <f>'Policy A'!D41-'Policy B'!D41</f>
        <v>0</v>
      </c>
      <c r="E41" s="14">
        <f>'Policy A'!E41-'Policy B'!E41</f>
        <v>0</v>
      </c>
      <c r="F41" s="14">
        <f>'Policy A'!F41-'Policy B'!F41</f>
        <v>0</v>
      </c>
      <c r="G41" s="14">
        <f>'Policy A'!G41-'Policy B'!G41</f>
        <v>0</v>
      </c>
      <c r="H41" s="14">
        <f>'Policy A'!H41-'Policy B'!H41</f>
        <v>0</v>
      </c>
      <c r="I41" s="14">
        <f>'Policy A'!I41-'Policy B'!I41</f>
        <v>0</v>
      </c>
      <c r="J41" s="14">
        <f>'Policy A'!J41-'Policy B'!J41</f>
        <v>0</v>
      </c>
      <c r="K41" s="14">
        <f>'Policy A'!K41-'Policy B'!K41</f>
        <v>0</v>
      </c>
      <c r="L41" t="s">
        <v>40</v>
      </c>
    </row>
    <row r="42" spans="1:12" x14ac:dyDescent="0.25">
      <c r="A42" t="str">
        <v>US sulphates</v>
      </c>
      <c r="B42" s="14">
        <f>'Policy A'!B42-'Policy B'!B42</f>
        <v>0</v>
      </c>
      <c r="C42" s="14">
        <f>'Policy A'!C42-'Policy B'!C42</f>
        <v>0</v>
      </c>
      <c r="D42" s="14">
        <f>'Policy A'!D42-'Policy B'!D42</f>
        <v>0</v>
      </c>
      <c r="E42" s="14">
        <f>'Policy A'!E42-'Policy B'!E42</f>
        <v>0</v>
      </c>
      <c r="F42" s="14">
        <f>'Policy A'!F42-'Policy B'!F42</f>
        <v>0</v>
      </c>
      <c r="G42" s="14">
        <f>'Policy A'!G42-'Policy B'!G42</f>
        <v>0</v>
      </c>
      <c r="H42" s="14">
        <f>'Policy A'!H42-'Policy B'!H42</f>
        <v>0</v>
      </c>
      <c r="I42" s="14">
        <f>'Policy A'!I42-'Policy B'!I42</f>
        <v>0</v>
      </c>
      <c r="J42" s="14">
        <f>'Policy A'!J42-'Policy B'!J42</f>
        <v>0</v>
      </c>
      <c r="K42" s="14">
        <f>'Policy A'!K42-'Policy B'!K42</f>
        <v>0</v>
      </c>
      <c r="L42" t="s">
        <v>40</v>
      </c>
    </row>
    <row r="43" spans="1:12" x14ac:dyDescent="0.25">
      <c r="A43" t="str">
        <v>OT sulphates</v>
      </c>
      <c r="B43" s="14">
        <f>'Policy A'!B43-'Policy B'!B43</f>
        <v>0</v>
      </c>
      <c r="C43" s="14">
        <f>'Policy A'!C43-'Policy B'!C43</f>
        <v>0</v>
      </c>
      <c r="D43" s="14">
        <f>'Policy A'!D43-'Policy B'!D43</f>
        <v>0</v>
      </c>
      <c r="E43" s="14">
        <f>'Policy A'!E43-'Policy B'!E43</f>
        <v>0</v>
      </c>
      <c r="F43" s="14">
        <f>'Policy A'!F43-'Policy B'!F43</f>
        <v>0</v>
      </c>
      <c r="G43" s="14">
        <f>'Policy A'!G43-'Policy B'!G43</f>
        <v>0</v>
      </c>
      <c r="H43" s="14">
        <f>'Policy A'!H43-'Policy B'!H43</f>
        <v>0</v>
      </c>
      <c r="I43" s="14">
        <f>'Policy A'!I43-'Policy B'!I43</f>
        <v>0</v>
      </c>
      <c r="J43" s="14">
        <f>'Policy A'!J43-'Policy B'!J43</f>
        <v>0</v>
      </c>
      <c r="K43" s="14">
        <f>'Policy A'!K43-'Policy B'!K43</f>
        <v>0</v>
      </c>
      <c r="L43" t="s">
        <v>40</v>
      </c>
    </row>
    <row r="44" spans="1:12" x14ac:dyDescent="0.25">
      <c r="A44" t="str">
        <v>EE sulphates</v>
      </c>
      <c r="B44" s="14">
        <f>'Policy A'!B44-'Policy B'!B44</f>
        <v>0</v>
      </c>
      <c r="C44" s="14">
        <f>'Policy A'!C44-'Policy B'!C44</f>
        <v>0</v>
      </c>
      <c r="D44" s="14">
        <f>'Policy A'!D44-'Policy B'!D44</f>
        <v>0</v>
      </c>
      <c r="E44" s="14">
        <f>'Policy A'!E44-'Policy B'!E44</f>
        <v>0</v>
      </c>
      <c r="F44" s="14">
        <f>'Policy A'!F44-'Policy B'!F44</f>
        <v>0</v>
      </c>
      <c r="G44" s="14">
        <f>'Policy A'!G44-'Policy B'!G44</f>
        <v>0</v>
      </c>
      <c r="H44" s="14">
        <f>'Policy A'!H44-'Policy B'!H44</f>
        <v>0</v>
      </c>
      <c r="I44" s="14">
        <f>'Policy A'!I44-'Policy B'!I44</f>
        <v>0</v>
      </c>
      <c r="J44" s="14">
        <f>'Policy A'!J44-'Policy B'!J44</f>
        <v>0</v>
      </c>
      <c r="K44" s="14">
        <f>'Policy A'!K44-'Policy B'!K44</f>
        <v>0</v>
      </c>
      <c r="L44" t="s">
        <v>40</v>
      </c>
    </row>
    <row r="45" spans="1:12" x14ac:dyDescent="0.25">
      <c r="A45" t="str">
        <v>CA sulphates</v>
      </c>
      <c r="B45" s="14">
        <f>'Policy A'!B45-'Policy B'!B45</f>
        <v>0</v>
      </c>
      <c r="C45" s="14">
        <f>'Policy A'!C45-'Policy B'!C45</f>
        <v>0</v>
      </c>
      <c r="D45" s="14">
        <f>'Policy A'!D45-'Policy B'!D45</f>
        <v>0</v>
      </c>
      <c r="E45" s="14">
        <f>'Policy A'!E45-'Policy B'!E45</f>
        <v>0</v>
      </c>
      <c r="F45" s="14">
        <f>'Policy A'!F45-'Policy B'!F45</f>
        <v>0</v>
      </c>
      <c r="G45" s="14">
        <f>'Policy A'!G45-'Policy B'!G45</f>
        <v>0</v>
      </c>
      <c r="H45" s="14">
        <f>'Policy A'!H45-'Policy B'!H45</f>
        <v>0</v>
      </c>
      <c r="I45" s="14">
        <f>'Policy A'!I45-'Policy B'!I45</f>
        <v>0</v>
      </c>
      <c r="J45" s="14">
        <f>'Policy A'!J45-'Policy B'!J45</f>
        <v>0</v>
      </c>
      <c r="K45" s="14">
        <f>'Policy A'!K45-'Policy B'!K45</f>
        <v>0</v>
      </c>
      <c r="L45" t="s">
        <v>40</v>
      </c>
    </row>
    <row r="46" spans="1:12" x14ac:dyDescent="0.25">
      <c r="A46" t="str">
        <v>IA sulphates</v>
      </c>
      <c r="B46" s="14">
        <f>'Policy A'!B46-'Policy B'!B46</f>
        <v>0</v>
      </c>
      <c r="C46" s="14">
        <f>'Policy A'!C46-'Policy B'!C46</f>
        <v>0</v>
      </c>
      <c r="D46" s="14">
        <f>'Policy A'!D46-'Policy B'!D46</f>
        <v>0</v>
      </c>
      <c r="E46" s="14">
        <f>'Policy A'!E46-'Policy B'!E46</f>
        <v>0</v>
      </c>
      <c r="F46" s="14">
        <f>'Policy A'!F46-'Policy B'!F46</f>
        <v>0</v>
      </c>
      <c r="G46" s="14">
        <f>'Policy A'!G46-'Policy B'!G46</f>
        <v>0</v>
      </c>
      <c r="H46" s="14">
        <f>'Policy A'!H46-'Policy B'!H46</f>
        <v>0</v>
      </c>
      <c r="I46" s="14">
        <f>'Policy A'!I46-'Policy B'!I46</f>
        <v>0</v>
      </c>
      <c r="J46" s="14">
        <f>'Policy A'!J46-'Policy B'!J46</f>
        <v>0</v>
      </c>
      <c r="K46" s="14">
        <f>'Policy A'!K46-'Policy B'!K46</f>
        <v>0</v>
      </c>
      <c r="L46" t="s">
        <v>40</v>
      </c>
    </row>
    <row r="47" spans="1:12" x14ac:dyDescent="0.25">
      <c r="A47" t="str">
        <v>AF sulphates</v>
      </c>
      <c r="B47" s="14">
        <f>'Policy A'!B47-'Policy B'!B47</f>
        <v>0</v>
      </c>
      <c r="C47" s="14">
        <f>'Policy A'!C47-'Policy B'!C47</f>
        <v>0</v>
      </c>
      <c r="D47" s="14">
        <f>'Policy A'!D47-'Policy B'!D47</f>
        <v>0</v>
      </c>
      <c r="E47" s="14">
        <f>'Policy A'!E47-'Policy B'!E47</f>
        <v>0</v>
      </c>
      <c r="F47" s="14">
        <f>'Policy A'!F47-'Policy B'!F47</f>
        <v>0</v>
      </c>
      <c r="G47" s="14">
        <f>'Policy A'!G47-'Policy B'!G47</f>
        <v>0</v>
      </c>
      <c r="H47" s="14">
        <f>'Policy A'!H47-'Policy B'!H47</f>
        <v>0</v>
      </c>
      <c r="I47" s="14">
        <f>'Policy A'!I47-'Policy B'!I47</f>
        <v>0</v>
      </c>
      <c r="J47" s="14">
        <f>'Policy A'!J47-'Policy B'!J47</f>
        <v>0</v>
      </c>
      <c r="K47" s="14">
        <f>'Policy A'!K47-'Policy B'!K47</f>
        <v>0</v>
      </c>
      <c r="L47" t="s">
        <v>40</v>
      </c>
    </row>
    <row r="48" spans="1:12" x14ac:dyDescent="0.25">
      <c r="A48" t="str">
        <v>LA sulphates</v>
      </c>
      <c r="B48" s="14">
        <f>'Policy A'!B48-'Policy B'!B48</f>
        <v>0</v>
      </c>
      <c r="C48" s="14">
        <f>'Policy A'!C48-'Policy B'!C48</f>
        <v>0</v>
      </c>
      <c r="D48" s="14">
        <f>'Policy A'!D48-'Policy B'!D48</f>
        <v>0</v>
      </c>
      <c r="E48" s="14">
        <f>'Policy A'!E48-'Policy B'!E48</f>
        <v>0</v>
      </c>
      <c r="F48" s="14">
        <f>'Policy A'!F48-'Policy B'!F48</f>
        <v>0</v>
      </c>
      <c r="G48" s="14">
        <f>'Policy A'!G48-'Policy B'!G48</f>
        <v>0</v>
      </c>
      <c r="H48" s="14">
        <f>'Policy A'!H48-'Policy B'!H48</f>
        <v>0</v>
      </c>
      <c r="I48" s="14">
        <f>'Policy A'!I48-'Policy B'!I48</f>
        <v>0</v>
      </c>
      <c r="J48" s="14">
        <f>'Policy A'!J48-'Policy B'!J48</f>
        <v>0</v>
      </c>
      <c r="K48" s="14">
        <f>'Policy A'!K48-'Policy B'!K48</f>
        <v>0</v>
      </c>
      <c r="L48" t="s">
        <v>40</v>
      </c>
    </row>
    <row r="49" spans="1:12" x14ac:dyDescent="0.25">
      <c r="B49" s="4"/>
      <c r="C49" s="4"/>
      <c r="D49" s="4"/>
      <c r="E49" s="4"/>
      <c r="F49" s="4"/>
      <c r="G49" s="4"/>
      <c r="H49" s="4"/>
      <c r="I49" s="4"/>
      <c r="J49" s="4"/>
      <c r="K49" s="4"/>
    </row>
    <row r="50" spans="1:12" x14ac:dyDescent="0.25">
      <c r="A50" t="s">
        <v>37</v>
      </c>
      <c r="B50" s="33">
        <f>'Policy A'!B50-'Policy B'!B50</f>
        <v>0</v>
      </c>
      <c r="C50" s="33">
        <f>'Policy A'!C50-'Policy B'!C50</f>
        <v>0</v>
      </c>
      <c r="D50" s="33">
        <f>'Policy A'!D50-'Policy B'!D50</f>
        <v>0</v>
      </c>
      <c r="E50" s="33">
        <f>'Policy A'!E50-'Policy B'!E50</f>
        <v>0</v>
      </c>
      <c r="F50" s="33">
        <f>'Policy A'!F50-'Policy B'!F50</f>
        <v>0</v>
      </c>
      <c r="G50" s="33">
        <f>'Policy A'!G50-'Policy B'!G50</f>
        <v>0</v>
      </c>
      <c r="H50" s="33">
        <f>'Policy A'!H50-'Policy B'!H50</f>
        <v>0</v>
      </c>
      <c r="I50" s="33">
        <f>'Policy A'!I50-'Policy B'!I50</f>
        <v>0</v>
      </c>
      <c r="J50" s="33">
        <f>'Policy A'!J50-'Policy B'!J50</f>
        <v>0</v>
      </c>
      <c r="K50" s="33">
        <f>'Policy A'!K50-'Policy B'!K50</f>
        <v>0</v>
      </c>
      <c r="L50" t="s">
        <v>44</v>
      </c>
    </row>
    <row r="51" spans="1:12" x14ac:dyDescent="0.25">
      <c r="B51" s="61"/>
      <c r="C51" s="61"/>
      <c r="D51" s="61"/>
      <c r="E51" s="61"/>
      <c r="F51" s="61"/>
      <c r="G51" s="61"/>
      <c r="H51" s="61"/>
      <c r="I51" s="61"/>
      <c r="J51" s="61"/>
      <c r="K51" s="61"/>
    </row>
    <row r="52" spans="1:12" ht="13" x14ac:dyDescent="0.3">
      <c r="A52" s="2" t="s">
        <v>197</v>
      </c>
    </row>
    <row r="53" spans="1:12" ht="13" x14ac:dyDescent="0.3">
      <c r="A53" s="2"/>
    </row>
    <row r="54" spans="1:12" ht="13" x14ac:dyDescent="0.3">
      <c r="A54" s="2"/>
    </row>
    <row r="55" spans="1:12" ht="13" x14ac:dyDescent="0.3">
      <c r="A55" s="2"/>
      <c r="B55" s="3" t="s">
        <v>202</v>
      </c>
      <c r="C55" s="3" t="s">
        <v>198</v>
      </c>
      <c r="D55" s="3" t="s">
        <v>199</v>
      </c>
      <c r="F55" s="3" t="s">
        <v>410</v>
      </c>
      <c r="G55" s="3" t="s">
        <v>200</v>
      </c>
      <c r="H55" s="3" t="s">
        <v>201</v>
      </c>
      <c r="I55" s="3" t="s">
        <v>411</v>
      </c>
    </row>
    <row r="56" spans="1:12" s="2" customFormat="1" ht="13" x14ac:dyDescent="0.3">
      <c r="A56" t="str">
        <f t="array" ref="A56:A63">R_CODE&amp;" sea level"</f>
        <v>EU sea level</v>
      </c>
      <c r="B56" s="14">
        <f>'Policy A'!B56-'Policy B'!B56</f>
        <v>0</v>
      </c>
      <c r="C56" s="14">
        <f>'Policy A'!C56-'Policy B'!C56</f>
        <v>0</v>
      </c>
      <c r="D56" s="14">
        <f>'Policy A'!D56-'Policy B'!D56</f>
        <v>0</v>
      </c>
      <c r="E56"/>
      <c r="F56" s="14">
        <f>'Policy A'!F56-'Policy B'!F56</f>
        <v>0</v>
      </c>
      <c r="G56" s="14">
        <f>'Policy A'!G56-'Policy B'!G56</f>
        <v>0</v>
      </c>
      <c r="H56" s="14">
        <f>'Policy A'!H56-'Policy B'!H56</f>
        <v>0</v>
      </c>
      <c r="I56" s="14">
        <f>'Policy A'!I56-'Policy B'!I56</f>
        <v>0</v>
      </c>
      <c r="J56"/>
      <c r="K56"/>
      <c r="L56"/>
    </row>
    <row r="57" spans="1:12" x14ac:dyDescent="0.25">
      <c r="A57" t="str">
        <v>US sea level</v>
      </c>
      <c r="B57" s="14">
        <f>'Policy A'!B57-'Policy B'!B57</f>
        <v>0</v>
      </c>
      <c r="C57" s="14">
        <f>'Policy A'!C57-'Policy B'!C57</f>
        <v>0</v>
      </c>
      <c r="D57" s="14">
        <f>'Policy A'!D57-'Policy B'!D57</f>
        <v>0</v>
      </c>
      <c r="F57" s="14">
        <f>'Policy A'!F57-'Policy B'!F57</f>
        <v>0</v>
      </c>
      <c r="G57" s="14">
        <f>'Policy A'!G57-'Policy B'!G57</f>
        <v>0</v>
      </c>
      <c r="H57" s="14">
        <f>'Policy A'!H57-'Policy B'!H57</f>
        <v>0</v>
      </c>
      <c r="I57" s="14">
        <f>'Policy A'!I57-'Policy B'!I57</f>
        <v>0</v>
      </c>
    </row>
    <row r="58" spans="1:12" x14ac:dyDescent="0.25">
      <c r="A58" t="str">
        <v>OT sea level</v>
      </c>
      <c r="B58" s="14">
        <f>'Policy A'!B58-'Policy B'!B58</f>
        <v>0</v>
      </c>
      <c r="C58" s="14">
        <f>'Policy A'!C58-'Policy B'!C58</f>
        <v>0</v>
      </c>
      <c r="D58" s="14">
        <f>'Policy A'!D58-'Policy B'!D58</f>
        <v>0</v>
      </c>
      <c r="F58" s="14">
        <f>'Policy A'!F58-'Policy B'!F58</f>
        <v>0</v>
      </c>
      <c r="G58" s="14">
        <f>'Policy A'!G58-'Policy B'!G58</f>
        <v>0</v>
      </c>
      <c r="H58" s="14">
        <f>'Policy A'!H58-'Policy B'!H58</f>
        <v>0</v>
      </c>
      <c r="I58" s="14">
        <f>'Policy A'!I58-'Policy B'!I58</f>
        <v>0</v>
      </c>
    </row>
    <row r="59" spans="1:12" x14ac:dyDescent="0.25">
      <c r="A59" t="str">
        <v>EE sea level</v>
      </c>
      <c r="B59" s="14">
        <f>'Policy A'!B59-'Policy B'!B59</f>
        <v>0</v>
      </c>
      <c r="C59" s="14">
        <f>'Policy A'!C59-'Policy B'!C59</f>
        <v>0</v>
      </c>
      <c r="D59" s="14">
        <f>'Policy A'!D59-'Policy B'!D59</f>
        <v>0</v>
      </c>
      <c r="F59" s="14">
        <f>'Policy A'!F59-'Policy B'!F59</f>
        <v>0</v>
      </c>
      <c r="G59" s="14">
        <f>'Policy A'!G59-'Policy B'!G59</f>
        <v>0</v>
      </c>
      <c r="H59" s="14">
        <f>'Policy A'!H59-'Policy B'!H59</f>
        <v>0</v>
      </c>
      <c r="I59" s="14">
        <f>'Policy A'!I59-'Policy B'!I59</f>
        <v>0</v>
      </c>
    </row>
    <row r="60" spans="1:12" x14ac:dyDescent="0.25">
      <c r="A60" t="str">
        <v>CA sea level</v>
      </c>
      <c r="B60" s="14">
        <f>'Policy A'!B60-'Policy B'!B60</f>
        <v>0</v>
      </c>
      <c r="C60" s="14">
        <f>'Policy A'!C60-'Policy B'!C60</f>
        <v>0</v>
      </c>
      <c r="D60" s="14">
        <f>'Policy A'!D60-'Policy B'!D60</f>
        <v>0</v>
      </c>
      <c r="F60" s="14">
        <f>'Policy A'!F60-'Policy B'!F60</f>
        <v>0</v>
      </c>
      <c r="G60" s="14">
        <f>'Policy A'!G60-'Policy B'!G60</f>
        <v>0</v>
      </c>
      <c r="H60" s="14">
        <f>'Policy A'!H60-'Policy B'!H60</f>
        <v>0</v>
      </c>
      <c r="I60" s="14">
        <f>'Policy A'!I60-'Policy B'!I60</f>
        <v>0</v>
      </c>
    </row>
    <row r="61" spans="1:12" x14ac:dyDescent="0.25">
      <c r="A61" t="str">
        <v>IA sea level</v>
      </c>
      <c r="B61" s="14">
        <f>'Policy A'!B61-'Policy B'!B61</f>
        <v>0</v>
      </c>
      <c r="C61" s="14">
        <f>'Policy A'!C61-'Policy B'!C61</f>
        <v>0</v>
      </c>
      <c r="D61" s="14">
        <f>'Policy A'!D61-'Policy B'!D61</f>
        <v>0</v>
      </c>
      <c r="F61" s="14">
        <f>'Policy A'!F61-'Policy B'!F61</f>
        <v>0</v>
      </c>
      <c r="G61" s="14">
        <f>'Policy A'!G61-'Policy B'!G61</f>
        <v>0</v>
      </c>
      <c r="H61" s="14">
        <f>'Policy A'!H61-'Policy B'!H61</f>
        <v>0</v>
      </c>
      <c r="I61" s="14">
        <f>'Policy A'!I61-'Policy B'!I61</f>
        <v>0</v>
      </c>
    </row>
    <row r="62" spans="1:12" x14ac:dyDescent="0.25">
      <c r="A62" t="str">
        <v>AF sea level</v>
      </c>
      <c r="B62" s="14">
        <f>'Policy A'!B62-'Policy B'!B62</f>
        <v>0</v>
      </c>
      <c r="C62" s="14">
        <f>'Policy A'!C62-'Policy B'!C62</f>
        <v>0</v>
      </c>
      <c r="D62" s="14">
        <f>'Policy A'!D62-'Policy B'!D62</f>
        <v>0</v>
      </c>
      <c r="F62" s="14">
        <f>'Policy A'!F62-'Policy B'!F62</f>
        <v>0</v>
      </c>
      <c r="G62" s="14">
        <f>'Policy A'!G62-'Policy B'!G62</f>
        <v>0</v>
      </c>
      <c r="H62" s="14">
        <f>'Policy A'!H62-'Policy B'!H62</f>
        <v>0</v>
      </c>
      <c r="I62" s="14">
        <f>'Policy A'!I62-'Policy B'!I62</f>
        <v>0</v>
      </c>
    </row>
    <row r="63" spans="1:12" x14ac:dyDescent="0.25">
      <c r="A63" t="str">
        <v>LA sea level</v>
      </c>
      <c r="B63" s="14">
        <f>'Policy A'!B63-'Policy B'!B63</f>
        <v>0</v>
      </c>
      <c r="C63" s="14">
        <f>'Policy A'!C63-'Policy B'!C63</f>
        <v>0</v>
      </c>
      <c r="D63" s="14">
        <f>'Policy A'!D63-'Policy B'!D63</f>
        <v>0</v>
      </c>
      <c r="F63" s="14">
        <f>'Policy A'!F63-'Policy B'!F63</f>
        <v>0</v>
      </c>
      <c r="G63" s="14">
        <f>'Policy A'!G63-'Policy B'!G63</f>
        <v>0</v>
      </c>
      <c r="H63" s="14">
        <f>'Policy A'!H63-'Policy B'!H63</f>
        <v>0</v>
      </c>
      <c r="I63" s="14">
        <f>'Policy A'!I63-'Policy B'!I63</f>
        <v>0</v>
      </c>
    </row>
    <row r="68" spans="1:9" ht="13" x14ac:dyDescent="0.3">
      <c r="A68" s="2"/>
      <c r="B68" s="3" t="s">
        <v>202</v>
      </c>
      <c r="C68" s="3" t="s">
        <v>198</v>
      </c>
      <c r="D68" s="3" t="s">
        <v>199</v>
      </c>
      <c r="F68" s="3" t="s">
        <v>410</v>
      </c>
      <c r="G68" s="3" t="s">
        <v>200</v>
      </c>
      <c r="H68" s="3" t="s">
        <v>201</v>
      </c>
      <c r="I68" s="3" t="s">
        <v>411</v>
      </c>
    </row>
    <row r="69" spans="1:9" x14ac:dyDescent="0.25">
      <c r="A69" t="str">
        <f t="array" ref="A69:A76">R_CODE&amp;" "&amp;I_1_NAME</f>
        <v>EU Economic</v>
      </c>
      <c r="B69" s="14">
        <f>'Policy A'!B69-'Policy B'!B69</f>
        <v>0</v>
      </c>
      <c r="C69" s="14">
        <f>'Policy A'!C69-'Policy B'!C69</f>
        <v>0</v>
      </c>
      <c r="D69" s="14">
        <f>'Policy A'!D69-'Policy B'!D69</f>
        <v>0</v>
      </c>
      <c r="F69" s="14">
        <f>'Policy A'!F69-'Policy B'!F69</f>
        <v>0</v>
      </c>
      <c r="G69" s="14">
        <f>'Policy A'!G69-'Policy B'!G69</f>
        <v>0</v>
      </c>
      <c r="H69" s="14">
        <f>'Policy A'!H69-'Policy B'!H69</f>
        <v>0</v>
      </c>
      <c r="I69" s="14">
        <f>'Policy A'!I69-'Policy B'!I69</f>
        <v>0</v>
      </c>
    </row>
    <row r="70" spans="1:9" x14ac:dyDescent="0.25">
      <c r="A70" t="str">
        <v>US Economic</v>
      </c>
      <c r="B70" s="14">
        <f>'Policy A'!B70-'Policy B'!B70</f>
        <v>0</v>
      </c>
      <c r="C70" s="14">
        <f>'Policy A'!C70-'Policy B'!C70</f>
        <v>0</v>
      </c>
      <c r="D70" s="14">
        <f>'Policy A'!D70-'Policy B'!D70</f>
        <v>0</v>
      </c>
      <c r="F70" s="14">
        <f>'Policy A'!F70-'Policy B'!F70</f>
        <v>0</v>
      </c>
      <c r="G70" s="14">
        <f>'Policy A'!G70-'Policy B'!G70</f>
        <v>0</v>
      </c>
      <c r="H70" s="14">
        <f>'Policy A'!H70-'Policy B'!H70</f>
        <v>0</v>
      </c>
      <c r="I70" s="14">
        <f>'Policy A'!I70-'Policy B'!I70</f>
        <v>0</v>
      </c>
    </row>
    <row r="71" spans="1:9" x14ac:dyDescent="0.25">
      <c r="A71" t="str">
        <v>OT Economic</v>
      </c>
      <c r="B71" s="14">
        <f>'Policy A'!B71-'Policy B'!B71</f>
        <v>0</v>
      </c>
      <c r="C71" s="14">
        <f>'Policy A'!C71-'Policy B'!C71</f>
        <v>0</v>
      </c>
      <c r="D71" s="14">
        <f>'Policy A'!D71-'Policy B'!D71</f>
        <v>0</v>
      </c>
      <c r="F71" s="14">
        <f>'Policy A'!F71-'Policy B'!F71</f>
        <v>0</v>
      </c>
      <c r="G71" s="14">
        <f>'Policy A'!G71-'Policy B'!G71</f>
        <v>0</v>
      </c>
      <c r="H71" s="14">
        <f>'Policy A'!H71-'Policy B'!H71</f>
        <v>0</v>
      </c>
      <c r="I71" s="14">
        <f>'Policy A'!I71-'Policy B'!I71</f>
        <v>0</v>
      </c>
    </row>
    <row r="72" spans="1:9" x14ac:dyDescent="0.25">
      <c r="A72" t="str">
        <v>EE Economic</v>
      </c>
      <c r="B72" s="14">
        <f>'Policy A'!B72-'Policy B'!B72</f>
        <v>0</v>
      </c>
      <c r="C72" s="14">
        <f>'Policy A'!C72-'Policy B'!C72</f>
        <v>0</v>
      </c>
      <c r="D72" s="14">
        <f>'Policy A'!D72-'Policy B'!D72</f>
        <v>0</v>
      </c>
      <c r="F72" s="14">
        <f>'Policy A'!F72-'Policy B'!F72</f>
        <v>0</v>
      </c>
      <c r="G72" s="14">
        <f>'Policy A'!G72-'Policy B'!G72</f>
        <v>0</v>
      </c>
      <c r="H72" s="14">
        <f>'Policy A'!H72-'Policy B'!H72</f>
        <v>0</v>
      </c>
      <c r="I72" s="14">
        <f>'Policy A'!I72-'Policy B'!I72</f>
        <v>0</v>
      </c>
    </row>
    <row r="73" spans="1:9" x14ac:dyDescent="0.25">
      <c r="A73" t="str">
        <v>CA Economic</v>
      </c>
      <c r="B73" s="14">
        <f>'Policy A'!B73-'Policy B'!B73</f>
        <v>0</v>
      </c>
      <c r="C73" s="14">
        <f>'Policy A'!C73-'Policy B'!C73</f>
        <v>0</v>
      </c>
      <c r="D73" s="14">
        <f>'Policy A'!D73-'Policy B'!D73</f>
        <v>0</v>
      </c>
      <c r="F73" s="14">
        <f>'Policy A'!F73-'Policy B'!F73</f>
        <v>0</v>
      </c>
      <c r="G73" s="14">
        <f>'Policy A'!G73-'Policy B'!G73</f>
        <v>0</v>
      </c>
      <c r="H73" s="14">
        <f>'Policy A'!H73-'Policy B'!H73</f>
        <v>0</v>
      </c>
      <c r="I73" s="14">
        <f>'Policy A'!I73-'Policy B'!I73</f>
        <v>0</v>
      </c>
    </row>
    <row r="74" spans="1:9" x14ac:dyDescent="0.25">
      <c r="A74" t="str">
        <v>IA Economic</v>
      </c>
      <c r="B74" s="14">
        <f>'Policy A'!B74-'Policy B'!B74</f>
        <v>0</v>
      </c>
      <c r="C74" s="14">
        <f>'Policy A'!C74-'Policy B'!C74</f>
        <v>0</v>
      </c>
      <c r="D74" s="14">
        <f>'Policy A'!D74-'Policy B'!D74</f>
        <v>0</v>
      </c>
      <c r="F74" s="14">
        <f>'Policy A'!F74-'Policy B'!F74</f>
        <v>0</v>
      </c>
      <c r="G74" s="14">
        <f>'Policy A'!G74-'Policy B'!G74</f>
        <v>0</v>
      </c>
      <c r="H74" s="14">
        <f>'Policy A'!H74-'Policy B'!H74</f>
        <v>0</v>
      </c>
      <c r="I74" s="14">
        <f>'Policy A'!I74-'Policy B'!I74</f>
        <v>0</v>
      </c>
    </row>
    <row r="75" spans="1:9" x14ac:dyDescent="0.25">
      <c r="A75" t="str">
        <v>AF Economic</v>
      </c>
      <c r="B75" s="14">
        <f>'Policy A'!B75-'Policy B'!B75</f>
        <v>0</v>
      </c>
      <c r="C75" s="14">
        <f>'Policy A'!C75-'Policy B'!C75</f>
        <v>0</v>
      </c>
      <c r="D75" s="14">
        <f>'Policy A'!D75-'Policy B'!D75</f>
        <v>0</v>
      </c>
      <c r="F75" s="14">
        <f>'Policy A'!F75-'Policy B'!F75</f>
        <v>0</v>
      </c>
      <c r="G75" s="14">
        <f>'Policy A'!G75-'Policy B'!G75</f>
        <v>0</v>
      </c>
      <c r="H75" s="14">
        <f>'Policy A'!H75-'Policy B'!H75</f>
        <v>0</v>
      </c>
      <c r="I75" s="14">
        <f>'Policy A'!I75-'Policy B'!I75</f>
        <v>0</v>
      </c>
    </row>
    <row r="76" spans="1:9" x14ac:dyDescent="0.25">
      <c r="A76" t="str">
        <v>LA Economic</v>
      </c>
      <c r="B76" s="14">
        <f>'Policy A'!B76-'Policy B'!B76</f>
        <v>0</v>
      </c>
      <c r="C76" s="14">
        <f>'Policy A'!C76-'Policy B'!C76</f>
        <v>0</v>
      </c>
      <c r="D76" s="14">
        <f>'Policy A'!D76-'Policy B'!D76</f>
        <v>0</v>
      </c>
      <c r="F76" s="14">
        <f>'Policy A'!F76-'Policy B'!F76</f>
        <v>0</v>
      </c>
      <c r="G76" s="14">
        <f>'Policy A'!G76-'Policy B'!G76</f>
        <v>0</v>
      </c>
      <c r="H76" s="14">
        <f>'Policy A'!H76-'Policy B'!H76</f>
        <v>0</v>
      </c>
      <c r="I76" s="14">
        <f>'Policy A'!I76-'Policy B'!I76</f>
        <v>0</v>
      </c>
    </row>
    <row r="81" spans="1:9" ht="13" x14ac:dyDescent="0.3">
      <c r="A81" s="2"/>
      <c r="B81" s="3" t="s">
        <v>202</v>
      </c>
      <c r="C81" s="3" t="s">
        <v>198</v>
      </c>
      <c r="D81" s="3" t="s">
        <v>199</v>
      </c>
      <c r="F81" s="3" t="s">
        <v>410</v>
      </c>
      <c r="G81" s="3" t="s">
        <v>200</v>
      </c>
      <c r="H81" s="3" t="s">
        <v>201</v>
      </c>
      <c r="I81" s="3" t="s">
        <v>411</v>
      </c>
    </row>
    <row r="82" spans="1:9" x14ac:dyDescent="0.25">
      <c r="A82" t="str">
        <f t="array" ref="A82:A89">R_CODE&amp;" "&amp;I_2_NAME</f>
        <v>EU Non-econ</v>
      </c>
      <c r="B82" s="14">
        <f>'Policy A'!B82-'Policy B'!B82</f>
        <v>0</v>
      </c>
      <c r="C82" s="14">
        <f>'Policy A'!C82-'Policy B'!C82</f>
        <v>0</v>
      </c>
      <c r="D82" s="14">
        <f>'Policy A'!D82-'Policy B'!D82</f>
        <v>0</v>
      </c>
      <c r="F82" s="14">
        <f>'Policy A'!F82-'Policy B'!F82</f>
        <v>0</v>
      </c>
      <c r="G82" s="14">
        <f>'Policy A'!G82-'Policy B'!G82</f>
        <v>0</v>
      </c>
      <c r="H82" s="14">
        <f>'Policy A'!H82-'Policy B'!H82</f>
        <v>0</v>
      </c>
      <c r="I82" s="14">
        <f>'Policy A'!I82-'Policy B'!I82</f>
        <v>0</v>
      </c>
    </row>
    <row r="83" spans="1:9" x14ac:dyDescent="0.25">
      <c r="A83" t="str">
        <v>US Non-econ</v>
      </c>
      <c r="B83" s="14">
        <f>'Policy A'!B83-'Policy B'!B83</f>
        <v>0</v>
      </c>
      <c r="C83" s="14">
        <f>'Policy A'!C83-'Policy B'!C83</f>
        <v>0</v>
      </c>
      <c r="D83" s="14">
        <f>'Policy A'!D83-'Policy B'!D83</f>
        <v>0</v>
      </c>
      <c r="F83" s="14">
        <f>'Policy A'!F83-'Policy B'!F83</f>
        <v>0</v>
      </c>
      <c r="G83" s="14">
        <f>'Policy A'!G83-'Policy B'!G83</f>
        <v>0</v>
      </c>
      <c r="H83" s="14">
        <f>'Policy A'!H83-'Policy B'!H83</f>
        <v>0</v>
      </c>
      <c r="I83" s="14">
        <f>'Policy A'!I83-'Policy B'!I83</f>
        <v>0</v>
      </c>
    </row>
    <row r="84" spans="1:9" x14ac:dyDescent="0.25">
      <c r="A84" t="str">
        <v>OT Non-econ</v>
      </c>
      <c r="B84" s="14">
        <f>'Policy A'!B84-'Policy B'!B84</f>
        <v>0</v>
      </c>
      <c r="C84" s="14">
        <f>'Policy A'!C84-'Policy B'!C84</f>
        <v>0</v>
      </c>
      <c r="D84" s="14">
        <f>'Policy A'!D84-'Policy B'!D84</f>
        <v>0</v>
      </c>
      <c r="F84" s="14">
        <f>'Policy A'!F84-'Policy B'!F84</f>
        <v>0</v>
      </c>
      <c r="G84" s="14">
        <f>'Policy A'!G84-'Policy B'!G84</f>
        <v>0</v>
      </c>
      <c r="H84" s="14">
        <f>'Policy A'!H84-'Policy B'!H84</f>
        <v>0</v>
      </c>
      <c r="I84" s="14">
        <f>'Policy A'!I84-'Policy B'!I84</f>
        <v>0</v>
      </c>
    </row>
    <row r="85" spans="1:9" x14ac:dyDescent="0.25">
      <c r="A85" t="str">
        <v>EE Non-econ</v>
      </c>
      <c r="B85" s="14">
        <f>'Policy A'!B85-'Policy B'!B85</f>
        <v>0</v>
      </c>
      <c r="C85" s="14">
        <f>'Policy A'!C85-'Policy B'!C85</f>
        <v>0</v>
      </c>
      <c r="D85" s="14">
        <f>'Policy A'!D85-'Policy B'!D85</f>
        <v>0</v>
      </c>
      <c r="F85" s="14">
        <f>'Policy A'!F85-'Policy B'!F85</f>
        <v>0</v>
      </c>
      <c r="G85" s="14">
        <f>'Policy A'!G85-'Policy B'!G85</f>
        <v>0</v>
      </c>
      <c r="H85" s="14">
        <f>'Policy A'!H85-'Policy B'!H85</f>
        <v>0</v>
      </c>
      <c r="I85" s="14">
        <f>'Policy A'!I85-'Policy B'!I85</f>
        <v>0</v>
      </c>
    </row>
    <row r="86" spans="1:9" x14ac:dyDescent="0.25">
      <c r="A86" t="str">
        <v>CA Non-econ</v>
      </c>
      <c r="B86" s="14">
        <f>'Policy A'!B86-'Policy B'!B86</f>
        <v>0</v>
      </c>
      <c r="C86" s="14">
        <f>'Policy A'!C86-'Policy B'!C86</f>
        <v>0</v>
      </c>
      <c r="D86" s="14">
        <f>'Policy A'!D86-'Policy B'!D86</f>
        <v>0</v>
      </c>
      <c r="F86" s="14">
        <f>'Policy A'!F86-'Policy B'!F86</f>
        <v>0</v>
      </c>
      <c r="G86" s="14">
        <f>'Policy A'!G86-'Policy B'!G86</f>
        <v>0</v>
      </c>
      <c r="H86" s="14">
        <f>'Policy A'!H86-'Policy B'!H86</f>
        <v>0</v>
      </c>
      <c r="I86" s="14">
        <f>'Policy A'!I86-'Policy B'!I86</f>
        <v>0</v>
      </c>
    </row>
    <row r="87" spans="1:9" x14ac:dyDescent="0.25">
      <c r="A87" t="str">
        <v>IA Non-econ</v>
      </c>
      <c r="B87" s="14">
        <f>'Policy A'!B87-'Policy B'!B87</f>
        <v>0</v>
      </c>
      <c r="C87" s="14">
        <f>'Policy A'!C87-'Policy B'!C87</f>
        <v>0</v>
      </c>
      <c r="D87" s="14">
        <f>'Policy A'!D87-'Policy B'!D87</f>
        <v>0</v>
      </c>
      <c r="F87" s="14">
        <f>'Policy A'!F87-'Policy B'!F87</f>
        <v>0</v>
      </c>
      <c r="G87" s="14">
        <f>'Policy A'!G87-'Policy B'!G87</f>
        <v>0</v>
      </c>
      <c r="H87" s="14">
        <f>'Policy A'!H87-'Policy B'!H87</f>
        <v>0</v>
      </c>
      <c r="I87" s="14">
        <f>'Policy A'!I87-'Policy B'!I87</f>
        <v>0</v>
      </c>
    </row>
    <row r="88" spans="1:9" x14ac:dyDescent="0.25">
      <c r="A88" t="str">
        <v>AF Non-econ</v>
      </c>
      <c r="B88" s="14">
        <f>'Policy A'!B88-'Policy B'!B88</f>
        <v>0</v>
      </c>
      <c r="C88" s="14">
        <f>'Policy A'!C88-'Policy B'!C88</f>
        <v>0</v>
      </c>
      <c r="D88" s="14">
        <f>'Policy A'!D88-'Policy B'!D88</f>
        <v>0</v>
      </c>
      <c r="F88" s="14">
        <f>'Policy A'!F88-'Policy B'!F88</f>
        <v>0</v>
      </c>
      <c r="G88" s="14">
        <f>'Policy A'!G88-'Policy B'!G88</f>
        <v>0</v>
      </c>
      <c r="H88" s="14">
        <f>'Policy A'!H88-'Policy B'!H88</f>
        <v>0</v>
      </c>
      <c r="I88" s="14">
        <f>'Policy A'!I88-'Policy B'!I88</f>
        <v>0</v>
      </c>
    </row>
    <row r="89" spans="1:9" x14ac:dyDescent="0.25">
      <c r="A89" t="str">
        <v>LA Non-econ</v>
      </c>
      <c r="B89" s="14">
        <f>'Policy A'!B89-'Policy B'!B89</f>
        <v>0</v>
      </c>
      <c r="C89" s="14">
        <f>'Policy A'!C89-'Policy B'!C89</f>
        <v>0</v>
      </c>
      <c r="D89" s="14">
        <f>'Policy A'!D89-'Policy B'!D89</f>
        <v>0</v>
      </c>
      <c r="F89" s="14">
        <f>'Policy A'!F89-'Policy B'!F89</f>
        <v>0</v>
      </c>
      <c r="G89" s="14">
        <f>'Policy A'!G89-'Policy B'!G89</f>
        <v>0</v>
      </c>
      <c r="H89" s="14">
        <f>'Policy A'!H89-'Policy B'!H89</f>
        <v>0</v>
      </c>
      <c r="I89" s="14">
        <f>'Policy A'!I89-'Policy B'!I89</f>
        <v>0</v>
      </c>
    </row>
  </sheetData>
  <pageMargins left="0.75" right="0.75" top="1" bottom="1" header="0.5" footer="0.5"/>
  <pageSetup paperSize="9" orientation="portrait" horizontalDpi="36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142"/>
  <sheetViews>
    <sheetView workbookViewId="0">
      <selection sqref="A1:L1048576"/>
    </sheetView>
  </sheetViews>
  <sheetFormatPr defaultRowHeight="12.5" x14ac:dyDescent="0.25"/>
  <cols>
    <col min="1" max="12" width="10.54296875" customWidth="1"/>
    <col min="13" max="13" width="8.54296875" bestFit="1" customWidth="1"/>
  </cols>
  <sheetData>
    <row r="1" spans="1:17" ht="13" x14ac:dyDescent="0.3">
      <c r="A1" s="2" t="str">
        <f>MODEL_NAME</f>
        <v>PAGE-ICE Nonlinear Arctic Feedbacks</v>
      </c>
      <c r="B1" t="s">
        <v>39</v>
      </c>
      <c r="C1" s="51" t="str">
        <f>VERSION</f>
        <v>6.22</v>
      </c>
    </row>
    <row r="3" spans="1:17" ht="13" x14ac:dyDescent="0.3">
      <c r="A3" s="2" t="s">
        <v>574</v>
      </c>
    </row>
    <row r="4" spans="1:17" s="2" customFormat="1" ht="13" x14ac:dyDescent="0.3">
      <c r="A4" s="2" t="s">
        <v>573</v>
      </c>
      <c r="B4" s="2">
        <f>Y_0</f>
        <v>2015</v>
      </c>
      <c r="C4" s="2">
        <f t="array" ref="C4:L4">Y</f>
        <v>2020</v>
      </c>
      <c r="D4" s="2">
        <v>2030</v>
      </c>
      <c r="E4" s="2">
        <v>2040</v>
      </c>
      <c r="F4" s="2">
        <v>2050</v>
      </c>
      <c r="G4" s="2">
        <v>2075</v>
      </c>
      <c r="H4" s="2">
        <v>2100</v>
      </c>
      <c r="I4" s="2">
        <v>2150</v>
      </c>
      <c r="J4" s="2">
        <v>2200</v>
      </c>
      <c r="K4" s="2">
        <v>2250</v>
      </c>
      <c r="L4" s="2">
        <v>2300</v>
      </c>
    </row>
    <row r="5" spans="1:17" x14ac:dyDescent="0.25">
      <c r="A5" t="str">
        <f t="array" ref="A5:A12">R_CODE&amp;" "&amp;'Base data'!$B$12</f>
        <v>EU CO2</v>
      </c>
      <c r="B5" s="27">
        <f t="array" ref="B5:B12" xml:space="preserve"> E_CO2_0</f>
        <v>4392.7955908011572</v>
      </c>
      <c r="C5" s="27">
        <f t="array" ref="C5:L12" xml:space="preserve"> E_CO2_0 * er_co2_a/100</f>
        <v>4115.6979728110136</v>
      </c>
      <c r="D5" s="27">
        <v>2839.9663739856596</v>
      </c>
      <c r="E5" s="27">
        <v>1399.9960340866592</v>
      </c>
      <c r="F5" s="27">
        <v>697.78772579480312</v>
      </c>
      <c r="G5" s="27">
        <v>-290.28528853992231</v>
      </c>
      <c r="H5" s="27">
        <v>-411.64556026765376</v>
      </c>
      <c r="I5" s="27">
        <v>-411.64556026765376</v>
      </c>
      <c r="J5" s="27">
        <v>-411.64556026765376</v>
      </c>
      <c r="K5" s="27">
        <v>-411.64556026765376</v>
      </c>
      <c r="L5" s="27">
        <v>-411.64556026765376</v>
      </c>
      <c r="M5" t="str">
        <f>'Base data'!$F$35</f>
        <v>Mtonne</v>
      </c>
    </row>
    <row r="6" spans="1:17" x14ac:dyDescent="0.25">
      <c r="A6" t="str">
        <v>US CO2</v>
      </c>
      <c r="B6" s="28">
        <v>6172.5016891339619</v>
      </c>
      <c r="C6" s="28">
        <v>5783.1401812411668</v>
      </c>
      <c r="D6" s="28">
        <v>3990.5560999056352</v>
      </c>
      <c r="E6" s="28">
        <v>1967.1932614567029</v>
      </c>
      <c r="F6" s="28">
        <v>980.49085760893342</v>
      </c>
      <c r="G6" s="28">
        <v>-407.89205798593156</v>
      </c>
      <c r="H6" s="28">
        <v>-578.42047588041385</v>
      </c>
      <c r="I6" s="28">
        <v>-578.42047588041385</v>
      </c>
      <c r="J6" s="28">
        <v>-578.42047588041385</v>
      </c>
      <c r="K6" s="28">
        <v>-578.42047588041385</v>
      </c>
      <c r="L6" s="28">
        <v>-578.42047588041385</v>
      </c>
      <c r="M6" t="str">
        <f>'Base data'!$F$35</f>
        <v>Mtonne</v>
      </c>
    </row>
    <row r="7" spans="1:17" x14ac:dyDescent="0.25">
      <c r="A7" t="str">
        <v>OT CO2</v>
      </c>
      <c r="B7" s="28">
        <v>2433.951770163234</v>
      </c>
      <c r="C7" s="28">
        <v>2280.4180525398924</v>
      </c>
      <c r="D7" s="28">
        <v>1573.5631308776165</v>
      </c>
      <c r="E7" s="28">
        <v>775.70712202551363</v>
      </c>
      <c r="F7" s="28">
        <v>386.62888706976867</v>
      </c>
      <c r="G7" s="28">
        <v>-160.84071687142409</v>
      </c>
      <c r="H7" s="28">
        <v>-228.08378386451648</v>
      </c>
      <c r="I7" s="28">
        <v>-228.08378386451648</v>
      </c>
      <c r="J7" s="28">
        <v>-228.08378386451648</v>
      </c>
      <c r="K7" s="28">
        <v>-228.08378386451648</v>
      </c>
      <c r="L7" s="28">
        <v>-228.08378386451648</v>
      </c>
      <c r="M7" t="str">
        <f>'Base data'!$F$35</f>
        <v>Mtonne</v>
      </c>
    </row>
    <row r="8" spans="1:17" x14ac:dyDescent="0.25">
      <c r="A8" t="str">
        <v>EE CO2</v>
      </c>
      <c r="B8" s="28">
        <v>3379.0269604765044</v>
      </c>
      <c r="C8" s="28">
        <v>3202.4076086951377</v>
      </c>
      <c r="D8" s="28">
        <v>2142.0396740125425</v>
      </c>
      <c r="E8" s="28">
        <v>1321.3533776854476</v>
      </c>
      <c r="F8" s="28">
        <v>1052.494146505599</v>
      </c>
      <c r="G8" s="28">
        <v>102.81074945057918</v>
      </c>
      <c r="H8" s="28">
        <v>-156.16774761666755</v>
      </c>
      <c r="I8" s="28">
        <v>-156.16774761666755</v>
      </c>
      <c r="J8" s="28">
        <v>-156.16774761666755</v>
      </c>
      <c r="K8" s="28">
        <v>-156.16774761666755</v>
      </c>
      <c r="L8" s="28">
        <v>-156.16774761666755</v>
      </c>
      <c r="M8" t="str">
        <f>'Base data'!$F$35</f>
        <v>Mtonne</v>
      </c>
    </row>
    <row r="9" spans="1:17" x14ac:dyDescent="0.25">
      <c r="A9" t="str">
        <v>CA CO2</v>
      </c>
      <c r="B9" s="28">
        <v>9909.7682384326108</v>
      </c>
      <c r="C9" s="28">
        <v>10481.665022596222</v>
      </c>
      <c r="D9" s="28">
        <v>8167.1514437039559</v>
      </c>
      <c r="E9" s="28">
        <v>5166.046276641544</v>
      </c>
      <c r="F9" s="28">
        <v>3360.6674395590062</v>
      </c>
      <c r="G9" s="28">
        <v>-264.66777523840454</v>
      </c>
      <c r="H9" s="28">
        <v>-420.71401149385076</v>
      </c>
      <c r="I9" s="28">
        <v>-420.71401149385076</v>
      </c>
      <c r="J9" s="28">
        <v>-420.71401149385076</v>
      </c>
      <c r="K9" s="28">
        <v>-420.71401149385076</v>
      </c>
      <c r="L9" s="28">
        <v>-420.71401149385076</v>
      </c>
      <c r="M9" t="str">
        <f>'Base data'!$F$35</f>
        <v>Mtonne</v>
      </c>
    </row>
    <row r="10" spans="1:17" x14ac:dyDescent="0.25">
      <c r="A10" t="str">
        <v>IA CO2</v>
      </c>
      <c r="B10" s="28">
        <v>6027.524173801391</v>
      </c>
      <c r="C10" s="28">
        <v>6375.3750627956088</v>
      </c>
      <c r="D10" s="28">
        <v>4967.5937492770954</v>
      </c>
      <c r="E10" s="28">
        <v>3142.1995011619588</v>
      </c>
      <c r="F10" s="28">
        <v>2044.0946493066547</v>
      </c>
      <c r="G10" s="28">
        <v>-160.98170763356194</v>
      </c>
      <c r="H10" s="28">
        <v>-255.89537651359132</v>
      </c>
      <c r="I10" s="28">
        <v>-255.89537651359132</v>
      </c>
      <c r="J10" s="28">
        <v>-255.89537651359132</v>
      </c>
      <c r="K10" s="28">
        <v>-255.89537651359132</v>
      </c>
      <c r="L10" s="28">
        <v>-255.89537651359132</v>
      </c>
      <c r="M10" t="str">
        <f>'Base data'!$F$35</f>
        <v>Mtonne</v>
      </c>
    </row>
    <row r="11" spans="1:17" x14ac:dyDescent="0.25">
      <c r="A11" t="str">
        <v>AF CO2</v>
      </c>
      <c r="B11" s="28">
        <v>5185.4499997143866</v>
      </c>
      <c r="C11" s="28">
        <v>4423.0212822136918</v>
      </c>
      <c r="D11" s="28">
        <v>3965.4746492392051</v>
      </c>
      <c r="E11" s="28">
        <v>2818.4256824191461</v>
      </c>
      <c r="F11" s="28">
        <v>2169.9735299501976</v>
      </c>
      <c r="G11" s="28">
        <v>1134.7359757982956</v>
      </c>
      <c r="H11" s="28">
        <v>0</v>
      </c>
      <c r="I11" s="28">
        <v>0</v>
      </c>
      <c r="J11" s="28">
        <v>0</v>
      </c>
      <c r="K11" s="28">
        <v>0</v>
      </c>
      <c r="L11" s="28">
        <v>0</v>
      </c>
      <c r="M11" t="str">
        <f>'Base data'!$F$35</f>
        <v>Mtonne</v>
      </c>
    </row>
    <row r="12" spans="1:17" ht="13" thickBot="1" x14ac:dyDescent="0.3">
      <c r="A12" t="str">
        <v>LA CO2</v>
      </c>
      <c r="B12" s="36">
        <v>3722.8412632553154</v>
      </c>
      <c r="C12" s="36">
        <v>3164.4150737670179</v>
      </c>
      <c r="D12" s="36">
        <v>1994.6682888529845</v>
      </c>
      <c r="E12" s="36">
        <v>1657.3838505712722</v>
      </c>
      <c r="F12" s="36">
        <v>1327.8023504973726</v>
      </c>
      <c r="G12" s="36">
        <v>548.10214917971268</v>
      </c>
      <c r="H12" s="36">
        <v>0</v>
      </c>
      <c r="I12" s="36">
        <v>0</v>
      </c>
      <c r="J12" s="36">
        <v>0</v>
      </c>
      <c r="K12" s="36">
        <v>0</v>
      </c>
      <c r="L12" s="36">
        <v>0</v>
      </c>
      <c r="M12" t="str">
        <f>'Base data'!$F$35</f>
        <v>Mtonne</v>
      </c>
    </row>
    <row r="13" spans="1:17" s="2" customFormat="1" ht="13.5" thickTop="1" x14ac:dyDescent="0.3">
      <c r="A13" s="2" t="s">
        <v>791</v>
      </c>
    </row>
    <row r="14" spans="1:17" s="2" customFormat="1" ht="13" x14ac:dyDescent="0.3">
      <c r="A14" s="2" t="str">
        <f>"Total "&amp;'Base data'!B12</f>
        <v>Total CO2</v>
      </c>
      <c r="B14" s="43">
        <f>E_CO2_G_0</f>
        <v>41223.85968577856</v>
      </c>
      <c r="C14" s="43">
        <f t="shared" ref="C14:L14" si="0">SUM(C5:C12)</f>
        <v>39826.140256659754</v>
      </c>
      <c r="D14" s="43">
        <f t="shared" si="0"/>
        <v>29641.013409854695</v>
      </c>
      <c r="E14" s="43">
        <f t="shared" si="0"/>
        <v>18248.305106048247</v>
      </c>
      <c r="F14" s="43">
        <f t="shared" si="0"/>
        <v>12019.939586292334</v>
      </c>
      <c r="G14" s="43">
        <f t="shared" si="0"/>
        <v>500.98132815934298</v>
      </c>
      <c r="H14" s="43">
        <f t="shared" si="0"/>
        <v>-2050.9269556366935</v>
      </c>
      <c r="I14" s="43">
        <f t="shared" si="0"/>
        <v>-2050.9269556366935</v>
      </c>
      <c r="J14" s="43">
        <f t="shared" si="0"/>
        <v>-2050.9269556366935</v>
      </c>
      <c r="K14" s="43">
        <f t="shared" si="0"/>
        <v>-2050.9269556366935</v>
      </c>
      <c r="L14" s="43">
        <f t="shared" si="0"/>
        <v>-2050.9269556366935</v>
      </c>
      <c r="M14" s="2" t="str">
        <f>'Base data'!$F$35</f>
        <v>Mtonne</v>
      </c>
      <c r="Q14" s="124" t="s">
        <v>793</v>
      </c>
    </row>
    <row r="15" spans="1:17" s="2" customFormat="1" ht="13" x14ac:dyDescent="0.3">
      <c r="B15" s="44"/>
      <c r="C15" s="44"/>
      <c r="D15" s="44"/>
      <c r="E15" s="44"/>
      <c r="F15" s="44"/>
      <c r="G15" s="44"/>
      <c r="H15" s="44"/>
      <c r="I15" s="44"/>
      <c r="J15" s="44"/>
      <c r="K15" s="44"/>
      <c r="L15" s="44"/>
    </row>
    <row r="16" spans="1:17" s="2" customFormat="1" ht="13" x14ac:dyDescent="0.3">
      <c r="B16" s="44"/>
      <c r="C16" s="44"/>
      <c r="D16" s="44"/>
      <c r="E16" s="44"/>
      <c r="F16" s="44"/>
      <c r="G16" s="44"/>
      <c r="H16" s="44"/>
      <c r="I16" s="44"/>
      <c r="J16" s="44"/>
      <c r="K16" s="44"/>
      <c r="L16" s="44"/>
    </row>
    <row r="17" spans="2:12" s="2" customFormat="1" ht="13" x14ac:dyDescent="0.3">
      <c r="B17" s="44"/>
      <c r="C17" s="44"/>
      <c r="D17" s="44"/>
      <c r="E17" s="44"/>
      <c r="F17" s="44"/>
      <c r="G17" s="44"/>
      <c r="H17" s="44"/>
      <c r="I17" s="44"/>
      <c r="J17" s="44"/>
      <c r="K17" s="44"/>
      <c r="L17" s="44"/>
    </row>
    <row r="18" spans="2:12" s="2" customFormat="1" ht="13" x14ac:dyDescent="0.3">
      <c r="B18" s="44"/>
      <c r="C18" s="44"/>
      <c r="D18" s="44"/>
      <c r="E18" s="44"/>
      <c r="F18" s="44"/>
      <c r="G18" s="44"/>
      <c r="H18" s="44"/>
      <c r="I18" s="44"/>
      <c r="J18" s="44"/>
      <c r="K18" s="44"/>
      <c r="L18" s="44"/>
    </row>
    <row r="19" spans="2:12" s="2" customFormat="1" ht="13" x14ac:dyDescent="0.3">
      <c r="B19" s="44"/>
      <c r="C19" s="44"/>
      <c r="D19" s="44"/>
      <c r="E19" s="44"/>
      <c r="F19" s="44"/>
      <c r="G19" s="44"/>
      <c r="H19" s="44"/>
      <c r="I19" s="44"/>
      <c r="J19" s="44"/>
      <c r="K19" s="44"/>
      <c r="L19" s="44"/>
    </row>
    <row r="20" spans="2:12" s="2" customFormat="1" ht="13" x14ac:dyDescent="0.3">
      <c r="B20" s="44"/>
      <c r="C20" s="44"/>
      <c r="D20" s="44"/>
      <c r="E20" s="44"/>
      <c r="F20" s="44"/>
      <c r="G20" s="44"/>
      <c r="H20" s="44"/>
      <c r="I20" s="44"/>
      <c r="J20" s="44"/>
      <c r="K20" s="44"/>
      <c r="L20" s="44"/>
    </row>
    <row r="21" spans="2:12" s="2" customFormat="1" ht="13" x14ac:dyDescent="0.3">
      <c r="B21" s="44"/>
      <c r="C21" s="44"/>
      <c r="D21" s="44"/>
      <c r="E21" s="44"/>
      <c r="F21" s="44"/>
      <c r="G21" s="44"/>
      <c r="H21" s="44"/>
      <c r="I21" s="44"/>
      <c r="J21" s="44"/>
      <c r="K21" s="44"/>
      <c r="L21" s="44"/>
    </row>
    <row r="22" spans="2:12" s="2" customFormat="1" ht="13" x14ac:dyDescent="0.3">
      <c r="B22" s="44"/>
      <c r="C22" s="44"/>
      <c r="D22" s="44"/>
      <c r="E22" s="44"/>
      <c r="F22" s="44"/>
      <c r="G22" s="44"/>
      <c r="H22" s="44"/>
      <c r="I22" s="44"/>
      <c r="J22" s="44"/>
      <c r="K22" s="44"/>
      <c r="L22" s="44"/>
    </row>
    <row r="23" spans="2:12" s="2" customFormat="1" ht="13" x14ac:dyDescent="0.3">
      <c r="B23" s="44"/>
      <c r="C23" s="44"/>
      <c r="D23" s="44"/>
      <c r="E23" s="44"/>
      <c r="F23" s="44"/>
      <c r="G23" s="44"/>
      <c r="H23" s="44"/>
      <c r="I23" s="44"/>
      <c r="J23" s="44"/>
      <c r="K23" s="44"/>
      <c r="L23" s="44"/>
    </row>
    <row r="24" spans="2:12" s="2" customFormat="1" ht="13" x14ac:dyDescent="0.3">
      <c r="B24" s="44"/>
      <c r="C24" s="44"/>
      <c r="D24" s="44"/>
      <c r="E24" s="44"/>
      <c r="F24" s="44"/>
      <c r="G24" s="44"/>
      <c r="H24" s="44"/>
      <c r="I24" s="44"/>
      <c r="J24" s="44"/>
      <c r="K24" s="44"/>
      <c r="L24" s="44"/>
    </row>
    <row r="25" spans="2:12" s="2" customFormat="1" ht="13" x14ac:dyDescent="0.3">
      <c r="B25" s="44"/>
      <c r="C25" s="44"/>
      <c r="D25" s="44"/>
      <c r="E25" s="44"/>
      <c r="F25" s="44"/>
      <c r="G25" s="44"/>
      <c r="H25" s="44"/>
      <c r="I25" s="44"/>
      <c r="J25" s="44"/>
      <c r="K25" s="44"/>
      <c r="L25" s="44"/>
    </row>
    <row r="26" spans="2:12" s="2" customFormat="1" ht="13" x14ac:dyDescent="0.3">
      <c r="B26" s="44"/>
      <c r="C26" s="44"/>
      <c r="D26" s="44"/>
      <c r="E26" s="44"/>
      <c r="F26" s="44"/>
      <c r="G26" s="44"/>
      <c r="H26" s="44"/>
      <c r="I26" s="44"/>
      <c r="J26" s="44"/>
      <c r="K26" s="44"/>
      <c r="L26" s="44"/>
    </row>
    <row r="27" spans="2:12" s="2" customFormat="1" ht="13" x14ac:dyDescent="0.3">
      <c r="B27" s="44"/>
      <c r="C27" s="44"/>
      <c r="D27" s="44"/>
      <c r="E27" s="44"/>
      <c r="F27" s="44"/>
      <c r="G27" s="44"/>
      <c r="H27" s="44"/>
      <c r="I27" s="44"/>
      <c r="J27" s="44"/>
      <c r="K27" s="44"/>
      <c r="L27" s="44"/>
    </row>
    <row r="28" spans="2:12" s="2" customFormat="1" ht="13" x14ac:dyDescent="0.3">
      <c r="B28" s="44"/>
      <c r="C28" s="44"/>
      <c r="D28" s="44"/>
      <c r="E28" s="44"/>
      <c r="F28" s="44"/>
      <c r="G28" s="44"/>
      <c r="H28" s="44"/>
      <c r="I28" s="44"/>
      <c r="J28" s="44"/>
      <c r="K28" s="44"/>
      <c r="L28" s="44"/>
    </row>
    <row r="29" spans="2:12" s="2" customFormat="1" ht="13" x14ac:dyDescent="0.3">
      <c r="B29" s="44"/>
      <c r="C29" s="44"/>
      <c r="D29" s="44"/>
      <c r="E29" s="44"/>
      <c r="F29" s="44"/>
      <c r="G29" s="44"/>
      <c r="H29" s="44"/>
      <c r="I29" s="44"/>
      <c r="J29" s="44"/>
      <c r="K29" s="44"/>
      <c r="L29" s="44"/>
    </row>
    <row r="30" spans="2:12" s="2" customFormat="1" ht="13" x14ac:dyDescent="0.3">
      <c r="B30" s="44"/>
      <c r="C30" s="44"/>
      <c r="D30" s="44"/>
      <c r="E30" s="44"/>
      <c r="F30" s="44"/>
      <c r="G30" s="44"/>
      <c r="H30" s="44"/>
      <c r="I30" s="44"/>
      <c r="J30" s="44"/>
      <c r="K30" s="44"/>
      <c r="L30" s="44"/>
    </row>
    <row r="31" spans="2:12" s="2" customFormat="1" ht="13" x14ac:dyDescent="0.3">
      <c r="B31" s="44"/>
      <c r="C31" s="44"/>
      <c r="D31" s="44"/>
      <c r="E31" s="44"/>
      <c r="F31" s="44"/>
      <c r="G31" s="44"/>
      <c r="H31" s="44"/>
      <c r="I31" s="44"/>
      <c r="J31" s="44"/>
      <c r="K31" s="44"/>
      <c r="L31" s="44"/>
    </row>
    <row r="32" spans="2:12" s="2" customFormat="1" ht="13" x14ac:dyDescent="0.3">
      <c r="B32" s="44"/>
      <c r="C32" s="44"/>
      <c r="D32" s="44"/>
      <c r="E32" s="44"/>
      <c r="F32" s="44"/>
      <c r="G32" s="44"/>
      <c r="H32" s="44"/>
      <c r="I32" s="44"/>
      <c r="J32" s="44"/>
      <c r="K32" s="44"/>
      <c r="L32" s="44"/>
    </row>
    <row r="33" spans="1:13" s="2" customFormat="1" ht="13" x14ac:dyDescent="0.3">
      <c r="B33" s="44"/>
      <c r="C33" s="44"/>
      <c r="D33" s="44"/>
      <c r="E33" s="44"/>
      <c r="F33" s="44"/>
      <c r="G33" s="44"/>
      <c r="H33" s="44"/>
      <c r="I33" s="44"/>
      <c r="J33" s="44"/>
      <c r="K33" s="44"/>
      <c r="L33" s="44"/>
    </row>
    <row r="36" spans="1:13" x14ac:dyDescent="0.25">
      <c r="A36" t="str">
        <f t="array" ref="A36:A43">R_CODE&amp;" "&amp;'Base data'!$C$12</f>
        <v>EU CH4</v>
      </c>
      <c r="B36" s="27">
        <f t="array" ref="B36:B43" xml:space="preserve"> E_CH4_0</f>
        <v>23.703862910418515</v>
      </c>
      <c r="C36" s="27">
        <f t="array" ref="C36:L43" xml:space="preserve"> E_CH4_0 * er_ch4_a/100</f>
        <v>11.651354497516351</v>
      </c>
      <c r="D36" s="27">
        <v>9.6970807797214817</v>
      </c>
      <c r="E36" s="27">
        <v>8.5582085159601338</v>
      </c>
      <c r="F36" s="27">
        <v>6.8827539836245784</v>
      </c>
      <c r="G36" s="27">
        <v>5.5647856911799325</v>
      </c>
      <c r="H36" s="27">
        <v>4.499720286729894</v>
      </c>
      <c r="I36" s="27">
        <v>4.499720286729894</v>
      </c>
      <c r="J36" s="27">
        <v>4.499720286729894</v>
      </c>
      <c r="K36" s="27">
        <v>4.499720286729894</v>
      </c>
      <c r="L36" s="27">
        <v>4.499720286729894</v>
      </c>
      <c r="M36" t="str">
        <f>'Base data'!$F$35</f>
        <v>Mtonne</v>
      </c>
    </row>
    <row r="37" spans="1:13" x14ac:dyDescent="0.25">
      <c r="A37" t="str">
        <v>US CH4</v>
      </c>
      <c r="B37" s="28">
        <v>28.819854489575487</v>
      </c>
      <c r="C37" s="28">
        <v>14.166059873612115</v>
      </c>
      <c r="D37" s="28">
        <v>11.789996343692911</v>
      </c>
      <c r="E37" s="28">
        <v>10.405321911181353</v>
      </c>
      <c r="F37" s="28">
        <v>8.3682549568079718</v>
      </c>
      <c r="G37" s="28">
        <v>6.7658302991191999</v>
      </c>
      <c r="H37" s="28">
        <v>5.4708924194101654</v>
      </c>
      <c r="I37" s="28">
        <v>5.4708924194101654</v>
      </c>
      <c r="J37" s="28">
        <v>5.4708924194101654</v>
      </c>
      <c r="K37" s="28">
        <v>5.4708924194101654</v>
      </c>
      <c r="L37" s="28">
        <v>5.4708924194101654</v>
      </c>
      <c r="M37" t="str">
        <f>'Base data'!$F$35</f>
        <v>Mtonne</v>
      </c>
    </row>
    <row r="38" spans="1:13" x14ac:dyDescent="0.25">
      <c r="A38" t="str">
        <v>OT CH4</v>
      </c>
      <c r="B38" s="28">
        <v>22.040189599972457</v>
      </c>
      <c r="C38" s="28">
        <v>10.833595485775538</v>
      </c>
      <c r="D38" s="28">
        <v>9.0164839274940203</v>
      </c>
      <c r="E38" s="28">
        <v>7.9575442635957225</v>
      </c>
      <c r="F38" s="28">
        <v>6.3996827581371249</v>
      </c>
      <c r="G38" s="28">
        <v>5.1742170540022752</v>
      </c>
      <c r="H38" s="28">
        <v>4.1839040599065909</v>
      </c>
      <c r="I38" s="28">
        <v>4.1839040599065909</v>
      </c>
      <c r="J38" s="28">
        <v>4.1839040599065909</v>
      </c>
      <c r="K38" s="28">
        <v>4.1839040599065909</v>
      </c>
      <c r="L38" s="28">
        <v>4.1839040599065909</v>
      </c>
      <c r="M38" t="str">
        <f>'Base data'!$F$35</f>
        <v>Mtonne</v>
      </c>
    </row>
    <row r="39" spans="1:13" x14ac:dyDescent="0.25">
      <c r="A39" t="str">
        <v>EE CH4</v>
      </c>
      <c r="B39" s="28">
        <v>38.946354314074185</v>
      </c>
      <c r="C39" s="28">
        <v>21.192522615270917</v>
      </c>
      <c r="D39" s="28">
        <v>17.528375733608524</v>
      </c>
      <c r="E39" s="28">
        <v>15.676687447840788</v>
      </c>
      <c r="F39" s="28">
        <v>12.358082381855564</v>
      </c>
      <c r="G39" s="28">
        <v>10.904537500145878</v>
      </c>
      <c r="H39" s="28">
        <v>10.208370295472539</v>
      </c>
      <c r="I39" s="28">
        <v>10.208370295472539</v>
      </c>
      <c r="J39" s="28">
        <v>10.208370295472539</v>
      </c>
      <c r="K39" s="28">
        <v>10.208370295472539</v>
      </c>
      <c r="L39" s="28">
        <v>10.208370295472539</v>
      </c>
      <c r="M39" t="str">
        <f>'Base data'!$F$35</f>
        <v>Mtonne</v>
      </c>
    </row>
    <row r="40" spans="1:13" x14ac:dyDescent="0.25">
      <c r="A40" t="str">
        <v>CA CH4</v>
      </c>
      <c r="B40" s="28">
        <v>58</v>
      </c>
      <c r="C40" s="28">
        <v>49.103802367444011</v>
      </c>
      <c r="D40" s="28">
        <v>43.961782677087022</v>
      </c>
      <c r="E40" s="28">
        <v>39.526382067128004</v>
      </c>
      <c r="F40" s="28">
        <v>31.34092220377925</v>
      </c>
      <c r="G40" s="28">
        <v>24.287605289224004</v>
      </c>
      <c r="H40" s="28">
        <v>20.441874614501504</v>
      </c>
      <c r="I40" s="28">
        <v>20.441874614501504</v>
      </c>
      <c r="J40" s="28">
        <v>20.441874614501504</v>
      </c>
      <c r="K40" s="28">
        <v>20.441874614501504</v>
      </c>
      <c r="L40" s="28">
        <v>20.441874614501504</v>
      </c>
      <c r="M40" t="str">
        <f>'Base data'!$F$35</f>
        <v>Mtonne</v>
      </c>
    </row>
    <row r="41" spans="1:13" x14ac:dyDescent="0.25">
      <c r="A41" t="str">
        <v>IA CH4</v>
      </c>
      <c r="B41" s="28">
        <v>73</v>
      </c>
      <c r="C41" s="28">
        <v>61.803061600403673</v>
      </c>
      <c r="D41" s="28">
        <v>55.33120923150608</v>
      </c>
      <c r="E41" s="28">
        <v>49.748722256902482</v>
      </c>
      <c r="F41" s="28">
        <v>39.446333118549745</v>
      </c>
      <c r="G41" s="28">
        <v>30.568882519195725</v>
      </c>
      <c r="H41" s="28">
        <v>25.728566325148449</v>
      </c>
      <c r="I41" s="28">
        <v>25.728566325148449</v>
      </c>
      <c r="J41" s="28">
        <v>25.728566325148449</v>
      </c>
      <c r="K41" s="28">
        <v>25.728566325148449</v>
      </c>
      <c r="L41" s="28">
        <v>25.728566325148449</v>
      </c>
      <c r="M41" t="str">
        <f>'Base data'!$F$35</f>
        <v>Mtonne</v>
      </c>
    </row>
    <row r="42" spans="1:13" x14ac:dyDescent="0.25">
      <c r="A42" t="str">
        <v>AF CH4</v>
      </c>
      <c r="B42" s="28">
        <v>67.960443867520937</v>
      </c>
      <c r="C42" s="28">
        <v>50.522251679956163</v>
      </c>
      <c r="D42" s="28">
        <v>49.742550742756812</v>
      </c>
      <c r="E42" s="28">
        <v>52.531871709289497</v>
      </c>
      <c r="F42" s="28">
        <v>46.224991282071912</v>
      </c>
      <c r="G42" s="28">
        <v>33.633123183068541</v>
      </c>
      <c r="H42" s="28">
        <v>28.665738079797276</v>
      </c>
      <c r="I42" s="28">
        <v>28.665738079797276</v>
      </c>
      <c r="J42" s="28">
        <v>28.665738079797276</v>
      </c>
      <c r="K42" s="28">
        <v>28.665738079797276</v>
      </c>
      <c r="L42" s="28">
        <v>28.665738079797276</v>
      </c>
      <c r="M42" t="str">
        <f>'Base data'!$F$35</f>
        <v>Mtonne</v>
      </c>
    </row>
    <row r="43" spans="1:13" ht="13" thickBot="1" x14ac:dyDescent="0.3">
      <c r="A43" t="str">
        <v>LA CH4</v>
      </c>
      <c r="B43" s="36">
        <v>58.668570714259417</v>
      </c>
      <c r="C43" s="36">
        <v>39.435353782793072</v>
      </c>
      <c r="D43" s="36">
        <v>35.90512634954051</v>
      </c>
      <c r="E43" s="36">
        <v>34.141494363726736</v>
      </c>
      <c r="F43" s="36">
        <v>29.510549218514033</v>
      </c>
      <c r="G43" s="36">
        <v>25.048335853131459</v>
      </c>
      <c r="H43" s="36">
        <v>20.798125240664309</v>
      </c>
      <c r="I43" s="36">
        <v>20.798125240664309</v>
      </c>
      <c r="J43" s="36">
        <v>20.798125240664309</v>
      </c>
      <c r="K43" s="36">
        <v>20.798125240664309</v>
      </c>
      <c r="L43" s="36">
        <v>20.798125240664309</v>
      </c>
      <c r="M43" t="str">
        <f>'Base data'!$F$35</f>
        <v>Mtonne</v>
      </c>
    </row>
    <row r="44" spans="1:13" s="2" customFormat="1" ht="13.5" thickTop="1" x14ac:dyDescent="0.3">
      <c r="A44" s="2" t="str">
        <f>"Total "&amp;'Base data'!$C$12</f>
        <v>Total CH4</v>
      </c>
      <c r="B44" s="43">
        <f t="shared" ref="B44:L44" si="1">SUM(B36:B43)</f>
        <v>371.13927589582102</v>
      </c>
      <c r="C44" s="43">
        <f t="shared" si="1"/>
        <v>258.7080019027718</v>
      </c>
      <c r="D44" s="43">
        <f t="shared" si="1"/>
        <v>232.97260578540738</v>
      </c>
      <c r="E44" s="43">
        <f t="shared" si="1"/>
        <v>218.54623253562471</v>
      </c>
      <c r="F44" s="43">
        <f t="shared" si="1"/>
        <v>180.5315699033402</v>
      </c>
      <c r="G44" s="43">
        <f t="shared" si="1"/>
        <v>141.947317389067</v>
      </c>
      <c r="H44" s="43">
        <f t="shared" si="1"/>
        <v>119.99719132163072</v>
      </c>
      <c r="I44" s="43">
        <f t="shared" si="1"/>
        <v>119.99719132163072</v>
      </c>
      <c r="J44" s="43">
        <f t="shared" si="1"/>
        <v>119.99719132163072</v>
      </c>
      <c r="K44" s="43">
        <f t="shared" si="1"/>
        <v>119.99719132163072</v>
      </c>
      <c r="L44" s="43">
        <f t="shared" si="1"/>
        <v>119.99719132163072</v>
      </c>
      <c r="M44" s="2" t="str">
        <f>'Base data'!$F$35</f>
        <v>Mtonne</v>
      </c>
    </row>
    <row r="67" spans="1:13" x14ac:dyDescent="0.25">
      <c r="A67" t="str">
        <f t="array" ref="A67:A74">R_CODE&amp;" "&amp;'Base data'!$D$12</f>
        <v>EU N2O</v>
      </c>
      <c r="B67" s="27">
        <f t="array" ref="B67:B74">E_N2O_0</f>
        <v>1.3997649292509671</v>
      </c>
      <c r="C67" s="27">
        <f t="array" ref="C67:L74" xml:space="preserve"> E_N2O_0 * er_n2o_a/100</f>
        <v>1.0858712811963889</v>
      </c>
      <c r="D67" s="27">
        <v>1.0420002160482056</v>
      </c>
      <c r="E67" s="27">
        <v>0.97972085276227849</v>
      </c>
      <c r="F67" s="27">
        <v>0.86184692646783656</v>
      </c>
      <c r="G67" s="27">
        <v>0.698465262931102</v>
      </c>
      <c r="H67" s="27">
        <v>0.56948531117935242</v>
      </c>
      <c r="I67" s="27">
        <v>0.56948531117935242</v>
      </c>
      <c r="J67" s="27">
        <v>0.56948531117935242</v>
      </c>
      <c r="K67" s="27">
        <v>0.56948531117935242</v>
      </c>
      <c r="L67" s="27">
        <v>0.56948531117935242</v>
      </c>
      <c r="M67" t="str">
        <f>'Base data'!$F$35</f>
        <v>Mtonne</v>
      </c>
    </row>
    <row r="68" spans="1:13" x14ac:dyDescent="0.25">
      <c r="A68" t="str">
        <v>US N2O</v>
      </c>
      <c r="B68" s="28">
        <v>1.2346196875715312</v>
      </c>
      <c r="C68" s="28">
        <v>0.95775943082884452</v>
      </c>
      <c r="D68" s="28">
        <v>0.91906430451526822</v>
      </c>
      <c r="E68" s="28">
        <v>0.86413270390474939</v>
      </c>
      <c r="F68" s="28">
        <v>0.76016562556656841</v>
      </c>
      <c r="G68" s="28">
        <v>0.61605984453476326</v>
      </c>
      <c r="H68" s="28">
        <v>0.50229703736116993</v>
      </c>
      <c r="I68" s="28">
        <v>0.50229703736116993</v>
      </c>
      <c r="J68" s="28">
        <v>0.50229703736116993</v>
      </c>
      <c r="K68" s="28">
        <v>0.50229703736116993</v>
      </c>
      <c r="L68" s="28">
        <v>0.50229703736116993</v>
      </c>
      <c r="M68" t="str">
        <f>'Base data'!$F$35</f>
        <v>Mtonne</v>
      </c>
    </row>
    <row r="69" spans="1:13" x14ac:dyDescent="0.25">
      <c r="A69" t="str">
        <v>OT N2O</v>
      </c>
      <c r="B69" s="28">
        <v>0.66362652353510987</v>
      </c>
      <c r="C69" s="28">
        <v>0.51481000008521793</v>
      </c>
      <c r="D69" s="28">
        <v>0.49401079170410023</v>
      </c>
      <c r="E69" s="28">
        <v>0.46448423586480203</v>
      </c>
      <c r="F69" s="28">
        <v>0.40860037830589524</v>
      </c>
      <c r="G69" s="28">
        <v>0.33114136849895182</v>
      </c>
      <c r="H69" s="28">
        <v>0.26999216037259699</v>
      </c>
      <c r="I69" s="28">
        <v>0.26999216037259699</v>
      </c>
      <c r="J69" s="28">
        <v>0.26999216037259699</v>
      </c>
      <c r="K69" s="28">
        <v>0.26999216037259699</v>
      </c>
      <c r="L69" s="28">
        <v>0.26999216037259699</v>
      </c>
      <c r="M69" t="str">
        <f>'Base data'!$F$35</f>
        <v>Mtonne</v>
      </c>
    </row>
    <row r="70" spans="1:13" x14ac:dyDescent="0.25">
      <c r="A70" t="str">
        <v>EE N2O</v>
      </c>
      <c r="B70" s="28">
        <v>0.45491034192878316</v>
      </c>
      <c r="C70" s="28">
        <v>0.6009015296633422</v>
      </c>
      <c r="D70" s="28">
        <v>0.58543798878447606</v>
      </c>
      <c r="E70" s="28">
        <v>0.57387050402414252</v>
      </c>
      <c r="F70" s="28">
        <v>0.55287632484286731</v>
      </c>
      <c r="G70" s="28">
        <v>0.56486471087340961</v>
      </c>
      <c r="H70" s="28">
        <v>0.55514248341229666</v>
      </c>
      <c r="I70" s="28">
        <v>0.55514248341229666</v>
      </c>
      <c r="J70" s="28">
        <v>0.55514248341229666</v>
      </c>
      <c r="K70" s="28">
        <v>0.55514248341229666</v>
      </c>
      <c r="L70" s="28">
        <v>0.55514248341229666</v>
      </c>
      <c r="M70" t="str">
        <f>'Base data'!$F$35</f>
        <v>Mtonne</v>
      </c>
    </row>
    <row r="71" spans="1:13" x14ac:dyDescent="0.25">
      <c r="A71" t="str">
        <v>CA N2O</v>
      </c>
      <c r="B71" s="28">
        <v>2.489921384411371</v>
      </c>
      <c r="C71" s="28">
        <v>3.2612147358035846</v>
      </c>
      <c r="D71" s="28">
        <v>3.1792340583055103</v>
      </c>
      <c r="E71" s="28">
        <v>3.0791427524308643</v>
      </c>
      <c r="F71" s="28">
        <v>2.6318824645214858</v>
      </c>
      <c r="G71" s="28">
        <v>2.3573254099418115</v>
      </c>
      <c r="H71" s="28">
        <v>2.1253321143035242</v>
      </c>
      <c r="I71" s="28">
        <v>2.1253321143035242</v>
      </c>
      <c r="J71" s="28">
        <v>2.1253321143035242</v>
      </c>
      <c r="K71" s="28">
        <v>2.1253321143035242</v>
      </c>
      <c r="L71" s="28">
        <v>2.1253321143035242</v>
      </c>
      <c r="M71" t="str">
        <f>'Base data'!$F$35</f>
        <v>Mtonne</v>
      </c>
    </row>
    <row r="72" spans="1:13" x14ac:dyDescent="0.25">
      <c r="A72" t="str">
        <v>IA N2O</v>
      </c>
      <c r="B72" s="28">
        <v>1.043859725383347</v>
      </c>
      <c r="C72" s="28">
        <v>1.3672121296057846</v>
      </c>
      <c r="D72" s="28">
        <v>1.3328430414748711</v>
      </c>
      <c r="E72" s="28">
        <v>1.2908813619946702</v>
      </c>
      <c r="F72" s="28">
        <v>1.1033746381940983</v>
      </c>
      <c r="G72" s="28">
        <v>0.98827098335989039</v>
      </c>
      <c r="H72" s="28">
        <v>0.89101150384704231</v>
      </c>
      <c r="I72" s="28">
        <v>0.89101150384704231</v>
      </c>
      <c r="J72" s="28">
        <v>0.89101150384704231</v>
      </c>
      <c r="K72" s="28">
        <v>0.89101150384704231</v>
      </c>
      <c r="L72" s="28">
        <v>0.89101150384704231</v>
      </c>
      <c r="M72" t="str">
        <f>'Base data'!$F$35</f>
        <v>Mtonne</v>
      </c>
    </row>
    <row r="73" spans="1:13" x14ac:dyDescent="0.25">
      <c r="A73" t="str">
        <v>AF N2O</v>
      </c>
      <c r="B73" s="28">
        <v>2.0063001511278067</v>
      </c>
      <c r="C73" s="28">
        <v>2.1024820406571405</v>
      </c>
      <c r="D73" s="28">
        <v>2.0613398629612933</v>
      </c>
      <c r="E73" s="28">
        <v>1.9593922332108802</v>
      </c>
      <c r="F73" s="28">
        <v>1.5692847212046401</v>
      </c>
      <c r="G73" s="28">
        <v>1.2970552855864403</v>
      </c>
      <c r="H73" s="28">
        <v>1.0933126266151014</v>
      </c>
      <c r="I73" s="28">
        <v>1.0933126266151014</v>
      </c>
      <c r="J73" s="28">
        <v>1.0933126266151014</v>
      </c>
      <c r="K73" s="28">
        <v>1.0933126266151014</v>
      </c>
      <c r="L73" s="28">
        <v>1.0933126266151014</v>
      </c>
      <c r="M73" t="str">
        <f>'Base data'!$F$35</f>
        <v>Mtonne</v>
      </c>
    </row>
    <row r="74" spans="1:13" ht="13" thickBot="1" x14ac:dyDescent="0.3">
      <c r="A74" t="str">
        <v>LA N2O</v>
      </c>
      <c r="B74" s="36">
        <v>1.9298107374456253</v>
      </c>
      <c r="C74" s="36">
        <v>1.8844335189024186</v>
      </c>
      <c r="D74" s="36">
        <v>1.7885886752450795</v>
      </c>
      <c r="E74" s="36">
        <v>1.7240932280945021</v>
      </c>
      <c r="F74" s="36">
        <v>1.3995380169008882</v>
      </c>
      <c r="G74" s="36">
        <v>1.0933806612209147</v>
      </c>
      <c r="H74" s="36">
        <v>0.95444303615736259</v>
      </c>
      <c r="I74" s="36">
        <v>0.95444303615736259</v>
      </c>
      <c r="J74" s="36">
        <v>0.95444303615736259</v>
      </c>
      <c r="K74" s="36">
        <v>0.95444303615736259</v>
      </c>
      <c r="L74" s="36">
        <v>0.95444303615736259</v>
      </c>
      <c r="M74" t="str">
        <f>'Base data'!$F$35</f>
        <v>Mtonne</v>
      </c>
    </row>
    <row r="75" spans="1:13" s="2" customFormat="1" ht="13.5" thickTop="1" x14ac:dyDescent="0.3">
      <c r="A75" s="2" t="str">
        <f>"Total "&amp;'Base data'!$D$12</f>
        <v>Total N2O</v>
      </c>
      <c r="B75" s="43">
        <f t="shared" ref="B75:L75" si="2">SUM(B67:B74)</f>
        <v>11.222813480654541</v>
      </c>
      <c r="C75" s="43">
        <f t="shared" si="2"/>
        <v>11.774684666742722</v>
      </c>
      <c r="D75" s="43">
        <f t="shared" si="2"/>
        <v>11.402518939038805</v>
      </c>
      <c r="E75" s="43">
        <f t="shared" si="2"/>
        <v>10.935717872286888</v>
      </c>
      <c r="F75" s="43">
        <f t="shared" si="2"/>
        <v>9.2875690960042796</v>
      </c>
      <c r="G75" s="43">
        <f t="shared" si="2"/>
        <v>7.9465635269472834</v>
      </c>
      <c r="H75" s="43">
        <f t="shared" si="2"/>
        <v>6.9610162732484469</v>
      </c>
      <c r="I75" s="43">
        <f t="shared" si="2"/>
        <v>6.9610162732484469</v>
      </c>
      <c r="J75" s="43">
        <f t="shared" si="2"/>
        <v>6.9610162732484469</v>
      </c>
      <c r="K75" s="43">
        <f t="shared" si="2"/>
        <v>6.9610162732484469</v>
      </c>
      <c r="L75" s="43">
        <f t="shared" si="2"/>
        <v>6.9610162732484469</v>
      </c>
      <c r="M75" s="2" t="str">
        <f>'Base data'!$F$35</f>
        <v>Mtonne</v>
      </c>
    </row>
    <row r="98" spans="1:13" x14ac:dyDescent="0.25">
      <c r="A98" t="str">
        <f t="array" ref="A98:A105">R_CODE&amp;" "&amp;GLIN_NAME</f>
        <v>EU Lin</v>
      </c>
      <c r="B98" s="27">
        <f t="array" ref="B98:B105" xml:space="preserve"> E_GLIN_0</f>
        <v>83.163436219332326</v>
      </c>
      <c r="C98" s="27">
        <f t="array" ref="C98:L105" xml:space="preserve"> E_GLIN_0 * er_glin_a/100</f>
        <v>74.847092597399097</v>
      </c>
      <c r="D98" s="27">
        <v>52.763177217775329</v>
      </c>
      <c r="E98" s="27">
        <v>35.654574147948722</v>
      </c>
      <c r="F98" s="27">
        <v>15.46742050807484</v>
      </c>
      <c r="G98" s="27">
        <v>14.558974508176718</v>
      </c>
      <c r="H98" s="27">
        <v>13.703884149207866</v>
      </c>
      <c r="I98" s="27">
        <v>13.703884149207866</v>
      </c>
      <c r="J98" s="27">
        <v>13.703884149207866</v>
      </c>
      <c r="K98" s="27">
        <v>13.703884149207866</v>
      </c>
      <c r="L98" s="27">
        <v>13.703884149207866</v>
      </c>
      <c r="M98" t="str">
        <f>'Base data'!$F$35</f>
        <v>Mtonne</v>
      </c>
    </row>
    <row r="99" spans="1:13" x14ac:dyDescent="0.25">
      <c r="A99" t="str">
        <v>US Lin</v>
      </c>
      <c r="B99" s="28">
        <v>216.49202882076008</v>
      </c>
      <c r="C99" s="28">
        <v>194.84282593868409</v>
      </c>
      <c r="D99" s="28">
        <v>137.35371940114857</v>
      </c>
      <c r="E99" s="28">
        <v>92.81640399841109</v>
      </c>
      <c r="F99" s="28">
        <v>40.264969782940959</v>
      </c>
      <c r="G99" s="28">
        <v>37.90009254201798</v>
      </c>
      <c r="H99" s="28">
        <v>35.674111328952073</v>
      </c>
      <c r="I99" s="28">
        <v>35.674111328952073</v>
      </c>
      <c r="J99" s="28">
        <v>35.674111328952073</v>
      </c>
      <c r="K99" s="28">
        <v>35.674111328952073</v>
      </c>
      <c r="L99" s="28">
        <v>35.674111328952073</v>
      </c>
      <c r="M99" t="str">
        <f>'Base data'!$F$35</f>
        <v>Mtonne</v>
      </c>
    </row>
    <row r="100" spans="1:13" x14ac:dyDescent="0.25">
      <c r="A100" t="str">
        <v>OT Lin</v>
      </c>
      <c r="B100" s="28">
        <v>77.97264727156184</v>
      </c>
      <c r="C100" s="28">
        <v>70.17538254440565</v>
      </c>
      <c r="D100" s="28">
        <v>49.469872736837871</v>
      </c>
      <c r="E100" s="28">
        <v>33.42913256161836</v>
      </c>
      <c r="F100" s="28">
        <v>14.501994846584802</v>
      </c>
      <c r="G100" s="28">
        <v>13.650251066680102</v>
      </c>
      <c r="H100" s="28">
        <v>12.848532643581894</v>
      </c>
      <c r="I100" s="28">
        <v>12.848532643581894</v>
      </c>
      <c r="J100" s="28">
        <v>12.848532643581894</v>
      </c>
      <c r="K100" s="28">
        <v>12.848532643581894</v>
      </c>
      <c r="L100" s="28">
        <v>12.848532643581894</v>
      </c>
      <c r="M100" t="str">
        <f>'Base data'!$F$35</f>
        <v>Mtonne</v>
      </c>
    </row>
    <row r="101" spans="1:13" x14ac:dyDescent="0.25">
      <c r="A101" t="str">
        <v>EE Lin</v>
      </c>
      <c r="B101" s="28">
        <v>27.885191768681864</v>
      </c>
      <c r="C101" s="28">
        <v>25.096672591813675</v>
      </c>
      <c r="D101" s="28">
        <v>17.691805220292078</v>
      </c>
      <c r="E101" s="28">
        <v>11.955189476828226</v>
      </c>
      <c r="F101" s="28">
        <v>5.1863175289797132</v>
      </c>
      <c r="G101" s="28">
        <v>4.8817102151135465</v>
      </c>
      <c r="H101" s="28">
        <v>4.5949933630523692</v>
      </c>
      <c r="I101" s="28">
        <v>4.5949933630523692</v>
      </c>
      <c r="J101" s="28">
        <v>4.5949933630523692</v>
      </c>
      <c r="K101" s="28">
        <v>4.5949933630523692</v>
      </c>
      <c r="L101" s="28">
        <v>4.5949933630523692</v>
      </c>
      <c r="M101" t="str">
        <f>'Base data'!$F$35</f>
        <v>Mtonne</v>
      </c>
    </row>
    <row r="102" spans="1:13" x14ac:dyDescent="0.25">
      <c r="A102" t="str">
        <v>CA Lin</v>
      </c>
      <c r="B102" s="28">
        <v>90.160537630361432</v>
      </c>
      <c r="C102" s="28">
        <v>81.144483867325292</v>
      </c>
      <c r="D102" s="28">
        <v>57.202499575586373</v>
      </c>
      <c r="E102" s="28">
        <v>38.654434211718673</v>
      </c>
      <c r="F102" s="28">
        <v>16.768799031884228</v>
      </c>
      <c r="G102" s="28">
        <v>15.78391933616134</v>
      </c>
      <c r="H102" s="28">
        <v>14.85688445169791</v>
      </c>
      <c r="I102" s="28">
        <v>14.85688445169791</v>
      </c>
      <c r="J102" s="28">
        <v>14.85688445169791</v>
      </c>
      <c r="K102" s="28">
        <v>14.85688445169791</v>
      </c>
      <c r="L102" s="28">
        <v>14.85688445169791</v>
      </c>
      <c r="M102" t="str">
        <f>'Base data'!$F$35</f>
        <v>Mtonne</v>
      </c>
    </row>
    <row r="103" spans="1:13" x14ac:dyDescent="0.25">
      <c r="A103" t="str">
        <v>IA Lin</v>
      </c>
      <c r="B103" s="28">
        <v>62.980214929817301</v>
      </c>
      <c r="C103" s="28">
        <v>56.682193436835568</v>
      </c>
      <c r="D103" s="28">
        <v>39.957899680713901</v>
      </c>
      <c r="E103" s="28">
        <v>27.00144252272873</v>
      </c>
      <c r="F103" s="28">
        <v>11.713578855006073</v>
      </c>
      <c r="G103" s="28">
        <v>11.025606749394393</v>
      </c>
      <c r="H103" s="28">
        <v>10.378041220112502</v>
      </c>
      <c r="I103" s="28">
        <v>10.378041220112502</v>
      </c>
      <c r="J103" s="28">
        <v>10.378041220112502</v>
      </c>
      <c r="K103" s="28">
        <v>10.378041220112502</v>
      </c>
      <c r="L103" s="28">
        <v>10.378041220112502</v>
      </c>
      <c r="M103" t="str">
        <f>'Base data'!$F$35</f>
        <v>Mtonne</v>
      </c>
    </row>
    <row r="104" spans="1:13" x14ac:dyDescent="0.25">
      <c r="A104" t="str">
        <v>AF Lin</v>
      </c>
      <c r="B104" s="28">
        <v>39.11973074395469</v>
      </c>
      <c r="C104" s="28">
        <v>35.207757669559221</v>
      </c>
      <c r="D104" s="28">
        <v>24.819576724934738</v>
      </c>
      <c r="E104" s="28">
        <v>16.771761772559909</v>
      </c>
      <c r="F104" s="28">
        <v>7.2758095755397889</v>
      </c>
      <c r="G104" s="28">
        <v>6.8484803966719241</v>
      </c>
      <c r="H104" s="28">
        <v>6.4462494869679201</v>
      </c>
      <c r="I104" s="28">
        <v>6.4462494869679201</v>
      </c>
      <c r="J104" s="28">
        <v>6.4462494869679201</v>
      </c>
      <c r="K104" s="28">
        <v>6.4462494869679201</v>
      </c>
      <c r="L104" s="28">
        <v>6.4462494869679201</v>
      </c>
      <c r="M104" t="str">
        <f>'Base data'!$F$35</f>
        <v>Mtonne</v>
      </c>
    </row>
    <row r="105" spans="1:13" ht="13" thickBot="1" x14ac:dyDescent="0.3">
      <c r="A105" t="str">
        <v>LA Lin</v>
      </c>
      <c r="B105" s="36">
        <v>33.442510938201117</v>
      </c>
      <c r="C105" s="36">
        <v>30.098259844381005</v>
      </c>
      <c r="D105" s="36">
        <v>21.217655395887896</v>
      </c>
      <c r="E105" s="36">
        <v>14.3377731867036</v>
      </c>
      <c r="F105" s="36">
        <v>6.2199134985574798</v>
      </c>
      <c r="G105" s="36">
        <v>5.8546001268464671</v>
      </c>
      <c r="H105" s="36">
        <v>5.5107426579517584</v>
      </c>
      <c r="I105" s="36">
        <v>5.5107426579517584</v>
      </c>
      <c r="J105" s="36">
        <v>5.5107426579517584</v>
      </c>
      <c r="K105" s="36">
        <v>5.5107426579517584</v>
      </c>
      <c r="L105" s="36">
        <v>5.5107426579517584</v>
      </c>
      <c r="M105" t="str">
        <f>'Base data'!$F$35</f>
        <v>Mtonne</v>
      </c>
    </row>
    <row r="106" spans="1:13" s="2" customFormat="1" ht="13.5" thickTop="1" x14ac:dyDescent="0.3">
      <c r="A106" s="2" t="str">
        <f>"Total "&amp;'Base data'!$E$12</f>
        <v>Total Lin</v>
      </c>
      <c r="B106" s="43">
        <f t="shared" ref="B106:L106" si="3">SUM(B98:B105)</f>
        <v>631.21629832267081</v>
      </c>
      <c r="C106" s="43">
        <f t="shared" si="3"/>
        <v>568.09466849040359</v>
      </c>
      <c r="D106" s="43">
        <f t="shared" si="3"/>
        <v>400.47620595317676</v>
      </c>
      <c r="E106" s="43">
        <f t="shared" si="3"/>
        <v>270.62071187851728</v>
      </c>
      <c r="F106" s="43">
        <f t="shared" si="3"/>
        <v>117.39880362756787</v>
      </c>
      <c r="G106" s="43">
        <f t="shared" si="3"/>
        <v>110.50363494106247</v>
      </c>
      <c r="H106" s="43">
        <f t="shared" si="3"/>
        <v>104.01343930152429</v>
      </c>
      <c r="I106" s="43">
        <f t="shared" si="3"/>
        <v>104.01343930152429</v>
      </c>
      <c r="J106" s="43">
        <f t="shared" si="3"/>
        <v>104.01343930152429</v>
      </c>
      <c r="K106" s="43">
        <f t="shared" si="3"/>
        <v>104.01343930152429</v>
      </c>
      <c r="L106" s="43">
        <f t="shared" si="3"/>
        <v>104.01343930152429</v>
      </c>
      <c r="M106" s="2" t="str">
        <f>'Base data'!$F$35</f>
        <v>Mtonne</v>
      </c>
    </row>
    <row r="128" spans="1:1" x14ac:dyDescent="0.25">
      <c r="A128" s="59" t="s">
        <v>192</v>
      </c>
    </row>
    <row r="129" spans="1:13" x14ac:dyDescent="0.25">
      <c r="A129" s="1" t="str">
        <f t="array" ref="A129:A136">R_CODE</f>
        <v>EU</v>
      </c>
      <c r="B129" s="27">
        <f t="array" ref="B129:B136" xml:space="preserve"> (SE_0/AREA)</f>
        <v>7.8619533166232523E-7</v>
      </c>
      <c r="C129" s="27">
        <f t="array" ref="C129:L136" xml:space="preserve"> (SE_0/AREA) * pse_a/100</f>
        <v>3.980057084884966E-7</v>
      </c>
      <c r="D129" s="27">
        <v>1.8282997748747625E-7</v>
      </c>
      <c r="E129" s="27">
        <v>8.9105338878499849E-8</v>
      </c>
      <c r="F129" s="27">
        <v>6.3742831809406089E-8</v>
      </c>
      <c r="G129" s="27">
        <v>4.1616838555111138E-8</v>
      </c>
      <c r="H129" s="27">
        <v>3.3739021752634347E-8</v>
      </c>
      <c r="I129" s="27">
        <v>3.3739021752634347E-8</v>
      </c>
      <c r="J129" s="27">
        <v>3.3739021752634347E-8</v>
      </c>
      <c r="K129" s="27">
        <v>3.3739021752634347E-8</v>
      </c>
      <c r="L129" s="27">
        <v>3.3739021752634347E-8</v>
      </c>
      <c r="M129" s="1" t="str">
        <f>'Base data'!$K$35</f>
        <v>Tg/Km2</v>
      </c>
    </row>
    <row r="130" spans="1:13" x14ac:dyDescent="0.25">
      <c r="A130" s="1" t="str">
        <v>US</v>
      </c>
      <c r="B130" s="28">
        <v>5.1413386205534968E-7</v>
      </c>
      <c r="C130" s="28">
        <v>2.6027655441886451E-7</v>
      </c>
      <c r="D130" s="28">
        <v>1.1956199514232406E-7</v>
      </c>
      <c r="E130" s="28">
        <v>5.8270597855737892E-8</v>
      </c>
      <c r="F130" s="28">
        <v>4.1684740390433182E-8</v>
      </c>
      <c r="G130" s="28">
        <v>2.7215407000232891E-8</v>
      </c>
      <c r="H130" s="28">
        <v>2.2063694424354209E-8</v>
      </c>
      <c r="I130" s="28">
        <v>2.2063694424354209E-8</v>
      </c>
      <c r="J130" s="28">
        <v>2.2063694424354209E-8</v>
      </c>
      <c r="K130" s="28">
        <v>2.2063694424354209E-8</v>
      </c>
      <c r="L130" s="28">
        <v>2.2063694424354209E-8</v>
      </c>
      <c r="M130" s="1" t="str">
        <f>'Base data'!$K$35</f>
        <v>Tg/Km2</v>
      </c>
    </row>
    <row r="131" spans="1:13" x14ac:dyDescent="0.25">
      <c r="A131" s="1" t="str">
        <v>OT</v>
      </c>
      <c r="B131" s="28">
        <v>1.0614122777676217E-7</v>
      </c>
      <c r="C131" s="28">
        <v>5.3733229974549726E-8</v>
      </c>
      <c r="D131" s="28">
        <v>2.4683176690819376E-8</v>
      </c>
      <c r="E131" s="28">
        <v>1.2029771341978133E-8</v>
      </c>
      <c r="F131" s="28">
        <v>8.6056761694483476E-9</v>
      </c>
      <c r="G131" s="28">
        <v>5.6185303607526702E-9</v>
      </c>
      <c r="H131" s="28">
        <v>4.5549764143722954E-9</v>
      </c>
      <c r="I131" s="28">
        <v>4.5549764143722954E-9</v>
      </c>
      <c r="J131" s="28">
        <v>4.5549764143722954E-9</v>
      </c>
      <c r="K131" s="28">
        <v>4.5549764143722954E-9</v>
      </c>
      <c r="L131" s="28">
        <v>4.5549764143722954E-9</v>
      </c>
      <c r="M131" s="1" t="str">
        <f>'Base data'!$K$35</f>
        <v>Tg/Km2</v>
      </c>
    </row>
    <row r="132" spans="1:13" x14ac:dyDescent="0.25">
      <c r="A132" s="1" t="str">
        <v>EE</v>
      </c>
      <c r="B132" s="28">
        <v>4.8743987110653312E-7</v>
      </c>
      <c r="C132" s="28">
        <v>1.5987725449917705E-7</v>
      </c>
      <c r="D132" s="28">
        <v>7.9158157780040185E-8</v>
      </c>
      <c r="E132" s="28">
        <v>5.5085435625862331E-8</v>
      </c>
      <c r="F132" s="28">
        <v>3.7027264720664799E-8</v>
      </c>
      <c r="G132" s="28">
        <v>1.4922914576174111E-8</v>
      </c>
      <c r="H132" s="28">
        <v>1.2399022306433569E-8</v>
      </c>
      <c r="I132" s="28">
        <v>1.2399022306433569E-8</v>
      </c>
      <c r="J132" s="28">
        <v>1.2399022306433569E-8</v>
      </c>
      <c r="K132" s="28">
        <v>1.2399022306433569E-8</v>
      </c>
      <c r="L132" s="28">
        <v>1.2399022306433569E-8</v>
      </c>
      <c r="M132" s="1" t="str">
        <f>'Base data'!$K$35</f>
        <v>Tg/Km2</v>
      </c>
    </row>
    <row r="133" spans="1:13" x14ac:dyDescent="0.25">
      <c r="A133" s="1" t="str">
        <v>CA</v>
      </c>
      <c r="B133" s="28">
        <v>2.7579767475218898E-6</v>
      </c>
      <c r="C133" s="28">
        <v>1.5659440252237336E-6</v>
      </c>
      <c r="D133" s="28">
        <v>1.0434940844286895E-6</v>
      </c>
      <c r="E133" s="28">
        <v>5.9339711232664885E-7</v>
      </c>
      <c r="F133" s="28">
        <v>4.1417814387016458E-7</v>
      </c>
      <c r="G133" s="28">
        <v>2.3373458651042354E-7</v>
      </c>
      <c r="H133" s="28">
        <v>1.0381645289115689E-7</v>
      </c>
      <c r="I133" s="28">
        <v>1.0381645289115689E-7</v>
      </c>
      <c r="J133" s="28">
        <v>1.0381645289115689E-7</v>
      </c>
      <c r="K133" s="28">
        <v>1.0381645289115689E-7</v>
      </c>
      <c r="L133" s="28">
        <v>1.0381645289115689E-7</v>
      </c>
      <c r="M133" s="1" t="str">
        <f>'Base data'!$K$35</f>
        <v>Tg/Km2</v>
      </c>
    </row>
    <row r="134" spans="1:13" x14ac:dyDescent="0.25">
      <c r="A134" s="1" t="str">
        <v>IA</v>
      </c>
      <c r="B134" s="28">
        <v>7.4431974629702763E-7</v>
      </c>
      <c r="C134" s="28">
        <v>4.2261525976140402E-7</v>
      </c>
      <c r="D134" s="28">
        <v>2.8161704150779712E-7</v>
      </c>
      <c r="E134" s="28">
        <v>1.6014536326211522E-7</v>
      </c>
      <c r="F134" s="28">
        <v>1.1177794419195621E-7</v>
      </c>
      <c r="G134" s="28">
        <v>6.3080034408773889E-8</v>
      </c>
      <c r="H134" s="28">
        <v>2.8017870689749134E-8</v>
      </c>
      <c r="I134" s="28">
        <v>2.8017870689749134E-8</v>
      </c>
      <c r="J134" s="28">
        <v>2.8017870689749134E-8</v>
      </c>
      <c r="K134" s="28">
        <v>2.8017870689749134E-8</v>
      </c>
      <c r="L134" s="28">
        <v>2.8017870689749134E-8</v>
      </c>
      <c r="M134" s="1" t="str">
        <f>'Base data'!$K$35</f>
        <v>Tg/Km2</v>
      </c>
    </row>
    <row r="135" spans="1:13" x14ac:dyDescent="0.25">
      <c r="A135" s="1" t="str">
        <v>AF</v>
      </c>
      <c r="B135" s="28">
        <v>3.09059467717921E-7</v>
      </c>
      <c r="C135" s="28">
        <v>1.8120374242756821E-7</v>
      </c>
      <c r="D135" s="28">
        <v>1.4101612456658992E-7</v>
      </c>
      <c r="E135" s="28">
        <v>1.2061542192849694E-7</v>
      </c>
      <c r="F135" s="28">
        <v>1.1673780551553623E-7</v>
      </c>
      <c r="G135" s="28">
        <v>1.1831024652159489E-7</v>
      </c>
      <c r="H135" s="28">
        <v>6.9782985152456291E-8</v>
      </c>
      <c r="I135" s="28">
        <v>6.9782985152456291E-8</v>
      </c>
      <c r="J135" s="28">
        <v>6.9782985152456291E-8</v>
      </c>
      <c r="K135" s="28">
        <v>6.9782985152456291E-8</v>
      </c>
      <c r="L135" s="28">
        <v>6.9782985152456291E-8</v>
      </c>
      <c r="M135" s="1" t="str">
        <f>'Base data'!$K$35</f>
        <v>Tg/Km2</v>
      </c>
    </row>
    <row r="136" spans="1:13" x14ac:dyDescent="0.25">
      <c r="A136" s="1" t="str">
        <v>LA</v>
      </c>
      <c r="B136" s="28">
        <v>2.0239223914085869E-7</v>
      </c>
      <c r="C136" s="28">
        <v>8.6821069710243789E-8</v>
      </c>
      <c r="D136" s="28">
        <v>7.8370336243939249E-8</v>
      </c>
      <c r="E136" s="28">
        <v>7.4293496956630264E-8</v>
      </c>
      <c r="F136" s="28">
        <v>6.308513589573202E-8</v>
      </c>
      <c r="G136" s="28">
        <v>1.9376064509268072E-8</v>
      </c>
      <c r="H136" s="28">
        <v>1.0735389979052447E-8</v>
      </c>
      <c r="I136" s="28">
        <v>1.0735389979052447E-8</v>
      </c>
      <c r="J136" s="28">
        <v>1.0735389979052447E-8</v>
      </c>
      <c r="K136" s="28">
        <v>1.0735389979052447E-8</v>
      </c>
      <c r="L136" s="28">
        <v>1.0735389979052447E-8</v>
      </c>
      <c r="M136" s="1" t="str">
        <f>'Base data'!$K$35</f>
        <v>Tg/Km2</v>
      </c>
    </row>
    <row r="137" spans="1:13" ht="13" x14ac:dyDescent="0.3">
      <c r="A137" s="8" t="s">
        <v>138</v>
      </c>
      <c r="B137" s="43">
        <f t="array" ref="B137">SUM(AREA*B129:B136)/AREA_E</f>
        <v>1.5344483043165448E-7</v>
      </c>
      <c r="C137" s="43">
        <f t="array" ref="C137">SUM(AREA*C129:C136)/AREA_E</f>
        <v>7.9179519528980282E-8</v>
      </c>
      <c r="D137" s="43">
        <f t="array" ref="D137">SUM(AREA*D129:D136)/AREA_E</f>
        <v>5.2349173968837125E-8</v>
      </c>
      <c r="E137" s="43">
        <f t="array" ref="E137">SUM(AREA*E129:E136)/AREA_E</f>
        <v>3.4761357085256673E-8</v>
      </c>
      <c r="F137" s="43">
        <f t="array" ref="F137">SUM(AREA*F129:F136)/AREA_E</f>
        <v>2.7321275297382255E-8</v>
      </c>
      <c r="G137" s="43">
        <f t="array" ref="G137">SUM(AREA*G129:G136)/AREA_E</f>
        <v>1.791916189532147E-8</v>
      </c>
      <c r="H137" s="43">
        <f t="array" ref="H137">SUM(AREA*H129:H136)/AREA_E</f>
        <v>9.9662338506545023E-9</v>
      </c>
      <c r="I137" s="43">
        <f t="array" ref="I137">SUM(AREA*I129:I136)/AREA_E</f>
        <v>9.9662338506545023E-9</v>
      </c>
      <c r="J137" s="43">
        <f t="array" ref="J137">SUM(AREA*J129:J136)/AREA_E</f>
        <v>9.9662338506545023E-9</v>
      </c>
      <c r="K137" s="43">
        <f t="array" ref="K137">SUM(AREA*K129:K136)/AREA_E</f>
        <v>9.9662338506545023E-9</v>
      </c>
      <c r="L137" s="43">
        <f t="array" ref="L137">SUM(AREA*L129:L136)/AREA_E</f>
        <v>9.9662338506545023E-9</v>
      </c>
      <c r="M137" s="1" t="str">
        <f>'Base data'!$K$35</f>
        <v>Tg/Km2</v>
      </c>
    </row>
    <row r="141" spans="1:13" ht="13.5" thickBot="1" x14ac:dyDescent="0.35">
      <c r="A141" s="2" t="s">
        <v>550</v>
      </c>
      <c r="B141" s="62">
        <f xml:space="preserve"> PEXF_0</f>
        <v>0.85</v>
      </c>
      <c r="C141" s="62">
        <f t="array" ref="C141:L141" xml:space="preserve"> pexf_a</f>
        <v>0.73837032266629909</v>
      </c>
      <c r="D141" s="62">
        <v>0.56202109433745318</v>
      </c>
      <c r="E141" s="62">
        <v>0.37736904720450726</v>
      </c>
      <c r="F141" s="62">
        <v>0.25494947028270482</v>
      </c>
      <c r="G141" s="62">
        <v>0.13627638218744276</v>
      </c>
      <c r="H141" s="62">
        <v>0.10007132127305299</v>
      </c>
      <c r="I141" s="62">
        <v>0.10007132127305299</v>
      </c>
      <c r="J141" s="62">
        <v>0.10007132127305299</v>
      </c>
      <c r="K141" s="62">
        <v>0.10007132127305299</v>
      </c>
      <c r="L141" s="62">
        <v>0.10007132127305299</v>
      </c>
      <c r="M141" t="s">
        <v>44</v>
      </c>
    </row>
    <row r="142" spans="1:13" ht="13" thickTop="1" x14ac:dyDescent="0.25"/>
  </sheetData>
  <phoneticPr fontId="0" type="noConversion"/>
  <pageMargins left="0.75" right="0.75" top="1" bottom="1" header="0.5" footer="0.5"/>
  <pageSetup paperSize="9" orientation="portrait" verticalDpi="1200" r:id="rId1"/>
  <headerFooter alignWithMargins="0"/>
  <ignoredErrors>
    <ignoredError sqref="M141 B141:C141" unlockedFormula="1"/>
  </ignoredErrors>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P141"/>
  <sheetViews>
    <sheetView topLeftCell="A10" workbookViewId="0">
      <selection sqref="A1:A1048576"/>
    </sheetView>
  </sheetViews>
  <sheetFormatPr defaultRowHeight="12.5" x14ac:dyDescent="0.25"/>
  <cols>
    <col min="1" max="12" width="10.54296875" customWidth="1"/>
    <col min="13" max="13" width="8.54296875" bestFit="1" customWidth="1"/>
  </cols>
  <sheetData>
    <row r="1" spans="1:16" ht="13" x14ac:dyDescent="0.3">
      <c r="A1" s="2" t="str">
        <f>MODEL_NAME</f>
        <v>PAGE-ICE Nonlinear Arctic Feedbacks</v>
      </c>
      <c r="B1" t="s">
        <v>39</v>
      </c>
      <c r="C1" s="51" t="str">
        <f>VERSION</f>
        <v>6.22</v>
      </c>
    </row>
    <row r="2" spans="1:16" ht="13" x14ac:dyDescent="0.3">
      <c r="A2" s="3" t="s">
        <v>790</v>
      </c>
      <c r="C2" s="65">
        <f t="array" ref="C2:K2" xml:space="preserve"> DROP * OCCUR_SCC / ((YP+YP_NOT_1)/2)</f>
        <v>0</v>
      </c>
      <c r="D2" s="65">
        <v>0</v>
      </c>
      <c r="E2" s="65">
        <v>0</v>
      </c>
      <c r="F2" s="65">
        <v>0</v>
      </c>
      <c r="G2" s="65">
        <v>0</v>
      </c>
      <c r="H2" s="65">
        <v>0</v>
      </c>
      <c r="I2" s="65">
        <v>0</v>
      </c>
      <c r="J2" s="65">
        <v>0</v>
      </c>
      <c r="K2" s="65">
        <v>0</v>
      </c>
      <c r="L2" s="65">
        <v>0</v>
      </c>
      <c r="M2" t="str">
        <f>'Base data'!$F$35</f>
        <v>Mtonne</v>
      </c>
      <c r="P2" s="124" t="s">
        <v>792</v>
      </c>
    </row>
    <row r="3" spans="1:16" s="2" customFormat="1" ht="13" x14ac:dyDescent="0.3">
      <c r="A3" s="2" t="s">
        <v>574</v>
      </c>
    </row>
    <row r="4" spans="1:16" s="2" customFormat="1" ht="13" x14ac:dyDescent="0.3">
      <c r="A4" s="2" t="s">
        <v>573</v>
      </c>
      <c r="B4" s="2">
        <f>Y_0</f>
        <v>2015</v>
      </c>
      <c r="C4" s="2">
        <f t="array" ref="C4:L4">Y</f>
        <v>2020</v>
      </c>
      <c r="D4" s="2">
        <v>2030</v>
      </c>
      <c r="E4" s="2">
        <v>2040</v>
      </c>
      <c r="F4" s="2">
        <v>2050</v>
      </c>
      <c r="G4" s="2">
        <v>2075</v>
      </c>
      <c r="H4" s="2">
        <v>2100</v>
      </c>
      <c r="I4" s="2">
        <v>2150</v>
      </c>
      <c r="J4" s="2">
        <v>2200</v>
      </c>
      <c r="K4" s="2">
        <v>2250</v>
      </c>
      <c r="L4" s="2">
        <v>2300</v>
      </c>
    </row>
    <row r="5" spans="1:16" x14ac:dyDescent="0.25">
      <c r="A5" t="str">
        <f t="array" ref="A5:A12">R_CODE&amp;" "&amp;'Base data'!$B$12</f>
        <v>EU CO2</v>
      </c>
      <c r="B5" s="27">
        <f t="array" ref="B5:B12" xml:space="preserve"> E_CO2_0</f>
        <v>4392.7955908011572</v>
      </c>
      <c r="C5" s="27">
        <f t="array" ref="C5:L12" xml:space="preserve"> E_CO2_0 * er_co2_b/100</f>
        <v>4115.6979728110136</v>
      </c>
      <c r="D5" s="27">
        <v>2839.9663739856596</v>
      </c>
      <c r="E5" s="27">
        <v>1399.9960340866592</v>
      </c>
      <c r="F5" s="27">
        <v>697.78772579480312</v>
      </c>
      <c r="G5" s="27">
        <v>-290.28528853992231</v>
      </c>
      <c r="H5" s="27">
        <v>-411.64556026765376</v>
      </c>
      <c r="I5" s="27">
        <v>-411.64556026765376</v>
      </c>
      <c r="J5" s="27">
        <v>-411.64556026765376</v>
      </c>
      <c r="K5" s="27">
        <v>-411.64556026765376</v>
      </c>
      <c r="L5" s="27">
        <v>-411.64556026765376</v>
      </c>
      <c r="M5" t="str">
        <f>'Base data'!$F$35</f>
        <v>Mtonne</v>
      </c>
    </row>
    <row r="6" spans="1:16" x14ac:dyDescent="0.25">
      <c r="A6" t="str">
        <v>US CO2</v>
      </c>
      <c r="B6" s="28">
        <v>6172.5016891339619</v>
      </c>
      <c r="C6" s="28">
        <v>5783.1401812411668</v>
      </c>
      <c r="D6" s="28">
        <v>3990.5560999056352</v>
      </c>
      <c r="E6" s="28">
        <v>1967.1932614567029</v>
      </c>
      <c r="F6" s="28">
        <v>980.49085760893342</v>
      </c>
      <c r="G6" s="28">
        <v>-407.89205798593156</v>
      </c>
      <c r="H6" s="28">
        <v>-578.42047588041385</v>
      </c>
      <c r="I6" s="28">
        <v>-578.42047588041385</v>
      </c>
      <c r="J6" s="28">
        <v>-578.42047588041385</v>
      </c>
      <c r="K6" s="28">
        <v>-578.42047588041385</v>
      </c>
      <c r="L6" s="28">
        <v>-578.42047588041385</v>
      </c>
      <c r="M6" t="str">
        <f>'Base data'!$F$35</f>
        <v>Mtonne</v>
      </c>
    </row>
    <row r="7" spans="1:16" x14ac:dyDescent="0.25">
      <c r="A7" t="str">
        <v>OT CO2</v>
      </c>
      <c r="B7" s="28">
        <v>2433.951770163234</v>
      </c>
      <c r="C7" s="28">
        <v>2280.4180525398924</v>
      </c>
      <c r="D7" s="28">
        <v>1573.5631308776165</v>
      </c>
      <c r="E7" s="28">
        <v>775.70712202551363</v>
      </c>
      <c r="F7" s="28">
        <v>386.62888706976867</v>
      </c>
      <c r="G7" s="28">
        <v>-160.84071687142409</v>
      </c>
      <c r="H7" s="28">
        <v>-228.08378386451648</v>
      </c>
      <c r="I7" s="28">
        <v>-228.08378386451648</v>
      </c>
      <c r="J7" s="28">
        <v>-228.08378386451648</v>
      </c>
      <c r="K7" s="28">
        <v>-228.08378386451648</v>
      </c>
      <c r="L7" s="28">
        <v>-228.08378386451648</v>
      </c>
      <c r="M7" t="str">
        <f>'Base data'!$F$35</f>
        <v>Mtonne</v>
      </c>
    </row>
    <row r="8" spans="1:16" x14ac:dyDescent="0.25">
      <c r="A8" t="str">
        <v>EE CO2</v>
      </c>
      <c r="B8" s="28">
        <v>3379.0269604765044</v>
      </c>
      <c r="C8" s="28">
        <v>3202.4076086951377</v>
      </c>
      <c r="D8" s="28">
        <v>2142.0396740125425</v>
      </c>
      <c r="E8" s="28">
        <v>1321.3533776854476</v>
      </c>
      <c r="F8" s="28">
        <v>1052.494146505599</v>
      </c>
      <c r="G8" s="28">
        <v>102.81074945057918</v>
      </c>
      <c r="H8" s="28">
        <v>-156.16774761666755</v>
      </c>
      <c r="I8" s="28">
        <v>-156.16774761666755</v>
      </c>
      <c r="J8" s="28">
        <v>-156.16774761666755</v>
      </c>
      <c r="K8" s="28">
        <v>-156.16774761666755</v>
      </c>
      <c r="L8" s="28">
        <v>-156.16774761666755</v>
      </c>
      <c r="M8" t="str">
        <f>'Base data'!$F$35</f>
        <v>Mtonne</v>
      </c>
    </row>
    <row r="9" spans="1:16" x14ac:dyDescent="0.25">
      <c r="A9" t="str">
        <v>CA CO2</v>
      </c>
      <c r="B9" s="28">
        <v>9909.7682384326108</v>
      </c>
      <c r="C9" s="28">
        <v>10481.665022596222</v>
      </c>
      <c r="D9" s="28">
        <v>8167.1514437039559</v>
      </c>
      <c r="E9" s="28">
        <v>5166.046276641544</v>
      </c>
      <c r="F9" s="28">
        <v>3360.6674395590062</v>
      </c>
      <c r="G9" s="28">
        <v>-264.66777523840454</v>
      </c>
      <c r="H9" s="28">
        <v>-420.71401149385076</v>
      </c>
      <c r="I9" s="28">
        <v>-420.71401149385076</v>
      </c>
      <c r="J9" s="28">
        <v>-420.71401149385076</v>
      </c>
      <c r="K9" s="28">
        <v>-420.71401149385076</v>
      </c>
      <c r="L9" s="28">
        <v>-420.71401149385076</v>
      </c>
      <c r="M9" t="str">
        <f>'Base data'!$F$35</f>
        <v>Mtonne</v>
      </c>
    </row>
    <row r="10" spans="1:16" x14ac:dyDescent="0.25">
      <c r="A10" t="str">
        <v>IA CO2</v>
      </c>
      <c r="B10" s="28">
        <v>6027.524173801391</v>
      </c>
      <c r="C10" s="28">
        <v>6375.3750627956088</v>
      </c>
      <c r="D10" s="28">
        <v>4967.5937492770954</v>
      </c>
      <c r="E10" s="28">
        <v>3142.1995011619588</v>
      </c>
      <c r="F10" s="28">
        <v>2044.0946493066547</v>
      </c>
      <c r="G10" s="28">
        <v>-160.98170763356194</v>
      </c>
      <c r="H10" s="28">
        <v>-255.89537651359132</v>
      </c>
      <c r="I10" s="28">
        <v>-255.89537651359132</v>
      </c>
      <c r="J10" s="28">
        <v>-255.89537651359132</v>
      </c>
      <c r="K10" s="28">
        <v>-255.89537651359132</v>
      </c>
      <c r="L10" s="28">
        <v>-255.89537651359132</v>
      </c>
      <c r="M10" t="str">
        <f>'Base data'!$F$35</f>
        <v>Mtonne</v>
      </c>
    </row>
    <row r="11" spans="1:16" x14ac:dyDescent="0.25">
      <c r="A11" t="str">
        <v>AF CO2</v>
      </c>
      <c r="B11" s="28">
        <v>5185.4499997143866</v>
      </c>
      <c r="C11" s="28">
        <v>4423.0212822136918</v>
      </c>
      <c r="D11" s="28">
        <v>3965.4746492392051</v>
      </c>
      <c r="E11" s="28">
        <v>2818.4256824191461</v>
      </c>
      <c r="F11" s="28">
        <v>2169.9735299501976</v>
      </c>
      <c r="G11" s="28">
        <v>1134.7359757982956</v>
      </c>
      <c r="H11" s="28">
        <v>0</v>
      </c>
      <c r="I11" s="28">
        <v>0</v>
      </c>
      <c r="J11" s="28">
        <v>0</v>
      </c>
      <c r="K11" s="28">
        <v>0</v>
      </c>
      <c r="L11" s="28">
        <v>0</v>
      </c>
      <c r="M11" t="str">
        <f>'Base data'!$F$35</f>
        <v>Mtonne</v>
      </c>
    </row>
    <row r="12" spans="1:16" ht="13" thickBot="1" x14ac:dyDescent="0.3">
      <c r="A12" t="str">
        <v>LA CO2</v>
      </c>
      <c r="B12" s="36">
        <v>3722.8412632553154</v>
      </c>
      <c r="C12" s="36">
        <v>3164.4150737670179</v>
      </c>
      <c r="D12" s="36">
        <v>1994.6682888529845</v>
      </c>
      <c r="E12" s="36">
        <v>1657.3838505712722</v>
      </c>
      <c r="F12" s="36">
        <v>1327.8023504973726</v>
      </c>
      <c r="G12" s="36">
        <v>548.10214917971268</v>
      </c>
      <c r="H12" s="36">
        <v>0</v>
      </c>
      <c r="I12" s="36">
        <v>0</v>
      </c>
      <c r="J12" s="36">
        <v>0</v>
      </c>
      <c r="K12" s="36">
        <v>0</v>
      </c>
      <c r="L12" s="36">
        <v>0</v>
      </c>
      <c r="M12" t="str">
        <f>'Base data'!$F$35</f>
        <v>Mtonne</v>
      </c>
    </row>
    <row r="13" spans="1:16" s="2" customFormat="1" ht="13.5" thickTop="1" x14ac:dyDescent="0.3">
      <c r="A13" s="2" t="s">
        <v>789</v>
      </c>
      <c r="C13" s="44">
        <f>SUM(C5:C12)</f>
        <v>39826.140256659754</v>
      </c>
      <c r="D13" s="44">
        <f t="shared" ref="D13:L13" si="0">SUM(D5:D12)</f>
        <v>29641.013409854695</v>
      </c>
      <c r="E13" s="44">
        <f t="shared" si="0"/>
        <v>18248.305106048247</v>
      </c>
      <c r="F13" s="44">
        <f t="shared" si="0"/>
        <v>12019.939586292334</v>
      </c>
      <c r="G13" s="44">
        <f t="shared" si="0"/>
        <v>500.98132815934298</v>
      </c>
      <c r="H13" s="44">
        <f t="shared" si="0"/>
        <v>-2050.9269556366935</v>
      </c>
      <c r="I13" s="44">
        <f t="shared" si="0"/>
        <v>-2050.9269556366935</v>
      </c>
      <c r="J13" s="44">
        <f t="shared" si="0"/>
        <v>-2050.9269556366935</v>
      </c>
      <c r="K13" s="44">
        <f t="shared" si="0"/>
        <v>-2050.9269556366935</v>
      </c>
      <c r="L13" s="44">
        <f t="shared" si="0"/>
        <v>-2050.9269556366935</v>
      </c>
      <c r="M13" s="2" t="str">
        <f>'Base data'!$F$35</f>
        <v>Mtonne</v>
      </c>
      <c r="P13" s="124" t="s">
        <v>793</v>
      </c>
    </row>
    <row r="14" spans="1:16" s="2" customFormat="1" ht="13" x14ac:dyDescent="0.3">
      <c r="A14" s="2" t="str">
        <f>"Total "&amp;'Base data'!B12</f>
        <v>Total CO2</v>
      </c>
      <c r="B14" s="43">
        <f>E_CO2_G_0</f>
        <v>41223.85968577856</v>
      </c>
      <c r="C14" s="43">
        <f t="array" ref="C14:L14" xml:space="preserve"> e_co2_g_b_no_scc - er_scc</f>
        <v>39826.140256659754</v>
      </c>
      <c r="D14" s="43">
        <v>29641.013409854695</v>
      </c>
      <c r="E14" s="43">
        <v>18248.305106048247</v>
      </c>
      <c r="F14" s="43">
        <v>12019.939586292334</v>
      </c>
      <c r="G14" s="43">
        <v>500.98132815934298</v>
      </c>
      <c r="H14" s="43">
        <v>-2050.9269556366935</v>
      </c>
      <c r="I14" s="43">
        <v>-2050.9269556366935</v>
      </c>
      <c r="J14" s="43">
        <v>-2050.9269556366935</v>
      </c>
      <c r="K14" s="43">
        <v>-2050.9269556366935</v>
      </c>
      <c r="L14" s="43">
        <v>-2050.9269556366935</v>
      </c>
      <c r="P14" s="124" t="s">
        <v>793</v>
      </c>
    </row>
    <row r="15" spans="1:16" s="2" customFormat="1" ht="13" x14ac:dyDescent="0.3">
      <c r="B15" s="44"/>
      <c r="C15" s="44"/>
      <c r="D15" s="44"/>
      <c r="E15" s="44"/>
      <c r="F15" s="44"/>
      <c r="G15" s="44"/>
      <c r="H15" s="44"/>
      <c r="I15" s="44"/>
      <c r="J15" s="44"/>
      <c r="K15" s="44"/>
      <c r="L15" s="44"/>
    </row>
    <row r="16" spans="1:16" s="2" customFormat="1" ht="13" x14ac:dyDescent="0.3">
      <c r="B16" s="44"/>
      <c r="C16" s="44"/>
      <c r="D16" s="44"/>
      <c r="E16" s="44"/>
      <c r="F16" s="44"/>
      <c r="G16" s="44"/>
      <c r="H16" s="44"/>
      <c r="I16" s="44"/>
      <c r="J16" s="44"/>
      <c r="K16" s="44"/>
      <c r="L16" s="44"/>
    </row>
    <row r="17" spans="2:12" s="2" customFormat="1" ht="13" x14ac:dyDescent="0.3">
      <c r="B17" s="44"/>
      <c r="C17" s="44"/>
      <c r="D17" s="44"/>
      <c r="E17" s="44"/>
      <c r="F17" s="44"/>
      <c r="G17" s="44"/>
      <c r="H17" s="44"/>
      <c r="I17" s="44"/>
      <c r="J17" s="44"/>
      <c r="K17" s="44"/>
      <c r="L17" s="44"/>
    </row>
    <row r="18" spans="2:12" s="2" customFormat="1" ht="13" x14ac:dyDescent="0.3">
      <c r="B18" s="44"/>
      <c r="C18" s="44"/>
      <c r="D18" s="44"/>
      <c r="E18" s="44"/>
      <c r="F18" s="44"/>
      <c r="G18" s="44"/>
      <c r="H18" s="44"/>
      <c r="I18" s="44"/>
      <c r="J18" s="44"/>
      <c r="K18" s="44"/>
      <c r="L18" s="44"/>
    </row>
    <row r="19" spans="2:12" s="2" customFormat="1" ht="13" x14ac:dyDescent="0.3">
      <c r="B19" s="44"/>
      <c r="C19" s="44"/>
      <c r="D19" s="44"/>
      <c r="E19" s="44"/>
      <c r="F19" s="44"/>
      <c r="G19" s="44"/>
      <c r="H19" s="44"/>
      <c r="I19" s="44"/>
      <c r="J19" s="44"/>
      <c r="K19" s="44"/>
      <c r="L19" s="44"/>
    </row>
    <row r="20" spans="2:12" s="2" customFormat="1" ht="13" x14ac:dyDescent="0.3">
      <c r="B20" s="44"/>
      <c r="C20" s="44"/>
      <c r="D20" s="44"/>
      <c r="E20" s="44"/>
      <c r="F20" s="44"/>
      <c r="G20" s="44"/>
      <c r="H20" s="44"/>
      <c r="I20" s="44"/>
      <c r="J20" s="44"/>
      <c r="K20" s="44"/>
      <c r="L20" s="44"/>
    </row>
    <row r="21" spans="2:12" s="2" customFormat="1" ht="13" x14ac:dyDescent="0.3">
      <c r="B21" s="44"/>
      <c r="C21" s="44"/>
      <c r="D21" s="44"/>
      <c r="E21" s="44"/>
      <c r="F21" s="44"/>
      <c r="G21" s="44"/>
      <c r="H21" s="44"/>
      <c r="I21" s="44"/>
      <c r="J21" s="44"/>
      <c r="K21" s="44"/>
      <c r="L21" s="44"/>
    </row>
    <row r="22" spans="2:12" s="2" customFormat="1" ht="13" x14ac:dyDescent="0.3">
      <c r="B22" s="44"/>
      <c r="C22" s="44"/>
      <c r="D22" s="44"/>
      <c r="E22" s="44"/>
      <c r="F22" s="44"/>
      <c r="G22" s="44"/>
      <c r="H22" s="44"/>
      <c r="I22" s="44"/>
      <c r="J22" s="44"/>
      <c r="K22" s="44"/>
      <c r="L22" s="44"/>
    </row>
    <row r="23" spans="2:12" s="2" customFormat="1" ht="13" x14ac:dyDescent="0.3">
      <c r="B23" s="44"/>
      <c r="C23" s="44"/>
      <c r="D23" s="44"/>
      <c r="E23" s="44"/>
      <c r="F23" s="44"/>
      <c r="G23" s="44"/>
      <c r="H23" s="44"/>
      <c r="I23" s="44"/>
      <c r="J23" s="44"/>
      <c r="K23" s="44"/>
      <c r="L23" s="44"/>
    </row>
    <row r="24" spans="2:12" s="2" customFormat="1" ht="13" x14ac:dyDescent="0.3">
      <c r="B24" s="44"/>
      <c r="C24" s="44"/>
      <c r="D24" s="44"/>
      <c r="E24" s="44"/>
      <c r="F24" s="44"/>
      <c r="G24" s="44"/>
      <c r="H24" s="44"/>
      <c r="I24" s="44"/>
      <c r="J24" s="44"/>
      <c r="K24" s="44"/>
      <c r="L24" s="44"/>
    </row>
    <row r="25" spans="2:12" s="2" customFormat="1" ht="13" x14ac:dyDescent="0.3">
      <c r="B25" s="44"/>
      <c r="C25" s="44"/>
      <c r="D25" s="44"/>
      <c r="E25" s="44"/>
      <c r="F25" s="44"/>
      <c r="G25" s="44"/>
      <c r="H25" s="44"/>
      <c r="I25" s="44"/>
      <c r="J25" s="44"/>
      <c r="K25" s="44"/>
      <c r="L25" s="44"/>
    </row>
    <row r="26" spans="2:12" s="2" customFormat="1" ht="13" x14ac:dyDescent="0.3">
      <c r="B26" s="44"/>
      <c r="C26" s="44"/>
      <c r="D26" s="44"/>
      <c r="E26" s="44"/>
      <c r="F26" s="44"/>
      <c r="G26" s="44"/>
      <c r="H26" s="44"/>
      <c r="I26" s="44"/>
      <c r="J26" s="44"/>
      <c r="K26" s="44"/>
      <c r="L26" s="44"/>
    </row>
    <row r="27" spans="2:12" s="2" customFormat="1" ht="13" x14ac:dyDescent="0.3">
      <c r="B27" s="44"/>
      <c r="C27" s="44"/>
      <c r="D27" s="44"/>
      <c r="E27" s="44"/>
      <c r="F27" s="44"/>
      <c r="G27" s="44"/>
      <c r="H27" s="44"/>
      <c r="I27" s="44"/>
      <c r="J27" s="44"/>
      <c r="K27" s="44"/>
      <c r="L27" s="44"/>
    </row>
    <row r="28" spans="2:12" s="2" customFormat="1" ht="13" x14ac:dyDescent="0.3">
      <c r="B28" s="44"/>
      <c r="C28" s="44"/>
      <c r="D28" s="44"/>
      <c r="E28" s="44"/>
      <c r="F28" s="44"/>
      <c r="G28" s="44"/>
      <c r="H28" s="44"/>
      <c r="I28" s="44"/>
      <c r="J28" s="44"/>
      <c r="K28" s="44"/>
      <c r="L28" s="44"/>
    </row>
    <row r="29" spans="2:12" s="2" customFormat="1" ht="13" x14ac:dyDescent="0.3">
      <c r="B29" s="44"/>
      <c r="C29" s="44"/>
      <c r="D29" s="44"/>
      <c r="E29" s="44"/>
      <c r="F29" s="44"/>
      <c r="G29" s="44"/>
      <c r="H29" s="44"/>
      <c r="I29" s="44"/>
      <c r="J29" s="44"/>
      <c r="K29" s="44"/>
      <c r="L29" s="44"/>
    </row>
    <row r="30" spans="2:12" s="2" customFormat="1" ht="13" x14ac:dyDescent="0.3">
      <c r="B30" s="44"/>
      <c r="C30" s="44"/>
      <c r="D30" s="44"/>
      <c r="E30" s="44"/>
      <c r="F30" s="44"/>
      <c r="G30" s="44"/>
      <c r="H30" s="44"/>
      <c r="I30" s="44"/>
      <c r="J30" s="44"/>
      <c r="K30" s="44"/>
      <c r="L30" s="44"/>
    </row>
    <row r="31" spans="2:12" s="2" customFormat="1" ht="13" x14ac:dyDescent="0.3">
      <c r="B31" s="44"/>
      <c r="C31" s="44"/>
      <c r="D31" s="44"/>
      <c r="E31" s="44"/>
      <c r="F31" s="44"/>
      <c r="G31" s="44"/>
      <c r="H31" s="44"/>
      <c r="I31" s="44"/>
      <c r="J31" s="44"/>
      <c r="K31" s="44"/>
      <c r="L31" s="44"/>
    </row>
    <row r="32" spans="2:12" s="2" customFormat="1" ht="13" x14ac:dyDescent="0.3">
      <c r="B32" s="44"/>
      <c r="C32" s="44"/>
      <c r="D32" s="44"/>
      <c r="E32" s="44"/>
      <c r="F32" s="44"/>
      <c r="G32" s="44"/>
      <c r="H32" s="44"/>
      <c r="I32" s="44"/>
      <c r="J32" s="44"/>
      <c r="K32" s="44"/>
      <c r="L32" s="44"/>
    </row>
    <row r="33" spans="1:13" s="2" customFormat="1" ht="13" x14ac:dyDescent="0.3">
      <c r="B33" s="44"/>
      <c r="C33" s="44"/>
      <c r="D33" s="44"/>
      <c r="E33" s="44"/>
      <c r="F33" s="44"/>
      <c r="G33" s="44"/>
      <c r="H33" s="44"/>
      <c r="I33" s="44"/>
      <c r="J33" s="44"/>
      <c r="K33" s="44"/>
      <c r="L33" s="44"/>
    </row>
    <row r="36" spans="1:13" x14ac:dyDescent="0.25">
      <c r="A36" t="str">
        <f t="array" ref="A36:A43">R_CODE&amp;" "&amp;'Base data'!$C$12</f>
        <v>EU CH4</v>
      </c>
      <c r="B36" s="27">
        <f t="array" ref="B36:B43" xml:space="preserve"> E_CH4_0</f>
        <v>23.703862910418515</v>
      </c>
      <c r="C36" s="27">
        <f t="array" ref="C36:L43" xml:space="preserve"> E_CH4_0 * er_ch4_b/100</f>
        <v>11.651354497516351</v>
      </c>
      <c r="D36" s="27">
        <v>9.6970807797214817</v>
      </c>
      <c r="E36" s="27">
        <v>8.5582085159601338</v>
      </c>
      <c r="F36" s="27">
        <v>6.8827539836245784</v>
      </c>
      <c r="G36" s="27">
        <v>5.5647856911799325</v>
      </c>
      <c r="H36" s="27">
        <v>4.499720286729894</v>
      </c>
      <c r="I36" s="27">
        <v>4.499720286729894</v>
      </c>
      <c r="J36" s="27">
        <v>4.499720286729894</v>
      </c>
      <c r="K36" s="27">
        <v>4.499720286729894</v>
      </c>
      <c r="L36" s="27">
        <v>4.499720286729894</v>
      </c>
      <c r="M36" t="str">
        <f>'Base data'!$F$35</f>
        <v>Mtonne</v>
      </c>
    </row>
    <row r="37" spans="1:13" x14ac:dyDescent="0.25">
      <c r="A37" t="str">
        <v>US CH4</v>
      </c>
      <c r="B37" s="28">
        <v>28.819854489575487</v>
      </c>
      <c r="C37" s="28">
        <v>14.166059873612115</v>
      </c>
      <c r="D37" s="28">
        <v>11.789996343692911</v>
      </c>
      <c r="E37" s="28">
        <v>10.405321911181353</v>
      </c>
      <c r="F37" s="28">
        <v>8.3682549568079718</v>
      </c>
      <c r="G37" s="28">
        <v>6.7658302991191999</v>
      </c>
      <c r="H37" s="28">
        <v>5.4708924194101654</v>
      </c>
      <c r="I37" s="28">
        <v>5.4708924194101654</v>
      </c>
      <c r="J37" s="28">
        <v>5.4708924194101654</v>
      </c>
      <c r="K37" s="28">
        <v>5.4708924194101654</v>
      </c>
      <c r="L37" s="28">
        <v>5.4708924194101654</v>
      </c>
      <c r="M37" t="str">
        <f>'Base data'!$F$35</f>
        <v>Mtonne</v>
      </c>
    </row>
    <row r="38" spans="1:13" x14ac:dyDescent="0.25">
      <c r="A38" t="str">
        <v>OT CH4</v>
      </c>
      <c r="B38" s="28">
        <v>22.040189599972457</v>
      </c>
      <c r="C38" s="28">
        <v>10.833595485775538</v>
      </c>
      <c r="D38" s="28">
        <v>9.0164839274940203</v>
      </c>
      <c r="E38" s="28">
        <v>7.9575442635957225</v>
      </c>
      <c r="F38" s="28">
        <v>6.3996827581371249</v>
      </c>
      <c r="G38" s="28">
        <v>5.1742170540022752</v>
      </c>
      <c r="H38" s="28">
        <v>4.1839040599065909</v>
      </c>
      <c r="I38" s="28">
        <v>4.1839040599065909</v>
      </c>
      <c r="J38" s="28">
        <v>4.1839040599065909</v>
      </c>
      <c r="K38" s="28">
        <v>4.1839040599065909</v>
      </c>
      <c r="L38" s="28">
        <v>4.1839040599065909</v>
      </c>
      <c r="M38" t="str">
        <f>'Base data'!$F$35</f>
        <v>Mtonne</v>
      </c>
    </row>
    <row r="39" spans="1:13" x14ac:dyDescent="0.25">
      <c r="A39" t="str">
        <v>EE CH4</v>
      </c>
      <c r="B39" s="28">
        <v>38.946354314074185</v>
      </c>
      <c r="C39" s="28">
        <v>21.192522615270917</v>
      </c>
      <c r="D39" s="28">
        <v>17.528375733608524</v>
      </c>
      <c r="E39" s="28">
        <v>15.676687447840788</v>
      </c>
      <c r="F39" s="28">
        <v>12.358082381855564</v>
      </c>
      <c r="G39" s="28">
        <v>10.904537500145878</v>
      </c>
      <c r="H39" s="28">
        <v>10.208370295472539</v>
      </c>
      <c r="I39" s="28">
        <v>10.208370295472539</v>
      </c>
      <c r="J39" s="28">
        <v>10.208370295472539</v>
      </c>
      <c r="K39" s="28">
        <v>10.208370295472539</v>
      </c>
      <c r="L39" s="28">
        <v>10.208370295472539</v>
      </c>
      <c r="M39" t="str">
        <f>'Base data'!$F$35</f>
        <v>Mtonne</v>
      </c>
    </row>
    <row r="40" spans="1:13" x14ac:dyDescent="0.25">
      <c r="A40" t="str">
        <v>CA CH4</v>
      </c>
      <c r="B40" s="28">
        <v>58</v>
      </c>
      <c r="C40" s="28">
        <v>49.103802367444011</v>
      </c>
      <c r="D40" s="28">
        <v>43.961782677087022</v>
      </c>
      <c r="E40" s="28">
        <v>39.526382067128004</v>
      </c>
      <c r="F40" s="28">
        <v>31.34092220377925</v>
      </c>
      <c r="G40" s="28">
        <v>24.287605289224004</v>
      </c>
      <c r="H40" s="28">
        <v>20.441874614501504</v>
      </c>
      <c r="I40" s="28">
        <v>20.441874614501504</v>
      </c>
      <c r="J40" s="28">
        <v>20.441874614501504</v>
      </c>
      <c r="K40" s="28">
        <v>20.441874614501504</v>
      </c>
      <c r="L40" s="28">
        <v>20.441874614501504</v>
      </c>
      <c r="M40" t="str">
        <f>'Base data'!$F$35</f>
        <v>Mtonne</v>
      </c>
    </row>
    <row r="41" spans="1:13" x14ac:dyDescent="0.25">
      <c r="A41" t="str">
        <v>IA CH4</v>
      </c>
      <c r="B41" s="28">
        <v>73</v>
      </c>
      <c r="C41" s="28">
        <v>61.803061600403673</v>
      </c>
      <c r="D41" s="28">
        <v>55.33120923150608</v>
      </c>
      <c r="E41" s="28">
        <v>49.748722256902482</v>
      </c>
      <c r="F41" s="28">
        <v>39.446333118549745</v>
      </c>
      <c r="G41" s="28">
        <v>30.568882519195725</v>
      </c>
      <c r="H41" s="28">
        <v>25.728566325148449</v>
      </c>
      <c r="I41" s="28">
        <v>25.728566325148449</v>
      </c>
      <c r="J41" s="28">
        <v>25.728566325148449</v>
      </c>
      <c r="K41" s="28">
        <v>25.728566325148449</v>
      </c>
      <c r="L41" s="28">
        <v>25.728566325148449</v>
      </c>
      <c r="M41" t="str">
        <f>'Base data'!$F$35</f>
        <v>Mtonne</v>
      </c>
    </row>
    <row r="42" spans="1:13" x14ac:dyDescent="0.25">
      <c r="A42" t="str">
        <v>AF CH4</v>
      </c>
      <c r="B42" s="28">
        <v>67.960443867520937</v>
      </c>
      <c r="C42" s="28">
        <v>50.522251679956163</v>
      </c>
      <c r="D42" s="28">
        <v>49.742550742756812</v>
      </c>
      <c r="E42" s="28">
        <v>52.531871709289497</v>
      </c>
      <c r="F42" s="28">
        <v>46.224991282071912</v>
      </c>
      <c r="G42" s="28">
        <v>33.633123183068541</v>
      </c>
      <c r="H42" s="28">
        <v>28.665738079797276</v>
      </c>
      <c r="I42" s="28">
        <v>28.665738079797276</v>
      </c>
      <c r="J42" s="28">
        <v>28.665738079797276</v>
      </c>
      <c r="K42" s="28">
        <v>28.665738079797276</v>
      </c>
      <c r="L42" s="28">
        <v>28.665738079797276</v>
      </c>
      <c r="M42" t="str">
        <f>'Base data'!$F$35</f>
        <v>Mtonne</v>
      </c>
    </row>
    <row r="43" spans="1:13" ht="13" thickBot="1" x14ac:dyDescent="0.3">
      <c r="A43" t="str">
        <v>LA CH4</v>
      </c>
      <c r="B43" s="36">
        <v>58.668570714259417</v>
      </c>
      <c r="C43" s="36">
        <v>39.435353782793072</v>
      </c>
      <c r="D43" s="36">
        <v>35.90512634954051</v>
      </c>
      <c r="E43" s="36">
        <v>34.141494363726736</v>
      </c>
      <c r="F43" s="36">
        <v>29.510549218514033</v>
      </c>
      <c r="G43" s="36">
        <v>25.048335853131459</v>
      </c>
      <c r="H43" s="36">
        <v>20.798125240664309</v>
      </c>
      <c r="I43" s="36">
        <v>20.798125240664309</v>
      </c>
      <c r="J43" s="36">
        <v>20.798125240664309</v>
      </c>
      <c r="K43" s="36">
        <v>20.798125240664309</v>
      </c>
      <c r="L43" s="36">
        <v>20.798125240664309</v>
      </c>
      <c r="M43" t="str">
        <f>'Base data'!$F$35</f>
        <v>Mtonne</v>
      </c>
    </row>
    <row r="44" spans="1:13" s="2" customFormat="1" ht="13.5" thickTop="1" x14ac:dyDescent="0.3">
      <c r="A44" s="2" t="str">
        <f>"Total "&amp;'Base data'!$C$12</f>
        <v>Total CH4</v>
      </c>
      <c r="B44" s="43">
        <f t="shared" ref="B44:L44" si="1">SUM(B36:B43)</f>
        <v>371.13927589582102</v>
      </c>
      <c r="C44" s="43">
        <f t="shared" si="1"/>
        <v>258.7080019027718</v>
      </c>
      <c r="D44" s="43">
        <f t="shared" si="1"/>
        <v>232.97260578540738</v>
      </c>
      <c r="E44" s="43">
        <f t="shared" si="1"/>
        <v>218.54623253562471</v>
      </c>
      <c r="F44" s="43">
        <f t="shared" si="1"/>
        <v>180.5315699033402</v>
      </c>
      <c r="G44" s="43">
        <f t="shared" si="1"/>
        <v>141.947317389067</v>
      </c>
      <c r="H44" s="43">
        <f t="shared" si="1"/>
        <v>119.99719132163072</v>
      </c>
      <c r="I44" s="43">
        <f t="shared" si="1"/>
        <v>119.99719132163072</v>
      </c>
      <c r="J44" s="43">
        <f t="shared" si="1"/>
        <v>119.99719132163072</v>
      </c>
      <c r="K44" s="43">
        <f t="shared" si="1"/>
        <v>119.99719132163072</v>
      </c>
      <c r="L44" s="43">
        <f t="shared" si="1"/>
        <v>119.99719132163072</v>
      </c>
      <c r="M44" s="2" t="str">
        <f>'Base data'!$F$35</f>
        <v>Mtonne</v>
      </c>
    </row>
    <row r="67" spans="1:13" x14ac:dyDescent="0.25">
      <c r="A67" t="str">
        <f t="array" ref="A67:A74">R_CODE&amp;" "&amp;'Base data'!$D$12</f>
        <v>EU N2O</v>
      </c>
      <c r="B67" s="27">
        <f t="array" ref="B67:B74" xml:space="preserve"> E_N2O_0</f>
        <v>1.3997649292509671</v>
      </c>
      <c r="C67" s="27">
        <f t="array" ref="C67:L74" xml:space="preserve"> E_N2O_0 * er_n2o_b/100</f>
        <v>1.0858712811963889</v>
      </c>
      <c r="D67" s="27">
        <v>1.0420002160482056</v>
      </c>
      <c r="E67" s="27">
        <v>0.97972085276227849</v>
      </c>
      <c r="F67" s="27">
        <v>0.86184692646783656</v>
      </c>
      <c r="G67" s="27">
        <v>0.698465262931102</v>
      </c>
      <c r="H67" s="27">
        <v>0.56948531117935242</v>
      </c>
      <c r="I67" s="27">
        <v>0.56948531117935242</v>
      </c>
      <c r="J67" s="27">
        <v>0.56948531117935242</v>
      </c>
      <c r="K67" s="27">
        <v>0.56948531117935242</v>
      </c>
      <c r="L67" s="27">
        <v>0.56948531117935242</v>
      </c>
      <c r="M67" t="str">
        <f>'Base data'!$F$35</f>
        <v>Mtonne</v>
      </c>
    </row>
    <row r="68" spans="1:13" x14ac:dyDescent="0.25">
      <c r="A68" t="str">
        <v>US N2O</v>
      </c>
      <c r="B68" s="28">
        <v>1.2346196875715312</v>
      </c>
      <c r="C68" s="28">
        <v>0.95775943082884452</v>
      </c>
      <c r="D68" s="28">
        <v>0.91906430451526822</v>
      </c>
      <c r="E68" s="28">
        <v>0.86413270390474939</v>
      </c>
      <c r="F68" s="28">
        <v>0.76016562556656841</v>
      </c>
      <c r="G68" s="28">
        <v>0.61605984453476326</v>
      </c>
      <c r="H68" s="28">
        <v>0.50229703736116993</v>
      </c>
      <c r="I68" s="28">
        <v>0.50229703736116993</v>
      </c>
      <c r="J68" s="28">
        <v>0.50229703736116993</v>
      </c>
      <c r="K68" s="28">
        <v>0.50229703736116993</v>
      </c>
      <c r="L68" s="28">
        <v>0.50229703736116993</v>
      </c>
      <c r="M68" t="str">
        <f>'Base data'!$F$35</f>
        <v>Mtonne</v>
      </c>
    </row>
    <row r="69" spans="1:13" x14ac:dyDescent="0.25">
      <c r="A69" t="str">
        <v>OT N2O</v>
      </c>
      <c r="B69" s="28">
        <v>0.66362652353510987</v>
      </c>
      <c r="C69" s="28">
        <v>0.51481000008521793</v>
      </c>
      <c r="D69" s="28">
        <v>0.49401079170410023</v>
      </c>
      <c r="E69" s="28">
        <v>0.46448423586480203</v>
      </c>
      <c r="F69" s="28">
        <v>0.40860037830589524</v>
      </c>
      <c r="G69" s="28">
        <v>0.33114136849895182</v>
      </c>
      <c r="H69" s="28">
        <v>0.26999216037259699</v>
      </c>
      <c r="I69" s="28">
        <v>0.26999216037259699</v>
      </c>
      <c r="J69" s="28">
        <v>0.26999216037259699</v>
      </c>
      <c r="K69" s="28">
        <v>0.26999216037259699</v>
      </c>
      <c r="L69" s="28">
        <v>0.26999216037259699</v>
      </c>
      <c r="M69" t="str">
        <f>'Base data'!$F$35</f>
        <v>Mtonne</v>
      </c>
    </row>
    <row r="70" spans="1:13" x14ac:dyDescent="0.25">
      <c r="A70" t="str">
        <v>EE N2O</v>
      </c>
      <c r="B70" s="28">
        <v>0.45491034192878316</v>
      </c>
      <c r="C70" s="28">
        <v>0.6009015296633422</v>
      </c>
      <c r="D70" s="28">
        <v>0.58543798878447606</v>
      </c>
      <c r="E70" s="28">
        <v>0.57387050402414252</v>
      </c>
      <c r="F70" s="28">
        <v>0.55287632484286731</v>
      </c>
      <c r="G70" s="28">
        <v>0.56486471087340961</v>
      </c>
      <c r="H70" s="28">
        <v>0.55514248341229666</v>
      </c>
      <c r="I70" s="28">
        <v>0.55514248341229666</v>
      </c>
      <c r="J70" s="28">
        <v>0.55514248341229666</v>
      </c>
      <c r="K70" s="28">
        <v>0.55514248341229666</v>
      </c>
      <c r="L70" s="28">
        <v>0.55514248341229666</v>
      </c>
      <c r="M70" t="str">
        <f>'Base data'!$F$35</f>
        <v>Mtonne</v>
      </c>
    </row>
    <row r="71" spans="1:13" x14ac:dyDescent="0.25">
      <c r="A71" t="str">
        <v>CA N2O</v>
      </c>
      <c r="B71" s="28">
        <v>2.489921384411371</v>
      </c>
      <c r="C71" s="28">
        <v>3.2612147358035846</v>
      </c>
      <c r="D71" s="28">
        <v>3.1792340583055103</v>
      </c>
      <c r="E71" s="28">
        <v>3.0791427524308643</v>
      </c>
      <c r="F71" s="28">
        <v>2.6318824645214858</v>
      </c>
      <c r="G71" s="28">
        <v>2.3573254099418115</v>
      </c>
      <c r="H71" s="28">
        <v>2.1253321143035242</v>
      </c>
      <c r="I71" s="28">
        <v>2.1253321143035242</v>
      </c>
      <c r="J71" s="28">
        <v>2.1253321143035242</v>
      </c>
      <c r="K71" s="28">
        <v>2.1253321143035242</v>
      </c>
      <c r="L71" s="28">
        <v>2.1253321143035242</v>
      </c>
      <c r="M71" t="str">
        <f>'Base data'!$F$35</f>
        <v>Mtonne</v>
      </c>
    </row>
    <row r="72" spans="1:13" x14ac:dyDescent="0.25">
      <c r="A72" t="str">
        <v>IA N2O</v>
      </c>
      <c r="B72" s="28">
        <v>1.043859725383347</v>
      </c>
      <c r="C72" s="28">
        <v>1.3672121296057846</v>
      </c>
      <c r="D72" s="28">
        <v>1.3328430414748711</v>
      </c>
      <c r="E72" s="28">
        <v>1.2908813619946702</v>
      </c>
      <c r="F72" s="28">
        <v>1.1033746381940983</v>
      </c>
      <c r="G72" s="28">
        <v>0.98827098335989039</v>
      </c>
      <c r="H72" s="28">
        <v>0.89101150384704231</v>
      </c>
      <c r="I72" s="28">
        <v>0.89101150384704231</v>
      </c>
      <c r="J72" s="28">
        <v>0.89101150384704231</v>
      </c>
      <c r="K72" s="28">
        <v>0.89101150384704231</v>
      </c>
      <c r="L72" s="28">
        <v>0.89101150384704231</v>
      </c>
      <c r="M72" t="str">
        <f>'Base data'!$F$35</f>
        <v>Mtonne</v>
      </c>
    </row>
    <row r="73" spans="1:13" x14ac:dyDescent="0.25">
      <c r="A73" t="str">
        <v>AF N2O</v>
      </c>
      <c r="B73" s="28">
        <v>2.0063001511278067</v>
      </c>
      <c r="C73" s="28">
        <v>2.1024820406571405</v>
      </c>
      <c r="D73" s="28">
        <v>2.0613398629612933</v>
      </c>
      <c r="E73" s="28">
        <v>1.9593922332108802</v>
      </c>
      <c r="F73" s="28">
        <v>1.5692847212046401</v>
      </c>
      <c r="G73" s="28">
        <v>1.2970552855864403</v>
      </c>
      <c r="H73" s="28">
        <v>1.0933126266151014</v>
      </c>
      <c r="I73" s="28">
        <v>1.0933126266151014</v>
      </c>
      <c r="J73" s="28">
        <v>1.0933126266151014</v>
      </c>
      <c r="K73" s="28">
        <v>1.0933126266151014</v>
      </c>
      <c r="L73" s="28">
        <v>1.0933126266151014</v>
      </c>
      <c r="M73" t="str">
        <f>'Base data'!$F$35</f>
        <v>Mtonne</v>
      </c>
    </row>
    <row r="74" spans="1:13" ht="13" thickBot="1" x14ac:dyDescent="0.3">
      <c r="A74" t="str">
        <v>LA N2O</v>
      </c>
      <c r="B74" s="36">
        <v>1.9298107374456253</v>
      </c>
      <c r="C74" s="36">
        <v>1.8844335189024186</v>
      </c>
      <c r="D74" s="36">
        <v>1.7885886752450795</v>
      </c>
      <c r="E74" s="36">
        <v>1.7240932280945021</v>
      </c>
      <c r="F74" s="36">
        <v>1.3995380169008882</v>
      </c>
      <c r="G74" s="36">
        <v>1.0933806612209147</v>
      </c>
      <c r="H74" s="36">
        <v>0.95444303615736259</v>
      </c>
      <c r="I74" s="36">
        <v>0.95444303615736259</v>
      </c>
      <c r="J74" s="36">
        <v>0.95444303615736259</v>
      </c>
      <c r="K74" s="36">
        <v>0.95444303615736259</v>
      </c>
      <c r="L74" s="36">
        <v>0.95444303615736259</v>
      </c>
      <c r="M74" t="str">
        <f>'Base data'!$F$35</f>
        <v>Mtonne</v>
      </c>
    </row>
    <row r="75" spans="1:13" s="2" customFormat="1" ht="13.5" thickTop="1" x14ac:dyDescent="0.3">
      <c r="A75" s="2" t="str">
        <f>"Total "&amp;'Base data'!$D$12</f>
        <v>Total N2O</v>
      </c>
      <c r="B75" s="43">
        <f t="shared" ref="B75:L75" si="2">SUM(B67:B74)</f>
        <v>11.222813480654541</v>
      </c>
      <c r="C75" s="43">
        <f t="shared" si="2"/>
        <v>11.774684666742722</v>
      </c>
      <c r="D75" s="43">
        <f t="shared" si="2"/>
        <v>11.402518939038805</v>
      </c>
      <c r="E75" s="43">
        <f t="shared" si="2"/>
        <v>10.935717872286888</v>
      </c>
      <c r="F75" s="43">
        <f t="shared" si="2"/>
        <v>9.2875690960042796</v>
      </c>
      <c r="G75" s="43">
        <f t="shared" si="2"/>
        <v>7.9465635269472834</v>
      </c>
      <c r="H75" s="43">
        <f t="shared" si="2"/>
        <v>6.9610162732484469</v>
      </c>
      <c r="I75" s="43">
        <f t="shared" si="2"/>
        <v>6.9610162732484469</v>
      </c>
      <c r="J75" s="43">
        <f t="shared" si="2"/>
        <v>6.9610162732484469</v>
      </c>
      <c r="K75" s="43">
        <f t="shared" si="2"/>
        <v>6.9610162732484469</v>
      </c>
      <c r="L75" s="43">
        <f t="shared" si="2"/>
        <v>6.9610162732484469</v>
      </c>
      <c r="M75" s="2" t="str">
        <f>'Base data'!$F$35</f>
        <v>Mtonne</v>
      </c>
    </row>
    <row r="98" spans="1:13" x14ac:dyDescent="0.25">
      <c r="A98" t="str">
        <f t="array" ref="A98:A105">R_CODE&amp;" "&amp;GLIN_NAME</f>
        <v>EU Lin</v>
      </c>
      <c r="B98" s="27">
        <f t="array" ref="B98:B105" xml:space="preserve"> E_GLIN_0</f>
        <v>83.163436219332326</v>
      </c>
      <c r="C98" s="27">
        <f t="array" ref="C98:L105" xml:space="preserve"> E_GLIN_0 * er_glin_b/100</f>
        <v>74.847092597399097</v>
      </c>
      <c r="D98" s="27">
        <v>52.763177217775329</v>
      </c>
      <c r="E98" s="27">
        <v>35.654574147948722</v>
      </c>
      <c r="F98" s="27">
        <v>15.46742050807484</v>
      </c>
      <c r="G98" s="27">
        <v>14.558974508176718</v>
      </c>
      <c r="H98" s="27">
        <v>13.703884149207866</v>
      </c>
      <c r="I98" s="27">
        <v>13.703884149207866</v>
      </c>
      <c r="J98" s="27">
        <v>13.703884149207866</v>
      </c>
      <c r="K98" s="27">
        <v>13.703884149207866</v>
      </c>
      <c r="L98" s="27">
        <v>13.703884149207866</v>
      </c>
      <c r="M98" t="str">
        <f>'Base data'!$F$35</f>
        <v>Mtonne</v>
      </c>
    </row>
    <row r="99" spans="1:13" x14ac:dyDescent="0.25">
      <c r="A99" t="str">
        <v>US Lin</v>
      </c>
      <c r="B99" s="28">
        <v>216.49202882076008</v>
      </c>
      <c r="C99" s="28">
        <v>194.84282593868409</v>
      </c>
      <c r="D99" s="28">
        <v>137.35371940114857</v>
      </c>
      <c r="E99" s="28">
        <v>92.81640399841109</v>
      </c>
      <c r="F99" s="28">
        <v>40.264969782940959</v>
      </c>
      <c r="G99" s="28">
        <v>37.90009254201798</v>
      </c>
      <c r="H99" s="28">
        <v>35.674111328952073</v>
      </c>
      <c r="I99" s="28">
        <v>35.674111328952073</v>
      </c>
      <c r="J99" s="28">
        <v>35.674111328952073</v>
      </c>
      <c r="K99" s="28">
        <v>35.674111328952073</v>
      </c>
      <c r="L99" s="28">
        <v>35.674111328952073</v>
      </c>
      <c r="M99" t="str">
        <f>'Base data'!$F$35</f>
        <v>Mtonne</v>
      </c>
    </row>
    <row r="100" spans="1:13" x14ac:dyDescent="0.25">
      <c r="A100" t="str">
        <v>OT Lin</v>
      </c>
      <c r="B100" s="28">
        <v>77.97264727156184</v>
      </c>
      <c r="C100" s="28">
        <v>70.17538254440565</v>
      </c>
      <c r="D100" s="28">
        <v>49.469872736837871</v>
      </c>
      <c r="E100" s="28">
        <v>33.42913256161836</v>
      </c>
      <c r="F100" s="28">
        <v>14.501994846584802</v>
      </c>
      <c r="G100" s="28">
        <v>13.650251066680102</v>
      </c>
      <c r="H100" s="28">
        <v>12.848532643581894</v>
      </c>
      <c r="I100" s="28">
        <v>12.848532643581894</v>
      </c>
      <c r="J100" s="28">
        <v>12.848532643581894</v>
      </c>
      <c r="K100" s="28">
        <v>12.848532643581894</v>
      </c>
      <c r="L100" s="28">
        <v>12.848532643581894</v>
      </c>
      <c r="M100" t="str">
        <f>'Base data'!$F$35</f>
        <v>Mtonne</v>
      </c>
    </row>
    <row r="101" spans="1:13" x14ac:dyDescent="0.25">
      <c r="A101" t="str">
        <v>EE Lin</v>
      </c>
      <c r="B101" s="28">
        <v>27.885191768681864</v>
      </c>
      <c r="C101" s="28">
        <v>25.096672591813675</v>
      </c>
      <c r="D101" s="28">
        <v>17.691805220292078</v>
      </c>
      <c r="E101" s="28">
        <v>11.955189476828226</v>
      </c>
      <c r="F101" s="28">
        <v>5.1863175289797132</v>
      </c>
      <c r="G101" s="28">
        <v>4.8817102151135465</v>
      </c>
      <c r="H101" s="28">
        <v>4.5949933630523692</v>
      </c>
      <c r="I101" s="28">
        <v>4.5949933630523692</v>
      </c>
      <c r="J101" s="28">
        <v>4.5949933630523692</v>
      </c>
      <c r="K101" s="28">
        <v>4.5949933630523692</v>
      </c>
      <c r="L101" s="28">
        <v>4.5949933630523692</v>
      </c>
      <c r="M101" t="str">
        <f>'Base data'!$F$35</f>
        <v>Mtonne</v>
      </c>
    </row>
    <row r="102" spans="1:13" x14ac:dyDescent="0.25">
      <c r="A102" t="str">
        <v>CA Lin</v>
      </c>
      <c r="B102" s="28">
        <v>90.160537630361432</v>
      </c>
      <c r="C102" s="28">
        <v>81.144483867325292</v>
      </c>
      <c r="D102" s="28">
        <v>57.202499575586373</v>
      </c>
      <c r="E102" s="28">
        <v>38.654434211718673</v>
      </c>
      <c r="F102" s="28">
        <v>16.768799031884228</v>
      </c>
      <c r="G102" s="28">
        <v>15.78391933616134</v>
      </c>
      <c r="H102" s="28">
        <v>14.85688445169791</v>
      </c>
      <c r="I102" s="28">
        <v>14.85688445169791</v>
      </c>
      <c r="J102" s="28">
        <v>14.85688445169791</v>
      </c>
      <c r="K102" s="28">
        <v>14.85688445169791</v>
      </c>
      <c r="L102" s="28">
        <v>14.85688445169791</v>
      </c>
      <c r="M102" t="str">
        <f>'Base data'!$F$35</f>
        <v>Mtonne</v>
      </c>
    </row>
    <row r="103" spans="1:13" x14ac:dyDescent="0.25">
      <c r="A103" t="str">
        <v>IA Lin</v>
      </c>
      <c r="B103" s="28">
        <v>62.980214929817301</v>
      </c>
      <c r="C103" s="28">
        <v>56.682193436835568</v>
      </c>
      <c r="D103" s="28">
        <v>39.957899680713901</v>
      </c>
      <c r="E103" s="28">
        <v>27.00144252272873</v>
      </c>
      <c r="F103" s="28">
        <v>11.713578855006073</v>
      </c>
      <c r="G103" s="28">
        <v>11.025606749394393</v>
      </c>
      <c r="H103" s="28">
        <v>10.378041220112502</v>
      </c>
      <c r="I103" s="28">
        <v>10.378041220112502</v>
      </c>
      <c r="J103" s="28">
        <v>10.378041220112502</v>
      </c>
      <c r="K103" s="28">
        <v>10.378041220112502</v>
      </c>
      <c r="L103" s="28">
        <v>10.378041220112502</v>
      </c>
      <c r="M103" t="str">
        <f>'Base data'!$F$35</f>
        <v>Mtonne</v>
      </c>
    </row>
    <row r="104" spans="1:13" x14ac:dyDescent="0.25">
      <c r="A104" t="str">
        <v>AF Lin</v>
      </c>
      <c r="B104" s="28">
        <v>39.11973074395469</v>
      </c>
      <c r="C104" s="28">
        <v>35.207757669559221</v>
      </c>
      <c r="D104" s="28">
        <v>24.819576724934738</v>
      </c>
      <c r="E104" s="28">
        <v>16.771761772559909</v>
      </c>
      <c r="F104" s="28">
        <v>7.2758095755397889</v>
      </c>
      <c r="G104" s="28">
        <v>6.8484803966719241</v>
      </c>
      <c r="H104" s="28">
        <v>6.4462494869679201</v>
      </c>
      <c r="I104" s="28">
        <v>6.4462494869679201</v>
      </c>
      <c r="J104" s="28">
        <v>6.4462494869679201</v>
      </c>
      <c r="K104" s="28">
        <v>6.4462494869679201</v>
      </c>
      <c r="L104" s="28">
        <v>6.4462494869679201</v>
      </c>
      <c r="M104" t="str">
        <f>'Base data'!$F$35</f>
        <v>Mtonne</v>
      </c>
    </row>
    <row r="105" spans="1:13" ht="13" thickBot="1" x14ac:dyDescent="0.3">
      <c r="A105" t="str">
        <v>LA Lin</v>
      </c>
      <c r="B105" s="36">
        <v>33.442510938201117</v>
      </c>
      <c r="C105" s="36">
        <v>30.098259844381005</v>
      </c>
      <c r="D105" s="36">
        <v>21.217655395887896</v>
      </c>
      <c r="E105" s="36">
        <v>14.3377731867036</v>
      </c>
      <c r="F105" s="36">
        <v>6.2199134985574798</v>
      </c>
      <c r="G105" s="36">
        <v>5.8546001268464671</v>
      </c>
      <c r="H105" s="36">
        <v>5.5107426579517584</v>
      </c>
      <c r="I105" s="36">
        <v>5.5107426579517584</v>
      </c>
      <c r="J105" s="36">
        <v>5.5107426579517584</v>
      </c>
      <c r="K105" s="36">
        <v>5.5107426579517584</v>
      </c>
      <c r="L105" s="36">
        <v>5.5107426579517584</v>
      </c>
      <c r="M105" t="str">
        <f>'Base data'!$F$35</f>
        <v>Mtonne</v>
      </c>
    </row>
    <row r="106" spans="1:13" s="2" customFormat="1" ht="13.5" thickTop="1" x14ac:dyDescent="0.3">
      <c r="A106" s="2" t="str">
        <f>"Total "&amp;'Base data'!$E$12</f>
        <v>Total Lin</v>
      </c>
      <c r="B106" s="43">
        <f t="shared" ref="B106:L106" si="3">SUM(B98:B105)</f>
        <v>631.21629832267081</v>
      </c>
      <c r="C106" s="43">
        <f t="shared" si="3"/>
        <v>568.09466849040359</v>
      </c>
      <c r="D106" s="43">
        <f t="shared" si="3"/>
        <v>400.47620595317676</v>
      </c>
      <c r="E106" s="43">
        <f t="shared" si="3"/>
        <v>270.62071187851728</v>
      </c>
      <c r="F106" s="43">
        <f t="shared" si="3"/>
        <v>117.39880362756787</v>
      </c>
      <c r="G106" s="43">
        <f t="shared" si="3"/>
        <v>110.50363494106247</v>
      </c>
      <c r="H106" s="43">
        <f t="shared" si="3"/>
        <v>104.01343930152429</v>
      </c>
      <c r="I106" s="43">
        <f t="shared" si="3"/>
        <v>104.01343930152429</v>
      </c>
      <c r="J106" s="43">
        <f t="shared" si="3"/>
        <v>104.01343930152429</v>
      </c>
      <c r="K106" s="43">
        <f t="shared" si="3"/>
        <v>104.01343930152429</v>
      </c>
      <c r="L106" s="43">
        <f t="shared" si="3"/>
        <v>104.01343930152429</v>
      </c>
      <c r="M106" s="2" t="str">
        <f>'Base data'!$F$35</f>
        <v>Mtonne</v>
      </c>
    </row>
    <row r="128" spans="1:1" x14ac:dyDescent="0.25">
      <c r="A128" s="59" t="s">
        <v>192</v>
      </c>
    </row>
    <row r="129" spans="1:13" x14ac:dyDescent="0.25">
      <c r="A129" s="1" t="str">
        <f t="array" ref="A129:A136">R_CODE</f>
        <v>EU</v>
      </c>
      <c r="B129" s="27">
        <f t="array" ref="B129:B136" xml:space="preserve"> (SE_0/AREA)</f>
        <v>7.8619533166232523E-7</v>
      </c>
      <c r="C129" s="27">
        <f t="array" ref="C129:L136" xml:space="preserve"> (SE_0/AREA) * pse_b/100</f>
        <v>3.980057084884966E-7</v>
      </c>
      <c r="D129" s="27">
        <v>1.8282997748747625E-7</v>
      </c>
      <c r="E129" s="27">
        <v>8.9105338878499849E-8</v>
      </c>
      <c r="F129" s="27">
        <v>6.3742831809406089E-8</v>
      </c>
      <c r="G129" s="27">
        <v>4.1616838555111138E-8</v>
      </c>
      <c r="H129" s="27">
        <v>3.3739021752634347E-8</v>
      </c>
      <c r="I129" s="27">
        <v>3.3739021752634347E-8</v>
      </c>
      <c r="J129" s="27">
        <v>3.3739021752634347E-8</v>
      </c>
      <c r="K129" s="27">
        <v>3.3739021752634347E-8</v>
      </c>
      <c r="L129" s="27">
        <v>3.3739021752634347E-8</v>
      </c>
      <c r="M129" s="1" t="str">
        <f>'Base data'!$K$35</f>
        <v>Tg/Km2</v>
      </c>
    </row>
    <row r="130" spans="1:13" x14ac:dyDescent="0.25">
      <c r="A130" s="1" t="str">
        <v>US</v>
      </c>
      <c r="B130" s="28">
        <v>5.1413386205534968E-7</v>
      </c>
      <c r="C130" s="28">
        <v>2.6027655441886451E-7</v>
      </c>
      <c r="D130" s="28">
        <v>1.1956199514232406E-7</v>
      </c>
      <c r="E130" s="28">
        <v>5.8270597855737892E-8</v>
      </c>
      <c r="F130" s="28">
        <v>4.1684740390433182E-8</v>
      </c>
      <c r="G130" s="28">
        <v>2.7215407000232891E-8</v>
      </c>
      <c r="H130" s="28">
        <v>2.2063694424354209E-8</v>
      </c>
      <c r="I130" s="28">
        <v>2.2063694424354209E-8</v>
      </c>
      <c r="J130" s="28">
        <v>2.2063694424354209E-8</v>
      </c>
      <c r="K130" s="28">
        <v>2.2063694424354209E-8</v>
      </c>
      <c r="L130" s="28">
        <v>2.2063694424354209E-8</v>
      </c>
      <c r="M130" s="1" t="str">
        <f>'Base data'!$K$35</f>
        <v>Tg/Km2</v>
      </c>
    </row>
    <row r="131" spans="1:13" x14ac:dyDescent="0.25">
      <c r="A131" s="1" t="str">
        <v>OT</v>
      </c>
      <c r="B131" s="28">
        <v>1.0614122777676217E-7</v>
      </c>
      <c r="C131" s="28">
        <v>5.3733229974549726E-8</v>
      </c>
      <c r="D131" s="28">
        <v>2.4683176690819376E-8</v>
      </c>
      <c r="E131" s="28">
        <v>1.2029771341978133E-8</v>
      </c>
      <c r="F131" s="28">
        <v>8.6056761694483476E-9</v>
      </c>
      <c r="G131" s="28">
        <v>5.6185303607526702E-9</v>
      </c>
      <c r="H131" s="28">
        <v>4.5549764143722954E-9</v>
      </c>
      <c r="I131" s="28">
        <v>4.5549764143722954E-9</v>
      </c>
      <c r="J131" s="28">
        <v>4.5549764143722954E-9</v>
      </c>
      <c r="K131" s="28">
        <v>4.5549764143722954E-9</v>
      </c>
      <c r="L131" s="28">
        <v>4.5549764143722954E-9</v>
      </c>
      <c r="M131" s="1" t="str">
        <f>'Base data'!$K$35</f>
        <v>Tg/Km2</v>
      </c>
    </row>
    <row r="132" spans="1:13" x14ac:dyDescent="0.25">
      <c r="A132" s="1" t="str">
        <v>EE</v>
      </c>
      <c r="B132" s="28">
        <v>4.8743987110653312E-7</v>
      </c>
      <c r="C132" s="28">
        <v>1.5987725449917705E-7</v>
      </c>
      <c r="D132" s="28">
        <v>7.9158157780040185E-8</v>
      </c>
      <c r="E132" s="28">
        <v>5.5085435625862331E-8</v>
      </c>
      <c r="F132" s="28">
        <v>3.7027264720664799E-8</v>
      </c>
      <c r="G132" s="28">
        <v>1.4922914576174111E-8</v>
      </c>
      <c r="H132" s="28">
        <v>1.2399022306433569E-8</v>
      </c>
      <c r="I132" s="28">
        <v>1.2399022306433569E-8</v>
      </c>
      <c r="J132" s="28">
        <v>1.2399022306433569E-8</v>
      </c>
      <c r="K132" s="28">
        <v>1.2399022306433569E-8</v>
      </c>
      <c r="L132" s="28">
        <v>1.2399022306433569E-8</v>
      </c>
      <c r="M132" s="1" t="str">
        <f>'Base data'!$K$35</f>
        <v>Tg/Km2</v>
      </c>
    </row>
    <row r="133" spans="1:13" x14ac:dyDescent="0.25">
      <c r="A133" s="1" t="str">
        <v>CA</v>
      </c>
      <c r="B133" s="28">
        <v>2.7579767475218898E-6</v>
      </c>
      <c r="C133" s="28">
        <v>1.5659440252237336E-6</v>
      </c>
      <c r="D133" s="28">
        <v>1.0434940844286895E-6</v>
      </c>
      <c r="E133" s="28">
        <v>5.9339711232664885E-7</v>
      </c>
      <c r="F133" s="28">
        <v>4.1417814387016458E-7</v>
      </c>
      <c r="G133" s="28">
        <v>2.3373458651042354E-7</v>
      </c>
      <c r="H133" s="28">
        <v>1.0381645289115689E-7</v>
      </c>
      <c r="I133" s="28">
        <v>1.0381645289115689E-7</v>
      </c>
      <c r="J133" s="28">
        <v>1.0381645289115689E-7</v>
      </c>
      <c r="K133" s="28">
        <v>1.0381645289115689E-7</v>
      </c>
      <c r="L133" s="28">
        <v>1.0381645289115689E-7</v>
      </c>
      <c r="M133" s="1" t="str">
        <f>'Base data'!$K$35</f>
        <v>Tg/Km2</v>
      </c>
    </row>
    <row r="134" spans="1:13" x14ac:dyDescent="0.25">
      <c r="A134" s="1" t="str">
        <v>IA</v>
      </c>
      <c r="B134" s="28">
        <v>7.4431974629702763E-7</v>
      </c>
      <c r="C134" s="28">
        <v>4.2261525976140402E-7</v>
      </c>
      <c r="D134" s="28">
        <v>2.8161704150779712E-7</v>
      </c>
      <c r="E134" s="28">
        <v>1.6014536326211522E-7</v>
      </c>
      <c r="F134" s="28">
        <v>1.1177794419195621E-7</v>
      </c>
      <c r="G134" s="28">
        <v>6.3080034408773889E-8</v>
      </c>
      <c r="H134" s="28">
        <v>2.8017870689749134E-8</v>
      </c>
      <c r="I134" s="28">
        <v>2.8017870689749134E-8</v>
      </c>
      <c r="J134" s="28">
        <v>2.8017870689749134E-8</v>
      </c>
      <c r="K134" s="28">
        <v>2.8017870689749134E-8</v>
      </c>
      <c r="L134" s="28">
        <v>2.8017870689749134E-8</v>
      </c>
      <c r="M134" s="1" t="str">
        <f>'Base data'!$K$35</f>
        <v>Tg/Km2</v>
      </c>
    </row>
    <row r="135" spans="1:13" x14ac:dyDescent="0.25">
      <c r="A135" s="1" t="str">
        <v>AF</v>
      </c>
      <c r="B135" s="28">
        <v>3.09059467717921E-7</v>
      </c>
      <c r="C135" s="28">
        <v>1.8120374242756821E-7</v>
      </c>
      <c r="D135" s="28">
        <v>1.4101612456658992E-7</v>
      </c>
      <c r="E135" s="28">
        <v>1.2061542192849694E-7</v>
      </c>
      <c r="F135" s="28">
        <v>1.1673780551553623E-7</v>
      </c>
      <c r="G135" s="28">
        <v>1.1831024652159489E-7</v>
      </c>
      <c r="H135" s="28">
        <v>6.9782985152456291E-8</v>
      </c>
      <c r="I135" s="28">
        <v>6.9782985152456291E-8</v>
      </c>
      <c r="J135" s="28">
        <v>6.9782985152456291E-8</v>
      </c>
      <c r="K135" s="28">
        <v>6.9782985152456291E-8</v>
      </c>
      <c r="L135" s="28">
        <v>6.9782985152456291E-8</v>
      </c>
      <c r="M135" s="1" t="str">
        <f>'Base data'!$K$35</f>
        <v>Tg/Km2</v>
      </c>
    </row>
    <row r="136" spans="1:13" x14ac:dyDescent="0.25">
      <c r="A136" s="1" t="str">
        <v>LA</v>
      </c>
      <c r="B136" s="28">
        <v>2.0239223914085869E-7</v>
      </c>
      <c r="C136" s="28">
        <v>8.6821069710243789E-8</v>
      </c>
      <c r="D136" s="28">
        <v>7.8370336243939249E-8</v>
      </c>
      <c r="E136" s="28">
        <v>7.4293496956630264E-8</v>
      </c>
      <c r="F136" s="28">
        <v>6.308513589573202E-8</v>
      </c>
      <c r="G136" s="28">
        <v>1.9376064509268072E-8</v>
      </c>
      <c r="H136" s="28">
        <v>1.0735389979052447E-8</v>
      </c>
      <c r="I136" s="28">
        <v>1.0735389979052447E-8</v>
      </c>
      <c r="J136" s="28">
        <v>1.0735389979052447E-8</v>
      </c>
      <c r="K136" s="28">
        <v>1.0735389979052447E-8</v>
      </c>
      <c r="L136" s="28">
        <v>1.0735389979052447E-8</v>
      </c>
      <c r="M136" s="1" t="str">
        <f>'Base data'!$K$35</f>
        <v>Tg/Km2</v>
      </c>
    </row>
    <row r="137" spans="1:13" ht="13" x14ac:dyDescent="0.3">
      <c r="A137" s="8" t="s">
        <v>138</v>
      </c>
      <c r="B137" s="43">
        <f t="array" ref="B137">SUM(AREA*B129:B136)/AREA_E</f>
        <v>1.5344483043165448E-7</v>
      </c>
      <c r="C137" s="43">
        <f t="array" ref="C137">SUM(AREA*C129:C136)/AREA_E</f>
        <v>7.9179519528980282E-8</v>
      </c>
      <c r="D137" s="43">
        <f t="array" ref="D137">SUM(AREA*D129:D136)/AREA_E</f>
        <v>5.2349173968837125E-8</v>
      </c>
      <c r="E137" s="43">
        <f t="array" ref="E137">SUM(AREA*E129:E136)/AREA_E</f>
        <v>3.4761357085256673E-8</v>
      </c>
      <c r="F137" s="43">
        <f t="array" ref="F137">SUM(AREA*F129:F136)/AREA_E</f>
        <v>2.7321275297382255E-8</v>
      </c>
      <c r="G137" s="43">
        <f t="array" ref="G137">SUM(AREA*G129:G136)/AREA_E</f>
        <v>1.791916189532147E-8</v>
      </c>
      <c r="H137" s="43">
        <f t="array" ref="H137">SUM(AREA*H129:H136)/AREA_E</f>
        <v>9.9662338506545023E-9</v>
      </c>
      <c r="I137" s="43">
        <f t="array" ref="I137">SUM(AREA*I129:I136)/AREA_E</f>
        <v>9.9662338506545023E-9</v>
      </c>
      <c r="J137" s="43">
        <f t="array" ref="J137">SUM(AREA*J129:J136)/AREA_E</f>
        <v>9.9662338506545023E-9</v>
      </c>
      <c r="K137" s="43">
        <f t="array" ref="K137">SUM(AREA*K129:K136)/AREA_E</f>
        <v>9.9662338506545023E-9</v>
      </c>
      <c r="L137" s="43">
        <f t="array" ref="L137">SUM(AREA*L129:L136)/AREA_E</f>
        <v>9.9662338506545023E-9</v>
      </c>
      <c r="M137" s="1" t="str">
        <f>'Base data'!$K$35</f>
        <v>Tg/Km2</v>
      </c>
    </row>
    <row r="141" spans="1:13" ht="13" x14ac:dyDescent="0.3">
      <c r="A141" s="2" t="s">
        <v>550</v>
      </c>
      <c r="B141" s="26">
        <f xml:space="preserve"> PEXF_0</f>
        <v>0.85</v>
      </c>
      <c r="C141" s="26">
        <f t="array" ref="C141:L141" xml:space="preserve"> pexf_b</f>
        <v>0.73837032266629909</v>
      </c>
      <c r="D141" s="26">
        <v>0.56202109433745318</v>
      </c>
      <c r="E141" s="26">
        <v>0.37736904720450726</v>
      </c>
      <c r="F141" s="26">
        <v>0.25494947028270482</v>
      </c>
      <c r="G141" s="26">
        <v>0.13627638218744276</v>
      </c>
      <c r="H141" s="26">
        <v>0.10007132127305299</v>
      </c>
      <c r="I141" s="26">
        <v>0.10007132127305299</v>
      </c>
      <c r="J141" s="26">
        <v>0.10007132127305299</v>
      </c>
      <c r="K141" s="26">
        <v>0.10007132127305299</v>
      </c>
      <c r="L141" s="26">
        <v>0.10007132127305299</v>
      </c>
      <c r="M141" t="s">
        <v>44</v>
      </c>
    </row>
  </sheetData>
  <pageMargins left="0.75" right="0.75" top="1" bottom="1" header="0.5" footer="0.5"/>
  <pageSetup paperSize="9" orientation="portrait" verticalDpi="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141"/>
  <sheetViews>
    <sheetView workbookViewId="0">
      <selection activeCell="P14" sqref="P14"/>
    </sheetView>
  </sheetViews>
  <sheetFormatPr defaultRowHeight="12.5" x14ac:dyDescent="0.25"/>
  <cols>
    <col min="1" max="1" width="9.81640625" bestFit="1" customWidth="1"/>
    <col min="2" max="12" width="9" bestFit="1" customWidth="1"/>
    <col min="13" max="13" width="8.54296875" bestFit="1" customWidth="1"/>
  </cols>
  <sheetData>
    <row r="1" spans="1:16" ht="13" x14ac:dyDescent="0.3">
      <c r="A1" s="2" t="str">
        <f>MODEL_NAME</f>
        <v>PAGE-ICE Nonlinear Arctic Feedbacks</v>
      </c>
      <c r="B1" t="s">
        <v>39</v>
      </c>
      <c r="C1" s="51" t="str">
        <f>VERSION</f>
        <v>6.22</v>
      </c>
    </row>
    <row r="3" spans="1:16" s="2" customFormat="1" ht="13" x14ac:dyDescent="0.3">
      <c r="A3" s="2" t="s">
        <v>574</v>
      </c>
    </row>
    <row r="4" spans="1:16" s="2" customFormat="1" ht="13" x14ac:dyDescent="0.3">
      <c r="A4" s="2" t="s">
        <v>573</v>
      </c>
      <c r="B4" s="2">
        <f>Y_0</f>
        <v>2015</v>
      </c>
      <c r="C4" s="2">
        <f t="array" ref="C4:L4">Y</f>
        <v>2020</v>
      </c>
      <c r="D4" s="2">
        <v>2030</v>
      </c>
      <c r="E4" s="2">
        <v>2040</v>
      </c>
      <c r="F4" s="2">
        <v>2050</v>
      </c>
      <c r="G4" s="2">
        <v>2075</v>
      </c>
      <c r="H4" s="2">
        <v>2100</v>
      </c>
      <c r="I4" s="2">
        <v>2150</v>
      </c>
      <c r="J4" s="2">
        <v>2200</v>
      </c>
      <c r="K4" s="2">
        <v>2250</v>
      </c>
      <c r="L4" s="2">
        <v>2300</v>
      </c>
    </row>
    <row r="5" spans="1:16" x14ac:dyDescent="0.25">
      <c r="A5" t="str">
        <f t="array" ref="A5:A12">R_CODE&amp;" "&amp;'Base data'!$B$12</f>
        <v>EU CO2</v>
      </c>
      <c r="B5" s="66">
        <f>'Emissions A'!B5-'Emissions B'!B5</f>
        <v>0</v>
      </c>
      <c r="C5" s="66">
        <f>'Emissions A'!C5-'Emissions B'!C5</f>
        <v>0</v>
      </c>
      <c r="D5" s="66">
        <f>'Emissions A'!D5-'Emissions B'!D5</f>
        <v>0</v>
      </c>
      <c r="E5" s="66">
        <f>'Emissions A'!E5-'Emissions B'!E5</f>
        <v>0</v>
      </c>
      <c r="F5" s="66">
        <f>'Emissions A'!F5-'Emissions B'!F5</f>
        <v>0</v>
      </c>
      <c r="G5" s="66">
        <f>'Emissions A'!G5-'Emissions B'!G5</f>
        <v>0</v>
      </c>
      <c r="H5" s="66">
        <f>'Emissions A'!H5-'Emissions B'!H5</f>
        <v>0</v>
      </c>
      <c r="I5" s="66">
        <f>'Emissions A'!I5-'Emissions B'!I5</f>
        <v>0</v>
      </c>
      <c r="J5" s="66">
        <f>'Emissions A'!J5-'Emissions B'!J5</f>
        <v>0</v>
      </c>
      <c r="K5" s="66">
        <f>'Emissions A'!K5-'Emissions B'!K5</f>
        <v>0</v>
      </c>
      <c r="L5" s="66">
        <f>'Emissions A'!L5-'Emissions B'!L5</f>
        <v>0</v>
      </c>
      <c r="M5" t="str">
        <f>'Base data'!$F$35</f>
        <v>Mtonne</v>
      </c>
    </row>
    <row r="6" spans="1:16" x14ac:dyDescent="0.25">
      <c r="A6" t="str">
        <v>US CO2</v>
      </c>
      <c r="B6" s="67">
        <f>'Emissions A'!B6-'Emissions B'!B6</f>
        <v>0</v>
      </c>
      <c r="C6" s="67">
        <f>'Emissions A'!C6-'Emissions B'!C6</f>
        <v>0</v>
      </c>
      <c r="D6" s="67">
        <f>'Emissions A'!D6-'Emissions B'!D6</f>
        <v>0</v>
      </c>
      <c r="E6" s="67">
        <f>'Emissions A'!E6-'Emissions B'!E6</f>
        <v>0</v>
      </c>
      <c r="F6" s="67">
        <f>'Emissions A'!F6-'Emissions B'!F6</f>
        <v>0</v>
      </c>
      <c r="G6" s="67">
        <f>'Emissions A'!G6-'Emissions B'!G6</f>
        <v>0</v>
      </c>
      <c r="H6" s="67">
        <f>'Emissions A'!H6-'Emissions B'!H6</f>
        <v>0</v>
      </c>
      <c r="I6" s="67">
        <f>'Emissions A'!I6-'Emissions B'!I6</f>
        <v>0</v>
      </c>
      <c r="J6" s="67">
        <f>'Emissions A'!J6-'Emissions B'!J6</f>
        <v>0</v>
      </c>
      <c r="K6" s="67">
        <f>'Emissions A'!K6-'Emissions B'!K6</f>
        <v>0</v>
      </c>
      <c r="L6" s="67">
        <f>'Emissions A'!L6-'Emissions B'!L6</f>
        <v>0</v>
      </c>
      <c r="M6" t="str">
        <f>'Base data'!$F$35</f>
        <v>Mtonne</v>
      </c>
    </row>
    <row r="7" spans="1:16" x14ac:dyDescent="0.25">
      <c r="A7" t="str">
        <v>OT CO2</v>
      </c>
      <c r="B7" s="67">
        <f>'Emissions A'!B7-'Emissions B'!B7</f>
        <v>0</v>
      </c>
      <c r="C7" s="67">
        <f>'Emissions A'!C7-'Emissions B'!C7</f>
        <v>0</v>
      </c>
      <c r="D7" s="67">
        <f>'Emissions A'!D7-'Emissions B'!D7</f>
        <v>0</v>
      </c>
      <c r="E7" s="67">
        <f>'Emissions A'!E7-'Emissions B'!E7</f>
        <v>0</v>
      </c>
      <c r="F7" s="67">
        <f>'Emissions A'!F7-'Emissions B'!F7</f>
        <v>0</v>
      </c>
      <c r="G7" s="67">
        <f>'Emissions A'!G7-'Emissions B'!G7</f>
        <v>0</v>
      </c>
      <c r="H7" s="67">
        <f>'Emissions A'!H7-'Emissions B'!H7</f>
        <v>0</v>
      </c>
      <c r="I7" s="67">
        <f>'Emissions A'!I7-'Emissions B'!I7</f>
        <v>0</v>
      </c>
      <c r="J7" s="67">
        <f>'Emissions A'!J7-'Emissions B'!J7</f>
        <v>0</v>
      </c>
      <c r="K7" s="67">
        <f>'Emissions A'!K7-'Emissions B'!K7</f>
        <v>0</v>
      </c>
      <c r="L7" s="67">
        <f>'Emissions A'!L7-'Emissions B'!L7</f>
        <v>0</v>
      </c>
      <c r="M7" t="str">
        <f>'Base data'!$F$35</f>
        <v>Mtonne</v>
      </c>
    </row>
    <row r="8" spans="1:16" x14ac:dyDescent="0.25">
      <c r="A8" t="str">
        <v>EE CO2</v>
      </c>
      <c r="B8" s="67">
        <f>'Emissions A'!B8-'Emissions B'!B8</f>
        <v>0</v>
      </c>
      <c r="C8" s="67">
        <f>'Emissions A'!C8-'Emissions B'!C8</f>
        <v>0</v>
      </c>
      <c r="D8" s="67">
        <f>'Emissions A'!D8-'Emissions B'!D8</f>
        <v>0</v>
      </c>
      <c r="E8" s="67">
        <f>'Emissions A'!E8-'Emissions B'!E8</f>
        <v>0</v>
      </c>
      <c r="F8" s="67">
        <f>'Emissions A'!F8-'Emissions B'!F8</f>
        <v>0</v>
      </c>
      <c r="G8" s="67">
        <f>'Emissions A'!G8-'Emissions B'!G8</f>
        <v>0</v>
      </c>
      <c r="H8" s="67">
        <f>'Emissions A'!H8-'Emissions B'!H8</f>
        <v>0</v>
      </c>
      <c r="I8" s="67">
        <f>'Emissions A'!I8-'Emissions B'!I8</f>
        <v>0</v>
      </c>
      <c r="J8" s="67">
        <f>'Emissions A'!J8-'Emissions B'!J8</f>
        <v>0</v>
      </c>
      <c r="K8" s="67">
        <f>'Emissions A'!K8-'Emissions B'!K8</f>
        <v>0</v>
      </c>
      <c r="L8" s="67">
        <f>'Emissions A'!L8-'Emissions B'!L8</f>
        <v>0</v>
      </c>
      <c r="M8" t="str">
        <f>'Base data'!$F$35</f>
        <v>Mtonne</v>
      </c>
    </row>
    <row r="9" spans="1:16" x14ac:dyDescent="0.25">
      <c r="A9" t="str">
        <v>CA CO2</v>
      </c>
      <c r="B9" s="67">
        <f>'Emissions A'!B9-'Emissions B'!B9</f>
        <v>0</v>
      </c>
      <c r="C9" s="67">
        <f>'Emissions A'!C9-'Emissions B'!C9</f>
        <v>0</v>
      </c>
      <c r="D9" s="67">
        <f>'Emissions A'!D9-'Emissions B'!D9</f>
        <v>0</v>
      </c>
      <c r="E9" s="67">
        <f>'Emissions A'!E9-'Emissions B'!E9</f>
        <v>0</v>
      </c>
      <c r="F9" s="67">
        <f>'Emissions A'!F9-'Emissions B'!F9</f>
        <v>0</v>
      </c>
      <c r="G9" s="67">
        <f>'Emissions A'!G9-'Emissions B'!G9</f>
        <v>0</v>
      </c>
      <c r="H9" s="67">
        <f>'Emissions A'!H9-'Emissions B'!H9</f>
        <v>0</v>
      </c>
      <c r="I9" s="67">
        <f>'Emissions A'!I9-'Emissions B'!I9</f>
        <v>0</v>
      </c>
      <c r="J9" s="67">
        <f>'Emissions A'!J9-'Emissions B'!J9</f>
        <v>0</v>
      </c>
      <c r="K9" s="67">
        <f>'Emissions A'!K9-'Emissions B'!K9</f>
        <v>0</v>
      </c>
      <c r="L9" s="67">
        <f>'Emissions A'!L9-'Emissions B'!L9</f>
        <v>0</v>
      </c>
      <c r="M9" t="str">
        <f>'Base data'!$F$35</f>
        <v>Mtonne</v>
      </c>
    </row>
    <row r="10" spans="1:16" x14ac:dyDescent="0.25">
      <c r="A10" t="str">
        <v>IA CO2</v>
      </c>
      <c r="B10" s="67">
        <f>'Emissions A'!B10-'Emissions B'!B10</f>
        <v>0</v>
      </c>
      <c r="C10" s="67">
        <f>'Emissions A'!C10-'Emissions B'!C10</f>
        <v>0</v>
      </c>
      <c r="D10" s="67">
        <f>'Emissions A'!D10-'Emissions B'!D10</f>
        <v>0</v>
      </c>
      <c r="E10" s="67">
        <f>'Emissions A'!E10-'Emissions B'!E10</f>
        <v>0</v>
      </c>
      <c r="F10" s="67">
        <f>'Emissions A'!F10-'Emissions B'!F10</f>
        <v>0</v>
      </c>
      <c r="G10" s="67">
        <f>'Emissions A'!G10-'Emissions B'!G10</f>
        <v>0</v>
      </c>
      <c r="H10" s="67">
        <f>'Emissions A'!H10-'Emissions B'!H10</f>
        <v>0</v>
      </c>
      <c r="I10" s="67">
        <f>'Emissions A'!I10-'Emissions B'!I10</f>
        <v>0</v>
      </c>
      <c r="J10" s="67">
        <f>'Emissions A'!J10-'Emissions B'!J10</f>
        <v>0</v>
      </c>
      <c r="K10" s="67">
        <f>'Emissions A'!K10-'Emissions B'!K10</f>
        <v>0</v>
      </c>
      <c r="L10" s="67">
        <f>'Emissions A'!L10-'Emissions B'!L10</f>
        <v>0</v>
      </c>
      <c r="M10" t="str">
        <f>'Base data'!$F$35</f>
        <v>Mtonne</v>
      </c>
    </row>
    <row r="11" spans="1:16" x14ac:dyDescent="0.25">
      <c r="A11" t="str">
        <v>AF CO2</v>
      </c>
      <c r="B11" s="67">
        <f>'Emissions A'!B11-'Emissions B'!B11</f>
        <v>0</v>
      </c>
      <c r="C11" s="67">
        <f>'Emissions A'!C11-'Emissions B'!C11</f>
        <v>0</v>
      </c>
      <c r="D11" s="67">
        <f>'Emissions A'!D11-'Emissions B'!D11</f>
        <v>0</v>
      </c>
      <c r="E11" s="67">
        <f>'Emissions A'!E11-'Emissions B'!E11</f>
        <v>0</v>
      </c>
      <c r="F11" s="67">
        <f>'Emissions A'!F11-'Emissions B'!F11</f>
        <v>0</v>
      </c>
      <c r="G11" s="67">
        <f>'Emissions A'!G11-'Emissions B'!G11</f>
        <v>0</v>
      </c>
      <c r="H11" s="67">
        <f>'Emissions A'!H11-'Emissions B'!H11</f>
        <v>0</v>
      </c>
      <c r="I11" s="67">
        <f>'Emissions A'!I11-'Emissions B'!I11</f>
        <v>0</v>
      </c>
      <c r="J11" s="67">
        <f>'Emissions A'!J11-'Emissions B'!J11</f>
        <v>0</v>
      </c>
      <c r="K11" s="67">
        <f>'Emissions A'!K11-'Emissions B'!K11</f>
        <v>0</v>
      </c>
      <c r="L11" s="67">
        <f>'Emissions A'!L11-'Emissions B'!L11</f>
        <v>0</v>
      </c>
      <c r="M11" t="str">
        <f>'Base data'!$F$35</f>
        <v>Mtonne</v>
      </c>
    </row>
    <row r="12" spans="1:16" ht="13" thickBot="1" x14ac:dyDescent="0.3">
      <c r="A12" t="str">
        <v>LA CO2</v>
      </c>
      <c r="B12" s="68">
        <f>'Emissions A'!B12-'Emissions B'!B12</f>
        <v>0</v>
      </c>
      <c r="C12" s="68">
        <f>'Emissions A'!C12-'Emissions B'!C12</f>
        <v>0</v>
      </c>
      <c r="D12" s="68">
        <f>'Emissions A'!D12-'Emissions B'!D12</f>
        <v>0</v>
      </c>
      <c r="E12" s="68">
        <f>'Emissions A'!E12-'Emissions B'!E12</f>
        <v>0</v>
      </c>
      <c r="F12" s="68">
        <f>'Emissions A'!F12-'Emissions B'!F12</f>
        <v>0</v>
      </c>
      <c r="G12" s="68">
        <f>'Emissions A'!G12-'Emissions B'!G12</f>
        <v>0</v>
      </c>
      <c r="H12" s="68">
        <f>'Emissions A'!H12-'Emissions B'!H12</f>
        <v>0</v>
      </c>
      <c r="I12" s="68">
        <f>'Emissions A'!I12-'Emissions B'!I12</f>
        <v>0</v>
      </c>
      <c r="J12" s="68">
        <f>'Emissions A'!J12-'Emissions B'!J12</f>
        <v>0</v>
      </c>
      <c r="K12" s="68">
        <f>'Emissions A'!K12-'Emissions B'!K12</f>
        <v>0</v>
      </c>
      <c r="L12" s="68">
        <f>'Emissions A'!L12-'Emissions B'!L12</f>
        <v>0</v>
      </c>
      <c r="M12" t="str">
        <f>'Base data'!$F$35</f>
        <v>Mtonne</v>
      </c>
    </row>
    <row r="13" spans="1:16" s="2" customFormat="1" ht="13.5" thickTop="1" x14ac:dyDescent="0.3">
      <c r="A13" s="2" t="s">
        <v>791</v>
      </c>
    </row>
    <row r="14" spans="1:16" s="2" customFormat="1" ht="13" x14ac:dyDescent="0.3">
      <c r="A14" s="2" t="str">
        <f>"Total "&amp;'Base data'!B12</f>
        <v>Total CO2</v>
      </c>
      <c r="B14" s="70">
        <f>'Emissions A'!B14-'Emissions B'!B14</f>
        <v>0</v>
      </c>
      <c r="C14" s="70">
        <f>'Emissions A'!C14-'Emissions B'!C14</f>
        <v>0</v>
      </c>
      <c r="D14" s="70">
        <f>'Emissions A'!D14-'Emissions B'!D14</f>
        <v>0</v>
      </c>
      <c r="E14" s="70">
        <f>'Emissions A'!E14-'Emissions B'!E14</f>
        <v>0</v>
      </c>
      <c r="F14" s="70">
        <f>'Emissions A'!F14-'Emissions B'!F14</f>
        <v>0</v>
      </c>
      <c r="G14" s="70">
        <f>'Emissions A'!G14-'Emissions B'!G14</f>
        <v>0</v>
      </c>
      <c r="H14" s="70">
        <f>'Emissions A'!H14-'Emissions B'!H14</f>
        <v>0</v>
      </c>
      <c r="I14" s="70">
        <f>'Emissions A'!I14-'Emissions B'!I14</f>
        <v>0</v>
      </c>
      <c r="J14" s="70">
        <f>'Emissions A'!J14-'Emissions B'!J14</f>
        <v>0</v>
      </c>
      <c r="K14" s="70">
        <f>'Emissions A'!K14-'Emissions B'!K14</f>
        <v>0</v>
      </c>
      <c r="L14" s="70">
        <f>'Emissions A'!L14-'Emissions B'!L14</f>
        <v>0</v>
      </c>
      <c r="M14" s="2" t="str">
        <f>'Base data'!$F$35</f>
        <v>Mtonne</v>
      </c>
      <c r="P14" s="124" t="s">
        <v>793</v>
      </c>
    </row>
    <row r="15" spans="1:16" s="2" customFormat="1" ht="13" x14ac:dyDescent="0.3">
      <c r="B15" s="44"/>
      <c r="C15" s="44"/>
      <c r="D15" s="44"/>
      <c r="E15" s="44"/>
      <c r="F15" s="44"/>
      <c r="G15" s="44"/>
      <c r="H15" s="44"/>
      <c r="I15" s="44"/>
      <c r="J15" s="44"/>
      <c r="K15" s="44"/>
      <c r="L15" s="44"/>
    </row>
    <row r="16" spans="1:16" s="2" customFormat="1" ht="13" x14ac:dyDescent="0.3">
      <c r="B16" s="44"/>
      <c r="C16" s="44"/>
      <c r="D16" s="44"/>
      <c r="E16" s="44"/>
      <c r="F16" s="44"/>
      <c r="G16" s="44"/>
      <c r="H16" s="44"/>
      <c r="I16" s="44"/>
      <c r="J16" s="44"/>
      <c r="K16" s="44"/>
      <c r="L16" s="44"/>
    </row>
    <row r="17" spans="2:12" s="2" customFormat="1" ht="13" x14ac:dyDescent="0.3">
      <c r="B17" s="44"/>
      <c r="C17" s="44"/>
      <c r="D17" s="44"/>
      <c r="E17" s="44"/>
      <c r="F17" s="44"/>
      <c r="G17" s="44"/>
      <c r="H17" s="44"/>
      <c r="I17" s="44"/>
      <c r="J17" s="44"/>
      <c r="K17" s="44"/>
      <c r="L17" s="44"/>
    </row>
    <row r="18" spans="2:12" s="2" customFormat="1" ht="13" x14ac:dyDescent="0.3">
      <c r="B18" s="44"/>
      <c r="C18" s="44"/>
      <c r="D18" s="44"/>
      <c r="E18" s="44"/>
      <c r="F18" s="44"/>
      <c r="G18" s="44"/>
      <c r="H18" s="44"/>
      <c r="I18" s="44"/>
      <c r="J18" s="44"/>
      <c r="K18" s="44"/>
      <c r="L18" s="44"/>
    </row>
    <row r="19" spans="2:12" s="2" customFormat="1" ht="13" x14ac:dyDescent="0.3">
      <c r="B19" s="44"/>
      <c r="C19" s="44"/>
      <c r="D19" s="44"/>
      <c r="E19" s="44"/>
      <c r="F19" s="44"/>
      <c r="G19" s="44"/>
      <c r="H19" s="44"/>
      <c r="I19" s="44"/>
      <c r="J19" s="44"/>
      <c r="K19" s="44"/>
      <c r="L19" s="44"/>
    </row>
    <row r="20" spans="2:12" s="2" customFormat="1" ht="13" x14ac:dyDescent="0.3">
      <c r="B20" s="44"/>
      <c r="C20" s="44"/>
      <c r="D20" s="44"/>
      <c r="E20" s="44"/>
      <c r="F20" s="44"/>
      <c r="G20" s="44"/>
      <c r="H20" s="44"/>
      <c r="I20" s="44"/>
      <c r="J20" s="44"/>
      <c r="K20" s="44"/>
      <c r="L20" s="44"/>
    </row>
    <row r="21" spans="2:12" s="2" customFormat="1" ht="13" x14ac:dyDescent="0.3">
      <c r="B21" s="44"/>
      <c r="C21" s="44"/>
      <c r="D21" s="44"/>
      <c r="E21" s="44"/>
      <c r="F21" s="44"/>
      <c r="G21" s="44"/>
      <c r="H21" s="44"/>
      <c r="I21" s="44"/>
      <c r="J21" s="44"/>
      <c r="K21" s="44"/>
      <c r="L21" s="44"/>
    </row>
    <row r="22" spans="2:12" s="2" customFormat="1" ht="13" x14ac:dyDescent="0.3">
      <c r="B22" s="44"/>
      <c r="C22" s="44"/>
      <c r="D22" s="44"/>
      <c r="E22" s="44"/>
      <c r="F22" s="44"/>
      <c r="G22" s="44"/>
      <c r="H22" s="44"/>
      <c r="I22" s="44"/>
      <c r="J22" s="44"/>
      <c r="K22" s="44"/>
      <c r="L22" s="44"/>
    </row>
    <row r="23" spans="2:12" s="2" customFormat="1" ht="13" x14ac:dyDescent="0.3">
      <c r="B23" s="44"/>
      <c r="C23" s="44"/>
      <c r="D23" s="44"/>
      <c r="E23" s="44"/>
      <c r="F23" s="44"/>
      <c r="G23" s="44"/>
      <c r="H23" s="44"/>
      <c r="I23" s="44"/>
      <c r="J23" s="44"/>
      <c r="K23" s="44"/>
      <c r="L23" s="44"/>
    </row>
    <row r="24" spans="2:12" s="2" customFormat="1" ht="13" x14ac:dyDescent="0.3">
      <c r="B24" s="44"/>
      <c r="C24" s="44"/>
      <c r="D24" s="44"/>
      <c r="E24" s="44"/>
      <c r="F24" s="44"/>
      <c r="G24" s="44"/>
      <c r="H24" s="44"/>
      <c r="I24" s="44"/>
      <c r="J24" s="44"/>
      <c r="K24" s="44"/>
      <c r="L24" s="44"/>
    </row>
    <row r="25" spans="2:12" s="2" customFormat="1" ht="13" x14ac:dyDescent="0.3">
      <c r="B25" s="44"/>
      <c r="C25" s="44"/>
      <c r="D25" s="44"/>
      <c r="E25" s="44"/>
      <c r="F25" s="44"/>
      <c r="G25" s="44"/>
      <c r="H25" s="44"/>
      <c r="I25" s="44"/>
      <c r="J25" s="44"/>
      <c r="K25" s="44"/>
      <c r="L25" s="44"/>
    </row>
    <row r="26" spans="2:12" s="2" customFormat="1" ht="13" x14ac:dyDescent="0.3">
      <c r="B26" s="44"/>
      <c r="C26" s="44"/>
      <c r="D26" s="44"/>
      <c r="E26" s="44"/>
      <c r="F26" s="44"/>
      <c r="G26" s="44"/>
      <c r="H26" s="44"/>
      <c r="I26" s="44"/>
      <c r="J26" s="44"/>
      <c r="K26" s="44"/>
      <c r="L26" s="44"/>
    </row>
    <row r="27" spans="2:12" s="2" customFormat="1" ht="13" x14ac:dyDescent="0.3">
      <c r="B27" s="44"/>
      <c r="C27" s="44"/>
      <c r="D27" s="44"/>
      <c r="E27" s="44"/>
      <c r="F27" s="44"/>
      <c r="G27" s="44"/>
      <c r="H27" s="44"/>
      <c r="I27" s="44"/>
      <c r="J27" s="44"/>
      <c r="K27" s="44"/>
      <c r="L27" s="44"/>
    </row>
    <row r="28" spans="2:12" s="2" customFormat="1" ht="13" x14ac:dyDescent="0.3">
      <c r="B28" s="44"/>
      <c r="C28" s="44"/>
      <c r="D28" s="44"/>
      <c r="E28" s="44"/>
      <c r="F28" s="44"/>
      <c r="G28" s="44"/>
      <c r="H28" s="44"/>
      <c r="I28" s="44"/>
      <c r="J28" s="44"/>
      <c r="K28" s="44"/>
      <c r="L28" s="44"/>
    </row>
    <row r="29" spans="2:12" s="2" customFormat="1" ht="13" x14ac:dyDescent="0.3">
      <c r="B29" s="44"/>
      <c r="C29" s="44"/>
      <c r="D29" s="44"/>
      <c r="E29" s="44"/>
      <c r="F29" s="44"/>
      <c r="G29" s="44"/>
      <c r="H29" s="44"/>
      <c r="I29" s="44"/>
      <c r="J29" s="44"/>
      <c r="K29" s="44"/>
      <c r="L29" s="44"/>
    </row>
    <row r="30" spans="2:12" s="2" customFormat="1" ht="13" x14ac:dyDescent="0.3">
      <c r="B30" s="44"/>
      <c r="C30" s="44"/>
      <c r="D30" s="44"/>
      <c r="E30" s="44"/>
      <c r="F30" s="44"/>
      <c r="G30" s="44"/>
      <c r="H30" s="44"/>
      <c r="I30" s="44"/>
      <c r="J30" s="44"/>
      <c r="K30" s="44"/>
      <c r="L30" s="44"/>
    </row>
    <row r="31" spans="2:12" s="2" customFormat="1" ht="13" x14ac:dyDescent="0.3">
      <c r="B31" s="44"/>
      <c r="C31" s="44"/>
      <c r="D31" s="44"/>
      <c r="E31" s="44"/>
      <c r="F31" s="44"/>
      <c r="G31" s="44"/>
      <c r="H31" s="44"/>
      <c r="I31" s="44"/>
      <c r="J31" s="44"/>
      <c r="K31" s="44"/>
      <c r="L31" s="44"/>
    </row>
    <row r="32" spans="2:12" s="2" customFormat="1" ht="13" x14ac:dyDescent="0.3">
      <c r="B32" s="44"/>
      <c r="C32" s="44"/>
      <c r="D32" s="44"/>
      <c r="E32" s="44"/>
      <c r="F32" s="44"/>
      <c r="G32" s="44"/>
      <c r="H32" s="44"/>
      <c r="I32" s="44"/>
      <c r="J32" s="44"/>
      <c r="K32" s="44"/>
      <c r="L32" s="44"/>
    </row>
    <row r="33" spans="1:13" s="2" customFormat="1" ht="13" x14ac:dyDescent="0.3">
      <c r="B33" s="44"/>
      <c r="C33" s="44"/>
      <c r="D33" s="44"/>
      <c r="E33" s="44"/>
      <c r="F33" s="44"/>
      <c r="G33" s="44"/>
      <c r="H33" s="44"/>
      <c r="I33" s="44"/>
      <c r="J33" s="44"/>
      <c r="K33" s="44"/>
      <c r="L33" s="44"/>
    </row>
    <row r="36" spans="1:13" x14ac:dyDescent="0.25">
      <c r="A36" t="str">
        <f t="array" ref="A36:A43">R_CODE&amp;" "&amp;'Base data'!$C$12</f>
        <v>EU CH4</v>
      </c>
      <c r="B36" s="66">
        <f>'Emissions A'!B36-'Emissions B'!B36</f>
        <v>0</v>
      </c>
      <c r="C36" s="66">
        <f>'Emissions A'!C36-'Emissions B'!C36</f>
        <v>0</v>
      </c>
      <c r="D36" s="66">
        <f>'Emissions A'!D36-'Emissions B'!D36</f>
        <v>0</v>
      </c>
      <c r="E36" s="66">
        <f>'Emissions A'!E36-'Emissions B'!E36</f>
        <v>0</v>
      </c>
      <c r="F36" s="66">
        <f>'Emissions A'!F36-'Emissions B'!F36</f>
        <v>0</v>
      </c>
      <c r="G36" s="66">
        <f>'Emissions A'!G36-'Emissions B'!G36</f>
        <v>0</v>
      </c>
      <c r="H36" s="66">
        <f>'Emissions A'!H36-'Emissions B'!H36</f>
        <v>0</v>
      </c>
      <c r="I36" s="66">
        <f>'Emissions A'!I36-'Emissions B'!I36</f>
        <v>0</v>
      </c>
      <c r="J36" s="66">
        <f>'Emissions A'!J36-'Emissions B'!J36</f>
        <v>0</v>
      </c>
      <c r="K36" s="66">
        <f>'Emissions A'!K36-'Emissions B'!K36</f>
        <v>0</v>
      </c>
      <c r="L36" s="66">
        <f>'Emissions A'!L36-'Emissions B'!L36</f>
        <v>0</v>
      </c>
      <c r="M36" t="str">
        <f>'Base data'!$F$35</f>
        <v>Mtonne</v>
      </c>
    </row>
    <row r="37" spans="1:13" x14ac:dyDescent="0.25">
      <c r="A37" t="str">
        <v>US CH4</v>
      </c>
      <c r="B37" s="67">
        <f>'Emissions A'!B37-'Emissions B'!B37</f>
        <v>0</v>
      </c>
      <c r="C37" s="67">
        <f>'Emissions A'!C37-'Emissions B'!C37</f>
        <v>0</v>
      </c>
      <c r="D37" s="67">
        <f>'Emissions A'!D37-'Emissions B'!D37</f>
        <v>0</v>
      </c>
      <c r="E37" s="67">
        <f>'Emissions A'!E37-'Emissions B'!E37</f>
        <v>0</v>
      </c>
      <c r="F37" s="67">
        <f>'Emissions A'!F37-'Emissions B'!F37</f>
        <v>0</v>
      </c>
      <c r="G37" s="67">
        <f>'Emissions A'!G37-'Emissions B'!G37</f>
        <v>0</v>
      </c>
      <c r="H37" s="67">
        <f>'Emissions A'!H37-'Emissions B'!H37</f>
        <v>0</v>
      </c>
      <c r="I37" s="67">
        <f>'Emissions A'!I37-'Emissions B'!I37</f>
        <v>0</v>
      </c>
      <c r="J37" s="67">
        <f>'Emissions A'!J37-'Emissions B'!J37</f>
        <v>0</v>
      </c>
      <c r="K37" s="67">
        <f>'Emissions A'!K37-'Emissions B'!K37</f>
        <v>0</v>
      </c>
      <c r="L37" s="67">
        <f>'Emissions A'!L37-'Emissions B'!L37</f>
        <v>0</v>
      </c>
      <c r="M37" t="str">
        <f>'Base data'!$F$35</f>
        <v>Mtonne</v>
      </c>
    </row>
    <row r="38" spans="1:13" x14ac:dyDescent="0.25">
      <c r="A38" t="str">
        <v>OT CH4</v>
      </c>
      <c r="B38" s="67">
        <f>'Emissions A'!B38-'Emissions B'!B38</f>
        <v>0</v>
      </c>
      <c r="C38" s="67">
        <f>'Emissions A'!C38-'Emissions B'!C38</f>
        <v>0</v>
      </c>
      <c r="D38" s="67">
        <f>'Emissions A'!D38-'Emissions B'!D38</f>
        <v>0</v>
      </c>
      <c r="E38" s="67">
        <f>'Emissions A'!E38-'Emissions B'!E38</f>
        <v>0</v>
      </c>
      <c r="F38" s="67">
        <f>'Emissions A'!F38-'Emissions B'!F38</f>
        <v>0</v>
      </c>
      <c r="G38" s="67">
        <f>'Emissions A'!G38-'Emissions B'!G38</f>
        <v>0</v>
      </c>
      <c r="H38" s="67">
        <f>'Emissions A'!H38-'Emissions B'!H38</f>
        <v>0</v>
      </c>
      <c r="I38" s="67">
        <f>'Emissions A'!I38-'Emissions B'!I38</f>
        <v>0</v>
      </c>
      <c r="J38" s="67">
        <f>'Emissions A'!J38-'Emissions B'!J38</f>
        <v>0</v>
      </c>
      <c r="K38" s="67">
        <f>'Emissions A'!K38-'Emissions B'!K38</f>
        <v>0</v>
      </c>
      <c r="L38" s="67">
        <f>'Emissions A'!L38-'Emissions B'!L38</f>
        <v>0</v>
      </c>
      <c r="M38" t="str">
        <f>'Base data'!$F$35</f>
        <v>Mtonne</v>
      </c>
    </row>
    <row r="39" spans="1:13" x14ac:dyDescent="0.25">
      <c r="A39" t="str">
        <v>EE CH4</v>
      </c>
      <c r="B39" s="67">
        <f>'Emissions A'!B39-'Emissions B'!B39</f>
        <v>0</v>
      </c>
      <c r="C39" s="67">
        <f>'Emissions A'!C39-'Emissions B'!C39</f>
        <v>0</v>
      </c>
      <c r="D39" s="67">
        <f>'Emissions A'!D39-'Emissions B'!D39</f>
        <v>0</v>
      </c>
      <c r="E39" s="67">
        <f>'Emissions A'!E39-'Emissions B'!E39</f>
        <v>0</v>
      </c>
      <c r="F39" s="67">
        <f>'Emissions A'!F39-'Emissions B'!F39</f>
        <v>0</v>
      </c>
      <c r="G39" s="67">
        <f>'Emissions A'!G39-'Emissions B'!G39</f>
        <v>0</v>
      </c>
      <c r="H39" s="67">
        <f>'Emissions A'!H39-'Emissions B'!H39</f>
        <v>0</v>
      </c>
      <c r="I39" s="67">
        <f>'Emissions A'!I39-'Emissions B'!I39</f>
        <v>0</v>
      </c>
      <c r="J39" s="67">
        <f>'Emissions A'!J39-'Emissions B'!J39</f>
        <v>0</v>
      </c>
      <c r="K39" s="67">
        <f>'Emissions A'!K39-'Emissions B'!K39</f>
        <v>0</v>
      </c>
      <c r="L39" s="67">
        <f>'Emissions A'!L39-'Emissions B'!L39</f>
        <v>0</v>
      </c>
      <c r="M39" t="str">
        <f>'Base data'!$F$35</f>
        <v>Mtonne</v>
      </c>
    </row>
    <row r="40" spans="1:13" x14ac:dyDescent="0.25">
      <c r="A40" t="str">
        <v>CA CH4</v>
      </c>
      <c r="B40" s="67">
        <f>'Emissions A'!B40-'Emissions B'!B40</f>
        <v>0</v>
      </c>
      <c r="C40" s="67">
        <f>'Emissions A'!C40-'Emissions B'!C40</f>
        <v>0</v>
      </c>
      <c r="D40" s="67">
        <f>'Emissions A'!D40-'Emissions B'!D40</f>
        <v>0</v>
      </c>
      <c r="E40" s="67">
        <f>'Emissions A'!E40-'Emissions B'!E40</f>
        <v>0</v>
      </c>
      <c r="F40" s="67">
        <f>'Emissions A'!F40-'Emissions B'!F40</f>
        <v>0</v>
      </c>
      <c r="G40" s="67">
        <f>'Emissions A'!G40-'Emissions B'!G40</f>
        <v>0</v>
      </c>
      <c r="H40" s="67">
        <f>'Emissions A'!H40-'Emissions B'!H40</f>
        <v>0</v>
      </c>
      <c r="I40" s="67">
        <f>'Emissions A'!I40-'Emissions B'!I40</f>
        <v>0</v>
      </c>
      <c r="J40" s="67">
        <f>'Emissions A'!J40-'Emissions B'!J40</f>
        <v>0</v>
      </c>
      <c r="K40" s="67">
        <f>'Emissions A'!K40-'Emissions B'!K40</f>
        <v>0</v>
      </c>
      <c r="L40" s="67">
        <f>'Emissions A'!L40-'Emissions B'!L40</f>
        <v>0</v>
      </c>
      <c r="M40" t="str">
        <f>'Base data'!$F$35</f>
        <v>Mtonne</v>
      </c>
    </row>
    <row r="41" spans="1:13" x14ac:dyDescent="0.25">
      <c r="A41" t="str">
        <v>IA CH4</v>
      </c>
      <c r="B41" s="67">
        <f>'Emissions A'!B41-'Emissions B'!B41</f>
        <v>0</v>
      </c>
      <c r="C41" s="67">
        <f>'Emissions A'!C41-'Emissions B'!C41</f>
        <v>0</v>
      </c>
      <c r="D41" s="67">
        <f>'Emissions A'!D41-'Emissions B'!D41</f>
        <v>0</v>
      </c>
      <c r="E41" s="67">
        <f>'Emissions A'!E41-'Emissions B'!E41</f>
        <v>0</v>
      </c>
      <c r="F41" s="67">
        <f>'Emissions A'!F41-'Emissions B'!F41</f>
        <v>0</v>
      </c>
      <c r="G41" s="67">
        <f>'Emissions A'!G41-'Emissions B'!G41</f>
        <v>0</v>
      </c>
      <c r="H41" s="67">
        <f>'Emissions A'!H41-'Emissions B'!H41</f>
        <v>0</v>
      </c>
      <c r="I41" s="67">
        <f>'Emissions A'!I41-'Emissions B'!I41</f>
        <v>0</v>
      </c>
      <c r="J41" s="67">
        <f>'Emissions A'!J41-'Emissions B'!J41</f>
        <v>0</v>
      </c>
      <c r="K41" s="67">
        <f>'Emissions A'!K41-'Emissions B'!K41</f>
        <v>0</v>
      </c>
      <c r="L41" s="67">
        <f>'Emissions A'!L41-'Emissions B'!L41</f>
        <v>0</v>
      </c>
      <c r="M41" t="str">
        <f>'Base data'!$F$35</f>
        <v>Mtonne</v>
      </c>
    </row>
    <row r="42" spans="1:13" x14ac:dyDescent="0.25">
      <c r="A42" t="str">
        <v>AF CH4</v>
      </c>
      <c r="B42" s="67">
        <f>'Emissions A'!B42-'Emissions B'!B42</f>
        <v>0</v>
      </c>
      <c r="C42" s="67">
        <f>'Emissions A'!C42-'Emissions B'!C42</f>
        <v>0</v>
      </c>
      <c r="D42" s="67">
        <f>'Emissions A'!D42-'Emissions B'!D42</f>
        <v>0</v>
      </c>
      <c r="E42" s="67">
        <f>'Emissions A'!E42-'Emissions B'!E42</f>
        <v>0</v>
      </c>
      <c r="F42" s="67">
        <f>'Emissions A'!F42-'Emissions B'!F42</f>
        <v>0</v>
      </c>
      <c r="G42" s="67">
        <f>'Emissions A'!G42-'Emissions B'!G42</f>
        <v>0</v>
      </c>
      <c r="H42" s="67">
        <f>'Emissions A'!H42-'Emissions B'!H42</f>
        <v>0</v>
      </c>
      <c r="I42" s="67">
        <f>'Emissions A'!I42-'Emissions B'!I42</f>
        <v>0</v>
      </c>
      <c r="J42" s="67">
        <f>'Emissions A'!J42-'Emissions B'!J42</f>
        <v>0</v>
      </c>
      <c r="K42" s="67">
        <f>'Emissions A'!K42-'Emissions B'!K42</f>
        <v>0</v>
      </c>
      <c r="L42" s="67">
        <f>'Emissions A'!L42-'Emissions B'!L42</f>
        <v>0</v>
      </c>
      <c r="M42" t="str">
        <f>'Base data'!$F$35</f>
        <v>Mtonne</v>
      </c>
    </row>
    <row r="43" spans="1:13" ht="13" thickBot="1" x14ac:dyDescent="0.3">
      <c r="A43" t="str">
        <v>LA CH4</v>
      </c>
      <c r="B43" s="68">
        <f>'Emissions A'!B43-'Emissions B'!B43</f>
        <v>0</v>
      </c>
      <c r="C43" s="68">
        <f>'Emissions A'!C43-'Emissions B'!C43</f>
        <v>0</v>
      </c>
      <c r="D43" s="68">
        <f>'Emissions A'!D43-'Emissions B'!D43</f>
        <v>0</v>
      </c>
      <c r="E43" s="68">
        <f>'Emissions A'!E43-'Emissions B'!E43</f>
        <v>0</v>
      </c>
      <c r="F43" s="68">
        <f>'Emissions A'!F43-'Emissions B'!F43</f>
        <v>0</v>
      </c>
      <c r="G43" s="68">
        <f>'Emissions A'!G43-'Emissions B'!G43</f>
        <v>0</v>
      </c>
      <c r="H43" s="68">
        <f>'Emissions A'!H43-'Emissions B'!H43</f>
        <v>0</v>
      </c>
      <c r="I43" s="68">
        <f>'Emissions A'!I43-'Emissions B'!I43</f>
        <v>0</v>
      </c>
      <c r="J43" s="68">
        <f>'Emissions A'!J43-'Emissions B'!J43</f>
        <v>0</v>
      </c>
      <c r="K43" s="68">
        <f>'Emissions A'!K43-'Emissions B'!K43</f>
        <v>0</v>
      </c>
      <c r="L43" s="68">
        <f>'Emissions A'!L43-'Emissions B'!L43</f>
        <v>0</v>
      </c>
      <c r="M43" t="str">
        <f>'Base data'!$F$35</f>
        <v>Mtonne</v>
      </c>
    </row>
    <row r="44" spans="1:13" s="2" customFormat="1" ht="13.5" thickTop="1" x14ac:dyDescent="0.3">
      <c r="A44" s="2" t="str">
        <f>"Total "&amp;'Base data'!$C$12</f>
        <v>Total CH4</v>
      </c>
      <c r="B44" s="70">
        <f t="shared" ref="B44:L44" si="0">SUM(B36:B43)</f>
        <v>0</v>
      </c>
      <c r="C44" s="70">
        <f t="shared" si="0"/>
        <v>0</v>
      </c>
      <c r="D44" s="70">
        <f t="shared" si="0"/>
        <v>0</v>
      </c>
      <c r="E44" s="70">
        <f t="shared" si="0"/>
        <v>0</v>
      </c>
      <c r="F44" s="70">
        <f t="shared" si="0"/>
        <v>0</v>
      </c>
      <c r="G44" s="70">
        <f t="shared" si="0"/>
        <v>0</v>
      </c>
      <c r="H44" s="70">
        <f t="shared" si="0"/>
        <v>0</v>
      </c>
      <c r="I44" s="70">
        <f t="shared" si="0"/>
        <v>0</v>
      </c>
      <c r="J44" s="70">
        <f t="shared" si="0"/>
        <v>0</v>
      </c>
      <c r="K44" s="70">
        <f t="shared" si="0"/>
        <v>0</v>
      </c>
      <c r="L44" s="70">
        <f t="shared" si="0"/>
        <v>0</v>
      </c>
      <c r="M44" s="2" t="str">
        <f>'Base data'!$F$35</f>
        <v>Mtonne</v>
      </c>
    </row>
    <row r="67" spans="1:13" x14ac:dyDescent="0.25">
      <c r="A67" t="str">
        <f t="array" ref="A67:A74">R_CODE&amp;" "&amp;'Base data'!$D$12</f>
        <v>EU N2O</v>
      </c>
      <c r="B67" s="66">
        <f>'Emissions A'!B67-'Emissions B'!B67</f>
        <v>0</v>
      </c>
      <c r="C67" s="66">
        <f>'Emissions A'!C67-'Emissions B'!C67</f>
        <v>0</v>
      </c>
      <c r="D67" s="66">
        <f>'Emissions A'!D67-'Emissions B'!D67</f>
        <v>0</v>
      </c>
      <c r="E67" s="66">
        <f>'Emissions A'!E67-'Emissions B'!E67</f>
        <v>0</v>
      </c>
      <c r="F67" s="66">
        <f>'Emissions A'!F67-'Emissions B'!F67</f>
        <v>0</v>
      </c>
      <c r="G67" s="66">
        <f>'Emissions A'!G67-'Emissions B'!G67</f>
        <v>0</v>
      </c>
      <c r="H67" s="66">
        <f>'Emissions A'!H67-'Emissions B'!H67</f>
        <v>0</v>
      </c>
      <c r="I67" s="66">
        <f>'Emissions A'!I67-'Emissions B'!I67</f>
        <v>0</v>
      </c>
      <c r="J67" s="66">
        <f>'Emissions A'!J67-'Emissions B'!J67</f>
        <v>0</v>
      </c>
      <c r="K67" s="66">
        <f>'Emissions A'!K67-'Emissions B'!K67</f>
        <v>0</v>
      </c>
      <c r="L67" s="66">
        <f>'Emissions A'!L67-'Emissions B'!L67</f>
        <v>0</v>
      </c>
      <c r="M67" t="str">
        <f>'Base data'!$F$35</f>
        <v>Mtonne</v>
      </c>
    </row>
    <row r="68" spans="1:13" x14ac:dyDescent="0.25">
      <c r="A68" t="str">
        <v>US N2O</v>
      </c>
      <c r="B68" s="67">
        <f>'Emissions A'!B68-'Emissions B'!B68</f>
        <v>0</v>
      </c>
      <c r="C68" s="67">
        <f>'Emissions A'!C68-'Emissions B'!C68</f>
        <v>0</v>
      </c>
      <c r="D68" s="67">
        <f>'Emissions A'!D68-'Emissions B'!D68</f>
        <v>0</v>
      </c>
      <c r="E68" s="67">
        <f>'Emissions A'!E68-'Emissions B'!E68</f>
        <v>0</v>
      </c>
      <c r="F68" s="67">
        <f>'Emissions A'!F68-'Emissions B'!F68</f>
        <v>0</v>
      </c>
      <c r="G68" s="67">
        <f>'Emissions A'!G68-'Emissions B'!G68</f>
        <v>0</v>
      </c>
      <c r="H68" s="67">
        <f>'Emissions A'!H68-'Emissions B'!H68</f>
        <v>0</v>
      </c>
      <c r="I68" s="67">
        <f>'Emissions A'!I68-'Emissions B'!I68</f>
        <v>0</v>
      </c>
      <c r="J68" s="67">
        <f>'Emissions A'!J68-'Emissions B'!J68</f>
        <v>0</v>
      </c>
      <c r="K68" s="67">
        <f>'Emissions A'!K68-'Emissions B'!K68</f>
        <v>0</v>
      </c>
      <c r="L68" s="67">
        <f>'Emissions A'!L68-'Emissions B'!L68</f>
        <v>0</v>
      </c>
      <c r="M68" t="str">
        <f>'Base data'!$F$35</f>
        <v>Mtonne</v>
      </c>
    </row>
    <row r="69" spans="1:13" x14ac:dyDescent="0.25">
      <c r="A69" t="str">
        <v>OT N2O</v>
      </c>
      <c r="B69" s="67">
        <f>'Emissions A'!B69-'Emissions B'!B69</f>
        <v>0</v>
      </c>
      <c r="C69" s="67">
        <f>'Emissions A'!C69-'Emissions B'!C69</f>
        <v>0</v>
      </c>
      <c r="D69" s="67">
        <f>'Emissions A'!D69-'Emissions B'!D69</f>
        <v>0</v>
      </c>
      <c r="E69" s="67">
        <f>'Emissions A'!E69-'Emissions B'!E69</f>
        <v>0</v>
      </c>
      <c r="F69" s="67">
        <f>'Emissions A'!F69-'Emissions B'!F69</f>
        <v>0</v>
      </c>
      <c r="G69" s="67">
        <f>'Emissions A'!G69-'Emissions B'!G69</f>
        <v>0</v>
      </c>
      <c r="H69" s="67">
        <f>'Emissions A'!H69-'Emissions B'!H69</f>
        <v>0</v>
      </c>
      <c r="I69" s="67">
        <f>'Emissions A'!I69-'Emissions B'!I69</f>
        <v>0</v>
      </c>
      <c r="J69" s="67">
        <f>'Emissions A'!J69-'Emissions B'!J69</f>
        <v>0</v>
      </c>
      <c r="K69" s="67">
        <f>'Emissions A'!K69-'Emissions B'!K69</f>
        <v>0</v>
      </c>
      <c r="L69" s="67">
        <f>'Emissions A'!L69-'Emissions B'!L69</f>
        <v>0</v>
      </c>
      <c r="M69" t="str">
        <f>'Base data'!$F$35</f>
        <v>Mtonne</v>
      </c>
    </row>
    <row r="70" spans="1:13" x14ac:dyDescent="0.25">
      <c r="A70" t="str">
        <v>EE N2O</v>
      </c>
      <c r="B70" s="67">
        <f>'Emissions A'!B70-'Emissions B'!B70</f>
        <v>0</v>
      </c>
      <c r="C70" s="67">
        <f>'Emissions A'!C70-'Emissions B'!C70</f>
        <v>0</v>
      </c>
      <c r="D70" s="67">
        <f>'Emissions A'!D70-'Emissions B'!D70</f>
        <v>0</v>
      </c>
      <c r="E70" s="67">
        <f>'Emissions A'!E70-'Emissions B'!E70</f>
        <v>0</v>
      </c>
      <c r="F70" s="67">
        <f>'Emissions A'!F70-'Emissions B'!F70</f>
        <v>0</v>
      </c>
      <c r="G70" s="67">
        <f>'Emissions A'!G70-'Emissions B'!G70</f>
        <v>0</v>
      </c>
      <c r="H70" s="67">
        <f>'Emissions A'!H70-'Emissions B'!H70</f>
        <v>0</v>
      </c>
      <c r="I70" s="67">
        <f>'Emissions A'!I70-'Emissions B'!I70</f>
        <v>0</v>
      </c>
      <c r="J70" s="67">
        <f>'Emissions A'!J70-'Emissions B'!J70</f>
        <v>0</v>
      </c>
      <c r="K70" s="67">
        <f>'Emissions A'!K70-'Emissions B'!K70</f>
        <v>0</v>
      </c>
      <c r="L70" s="67">
        <f>'Emissions A'!L70-'Emissions B'!L70</f>
        <v>0</v>
      </c>
      <c r="M70" t="str">
        <f>'Base data'!$F$35</f>
        <v>Mtonne</v>
      </c>
    </row>
    <row r="71" spans="1:13" x14ac:dyDescent="0.25">
      <c r="A71" t="str">
        <v>CA N2O</v>
      </c>
      <c r="B71" s="67">
        <f>'Emissions A'!B71-'Emissions B'!B71</f>
        <v>0</v>
      </c>
      <c r="C71" s="67">
        <f>'Emissions A'!C71-'Emissions B'!C71</f>
        <v>0</v>
      </c>
      <c r="D71" s="67">
        <f>'Emissions A'!D71-'Emissions B'!D71</f>
        <v>0</v>
      </c>
      <c r="E71" s="67">
        <f>'Emissions A'!E71-'Emissions B'!E71</f>
        <v>0</v>
      </c>
      <c r="F71" s="67">
        <f>'Emissions A'!F71-'Emissions B'!F71</f>
        <v>0</v>
      </c>
      <c r="G71" s="67">
        <f>'Emissions A'!G71-'Emissions B'!G71</f>
        <v>0</v>
      </c>
      <c r="H71" s="67">
        <f>'Emissions A'!H71-'Emissions B'!H71</f>
        <v>0</v>
      </c>
      <c r="I71" s="67">
        <f>'Emissions A'!I71-'Emissions B'!I71</f>
        <v>0</v>
      </c>
      <c r="J71" s="67">
        <f>'Emissions A'!J71-'Emissions B'!J71</f>
        <v>0</v>
      </c>
      <c r="K71" s="67">
        <f>'Emissions A'!K71-'Emissions B'!K71</f>
        <v>0</v>
      </c>
      <c r="L71" s="67">
        <f>'Emissions A'!L71-'Emissions B'!L71</f>
        <v>0</v>
      </c>
      <c r="M71" t="str">
        <f>'Base data'!$F$35</f>
        <v>Mtonne</v>
      </c>
    </row>
    <row r="72" spans="1:13" x14ac:dyDescent="0.25">
      <c r="A72" t="str">
        <v>IA N2O</v>
      </c>
      <c r="B72" s="67">
        <f>'Emissions A'!B72-'Emissions B'!B72</f>
        <v>0</v>
      </c>
      <c r="C72" s="67">
        <f>'Emissions A'!C72-'Emissions B'!C72</f>
        <v>0</v>
      </c>
      <c r="D72" s="67">
        <f>'Emissions A'!D72-'Emissions B'!D72</f>
        <v>0</v>
      </c>
      <c r="E72" s="67">
        <f>'Emissions A'!E72-'Emissions B'!E72</f>
        <v>0</v>
      </c>
      <c r="F72" s="67">
        <f>'Emissions A'!F72-'Emissions B'!F72</f>
        <v>0</v>
      </c>
      <c r="G72" s="67">
        <f>'Emissions A'!G72-'Emissions B'!G72</f>
        <v>0</v>
      </c>
      <c r="H72" s="67">
        <f>'Emissions A'!H72-'Emissions B'!H72</f>
        <v>0</v>
      </c>
      <c r="I72" s="67">
        <f>'Emissions A'!I72-'Emissions B'!I72</f>
        <v>0</v>
      </c>
      <c r="J72" s="67">
        <f>'Emissions A'!J72-'Emissions B'!J72</f>
        <v>0</v>
      </c>
      <c r="K72" s="67">
        <f>'Emissions A'!K72-'Emissions B'!K72</f>
        <v>0</v>
      </c>
      <c r="L72" s="67">
        <f>'Emissions A'!L72-'Emissions B'!L72</f>
        <v>0</v>
      </c>
      <c r="M72" t="str">
        <f>'Base data'!$F$35</f>
        <v>Mtonne</v>
      </c>
    </row>
    <row r="73" spans="1:13" x14ac:dyDescent="0.25">
      <c r="A73" t="str">
        <v>AF N2O</v>
      </c>
      <c r="B73" s="67">
        <f>'Emissions A'!B73-'Emissions B'!B73</f>
        <v>0</v>
      </c>
      <c r="C73" s="67">
        <f>'Emissions A'!C73-'Emissions B'!C73</f>
        <v>0</v>
      </c>
      <c r="D73" s="67">
        <f>'Emissions A'!D73-'Emissions B'!D73</f>
        <v>0</v>
      </c>
      <c r="E73" s="67">
        <f>'Emissions A'!E73-'Emissions B'!E73</f>
        <v>0</v>
      </c>
      <c r="F73" s="67">
        <f>'Emissions A'!F73-'Emissions B'!F73</f>
        <v>0</v>
      </c>
      <c r="G73" s="67">
        <f>'Emissions A'!G73-'Emissions B'!G73</f>
        <v>0</v>
      </c>
      <c r="H73" s="67">
        <f>'Emissions A'!H73-'Emissions B'!H73</f>
        <v>0</v>
      </c>
      <c r="I73" s="67">
        <f>'Emissions A'!I73-'Emissions B'!I73</f>
        <v>0</v>
      </c>
      <c r="J73" s="67">
        <f>'Emissions A'!J73-'Emissions B'!J73</f>
        <v>0</v>
      </c>
      <c r="K73" s="67">
        <f>'Emissions A'!K73-'Emissions B'!K73</f>
        <v>0</v>
      </c>
      <c r="L73" s="67">
        <f>'Emissions A'!L73-'Emissions B'!L73</f>
        <v>0</v>
      </c>
      <c r="M73" t="str">
        <f>'Base data'!$F$35</f>
        <v>Mtonne</v>
      </c>
    </row>
    <row r="74" spans="1:13" ht="13" thickBot="1" x14ac:dyDescent="0.3">
      <c r="A74" t="str">
        <v>LA N2O</v>
      </c>
      <c r="B74" s="68">
        <f>'Emissions A'!B74-'Emissions B'!B74</f>
        <v>0</v>
      </c>
      <c r="C74" s="68">
        <f>'Emissions A'!C74-'Emissions B'!C74</f>
        <v>0</v>
      </c>
      <c r="D74" s="68">
        <f>'Emissions A'!D74-'Emissions B'!D74</f>
        <v>0</v>
      </c>
      <c r="E74" s="68">
        <f>'Emissions A'!E74-'Emissions B'!E74</f>
        <v>0</v>
      </c>
      <c r="F74" s="68">
        <f>'Emissions A'!F74-'Emissions B'!F74</f>
        <v>0</v>
      </c>
      <c r="G74" s="68">
        <f>'Emissions A'!G74-'Emissions B'!G74</f>
        <v>0</v>
      </c>
      <c r="H74" s="68">
        <f>'Emissions A'!H74-'Emissions B'!H74</f>
        <v>0</v>
      </c>
      <c r="I74" s="68">
        <f>'Emissions A'!I74-'Emissions B'!I74</f>
        <v>0</v>
      </c>
      <c r="J74" s="68">
        <f>'Emissions A'!J74-'Emissions B'!J74</f>
        <v>0</v>
      </c>
      <c r="K74" s="68">
        <f>'Emissions A'!K74-'Emissions B'!K74</f>
        <v>0</v>
      </c>
      <c r="L74" s="68">
        <f>'Emissions A'!L74-'Emissions B'!L74</f>
        <v>0</v>
      </c>
      <c r="M74" t="str">
        <f>'Base data'!$F$35</f>
        <v>Mtonne</v>
      </c>
    </row>
    <row r="75" spans="1:13" s="2" customFormat="1" ht="13.5" thickTop="1" x14ac:dyDescent="0.3">
      <c r="A75" s="2" t="str">
        <f>"Total "&amp;'Base data'!$D$12</f>
        <v>Total N2O</v>
      </c>
      <c r="B75" s="70">
        <f t="shared" ref="B75:L75" si="1">SUM(B67:B74)</f>
        <v>0</v>
      </c>
      <c r="C75" s="70">
        <f t="shared" si="1"/>
        <v>0</v>
      </c>
      <c r="D75" s="70">
        <f t="shared" si="1"/>
        <v>0</v>
      </c>
      <c r="E75" s="70">
        <f t="shared" si="1"/>
        <v>0</v>
      </c>
      <c r="F75" s="70">
        <f t="shared" si="1"/>
        <v>0</v>
      </c>
      <c r="G75" s="70">
        <f t="shared" si="1"/>
        <v>0</v>
      </c>
      <c r="H75" s="70">
        <f t="shared" si="1"/>
        <v>0</v>
      </c>
      <c r="I75" s="70">
        <f t="shared" si="1"/>
        <v>0</v>
      </c>
      <c r="J75" s="70">
        <f t="shared" si="1"/>
        <v>0</v>
      </c>
      <c r="K75" s="70">
        <f t="shared" si="1"/>
        <v>0</v>
      </c>
      <c r="L75" s="70">
        <f t="shared" si="1"/>
        <v>0</v>
      </c>
      <c r="M75" s="2" t="str">
        <f>'Base data'!$F$35</f>
        <v>Mtonne</v>
      </c>
    </row>
    <row r="98" spans="1:13" x14ac:dyDescent="0.25">
      <c r="A98" t="str">
        <f t="array" ref="A98:A105">R_CODE&amp;" "&amp;GLIN_NAME</f>
        <v>EU Lin</v>
      </c>
      <c r="B98" s="66">
        <f>'Emissions A'!B98-'Emissions B'!B98</f>
        <v>0</v>
      </c>
      <c r="C98" s="66">
        <f>'Emissions A'!C98-'Emissions B'!C98</f>
        <v>0</v>
      </c>
      <c r="D98" s="66">
        <f>'Emissions A'!D98-'Emissions B'!D98</f>
        <v>0</v>
      </c>
      <c r="E98" s="66">
        <f>'Emissions A'!E98-'Emissions B'!E98</f>
        <v>0</v>
      </c>
      <c r="F98" s="66">
        <f>'Emissions A'!F98-'Emissions B'!F98</f>
        <v>0</v>
      </c>
      <c r="G98" s="66">
        <f>'Emissions A'!G98-'Emissions B'!G98</f>
        <v>0</v>
      </c>
      <c r="H98" s="66">
        <f>'Emissions A'!H98-'Emissions B'!H98</f>
        <v>0</v>
      </c>
      <c r="I98" s="66">
        <f>'Emissions A'!I98-'Emissions B'!I98</f>
        <v>0</v>
      </c>
      <c r="J98" s="66">
        <f>'Emissions A'!J98-'Emissions B'!J98</f>
        <v>0</v>
      </c>
      <c r="K98" s="66">
        <f>'Emissions A'!K98-'Emissions B'!K98</f>
        <v>0</v>
      </c>
      <c r="L98" s="66">
        <f>'Emissions A'!L98-'Emissions B'!L98</f>
        <v>0</v>
      </c>
      <c r="M98" t="str">
        <f>'Base data'!$F$35</f>
        <v>Mtonne</v>
      </c>
    </row>
    <row r="99" spans="1:13" x14ac:dyDescent="0.25">
      <c r="A99" t="str">
        <v>US Lin</v>
      </c>
      <c r="B99" s="67">
        <f>'Emissions A'!B99-'Emissions B'!B99</f>
        <v>0</v>
      </c>
      <c r="C99" s="67">
        <f>'Emissions A'!C99-'Emissions B'!C99</f>
        <v>0</v>
      </c>
      <c r="D99" s="67">
        <f>'Emissions A'!D99-'Emissions B'!D99</f>
        <v>0</v>
      </c>
      <c r="E99" s="67">
        <f>'Emissions A'!E99-'Emissions B'!E99</f>
        <v>0</v>
      </c>
      <c r="F99" s="67">
        <f>'Emissions A'!F99-'Emissions B'!F99</f>
        <v>0</v>
      </c>
      <c r="G99" s="67">
        <f>'Emissions A'!G99-'Emissions B'!G99</f>
        <v>0</v>
      </c>
      <c r="H99" s="67">
        <f>'Emissions A'!H99-'Emissions B'!H99</f>
        <v>0</v>
      </c>
      <c r="I99" s="67">
        <f>'Emissions A'!I99-'Emissions B'!I99</f>
        <v>0</v>
      </c>
      <c r="J99" s="67">
        <f>'Emissions A'!J99-'Emissions B'!J99</f>
        <v>0</v>
      </c>
      <c r="K99" s="67">
        <f>'Emissions A'!K99-'Emissions B'!K99</f>
        <v>0</v>
      </c>
      <c r="L99" s="67">
        <f>'Emissions A'!L99-'Emissions B'!L99</f>
        <v>0</v>
      </c>
      <c r="M99" t="str">
        <f>'Base data'!$F$35</f>
        <v>Mtonne</v>
      </c>
    </row>
    <row r="100" spans="1:13" x14ac:dyDescent="0.25">
      <c r="A100" t="str">
        <v>OT Lin</v>
      </c>
      <c r="B100" s="67">
        <f>'Emissions A'!B100-'Emissions B'!B100</f>
        <v>0</v>
      </c>
      <c r="C100" s="67">
        <f>'Emissions A'!C100-'Emissions B'!C100</f>
        <v>0</v>
      </c>
      <c r="D100" s="67">
        <f>'Emissions A'!D100-'Emissions B'!D100</f>
        <v>0</v>
      </c>
      <c r="E100" s="67">
        <f>'Emissions A'!E100-'Emissions B'!E100</f>
        <v>0</v>
      </c>
      <c r="F100" s="67">
        <f>'Emissions A'!F100-'Emissions B'!F100</f>
        <v>0</v>
      </c>
      <c r="G100" s="67">
        <f>'Emissions A'!G100-'Emissions B'!G100</f>
        <v>0</v>
      </c>
      <c r="H100" s="67">
        <f>'Emissions A'!H100-'Emissions B'!H100</f>
        <v>0</v>
      </c>
      <c r="I100" s="67">
        <f>'Emissions A'!I100-'Emissions B'!I100</f>
        <v>0</v>
      </c>
      <c r="J100" s="67">
        <f>'Emissions A'!J100-'Emissions B'!J100</f>
        <v>0</v>
      </c>
      <c r="K100" s="67">
        <f>'Emissions A'!K100-'Emissions B'!K100</f>
        <v>0</v>
      </c>
      <c r="L100" s="67">
        <f>'Emissions A'!L100-'Emissions B'!L100</f>
        <v>0</v>
      </c>
      <c r="M100" t="str">
        <f>'Base data'!$F$35</f>
        <v>Mtonne</v>
      </c>
    </row>
    <row r="101" spans="1:13" x14ac:dyDescent="0.25">
      <c r="A101" t="str">
        <v>EE Lin</v>
      </c>
      <c r="B101" s="67">
        <f>'Emissions A'!B101-'Emissions B'!B101</f>
        <v>0</v>
      </c>
      <c r="C101" s="67">
        <f>'Emissions A'!C101-'Emissions B'!C101</f>
        <v>0</v>
      </c>
      <c r="D101" s="67">
        <f>'Emissions A'!D101-'Emissions B'!D101</f>
        <v>0</v>
      </c>
      <c r="E101" s="67">
        <f>'Emissions A'!E101-'Emissions B'!E101</f>
        <v>0</v>
      </c>
      <c r="F101" s="67">
        <f>'Emissions A'!F101-'Emissions B'!F101</f>
        <v>0</v>
      </c>
      <c r="G101" s="67">
        <f>'Emissions A'!G101-'Emissions B'!G101</f>
        <v>0</v>
      </c>
      <c r="H101" s="67">
        <f>'Emissions A'!H101-'Emissions B'!H101</f>
        <v>0</v>
      </c>
      <c r="I101" s="67">
        <f>'Emissions A'!I101-'Emissions B'!I101</f>
        <v>0</v>
      </c>
      <c r="J101" s="67">
        <f>'Emissions A'!J101-'Emissions B'!J101</f>
        <v>0</v>
      </c>
      <c r="K101" s="67">
        <f>'Emissions A'!K101-'Emissions B'!K101</f>
        <v>0</v>
      </c>
      <c r="L101" s="67">
        <f>'Emissions A'!L101-'Emissions B'!L101</f>
        <v>0</v>
      </c>
      <c r="M101" t="str">
        <f>'Base data'!$F$35</f>
        <v>Mtonne</v>
      </c>
    </row>
    <row r="102" spans="1:13" x14ac:dyDescent="0.25">
      <c r="A102" t="str">
        <v>CA Lin</v>
      </c>
      <c r="B102" s="67">
        <f>'Emissions A'!B102-'Emissions B'!B102</f>
        <v>0</v>
      </c>
      <c r="C102" s="67">
        <f>'Emissions A'!C102-'Emissions B'!C102</f>
        <v>0</v>
      </c>
      <c r="D102" s="67">
        <f>'Emissions A'!D102-'Emissions B'!D102</f>
        <v>0</v>
      </c>
      <c r="E102" s="67">
        <f>'Emissions A'!E102-'Emissions B'!E102</f>
        <v>0</v>
      </c>
      <c r="F102" s="67">
        <f>'Emissions A'!F102-'Emissions B'!F102</f>
        <v>0</v>
      </c>
      <c r="G102" s="67">
        <f>'Emissions A'!G102-'Emissions B'!G102</f>
        <v>0</v>
      </c>
      <c r="H102" s="67">
        <f>'Emissions A'!H102-'Emissions B'!H102</f>
        <v>0</v>
      </c>
      <c r="I102" s="67">
        <f>'Emissions A'!I102-'Emissions B'!I102</f>
        <v>0</v>
      </c>
      <c r="J102" s="67">
        <f>'Emissions A'!J102-'Emissions B'!J102</f>
        <v>0</v>
      </c>
      <c r="K102" s="67">
        <f>'Emissions A'!K102-'Emissions B'!K102</f>
        <v>0</v>
      </c>
      <c r="L102" s="67">
        <f>'Emissions A'!L102-'Emissions B'!L102</f>
        <v>0</v>
      </c>
      <c r="M102" t="str">
        <f>'Base data'!$F$35</f>
        <v>Mtonne</v>
      </c>
    </row>
    <row r="103" spans="1:13" x14ac:dyDescent="0.25">
      <c r="A103" t="str">
        <v>IA Lin</v>
      </c>
      <c r="B103" s="67">
        <f>'Emissions A'!B103-'Emissions B'!B103</f>
        <v>0</v>
      </c>
      <c r="C103" s="67">
        <f>'Emissions A'!C103-'Emissions B'!C103</f>
        <v>0</v>
      </c>
      <c r="D103" s="67">
        <f>'Emissions A'!D103-'Emissions B'!D103</f>
        <v>0</v>
      </c>
      <c r="E103" s="67">
        <f>'Emissions A'!E103-'Emissions B'!E103</f>
        <v>0</v>
      </c>
      <c r="F103" s="67">
        <f>'Emissions A'!F103-'Emissions B'!F103</f>
        <v>0</v>
      </c>
      <c r="G103" s="67">
        <f>'Emissions A'!G103-'Emissions B'!G103</f>
        <v>0</v>
      </c>
      <c r="H103" s="67">
        <f>'Emissions A'!H103-'Emissions B'!H103</f>
        <v>0</v>
      </c>
      <c r="I103" s="67">
        <f>'Emissions A'!I103-'Emissions B'!I103</f>
        <v>0</v>
      </c>
      <c r="J103" s="67">
        <f>'Emissions A'!J103-'Emissions B'!J103</f>
        <v>0</v>
      </c>
      <c r="K103" s="67">
        <f>'Emissions A'!K103-'Emissions B'!K103</f>
        <v>0</v>
      </c>
      <c r="L103" s="67">
        <f>'Emissions A'!L103-'Emissions B'!L103</f>
        <v>0</v>
      </c>
      <c r="M103" t="str">
        <f>'Base data'!$F$35</f>
        <v>Mtonne</v>
      </c>
    </row>
    <row r="104" spans="1:13" x14ac:dyDescent="0.25">
      <c r="A104" t="str">
        <v>AF Lin</v>
      </c>
      <c r="B104" s="67">
        <f>'Emissions A'!B104-'Emissions B'!B104</f>
        <v>0</v>
      </c>
      <c r="C104" s="67">
        <f>'Emissions A'!C104-'Emissions B'!C104</f>
        <v>0</v>
      </c>
      <c r="D104" s="67">
        <f>'Emissions A'!D104-'Emissions B'!D104</f>
        <v>0</v>
      </c>
      <c r="E104" s="67">
        <f>'Emissions A'!E104-'Emissions B'!E104</f>
        <v>0</v>
      </c>
      <c r="F104" s="67">
        <f>'Emissions A'!F104-'Emissions B'!F104</f>
        <v>0</v>
      </c>
      <c r="G104" s="67">
        <f>'Emissions A'!G104-'Emissions B'!G104</f>
        <v>0</v>
      </c>
      <c r="H104" s="67">
        <f>'Emissions A'!H104-'Emissions B'!H104</f>
        <v>0</v>
      </c>
      <c r="I104" s="67">
        <f>'Emissions A'!I104-'Emissions B'!I104</f>
        <v>0</v>
      </c>
      <c r="J104" s="67">
        <f>'Emissions A'!J104-'Emissions B'!J104</f>
        <v>0</v>
      </c>
      <c r="K104" s="67">
        <f>'Emissions A'!K104-'Emissions B'!K104</f>
        <v>0</v>
      </c>
      <c r="L104" s="67">
        <f>'Emissions A'!L104-'Emissions B'!L104</f>
        <v>0</v>
      </c>
      <c r="M104" t="str">
        <f>'Base data'!$F$35</f>
        <v>Mtonne</v>
      </c>
    </row>
    <row r="105" spans="1:13" ht="13" thickBot="1" x14ac:dyDescent="0.3">
      <c r="A105" t="str">
        <v>LA Lin</v>
      </c>
      <c r="B105" s="68">
        <f>'Emissions A'!B105-'Emissions B'!B105</f>
        <v>0</v>
      </c>
      <c r="C105" s="68">
        <f>'Emissions A'!C105-'Emissions B'!C105</f>
        <v>0</v>
      </c>
      <c r="D105" s="68">
        <f>'Emissions A'!D105-'Emissions B'!D105</f>
        <v>0</v>
      </c>
      <c r="E105" s="68">
        <f>'Emissions A'!E105-'Emissions B'!E105</f>
        <v>0</v>
      </c>
      <c r="F105" s="68">
        <f>'Emissions A'!F105-'Emissions B'!F105</f>
        <v>0</v>
      </c>
      <c r="G105" s="68">
        <f>'Emissions A'!G105-'Emissions B'!G105</f>
        <v>0</v>
      </c>
      <c r="H105" s="68">
        <f>'Emissions A'!H105-'Emissions B'!H105</f>
        <v>0</v>
      </c>
      <c r="I105" s="68">
        <f>'Emissions A'!I105-'Emissions B'!I105</f>
        <v>0</v>
      </c>
      <c r="J105" s="68">
        <f>'Emissions A'!J105-'Emissions B'!J105</f>
        <v>0</v>
      </c>
      <c r="K105" s="68">
        <f>'Emissions A'!K105-'Emissions B'!K105</f>
        <v>0</v>
      </c>
      <c r="L105" s="68">
        <f>'Emissions A'!L105-'Emissions B'!L105</f>
        <v>0</v>
      </c>
      <c r="M105" t="str">
        <f>'Base data'!$F$35</f>
        <v>Mtonne</v>
      </c>
    </row>
    <row r="106" spans="1:13" s="2" customFormat="1" ht="13.5" thickTop="1" x14ac:dyDescent="0.3">
      <c r="A106" s="2" t="str">
        <f>"Total "&amp;'Base data'!$E$12</f>
        <v>Total Lin</v>
      </c>
      <c r="B106" s="70">
        <f t="shared" ref="B106:L106" si="2">SUM(B98:B105)</f>
        <v>0</v>
      </c>
      <c r="C106" s="70">
        <f t="shared" si="2"/>
        <v>0</v>
      </c>
      <c r="D106" s="70">
        <f t="shared" si="2"/>
        <v>0</v>
      </c>
      <c r="E106" s="70">
        <f t="shared" si="2"/>
        <v>0</v>
      </c>
      <c r="F106" s="70">
        <f t="shared" si="2"/>
        <v>0</v>
      </c>
      <c r="G106" s="70">
        <f t="shared" si="2"/>
        <v>0</v>
      </c>
      <c r="H106" s="70">
        <f t="shared" si="2"/>
        <v>0</v>
      </c>
      <c r="I106" s="70">
        <f t="shared" si="2"/>
        <v>0</v>
      </c>
      <c r="J106" s="70">
        <f t="shared" si="2"/>
        <v>0</v>
      </c>
      <c r="K106" s="70">
        <f t="shared" si="2"/>
        <v>0</v>
      </c>
      <c r="L106" s="70">
        <f t="shared" si="2"/>
        <v>0</v>
      </c>
      <c r="M106" s="2" t="str">
        <f>'Base data'!$F$35</f>
        <v>Mtonne</v>
      </c>
    </row>
    <row r="128" spans="1:1" x14ac:dyDescent="0.25">
      <c r="A128" s="59" t="s">
        <v>192</v>
      </c>
    </row>
    <row r="129" spans="1:13" x14ac:dyDescent="0.25">
      <c r="A129" s="1" t="str">
        <f t="array" ref="A129:A136">R_CODE</f>
        <v>EU</v>
      </c>
      <c r="B129" s="27">
        <f>'Emissions A'!B129-'Emissions B'!B129</f>
        <v>0</v>
      </c>
      <c r="C129" s="27">
        <f>'Emissions A'!C129-'Emissions B'!C129</f>
        <v>0</v>
      </c>
      <c r="D129" s="27">
        <f>'Emissions A'!D129-'Emissions B'!D129</f>
        <v>0</v>
      </c>
      <c r="E129" s="27">
        <f>'Emissions A'!E129-'Emissions B'!E129</f>
        <v>0</v>
      </c>
      <c r="F129" s="27">
        <f>'Emissions A'!F129-'Emissions B'!F129</f>
        <v>0</v>
      </c>
      <c r="G129" s="27">
        <f>'Emissions A'!G129-'Emissions B'!G129</f>
        <v>0</v>
      </c>
      <c r="H129" s="27">
        <f>'Emissions A'!H129-'Emissions B'!H129</f>
        <v>0</v>
      </c>
      <c r="I129" s="27">
        <f>'Emissions A'!I129-'Emissions B'!I129</f>
        <v>0</v>
      </c>
      <c r="J129" s="27">
        <f>'Emissions A'!J129-'Emissions B'!J129</f>
        <v>0</v>
      </c>
      <c r="K129" s="27">
        <f>'Emissions A'!K129-'Emissions B'!K129</f>
        <v>0</v>
      </c>
      <c r="L129" s="27">
        <f>'Emissions A'!L129-'Emissions B'!L129</f>
        <v>0</v>
      </c>
      <c r="M129" s="1" t="str">
        <f>'Base data'!$K$35</f>
        <v>Tg/Km2</v>
      </c>
    </row>
    <row r="130" spans="1:13" x14ac:dyDescent="0.25">
      <c r="A130" s="1" t="str">
        <v>US</v>
      </c>
      <c r="B130" s="28">
        <f>'Emissions A'!B130-'Emissions B'!B130</f>
        <v>0</v>
      </c>
      <c r="C130" s="28">
        <f>'Emissions A'!C130-'Emissions B'!C130</f>
        <v>0</v>
      </c>
      <c r="D130" s="28">
        <f>'Emissions A'!D130-'Emissions B'!D130</f>
        <v>0</v>
      </c>
      <c r="E130" s="28">
        <f>'Emissions A'!E130-'Emissions B'!E130</f>
        <v>0</v>
      </c>
      <c r="F130" s="28">
        <f>'Emissions A'!F130-'Emissions B'!F130</f>
        <v>0</v>
      </c>
      <c r="G130" s="28">
        <f>'Emissions A'!G130-'Emissions B'!G130</f>
        <v>0</v>
      </c>
      <c r="H130" s="28">
        <f>'Emissions A'!H130-'Emissions B'!H130</f>
        <v>0</v>
      </c>
      <c r="I130" s="28">
        <f>'Emissions A'!I130-'Emissions B'!I130</f>
        <v>0</v>
      </c>
      <c r="J130" s="28">
        <f>'Emissions A'!J130-'Emissions B'!J130</f>
        <v>0</v>
      </c>
      <c r="K130" s="28">
        <f>'Emissions A'!K130-'Emissions B'!K130</f>
        <v>0</v>
      </c>
      <c r="L130" s="28">
        <f>'Emissions A'!L130-'Emissions B'!L130</f>
        <v>0</v>
      </c>
      <c r="M130" s="1" t="str">
        <f>'Base data'!$K$35</f>
        <v>Tg/Km2</v>
      </c>
    </row>
    <row r="131" spans="1:13" x14ac:dyDescent="0.25">
      <c r="A131" s="1" t="str">
        <v>OT</v>
      </c>
      <c r="B131" s="28">
        <f>'Emissions A'!B131-'Emissions B'!B131</f>
        <v>0</v>
      </c>
      <c r="C131" s="28">
        <f>'Emissions A'!C131-'Emissions B'!C131</f>
        <v>0</v>
      </c>
      <c r="D131" s="28">
        <f>'Emissions A'!D131-'Emissions B'!D131</f>
        <v>0</v>
      </c>
      <c r="E131" s="28">
        <f>'Emissions A'!E131-'Emissions B'!E131</f>
        <v>0</v>
      </c>
      <c r="F131" s="28">
        <f>'Emissions A'!F131-'Emissions B'!F131</f>
        <v>0</v>
      </c>
      <c r="G131" s="28">
        <f>'Emissions A'!G131-'Emissions B'!G131</f>
        <v>0</v>
      </c>
      <c r="H131" s="28">
        <f>'Emissions A'!H131-'Emissions B'!H131</f>
        <v>0</v>
      </c>
      <c r="I131" s="28">
        <f>'Emissions A'!I131-'Emissions B'!I131</f>
        <v>0</v>
      </c>
      <c r="J131" s="28">
        <f>'Emissions A'!J131-'Emissions B'!J131</f>
        <v>0</v>
      </c>
      <c r="K131" s="28">
        <f>'Emissions A'!K131-'Emissions B'!K131</f>
        <v>0</v>
      </c>
      <c r="L131" s="28">
        <f>'Emissions A'!L131-'Emissions B'!L131</f>
        <v>0</v>
      </c>
      <c r="M131" s="1" t="str">
        <f>'Base data'!$K$35</f>
        <v>Tg/Km2</v>
      </c>
    </row>
    <row r="132" spans="1:13" x14ac:dyDescent="0.25">
      <c r="A132" s="1" t="str">
        <v>EE</v>
      </c>
      <c r="B132" s="28">
        <f>'Emissions A'!B132-'Emissions B'!B132</f>
        <v>0</v>
      </c>
      <c r="C132" s="28">
        <f>'Emissions A'!C132-'Emissions B'!C132</f>
        <v>0</v>
      </c>
      <c r="D132" s="28">
        <f>'Emissions A'!D132-'Emissions B'!D132</f>
        <v>0</v>
      </c>
      <c r="E132" s="28">
        <f>'Emissions A'!E132-'Emissions B'!E132</f>
        <v>0</v>
      </c>
      <c r="F132" s="28">
        <f>'Emissions A'!F132-'Emissions B'!F132</f>
        <v>0</v>
      </c>
      <c r="G132" s="28">
        <f>'Emissions A'!G132-'Emissions B'!G132</f>
        <v>0</v>
      </c>
      <c r="H132" s="28">
        <f>'Emissions A'!H132-'Emissions B'!H132</f>
        <v>0</v>
      </c>
      <c r="I132" s="28">
        <f>'Emissions A'!I132-'Emissions B'!I132</f>
        <v>0</v>
      </c>
      <c r="J132" s="28">
        <f>'Emissions A'!J132-'Emissions B'!J132</f>
        <v>0</v>
      </c>
      <c r="K132" s="28">
        <f>'Emissions A'!K132-'Emissions B'!K132</f>
        <v>0</v>
      </c>
      <c r="L132" s="28">
        <f>'Emissions A'!L132-'Emissions B'!L132</f>
        <v>0</v>
      </c>
      <c r="M132" s="1" t="str">
        <f>'Base data'!$K$35</f>
        <v>Tg/Km2</v>
      </c>
    </row>
    <row r="133" spans="1:13" x14ac:dyDescent="0.25">
      <c r="A133" s="1" t="str">
        <v>CA</v>
      </c>
      <c r="B133" s="28">
        <f>'Emissions A'!B133-'Emissions B'!B133</f>
        <v>0</v>
      </c>
      <c r="C133" s="28">
        <f>'Emissions A'!C133-'Emissions B'!C133</f>
        <v>0</v>
      </c>
      <c r="D133" s="28">
        <f>'Emissions A'!D133-'Emissions B'!D133</f>
        <v>0</v>
      </c>
      <c r="E133" s="28">
        <f>'Emissions A'!E133-'Emissions B'!E133</f>
        <v>0</v>
      </c>
      <c r="F133" s="28">
        <f>'Emissions A'!F133-'Emissions B'!F133</f>
        <v>0</v>
      </c>
      <c r="G133" s="28">
        <f>'Emissions A'!G133-'Emissions B'!G133</f>
        <v>0</v>
      </c>
      <c r="H133" s="28">
        <f>'Emissions A'!H133-'Emissions B'!H133</f>
        <v>0</v>
      </c>
      <c r="I133" s="28">
        <f>'Emissions A'!I133-'Emissions B'!I133</f>
        <v>0</v>
      </c>
      <c r="J133" s="28">
        <f>'Emissions A'!J133-'Emissions B'!J133</f>
        <v>0</v>
      </c>
      <c r="K133" s="28">
        <f>'Emissions A'!K133-'Emissions B'!K133</f>
        <v>0</v>
      </c>
      <c r="L133" s="28">
        <f>'Emissions A'!L133-'Emissions B'!L133</f>
        <v>0</v>
      </c>
      <c r="M133" s="1" t="str">
        <f>'Base data'!$K$35</f>
        <v>Tg/Km2</v>
      </c>
    </row>
    <row r="134" spans="1:13" x14ac:dyDescent="0.25">
      <c r="A134" s="1" t="str">
        <v>IA</v>
      </c>
      <c r="B134" s="28">
        <f>'Emissions A'!B134-'Emissions B'!B134</f>
        <v>0</v>
      </c>
      <c r="C134" s="28">
        <f>'Emissions A'!C134-'Emissions B'!C134</f>
        <v>0</v>
      </c>
      <c r="D134" s="28">
        <f>'Emissions A'!D134-'Emissions B'!D134</f>
        <v>0</v>
      </c>
      <c r="E134" s="28">
        <f>'Emissions A'!E134-'Emissions B'!E134</f>
        <v>0</v>
      </c>
      <c r="F134" s="28">
        <f>'Emissions A'!F134-'Emissions B'!F134</f>
        <v>0</v>
      </c>
      <c r="G134" s="28">
        <f>'Emissions A'!G134-'Emissions B'!G134</f>
        <v>0</v>
      </c>
      <c r="H134" s="28">
        <f>'Emissions A'!H134-'Emissions B'!H134</f>
        <v>0</v>
      </c>
      <c r="I134" s="28">
        <f>'Emissions A'!I134-'Emissions B'!I134</f>
        <v>0</v>
      </c>
      <c r="J134" s="28">
        <f>'Emissions A'!J134-'Emissions B'!J134</f>
        <v>0</v>
      </c>
      <c r="K134" s="28">
        <f>'Emissions A'!K134-'Emissions B'!K134</f>
        <v>0</v>
      </c>
      <c r="L134" s="28">
        <f>'Emissions A'!L134-'Emissions B'!L134</f>
        <v>0</v>
      </c>
      <c r="M134" s="1" t="str">
        <f>'Base data'!$K$35</f>
        <v>Tg/Km2</v>
      </c>
    </row>
    <row r="135" spans="1:13" x14ac:dyDescent="0.25">
      <c r="A135" s="1" t="str">
        <v>AF</v>
      </c>
      <c r="B135" s="28">
        <f>'Emissions A'!B135-'Emissions B'!B135</f>
        <v>0</v>
      </c>
      <c r="C135" s="28">
        <f>'Emissions A'!C135-'Emissions B'!C135</f>
        <v>0</v>
      </c>
      <c r="D135" s="28">
        <f>'Emissions A'!D135-'Emissions B'!D135</f>
        <v>0</v>
      </c>
      <c r="E135" s="28">
        <f>'Emissions A'!E135-'Emissions B'!E135</f>
        <v>0</v>
      </c>
      <c r="F135" s="28">
        <f>'Emissions A'!F135-'Emissions B'!F135</f>
        <v>0</v>
      </c>
      <c r="G135" s="28">
        <f>'Emissions A'!G135-'Emissions B'!G135</f>
        <v>0</v>
      </c>
      <c r="H135" s="28">
        <f>'Emissions A'!H135-'Emissions B'!H135</f>
        <v>0</v>
      </c>
      <c r="I135" s="28">
        <f>'Emissions A'!I135-'Emissions B'!I135</f>
        <v>0</v>
      </c>
      <c r="J135" s="28">
        <f>'Emissions A'!J135-'Emissions B'!J135</f>
        <v>0</v>
      </c>
      <c r="K135" s="28">
        <f>'Emissions A'!K135-'Emissions B'!K135</f>
        <v>0</v>
      </c>
      <c r="L135" s="28">
        <f>'Emissions A'!L135-'Emissions B'!L135</f>
        <v>0</v>
      </c>
      <c r="M135" s="1" t="str">
        <f>'Base data'!$K$35</f>
        <v>Tg/Km2</v>
      </c>
    </row>
    <row r="136" spans="1:13" x14ac:dyDescent="0.25">
      <c r="A136" s="1" t="str">
        <v>LA</v>
      </c>
      <c r="B136" s="28">
        <f>'Emissions A'!B136-'Emissions B'!B136</f>
        <v>0</v>
      </c>
      <c r="C136" s="28">
        <f>'Emissions A'!C136-'Emissions B'!C136</f>
        <v>0</v>
      </c>
      <c r="D136" s="28">
        <f>'Emissions A'!D136-'Emissions B'!D136</f>
        <v>0</v>
      </c>
      <c r="E136" s="28">
        <f>'Emissions A'!E136-'Emissions B'!E136</f>
        <v>0</v>
      </c>
      <c r="F136" s="28">
        <f>'Emissions A'!F136-'Emissions B'!F136</f>
        <v>0</v>
      </c>
      <c r="G136" s="28">
        <f>'Emissions A'!G136-'Emissions B'!G136</f>
        <v>0</v>
      </c>
      <c r="H136" s="28">
        <f>'Emissions A'!H136-'Emissions B'!H136</f>
        <v>0</v>
      </c>
      <c r="I136" s="28">
        <f>'Emissions A'!I136-'Emissions B'!I136</f>
        <v>0</v>
      </c>
      <c r="J136" s="28">
        <f>'Emissions A'!J136-'Emissions B'!J136</f>
        <v>0</v>
      </c>
      <c r="K136" s="28">
        <f>'Emissions A'!K136-'Emissions B'!K136</f>
        <v>0</v>
      </c>
      <c r="L136" s="28">
        <f>'Emissions A'!L136-'Emissions B'!L136</f>
        <v>0</v>
      </c>
      <c r="M136" s="1" t="str">
        <f>'Base data'!$K$35</f>
        <v>Tg/Km2</v>
      </c>
    </row>
    <row r="137" spans="1:13" ht="13" x14ac:dyDescent="0.3">
      <c r="A137" s="8" t="s">
        <v>138</v>
      </c>
      <c r="B137" s="43">
        <f>'Emissions A'!B137-'Emissions B'!B137</f>
        <v>0</v>
      </c>
      <c r="C137" s="43">
        <f>'Emissions A'!C137-'Emissions B'!C137</f>
        <v>0</v>
      </c>
      <c r="D137" s="43">
        <f>'Emissions A'!D137-'Emissions B'!D137</f>
        <v>0</v>
      </c>
      <c r="E137" s="43">
        <f>'Emissions A'!E137-'Emissions B'!E137</f>
        <v>0</v>
      </c>
      <c r="F137" s="43">
        <f>'Emissions A'!F137-'Emissions B'!F137</f>
        <v>0</v>
      </c>
      <c r="G137" s="43">
        <f>'Emissions A'!G137-'Emissions B'!G137</f>
        <v>0</v>
      </c>
      <c r="H137" s="43">
        <f>'Emissions A'!H137-'Emissions B'!H137</f>
        <v>0</v>
      </c>
      <c r="I137" s="43">
        <f>'Emissions A'!I137-'Emissions B'!I137</f>
        <v>0</v>
      </c>
      <c r="J137" s="43">
        <f>'Emissions A'!J137-'Emissions B'!J137</f>
        <v>0</v>
      </c>
      <c r="K137" s="43">
        <f>'Emissions A'!K137-'Emissions B'!K137</f>
        <v>0</v>
      </c>
      <c r="L137" s="43">
        <f>'Emissions A'!L137-'Emissions B'!L137</f>
        <v>0</v>
      </c>
      <c r="M137" s="1" t="str">
        <f>'Base data'!$K$35</f>
        <v>Tg/Km2</v>
      </c>
    </row>
    <row r="141" spans="1:13" ht="13" x14ac:dyDescent="0.3">
      <c r="A141" s="2" t="s">
        <v>550</v>
      </c>
      <c r="B141" s="26">
        <f>'Emissions A'!B141 - 'Emissions B'!B141</f>
        <v>0</v>
      </c>
      <c r="C141" s="26">
        <f>'Emissions A'!C141 - 'Emissions B'!C141</f>
        <v>0</v>
      </c>
      <c r="D141" s="26">
        <f>'Emissions A'!D141 - 'Emissions B'!D141</f>
        <v>0</v>
      </c>
      <c r="E141" s="26">
        <f>'Emissions A'!E141 - 'Emissions B'!E141</f>
        <v>0</v>
      </c>
      <c r="F141" s="26">
        <f>'Emissions A'!F141 - 'Emissions B'!F141</f>
        <v>0</v>
      </c>
      <c r="G141" s="26">
        <f>'Emissions A'!G141 - 'Emissions B'!G141</f>
        <v>0</v>
      </c>
      <c r="H141" s="26">
        <f>'Emissions A'!H141 - 'Emissions B'!H141</f>
        <v>0</v>
      </c>
      <c r="I141" s="26">
        <f>'Emissions A'!I141 - 'Emissions B'!I141</f>
        <v>0</v>
      </c>
      <c r="J141" s="26">
        <f>'Emissions A'!J141 - 'Emissions B'!J141</f>
        <v>0</v>
      </c>
      <c r="K141" s="26">
        <f>'Emissions A'!K141 - 'Emissions B'!K141</f>
        <v>0</v>
      </c>
      <c r="L141" s="26">
        <f>'Emissions A'!L141 - 'Emissions B'!L141</f>
        <v>0</v>
      </c>
      <c r="M141" s="3" t="s">
        <v>44</v>
      </c>
    </row>
  </sheetData>
  <pageMargins left="0.75" right="0.75" top="1" bottom="1" header="0.5" footer="0.5"/>
  <pageSetup paperSize="9" orientation="portrait" verticalDpi="0" r:id="rId1"/>
  <headerFooter alignWithMargins="0"/>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AP245"/>
  <sheetViews>
    <sheetView workbookViewId="0">
      <selection activeCell="B4" sqref="B4"/>
    </sheetView>
  </sheetViews>
  <sheetFormatPr defaultRowHeight="12.5" x14ac:dyDescent="0.25"/>
  <cols>
    <col min="1" max="1" width="33.54296875" customWidth="1"/>
    <col min="2" max="2" width="8.54296875" bestFit="1" customWidth="1"/>
    <col min="3" max="3" width="9.453125" bestFit="1" customWidth="1"/>
    <col min="4" max="4" width="10" bestFit="1" customWidth="1"/>
    <col min="5" max="13" width="10.81640625" bestFit="1" customWidth="1"/>
    <col min="14" max="14" width="11.54296875" bestFit="1" customWidth="1"/>
    <col min="15" max="24" width="2.1796875" customWidth="1"/>
    <col min="26" max="26" width="27.54296875" customWidth="1"/>
  </cols>
  <sheetData>
    <row r="1" spans="1:9" ht="13" x14ac:dyDescent="0.3">
      <c r="A1" s="2" t="str">
        <f>MODEL_NAME</f>
        <v>PAGE-ICE Nonlinear Arctic Feedbacks</v>
      </c>
      <c r="B1" t="s">
        <v>39</v>
      </c>
      <c r="C1" s="51" t="str">
        <f>VERSION</f>
        <v>6.22</v>
      </c>
    </row>
    <row r="2" spans="1:9" ht="13" x14ac:dyDescent="0.3">
      <c r="A2" s="2"/>
      <c r="C2" s="51"/>
    </row>
    <row r="3" spans="1:9" x14ac:dyDescent="0.25">
      <c r="A3" s="58" t="s">
        <v>555</v>
      </c>
      <c r="B3" s="14">
        <f xml:space="preserve"> IF(EXPERIMENT = EXPERIMENT_LANDPERM, 1, 0) + IF(EXPERIMENT = EXPERIMENT_BOTHFEED, 1, 0) + IF(EXPERIMENT = EXPERIMENT_SCC_LANDPERM, 1, 0) + IF(EXPERIMENT = EXPERIMENT_SCC_BOTHFEED, 1, 0) + IF(EXPERIMENT = EXPERIMENT_TWOSCEN_BOTHFEED, 1, 0)</f>
        <v>1</v>
      </c>
    </row>
    <row r="4" spans="1:9" s="3" customFormat="1" x14ac:dyDescent="0.25">
      <c r="A4" s="58" t="s">
        <v>920</v>
      </c>
      <c r="B4" s="14">
        <f>IF(EXPERIMENT = EXPERIMENT_SAF, 1, 0) + IF(EXPERIMENT = EXPERIMENT_BOTHFEED, 1, 0) + IF(EXPERIMENT = EXPERIMENT_SCC_SAF, 1, 0) + IF(EXPERIMENT = EXPERIMENT_SCC_BOTHFEED, 1, 0) + IF(EXPERIMENT = EXPERIMENT_TWOSCEN_BOTHFEED, 1, 0)</f>
        <v>1</v>
      </c>
    </row>
    <row r="5" spans="1:9" s="3" customFormat="1" x14ac:dyDescent="0.25"/>
    <row r="6" spans="1:9" s="3" customFormat="1" ht="13" x14ac:dyDescent="0.3">
      <c r="A6" s="2"/>
      <c r="B6"/>
      <c r="C6"/>
      <c r="D6" t="str">
        <f>'Base data'!B$12</f>
        <v>CO2</v>
      </c>
      <c r="E6" t="str">
        <f>'Base data'!C$12</f>
        <v>CH4</v>
      </c>
      <c r="F6" t="str">
        <f>'Base data'!D$12</f>
        <v>N2O</v>
      </c>
      <c r="G6" t="str">
        <f>GLIN_NAME</f>
        <v>Lin</v>
      </c>
      <c r="H6"/>
      <c r="I6"/>
    </row>
    <row r="7" spans="1:9" s="3" customFormat="1" x14ac:dyDescent="0.25">
      <c r="A7" t="s">
        <v>61</v>
      </c>
      <c r="B7" s="3">
        <f>Y_0</f>
        <v>2015</v>
      </c>
      <c r="C7" t="s">
        <v>56</v>
      </c>
      <c r="D7" s="11">
        <f t="array" ref="D7:G7">C_0-PIC</f>
        <v>122859.58333333337</v>
      </c>
      <c r="E7" s="11">
        <v>1103</v>
      </c>
      <c r="F7" s="11">
        <v>54</v>
      </c>
      <c r="G7" s="11">
        <v>0.11</v>
      </c>
      <c r="H7" t="str">
        <f>'Base data'!$F$13</f>
        <v>ppb</v>
      </c>
      <c r="I7"/>
    </row>
    <row r="8" spans="1:9" s="3" customFormat="1" ht="13" thickBot="1" x14ac:dyDescent="0.3">
      <c r="A8" t="s">
        <v>62</v>
      </c>
      <c r="B8" s="3">
        <f>Y_0</f>
        <v>2015</v>
      </c>
      <c r="C8" t="s">
        <v>57</v>
      </c>
      <c r="D8" s="15">
        <f t="array" ref="D8:G8">EXC*DEN</f>
        <v>958304.75000000023</v>
      </c>
      <c r="E8" s="15">
        <v>3066.3399999999997</v>
      </c>
      <c r="F8" s="15">
        <v>421.2</v>
      </c>
      <c r="G8" s="15">
        <v>11000</v>
      </c>
      <c r="H8" t="str">
        <f>'Base data'!$F$20</f>
        <v>Mtonnes</v>
      </c>
      <c r="I8"/>
    </row>
    <row r="9" spans="1:9" s="3" customFormat="1" ht="13.5" thickTop="1" thickBot="1" x14ac:dyDescent="0.3">
      <c r="A9" s="3" t="s">
        <v>630</v>
      </c>
      <c r="C9"/>
      <c r="D9" s="15">
        <f ca="1">RE_CO2_0/(1+RT_G_0*(CCF/100))</f>
        <v>958304.75000000023</v>
      </c>
      <c r="E9"/>
      <c r="F9"/>
      <c r="G9"/>
      <c r="H9" s="3" t="s">
        <v>51</v>
      </c>
      <c r="I9"/>
    </row>
    <row r="10" spans="1:9" s="3" customFormat="1" ht="13" thickTop="1" x14ac:dyDescent="0.25"/>
    <row r="11" spans="1:9" s="3" customFormat="1" x14ac:dyDescent="0.25">
      <c r="A11" s="3" t="s">
        <v>767</v>
      </c>
    </row>
    <row r="12" spans="1:9" s="3" customFormat="1" x14ac:dyDescent="0.25">
      <c r="A12" s="103" t="s">
        <v>607</v>
      </c>
      <c r="B12" s="103"/>
      <c r="D12" s="205">
        <f ca="1" xml:space="preserve"> _xll.RiskOutput() + 100 * MAX((1- PERCENT_CO2_OCEAN_LONG/100 - PERCENT_CO2_OCEAN_SHORT/100 - PERCENT_CO2_LAND/100), 0)</f>
        <v>23.41802168612297</v>
      </c>
      <c r="E12" s="3" t="s">
        <v>40</v>
      </c>
    </row>
    <row r="13" spans="1:9" s="3" customFormat="1" ht="13" x14ac:dyDescent="0.3">
      <c r="A13" s="103" t="s">
        <v>631</v>
      </c>
      <c r="B13" s="103"/>
      <c r="D13" s="103">
        <f ca="1" xml:space="preserve"> TOTAL_CE_CO2_0 / TOTAL_E_CO2_0</f>
        <v>49.590544633206477</v>
      </c>
      <c r="E13" s="3" t="s">
        <v>459</v>
      </c>
      <c r="G13" s="173" t="s">
        <v>633</v>
      </c>
    </row>
    <row r="14" spans="1:9" s="3" customFormat="1" ht="13" x14ac:dyDescent="0.3">
      <c r="A14" s="103" t="s">
        <v>632</v>
      </c>
      <c r="B14" s="103"/>
      <c r="D14" s="103">
        <f ca="1" xml:space="preserve"> RE_CO2_NO_CCF_0 / ( TOTAL_E_CO2_0 * TIME_CO2_HIST * ( (PERCENT_CO2_STAY/100) + (PERCENT_CO2_OCEAN_LONG/100) / (1 + TIME_CO2_HIST/TIME_CO2_OCEAN_LONG) + (PERCENT_CO2_OCEAN_SHORT/100) / (1 + TIME_CO2_HIST/TIME_CO2_OCEAN_SHORT) + (PERCENT_CO2_LAND/100) / (1 + TIME_CO2_HIST/TIME_CO2_LAND) ) )</f>
        <v>0.81773078390279552</v>
      </c>
      <c r="G14" s="173" t="s">
        <v>633</v>
      </c>
    </row>
    <row r="15" spans="1:9" s="3" customFormat="1" ht="13" x14ac:dyDescent="0.3">
      <c r="G15" s="173"/>
    </row>
    <row r="16" spans="1:9" s="3" customFormat="1" x14ac:dyDescent="0.25">
      <c r="A16" s="3" t="s">
        <v>833</v>
      </c>
    </row>
    <row r="17" spans="1:26" s="3" customFormat="1" ht="13" x14ac:dyDescent="0.3">
      <c r="A17" s="103" t="s">
        <v>627</v>
      </c>
      <c r="B17" s="103"/>
      <c r="D17" s="115">
        <f ca="1" xml:space="preserve"> PERM_SIB_CE_C_CO2_0 + PERM_SIB_CE_C_CH4_0</f>
        <v>3939.6145803199997</v>
      </c>
      <c r="E17" s="3" t="s">
        <v>454</v>
      </c>
      <c r="G17" s="124" t="s">
        <v>871</v>
      </c>
    </row>
    <row r="18" spans="1:26" s="3" customFormat="1" ht="13" x14ac:dyDescent="0.3">
      <c r="A18" s="103" t="s">
        <v>628</v>
      </c>
      <c r="B18" s="103"/>
      <c r="D18" s="115">
        <f ca="1" xml:space="preserve"> PERM_SIB_CE_C_CO2_0 * 44/12</f>
        <v>13801.527427361667</v>
      </c>
      <c r="E18" s="3" t="s">
        <v>457</v>
      </c>
      <c r="G18" s="124" t="s">
        <v>872</v>
      </c>
    </row>
    <row r="19" spans="1:26" ht="13" x14ac:dyDescent="0.3">
      <c r="A19" s="103" t="s">
        <v>629</v>
      </c>
      <c r="B19" s="86"/>
      <c r="D19" s="115">
        <f ca="1" xml:space="preserve"> PERM_SIB_CE_C_CH4_0 * 16/12</f>
        <v>234.08219411333332</v>
      </c>
      <c r="E19" s="3" t="s">
        <v>458</v>
      </c>
      <c r="G19" s="124" t="s">
        <v>873</v>
      </c>
    </row>
    <row r="20" spans="1:26" x14ac:dyDescent="0.25">
      <c r="A20" s="3"/>
      <c r="D20" s="59"/>
      <c r="E20" s="3"/>
    </row>
    <row r="21" spans="1:26" x14ac:dyDescent="0.25">
      <c r="A21" s="3" t="s">
        <v>834</v>
      </c>
      <c r="D21" s="59"/>
      <c r="E21" s="3"/>
    </row>
    <row r="22" spans="1:26" ht="13" x14ac:dyDescent="0.3">
      <c r="A22" s="103" t="s">
        <v>627</v>
      </c>
      <c r="B22" s="86"/>
      <c r="D22" s="115">
        <f ca="1" xml:space="preserve"> PERM_JUL_CE_C_CO2_0 * (1 + PERM_JUL_CH4_CO2_C_RATIO/100)</f>
        <v>21266.736749633299</v>
      </c>
      <c r="E22" s="3" t="s">
        <v>454</v>
      </c>
      <c r="G22" s="173" t="s">
        <v>870</v>
      </c>
    </row>
    <row r="23" spans="1:26" ht="13" x14ac:dyDescent="0.3">
      <c r="A23" s="103" t="s">
        <v>628</v>
      </c>
      <c r="B23" s="86"/>
      <c r="D23" s="115">
        <f ca="1" xml:space="preserve"> PERM_JUL_CE_C_CO2_0 * 44/12</f>
        <v>73483.655155751461</v>
      </c>
      <c r="E23" s="3" t="s">
        <v>457</v>
      </c>
      <c r="G23" s="124" t="s">
        <v>873</v>
      </c>
    </row>
    <row r="24" spans="1:26" ht="13" x14ac:dyDescent="0.3">
      <c r="A24" s="103" t="s">
        <v>629</v>
      </c>
      <c r="B24" s="86"/>
      <c r="D24" s="115">
        <f ca="1" xml:space="preserve"> PERM_JUL_CE_C_CO2_0 * (PERM_JUL_CH4_CO2_C_RATIO/100) * (16/12)</f>
        <v>1634.31985196508</v>
      </c>
      <c r="E24" s="3" t="s">
        <v>458</v>
      </c>
      <c r="G24" s="173" t="s">
        <v>870</v>
      </c>
    </row>
    <row r="26" spans="1:26" x14ac:dyDescent="0.25">
      <c r="A26" s="3" t="s">
        <v>835</v>
      </c>
      <c r="B26" s="3"/>
    </row>
    <row r="27" spans="1:26" ht="13" x14ac:dyDescent="0.3">
      <c r="A27" s="103" t="s">
        <v>940</v>
      </c>
      <c r="B27" s="103"/>
      <c r="D27" s="204">
        <f ca="1" xml:space="preserve"> ((ALB_SAF_QUADR_MEAN_T2_COEFF*(RT_G_0^3)/3 + ALB_SAF_QUADR_MEAN_T1_COEFF*(RT_G_0^2)/2 + ALB_SAF_QUADR_MEAN_T0_COEFF*RT_G_0) + (ALB_SAF_QUADR_STD*RT_G_0) * ALB_EMULATOR_RAND)</f>
        <v>0.34070539239327141</v>
      </c>
      <c r="E27" s="3" t="s">
        <v>44</v>
      </c>
      <c r="F27" s="6"/>
      <c r="G27" s="173" t="s">
        <v>915</v>
      </c>
      <c r="H27" s="6"/>
      <c r="I27" s="6"/>
      <c r="J27" s="6"/>
      <c r="K27" s="6"/>
      <c r="Z27" s="124"/>
    </row>
    <row r="28" spans="1:26" ht="13" x14ac:dyDescent="0.3">
      <c r="A28" s="103" t="s">
        <v>918</v>
      </c>
      <c r="B28" s="103"/>
      <c r="D28" s="204">
        <f ca="1" xml:space="preserve"> (ALB_SAF_QUADR_MEAN_T2_COEFF*(RT_G_0^2)/2 + ALB_SAF_QUADR_MEAN_T1_COEFF*RT_G_0 + ALB_SAF_QUADR_MEAN_T0_COEFF) + ALB_SAF_QUADR_STD * ALB_EMULATOR_RAND</f>
        <v>0.35677636190954537</v>
      </c>
      <c r="E28" s="3" t="s">
        <v>544</v>
      </c>
      <c r="F28" s="6"/>
      <c r="G28" s="173" t="s">
        <v>915</v>
      </c>
      <c r="H28" s="6"/>
      <c r="I28" s="6"/>
      <c r="J28" s="6"/>
      <c r="K28" s="6"/>
      <c r="Z28" s="124"/>
    </row>
    <row r="29" spans="1:26" ht="13" x14ac:dyDescent="0.3">
      <c r="A29" s="103" t="s">
        <v>943</v>
      </c>
      <c r="B29" s="103"/>
      <c r="D29" s="204">
        <f ca="1" xml:space="preserve"> IF( ECS &lt;= ALB_T_SWITCH, (ALB_SAF_QUADR_MEAN_T2_COEFF*(ECS^3)/3 + ALB_SAF_QUADR_MEAN_T1_COEFF*(ECS^2)/2 + ALB_SAF_QUADR_MEAN_T0_COEFF*ECS) + (ALB_SAF_QUADR_STD*ECS) * ALB_EMULATOR_RAND, 0 ) + IF( ECS &gt; ALB_T_SWITCH, (ALB_SAF_QUADR_MEAN_T2_COEFF*( ALB_T_SWITCH^3)/3 + ALB_SAF_QUADR_MEAN_T1_COEFF*( ALB_T_SWITCH^2)/2 + ALB_SAF_QUADR_MEAN_T0_COEFF*ALB_T_SWITCH + ALB_SAF_LIN_MEAN*(ECS - ALB_T_SWITCH)) + (ALB_SAF_QUADR_STD*ALB_T_SWITCH + ALB_SAF_LIN_STD*(ECS - ALB_T_SWITCH)) * ALB_EMULATOR_RAND, 0 )</f>
        <v>0.9811823507605284</v>
      </c>
      <c r="E29" s="3" t="s">
        <v>44</v>
      </c>
      <c r="G29" s="173" t="s">
        <v>915</v>
      </c>
      <c r="Z29" s="124"/>
    </row>
    <row r="30" spans="1:26" ht="13" x14ac:dyDescent="0.3">
      <c r="A30" s="103" t="s">
        <v>916</v>
      </c>
      <c r="B30" s="103"/>
      <c r="D30" s="204">
        <f ca="1">ALB_FSAF_ECS / ECS</f>
        <v>0.34959047149395317</v>
      </c>
      <c r="E30" s="3" t="s">
        <v>544</v>
      </c>
      <c r="G30" s="173" t="s">
        <v>915</v>
      </c>
      <c r="O30" s="1"/>
      <c r="Z30" s="124"/>
    </row>
    <row r="31" spans="1:26" ht="13" x14ac:dyDescent="0.3">
      <c r="A31" s="103" t="s">
        <v>950</v>
      </c>
      <c r="B31" s="103"/>
      <c r="D31" s="204">
        <f ca="1" xml:space="preserve"> (ALB_SAF_QUADR_MEAN_T2_COEFF*(ALB_T_SWITCH^3)/3 + ALB_SAF_QUADR_MEAN_T1_COEFF*(ALB_T_SWITCH^2)/2 + ALB_SAF_QUADR_MEAN_T0_COEFF*ALB_T_SWITCH) + (ALB_SAF_QUADR_STD*ALB_T_SWITCH) * ALB_EMULATOR_RAND</f>
        <v>2.6647781839215652</v>
      </c>
      <c r="E31" s="3" t="s">
        <v>44</v>
      </c>
      <c r="G31" s="173" t="s">
        <v>951</v>
      </c>
      <c r="O31" s="1"/>
      <c r="Z31" s="124"/>
    </row>
    <row r="32" spans="1:26" ht="13" x14ac:dyDescent="0.3">
      <c r="A32" s="3"/>
      <c r="B32" s="3"/>
      <c r="D32" s="6"/>
      <c r="E32" s="3"/>
      <c r="G32" s="173"/>
      <c r="O32" s="1"/>
      <c r="Z32" s="124"/>
    </row>
    <row r="33" spans="1:39" x14ac:dyDescent="0.25">
      <c r="O33" s="1"/>
    </row>
    <row r="34" spans="1:39" x14ac:dyDescent="0.25">
      <c r="C34">
        <f>Y_0</f>
        <v>2015</v>
      </c>
      <c r="D34">
        <f t="array" ref="D34:M34">Y</f>
        <v>2020</v>
      </c>
      <c r="E34">
        <v>2030</v>
      </c>
      <c r="F34">
        <v>2040</v>
      </c>
      <c r="G34">
        <v>2050</v>
      </c>
      <c r="H34">
        <v>2075</v>
      </c>
      <c r="I34">
        <v>2100</v>
      </c>
      <c r="J34">
        <v>2150</v>
      </c>
      <c r="K34">
        <v>2200</v>
      </c>
      <c r="L34">
        <v>2250</v>
      </c>
      <c r="M34">
        <v>2300</v>
      </c>
      <c r="O34" s="1"/>
    </row>
    <row r="35" spans="1:39" x14ac:dyDescent="0.25">
      <c r="A35" s="4" t="s">
        <v>59</v>
      </c>
      <c r="B35" s="4"/>
      <c r="C35" s="4"/>
      <c r="D35" s="14">
        <f>Y_1-Y_0</f>
        <v>5</v>
      </c>
      <c r="E35" s="14">
        <f t="array" ref="E35:M35">Y_NOT_1-Y</f>
        <v>10</v>
      </c>
      <c r="F35" s="14">
        <v>10</v>
      </c>
      <c r="G35" s="14">
        <v>10</v>
      </c>
      <c r="H35" s="14">
        <v>25</v>
      </c>
      <c r="I35" s="14">
        <v>25</v>
      </c>
      <c r="J35" s="14">
        <v>50</v>
      </c>
      <c r="K35" s="14">
        <v>50</v>
      </c>
      <c r="L35" s="14">
        <v>50</v>
      </c>
      <c r="M35" s="14">
        <v>50</v>
      </c>
      <c r="N35" s="4" t="s">
        <v>41</v>
      </c>
      <c r="O35" s="1"/>
    </row>
    <row r="36" spans="1:39" x14ac:dyDescent="0.25">
      <c r="A36" s="4"/>
      <c r="B36" s="4"/>
      <c r="C36" s="4"/>
      <c r="D36" s="4"/>
      <c r="E36" s="4"/>
      <c r="F36" s="4"/>
      <c r="G36" s="4"/>
      <c r="H36" s="4"/>
      <c r="I36" s="4"/>
      <c r="J36" s="4"/>
      <c r="K36" s="4"/>
      <c r="L36" s="4"/>
      <c r="M36" s="4"/>
      <c r="N36" s="4"/>
      <c r="O36" s="1"/>
    </row>
    <row r="37" spans="1:39" x14ac:dyDescent="0.25">
      <c r="A37" s="3" t="s">
        <v>836</v>
      </c>
      <c r="O37" s="1"/>
    </row>
    <row r="38" spans="1:39" ht="13" x14ac:dyDescent="0.3">
      <c r="A38" s="116" t="s">
        <v>511</v>
      </c>
      <c r="B38" s="116"/>
      <c r="C38" s="113">
        <f ca="1" xml:space="preserve"> RT_G_0 * PERM_SIB_AF</f>
        <v>1.7746013312537106</v>
      </c>
      <c r="D38" s="113">
        <f t="array" ref="D38:M38" ca="1" xml:space="preserve"> rt_g * PERM_SIB_AF</f>
        <v>2.0617023635125697</v>
      </c>
      <c r="E38" s="113">
        <f ca="1"/>
        <v>2.8573734207624342</v>
      </c>
      <c r="F38" s="113">
        <f ca="1"/>
        <v>3.3763685556814051</v>
      </c>
      <c r="G38" s="113">
        <f ca="1"/>
        <v>3.7086343922103961</v>
      </c>
      <c r="H38" s="113">
        <f ca="1"/>
        <v>4.0449179747268085</v>
      </c>
      <c r="I38" s="113">
        <f ca="1"/>
        <v>4.0312462915334093</v>
      </c>
      <c r="J38" s="113">
        <f ca="1"/>
        <v>3.5800137991822285</v>
      </c>
      <c r="K38" s="113">
        <f ca="1"/>
        <v>3.2875197577213218</v>
      </c>
      <c r="L38" s="113">
        <f ca="1"/>
        <v>3.1047304382099941</v>
      </c>
      <c r="M38" s="113">
        <f ca="1"/>
        <v>2.9219174891367627</v>
      </c>
      <c r="N38" s="4" t="s">
        <v>43</v>
      </c>
      <c r="O38" s="1"/>
      <c r="P38" s="1"/>
      <c r="Q38" s="1"/>
      <c r="R38" s="1"/>
      <c r="S38" s="1"/>
      <c r="T38" s="1"/>
      <c r="U38" s="1"/>
      <c r="V38" s="1"/>
      <c r="W38" s="1"/>
      <c r="X38" s="1"/>
      <c r="Z38" s="124" t="s">
        <v>845</v>
      </c>
    </row>
    <row r="39" spans="1:39" ht="13" x14ac:dyDescent="0.3">
      <c r="A39" s="103" t="s">
        <v>755</v>
      </c>
      <c r="B39" s="103" t="s">
        <v>839</v>
      </c>
      <c r="C39" s="113">
        <f ca="1" xml:space="preserve"> IF(1 + PERM_SIB_SENS_SLOPE_VS_T_CO2 * (PERM_SIB_TEMP_0 - 0.5*PERM_SIB_LIMIT_T) /PERM_SIB_LIMIT_T &lt;=0, 0.000001, 1 + PERM_SIB_SENS_SLOPE_VS_T_CO2 * (PERM_SIB_TEMP_0 - 0.5*PERM_SIB_LIMIT_T) /PERM_SIB_LIMIT_T)</f>
        <v>0.41383070966910029</v>
      </c>
      <c r="D39" s="113">
        <f t="array" ref="D39:M39" ca="1" xml:space="preserve"> IF(1 + PERM_SIB_SENS_SLOPE_VS_T_CO2 * (perm_sib_temp - 0.5*PERM_SIB_LIMIT_T) /PERM_SIB_LIMIT_T &lt;= 0, 0.000001, 1 + PERM_SIB_SENS_SLOPE_VS_T_CO2 * (perm_sib_temp - 0.5*PERM_SIB_LIMIT_T) /PERM_SIB_LIMIT_T)</f>
        <v>0.43187071262208099</v>
      </c>
      <c r="E39" s="113">
        <f ca="1"/>
        <v>0.48186673008483605</v>
      </c>
      <c r="F39" s="113">
        <f ca="1"/>
        <v>0.51447780672519894</v>
      </c>
      <c r="G39" s="113">
        <f ca="1"/>
        <v>0.53535574166328437</v>
      </c>
      <c r="H39" s="113">
        <f ca="1"/>
        <v>0.55648613180470763</v>
      </c>
      <c r="I39" s="113">
        <f ca="1"/>
        <v>0.55562707113452947</v>
      </c>
      <c r="J39" s="113">
        <f ca="1"/>
        <v>0.52727386240361596</v>
      </c>
      <c r="K39" s="113">
        <f ca="1"/>
        <v>0.50889498953726364</v>
      </c>
      <c r="L39" s="113">
        <f ca="1"/>
        <v>0.49740941653944681</v>
      </c>
      <c r="M39" s="113">
        <f ca="1"/>
        <v>0.48592235877731826</v>
      </c>
      <c r="N39" s="4" t="s">
        <v>509</v>
      </c>
      <c r="X39" s="1"/>
      <c r="Z39" s="124" t="s">
        <v>849</v>
      </c>
    </row>
    <row r="40" spans="1:39" ht="13" x14ac:dyDescent="0.3">
      <c r="A40" s="103" t="s">
        <v>754</v>
      </c>
      <c r="B40" s="103" t="s">
        <v>839</v>
      </c>
      <c r="C40" s="113">
        <f ca="1">IF(1 + PERM_SIB_LAG_SLOPE_VS_T_CO2 * (PERM_SIB_TEMP_0 - 0.5*PERM_SIB_LIMIT_T) /PERM_SIB_LIMIT_T &lt;=0, 0.000001, 1 + PERM_SIB_LAG_SLOPE_VS_T_CO2 * (PERM_SIB_TEMP_0 - 0.5*PERM_SIB_LIMIT_T) /PERM_SIB_LIMIT_T)</f>
        <v>0.65165857983454845</v>
      </c>
      <c r="D40" s="113">
        <f t="array" ref="D40:M40" ca="1" xml:space="preserve"> IF(1 + PERM_SIB_LAG_SLOPE_VS_T_CO2 * (perm_sib_temp - 0.5*PERM_SIB_LIMIT_T) /PERM_SIB_LIMIT_T &lt;= 0, 0.000001, 1 + PERM_SIB_LAG_SLOPE_VS_T_CO2 * (perm_sib_temp - 0.5*PERM_SIB_LIMIT_T) /PERM_SIB_LIMIT_T)</f>
        <v>0.66237916917979178</v>
      </c>
      <c r="E40" s="113">
        <f ca="1"/>
        <v>0.69209018272634149</v>
      </c>
      <c r="F40" s="113">
        <f ca="1"/>
        <v>0.71146988913098042</v>
      </c>
      <c r="G40" s="113">
        <f ca="1"/>
        <v>0.72387696951956415</v>
      </c>
      <c r="H40" s="113">
        <f ca="1"/>
        <v>0.73643407585715193</v>
      </c>
      <c r="I40" s="113">
        <f ca="1"/>
        <v>0.73592356393031721</v>
      </c>
      <c r="J40" s="113">
        <f ca="1"/>
        <v>0.7190741704897321</v>
      </c>
      <c r="K40" s="113">
        <f ca="1"/>
        <v>0.70815220173273474</v>
      </c>
      <c r="L40" s="113">
        <f ca="1"/>
        <v>0.70132669777769996</v>
      </c>
      <c r="M40" s="113">
        <f ca="1"/>
        <v>0.69450031147533398</v>
      </c>
      <c r="N40" s="4" t="s">
        <v>509</v>
      </c>
      <c r="X40" s="1"/>
      <c r="Z40" s="124" t="s">
        <v>849</v>
      </c>
    </row>
    <row r="41" spans="1:39" ht="13" x14ac:dyDescent="0.3">
      <c r="A41" s="103" t="s">
        <v>756</v>
      </c>
      <c r="B41" s="103" t="s">
        <v>839</v>
      </c>
      <c r="C41" s="113">
        <f ca="1" xml:space="preserve"> IF(1 + PERM_SIB_POW_SLOPE_VS_T_CO2 * (PERM_SIB_TEMP_0 - 0.5*PERM_SIB_LIMIT_T) /PERM_SIB_LIMIT_T &lt;=0, 0.000001, 1 + PERM_SIB_POW_SLOPE_VS_T_CO2 * (PERM_SIB_TEMP_0 - 0.5*PERM_SIB_LIMIT_T) /PERM_SIB_LIMIT_T)</f>
        <v>1.0140086749144062</v>
      </c>
      <c r="D41" s="113">
        <f t="array" ref="D41:M41" ca="1" xml:space="preserve"> IF(1 + PERM_SIB_POW_SLOPE_VS_T_CO2 * (perm_sib_temp - 0.5*PERM_SIB_LIMIT_T) /PERM_SIB_LIMIT_T &lt;= 0, 0.000001, 1 + PERM_SIB_POW_SLOPE_VS_T_CO2 * (perm_sib_temp - 0.5*PERM_SIB_LIMIT_T) /PERM_SIB_LIMIT_T)</f>
        <v>1.0135775425760325</v>
      </c>
      <c r="E41" s="113">
        <f ca="1"/>
        <v>1.0123827035300372</v>
      </c>
      <c r="F41" s="113">
        <f ca="1"/>
        <v>1.0116033416992498</v>
      </c>
      <c r="G41" s="113">
        <f ca="1"/>
        <v>1.0111043865198226</v>
      </c>
      <c r="H41" s="113">
        <f ca="1"/>
        <v>1.0105993979931485</v>
      </c>
      <c r="I41" s="113">
        <f ca="1"/>
        <v>1.0106199284130439</v>
      </c>
      <c r="J41" s="113">
        <f ca="1"/>
        <v>1.0112975328021572</v>
      </c>
      <c r="K41" s="113">
        <f ca="1"/>
        <v>1.0117367636856662</v>
      </c>
      <c r="L41" s="113">
        <f ca="1"/>
        <v>1.0120112537706745</v>
      </c>
      <c r="M41" s="113">
        <f ca="1"/>
        <v>1.0122857793395965</v>
      </c>
      <c r="N41" s="4" t="s">
        <v>509</v>
      </c>
      <c r="X41" s="1"/>
      <c r="Z41" s="124" t="s">
        <v>849</v>
      </c>
    </row>
    <row r="42" spans="1:39" ht="13" x14ac:dyDescent="0.3">
      <c r="A42" s="118" t="s">
        <v>757</v>
      </c>
      <c r="B42" s="116"/>
      <c r="C42" s="115">
        <f ca="1" xml:space="preserve"> (PERM_SIB_SENS_C_CO2 * PERM_SIB_SENS_C_CO2_CORRECT_0) * PERM_SIB_TEMP_0</f>
        <v>23456.051219068944</v>
      </c>
      <c r="D42" s="115">
        <f t="array" ref="D42:M42" ca="1" xml:space="preserve"> IF((PERM_SIB_SENS_C_CO2 * perm_sib_sens_c_co2_correct) * perm_sib_temp &lt; PERM_SIB_LIMIT_C, (PERM_SIB_SENS_C_CO2 * perm_sib_sens_c_co2_correct) * perm_sib_temp, PERM_SIB_LIMIT_C)</f>
        <v>28438.789367497582</v>
      </c>
      <c r="E42" s="115">
        <f ca="1"/>
        <v>43976.97221242368</v>
      </c>
      <c r="F42" s="115">
        <f ca="1"/>
        <v>55481.459186086046</v>
      </c>
      <c r="G42" s="115">
        <f ca="1"/>
        <v>63414.397241882929</v>
      </c>
      <c r="H42" s="115">
        <f ca="1"/>
        <v>71894.463538436656</v>
      </c>
      <c r="I42" s="115">
        <f ca="1"/>
        <v>71540.852691709006</v>
      </c>
      <c r="J42" s="115">
        <f ca="1"/>
        <v>60290.977693057925</v>
      </c>
      <c r="K42" s="115">
        <f ca="1"/>
        <v>53435.260267384183</v>
      </c>
      <c r="L42" s="115">
        <f ca="1"/>
        <v>49325.248816172141</v>
      </c>
      <c r="M42" s="115">
        <f ca="1"/>
        <v>45348.84320343563</v>
      </c>
      <c r="N42" s="58" t="s">
        <v>503</v>
      </c>
      <c r="O42" s="1"/>
      <c r="X42" s="1"/>
      <c r="Z42" s="124" t="s">
        <v>844</v>
      </c>
    </row>
    <row r="43" spans="1:39" ht="13" x14ac:dyDescent="0.3">
      <c r="A43" s="113" t="s">
        <v>758</v>
      </c>
      <c r="B43" s="116"/>
      <c r="C43" s="115">
        <f ca="1" xml:space="preserve"> PERM_SIB_CE_C_CO2_0</f>
        <v>3764.0529347349998</v>
      </c>
      <c r="D43" s="115">
        <f ca="1" xml:space="preserve"> IF(perm_sib_equilib_c_co2_1 &lt;  PERM_SIB_CE_C_CO2_0, PERM_SIB_CE_C_CO2_0, IF( ((perm_sib_equilib_c_co2_1 - PERM_SIB_CE_C_CO2_0)/PERM_SIB_LIMIT_C)^(1-(1+PERM_SIB_POW_C_CO2)*perm_sib_pow_c_co2_correct_1) &lt; (1-(1+PERM_SIB_POW_C_CO2)*perm_sib_pow_c_co2_correct_1) * YP_1 / (PERM_SIB_LAG_C_CO2*perm_sib_lag_c_co2_correct_1), perm_sib_equilib_c_co2_1, ( perm_sib_equilib_c_co2_1 - PERM_SIB_LIMIT_C * ( ( ((perm_sib_equilib_c_co2_1 - PERM_SIB_CE_C_CO2_0)/PERM_SIB_LIMIT_C)^(1-(1+PERM_SIB_POW_C_CO2)*perm_sib_pow_c_co2_correct_1) - (1-(1+PERM_SIB_POW_C_CO2)*perm_sib_pow_c_co2_correct_1) * YP_1 / (PERM_SIB_LAG_C_CO2*perm_sib_lag_c_co2_correct_1) )^( 1/(1-(1+PERM_SIB_POW_C_CO2)*perm_sib_pow_c_co2_correct_1) ) ) ) ) )</f>
        <v>4998.1459197572949</v>
      </c>
      <c r="E43" s="115">
        <f t="array" ref="E43:M43" ca="1" xml:space="preserve"> IF(perm_sib_equilib_c_co2_not_1 &lt;  perm_sib_ce_c_co2, perm_sib_ce_c_co2, IF( ((perm_sib_equilib_c_co2_not_1 - perm_sib_ce_c_co2)/PERM_SIB_LIMIT_C)^(1-(1+PERM_SIB_POW_C_CO2)*perm_sib_pow_c_co2_correct_not_1) &lt; (1-(1+PERM_SIB_POW_C_CO2)*perm_sib_pow_c_co2_correct_not_1) * YP_NOT_1 / (PERM_SIB_LAG_C_CO2*perm_sib_lag_c_co2_correct_not_1), perm_sib_equilib_c_co2_not_1, ( perm_sib_equilib_c_co2_not_1 - PERM_SIB_LIMIT_C * ( ( ((perm_sib_equilib_c_co2_not_1 - perm_sib_ce_c_co2)/PERM_SIB_LIMIT_C)^(1-(1+PERM_SIB_POW_C_CO2)*perm_sib_pow_c_co2_correct_not_1) - (1-(1+PERM_SIB_POW_C_CO2)*perm_sib_pow_c_co2_correct_not_1) * YP_NOT_1 / (PERM_SIB_LAG_C_CO2*perm_sib_lag_c_co2_correct_not_1) )^( 1/(1-(1+PERM_SIB_POW_C_CO2)*perm_sib_pow_c_co2_correct_not_1) ) ) ) ) )</f>
        <v>9091.9896339063125</v>
      </c>
      <c r="F43" s="115">
        <f ca="1"/>
        <v>14068.04797621748</v>
      </c>
      <c r="G43" s="115">
        <f ca="1"/>
        <v>19367.089906547488</v>
      </c>
      <c r="H43" s="115">
        <f ca="1"/>
        <v>32117.350929485365</v>
      </c>
      <c r="I43" s="115">
        <f ca="1"/>
        <v>41082.795963109522</v>
      </c>
      <c r="J43" s="115">
        <f ca="1"/>
        <v>47709.264706028858</v>
      </c>
      <c r="K43" s="115">
        <f ca="1"/>
        <v>49246.474792725363</v>
      </c>
      <c r="L43" s="115">
        <f ca="1"/>
        <v>49253.987554977539</v>
      </c>
      <c r="M43" s="115">
        <f ca="1"/>
        <v>49253.987554977539</v>
      </c>
      <c r="N43" s="58" t="s">
        <v>503</v>
      </c>
      <c r="O43" s="1"/>
      <c r="P43" s="1"/>
      <c r="Q43" s="1"/>
      <c r="R43" s="1"/>
      <c r="S43" s="1"/>
      <c r="T43" s="1"/>
      <c r="U43" s="1"/>
      <c r="V43" s="1"/>
      <c r="W43" s="1"/>
      <c r="X43" s="1"/>
      <c r="Z43" s="124" t="s">
        <v>852</v>
      </c>
    </row>
    <row r="44" spans="1:39" s="4" customFormat="1" ht="13" x14ac:dyDescent="0.3">
      <c r="A44" s="113" t="s">
        <v>759</v>
      </c>
      <c r="B44" s="115"/>
      <c r="C44" s="115">
        <f ca="1" xml:space="preserve"> PERM_SIB_CE_CO2_0</f>
        <v>13801.527427361667</v>
      </c>
      <c r="D44" s="115">
        <f t="array" ref="D44:M44" ca="1" xml:space="preserve"> perm_sib_ce_c_co2 * (44/12)</f>
        <v>18326.53503911008</v>
      </c>
      <c r="E44" s="115">
        <f ca="1"/>
        <v>33337.295324323146</v>
      </c>
      <c r="F44" s="115">
        <f ca="1"/>
        <v>51582.842579464093</v>
      </c>
      <c r="G44" s="115">
        <f ca="1"/>
        <v>71012.662990674115</v>
      </c>
      <c r="H44" s="115">
        <f ca="1"/>
        <v>117763.62007477967</v>
      </c>
      <c r="I44" s="115">
        <f ca="1"/>
        <v>150636.91853140158</v>
      </c>
      <c r="J44" s="115">
        <f ca="1"/>
        <v>174933.97058877247</v>
      </c>
      <c r="K44" s="115">
        <f ca="1"/>
        <v>180570.40757332632</v>
      </c>
      <c r="L44" s="115">
        <f ca="1"/>
        <v>180597.95436825097</v>
      </c>
      <c r="M44" s="115">
        <f ca="1"/>
        <v>180597.95436825097</v>
      </c>
      <c r="N44" s="3" t="s">
        <v>457</v>
      </c>
      <c r="O44" s="1"/>
      <c r="P44" s="1"/>
      <c r="Q44" s="1"/>
      <c r="R44" s="1"/>
      <c r="S44" s="1"/>
      <c r="T44" s="1"/>
      <c r="U44" s="1"/>
      <c r="V44" s="1"/>
      <c r="W44" s="1"/>
      <c r="X44" s="1"/>
      <c r="Z44" s="173"/>
    </row>
    <row r="45" spans="1:39" s="4" customFormat="1" ht="13" x14ac:dyDescent="0.3">
      <c r="A45" s="113" t="s">
        <v>612</v>
      </c>
      <c r="B45" s="115"/>
      <c r="C45" s="115">
        <f ca="1" xml:space="preserve"> (44/12) * (PERM_SIB_LIMIT_C / (PERM_SIB_LAG_C_CO2 * PERM_SIB_LAG_C_CO2_CORRECT_0)) * ( IF(PERM_SIB_EQUILIB_C_CO2_0 &gt;PERM_SIB_CE_C_CO2_0, ((PERM_SIB_EQUILIB_C_CO2_0 - PERM_SIB_CE_C_CO2_0)/PERM_SIB_LIMIT_C)^((1 + PERM_SIB_POW_C_CO2)*PERM_SIB_POW_C_CO2_CORRECT_0), 0) )</f>
        <v>711.39602792144001</v>
      </c>
      <c r="D45" s="115">
        <f t="array" ref="D45:M45" ca="1" xml:space="preserve"> (44/12) * (PERM_SIB_LIMIT_C / (PERM_SIB_LAG_C_CO2 * perm_sib_lag_c_co2_correct)) * ( IF(perm_sib_equilib_c_co2 &gt; perm_sib_ce_c_co2, ((perm_sib_equilib_c_co2 - perm_sib_ce_c_co2)/PERM_SIB_LIMIT_C)^((1 + PERM_SIB_POW_C_CO2)*perm_sib_pow_c_co2_correct), 0) )</f>
        <v>875.76545535475884</v>
      </c>
      <c r="E45" s="115">
        <f ca="1"/>
        <v>1397.9303492433801</v>
      </c>
      <c r="F45" s="115">
        <f ca="1"/>
        <v>1696.5275341100848</v>
      </c>
      <c r="G45" s="115">
        <f ca="1"/>
        <v>1806.5552790583727</v>
      </c>
      <c r="H45" s="115">
        <f ca="1"/>
        <v>1562.2028556025257</v>
      </c>
      <c r="I45" s="115">
        <f ca="1"/>
        <v>1113.0193895581049</v>
      </c>
      <c r="J45" s="115">
        <f ca="1"/>
        <v>368.65201857250906</v>
      </c>
      <c r="K45" s="115">
        <f ca="1"/>
        <v>92.031206642511165</v>
      </c>
      <c r="L45" s="115">
        <f ca="1"/>
        <v>0.51665685266799544</v>
      </c>
      <c r="M45" s="115">
        <f ca="1"/>
        <v>0</v>
      </c>
      <c r="N45" s="58" t="s">
        <v>591</v>
      </c>
      <c r="X45" s="1"/>
      <c r="Z45" s="124" t="s">
        <v>850</v>
      </c>
      <c r="AM45"/>
    </row>
    <row r="46" spans="1:39" s="4" customFormat="1" ht="13" x14ac:dyDescent="0.3">
      <c r="A46" s="57"/>
      <c r="B46" s="59"/>
      <c r="C46" s="59"/>
      <c r="D46" s="59"/>
      <c r="E46" s="59"/>
      <c r="F46" s="59"/>
      <c r="G46" s="59"/>
      <c r="H46" s="59"/>
      <c r="I46" s="59"/>
      <c r="J46" s="59"/>
      <c r="K46" s="59"/>
      <c r="L46" s="59"/>
      <c r="M46" s="59"/>
      <c r="X46" s="1"/>
      <c r="Z46" s="124"/>
      <c r="AM46"/>
    </row>
    <row r="47" spans="1:39" s="4" customFormat="1" ht="13" x14ac:dyDescent="0.3">
      <c r="A47" s="103" t="s">
        <v>761</v>
      </c>
      <c r="B47" s="103" t="s">
        <v>841</v>
      </c>
      <c r="C47" s="113">
        <f ca="1" xml:space="preserve"> (PERM_SIB_TEMP_0 /(0.5*PERM_SIB_LIMIT_T))^PERM_SIB_SENS_SLOPE_VS_T_CH4</f>
        <v>1.1196501526378637</v>
      </c>
      <c r="D47" s="113">
        <f t="array" ref="D47:M47" ca="1" xml:space="preserve"> (perm_sib_temp/(0.5*PERM_SIB_LIMIT_T))^PERM_SIB_SENS_SLOPE_VS_T_CH4</f>
        <v>1.1093495649398779</v>
      </c>
      <c r="E47" s="113">
        <f ca="1"/>
        <v>1.0872573362756384</v>
      </c>
      <c r="F47" s="113">
        <f ca="1"/>
        <v>1.076130491436402</v>
      </c>
      <c r="G47" s="113">
        <f ca="1"/>
        <v>1.0699228846461322</v>
      </c>
      <c r="H47" s="113">
        <f ca="1"/>
        <v>1.0642144195821788</v>
      </c>
      <c r="I47" s="113">
        <f ca="1"/>
        <v>1.0644365163573499</v>
      </c>
      <c r="J47" s="113">
        <f ca="1"/>
        <v>1.0722530359127147</v>
      </c>
      <c r="K47" s="113">
        <f ca="1"/>
        <v>1.0779006901387789</v>
      </c>
      <c r="L47" s="113">
        <f ca="1"/>
        <v>1.0817079333160786</v>
      </c>
      <c r="M47" s="113">
        <f ca="1"/>
        <v>1.0857615008743207</v>
      </c>
      <c r="N47" s="4" t="s">
        <v>509</v>
      </c>
      <c r="X47" s="1"/>
      <c r="Z47" s="124" t="s">
        <v>876</v>
      </c>
    </row>
    <row r="48" spans="1:39" s="4" customFormat="1" ht="13" x14ac:dyDescent="0.3">
      <c r="A48" s="103" t="s">
        <v>857</v>
      </c>
      <c r="B48" s="103" t="s">
        <v>841</v>
      </c>
      <c r="C48" s="113">
        <f ca="1" xml:space="preserve"> (PERM_SIB_TEMP_0 /(0.5*PERM_SIB_LIMIT_T))^PERM_SIB_LAG_SLOPE_VS_T_CH4</f>
        <v>112.40356676693531</v>
      </c>
      <c r="D48" s="113">
        <f t="array" ref="D48:M48" ca="1" xml:space="preserve"> (perm_sib_temp/(0.5*PERM_SIB_LIMIT_T))^PERM_SIB_LAG_SLOPE_VS_T_CH4</f>
        <v>76.395619749972269</v>
      </c>
      <c r="E48" s="113">
        <f ca="1"/>
        <v>32.965078079302899</v>
      </c>
      <c r="F48" s="113">
        <f ca="1"/>
        <v>21.448396428347859</v>
      </c>
      <c r="G48" s="113">
        <f ca="1"/>
        <v>16.842948005236313</v>
      </c>
      <c r="H48" s="113">
        <f ca="1"/>
        <v>13.469249283258257</v>
      </c>
      <c r="I48" s="113">
        <f ca="1"/>
        <v>13.587199746819921</v>
      </c>
      <c r="J48" s="113">
        <f ca="1"/>
        <v>18.445672033351453</v>
      </c>
      <c r="K48" s="113">
        <f ca="1"/>
        <v>22.973103860250255</v>
      </c>
      <c r="L48" s="113">
        <f ca="1"/>
        <v>26.619485627656754</v>
      </c>
      <c r="M48" s="113">
        <f ca="1"/>
        <v>31.122325071022704</v>
      </c>
      <c r="N48" s="4" t="s">
        <v>509</v>
      </c>
      <c r="X48" s="1"/>
      <c r="Z48" s="124" t="s">
        <v>876</v>
      </c>
    </row>
    <row r="49" spans="1:39" s="4" customFormat="1" ht="13" x14ac:dyDescent="0.3">
      <c r="A49" s="103" t="s">
        <v>858</v>
      </c>
      <c r="B49" s="103" t="s">
        <v>839</v>
      </c>
      <c r="C49" s="113">
        <f ca="1" xml:space="preserve"> IF(1 + PERM_SIB_POW_SLOPE_VS_T_CH4*(PERM_SIB_TEMP_0 - 0.5*PERM_SIB_LIMIT_T)/PERM_SIB_LIMIT_T &lt;=0, 0.000001, 1 + PERM_SIB_POW_SLOPE_VS_T_CH4*(PERM_SIB_TEMP_0 - 0.5*PERM_SIB_LIMIT_T)/PERM_SIB_LIMIT_T)</f>
        <v>0.41220911999171783</v>
      </c>
      <c r="D49" s="113">
        <f t="array" ref="D49:M49" ca="1" xml:space="preserve"> IF(1 + PERM_SIB_POW_SLOPE_VS_T_CH4 * (perm_sib_temp - 0.5*PERM_SIB_LIMIT_T) /PERM_SIB_LIMIT_T &lt;= 0, 0.000001, 1 + PERM_SIB_POW_SLOPE_VS_T_CH4 * (perm_sib_temp - 0.5*PERM_SIB_LIMIT_T) /PERM_SIB_LIMIT_T)</f>
        <v>0.43029902914594631</v>
      </c>
      <c r="E49" s="113">
        <f ca="1"/>
        <v>0.48043335652558916</v>
      </c>
      <c r="F49" s="113">
        <f ca="1"/>
        <v>0.51313464905771</v>
      </c>
      <c r="G49" s="113">
        <f ca="1"/>
        <v>0.53407034110511376</v>
      </c>
      <c r="H49" s="113">
        <f ca="1"/>
        <v>0.55525918675264696</v>
      </c>
      <c r="I49" s="113">
        <f ca="1"/>
        <v>0.55439774956097931</v>
      </c>
      <c r="J49" s="113">
        <f ca="1"/>
        <v>0.52596610398365085</v>
      </c>
      <c r="K49" s="113">
        <f ca="1"/>
        <v>0.50753638745999075</v>
      </c>
      <c r="L49" s="113">
        <f ca="1"/>
        <v>0.49601904055842405</v>
      </c>
      <c r="M49" s="113">
        <f ca="1"/>
        <v>0.48450020478506595</v>
      </c>
      <c r="N49" s="4" t="s">
        <v>509</v>
      </c>
      <c r="X49" s="1"/>
      <c r="Z49" s="124" t="s">
        <v>875</v>
      </c>
    </row>
    <row r="50" spans="1:39" s="4" customFormat="1" ht="13" x14ac:dyDescent="0.3">
      <c r="A50" s="118" t="s">
        <v>760</v>
      </c>
      <c r="B50" s="115"/>
      <c r="C50" s="115">
        <f ca="1" xml:space="preserve"> (PERM_SIB_SENS_C_CH4 * PERM_SIB_SENS_C_CH4_CORRECT_0) * PERM_SIB_TEMP_0</f>
        <v>4558.4956801984827</v>
      </c>
      <c r="D50" s="115">
        <f t="array" ref="D50:M50" ca="1" xml:space="preserve"> IF((PERM_SIB_SENS_C_CH4 * perm_sib_sens_c_ch4_correct) * perm_sib_temp &lt; PERM_SIB_LIMIT_C, (PERM_SIB_SENS_C_CH4 * perm_sib_sens_c_ch4_correct) * perm_sib_temp, PERM_SIB_LIMIT_C)</f>
        <v>5247.262455945478</v>
      </c>
      <c r="E50" s="115">
        <f ca="1"/>
        <v>7127.5085726077359</v>
      </c>
      <c r="F50" s="115">
        <f ca="1"/>
        <v>8335.9132233363216</v>
      </c>
      <c r="G50" s="115">
        <f ca="1"/>
        <v>9103.4266899594622</v>
      </c>
      <c r="H50" s="115">
        <f ca="1"/>
        <v>9875.9130859948218</v>
      </c>
      <c r="I50" s="115">
        <f ca="1"/>
        <v>9844.5869329602701</v>
      </c>
      <c r="J50" s="115">
        <f ca="1"/>
        <v>8806.8456752466318</v>
      </c>
      <c r="K50" s="115">
        <f ca="1"/>
        <v>8129.9059687006229</v>
      </c>
      <c r="L50" s="115">
        <f ca="1"/>
        <v>7704.9941844213263</v>
      </c>
      <c r="M50" s="115">
        <f ca="1"/>
        <v>7278.4815785965693</v>
      </c>
      <c r="N50" s="58" t="s">
        <v>503</v>
      </c>
      <c r="X50" s="1"/>
      <c r="Z50" s="124" t="s">
        <v>764</v>
      </c>
    </row>
    <row r="51" spans="1:39" ht="13" x14ac:dyDescent="0.3">
      <c r="A51" s="113" t="s">
        <v>762</v>
      </c>
      <c r="B51" s="86"/>
      <c r="C51" s="115">
        <f ca="1">PERM_SIB_CE_C_CH4_0</f>
        <v>175.56164558499998</v>
      </c>
      <c r="D51" s="115">
        <f ca="1" xml:space="preserve"> IF(perm_sib_equilib_c_ch4_1 &lt;  PERM_SIB_CE_C_CH4_0, PERM_SIB_CE_C_CH4_0, IF( ((perm_sib_equilib_c_ch4_1 - PERM_SIB_CE_C_CH4_0)/PERM_SIB_LIMIT_C)^(1-(1+PERM_SIB_POW_C_CH4)*perm_sib_pow_c_ch4_correct_1) &lt; (1-(1+PERM_SIB_POW_C_CH4)*perm_sib_pow_c_ch4_correct_1) * YP_1 / (PERM_SIB_LAG_C_CH4*perm_sib_lag_c_ch4_correct_1), perm_sib_equilib_c_ch4_1, ( perm_sib_equilib_c_ch4_1 - PERM_SIB_LIMIT_C * ( ( ((perm_sib_equilib_c_ch4_1 - PERM_SIB_CE_C_CH4_0)/PERM_SIB_LIMIT_C)^(1-(1+PERM_SIB_POW_C_CH4)*perm_sib_pow_c_ch4_correct_1) - (1-(1+PERM_SIB_POW_C_CH4)*perm_sib_pow_c_ch4_correct_1) * YP_1 / (PERM_SIB_LAG_C_CH4*perm_sib_lag_c_ch4_correct_1) )^( 1/(1-(1+PERM_SIB_POW_C_CH4)*perm_sib_pow_c_ch4_correct_1) ) ) ) ) )</f>
        <v>189.66970328403022</v>
      </c>
      <c r="E51" s="115">
        <f t="array" ref="E51:M51" ca="1" xml:space="preserve"> IF(perm_sib_equilib_c_ch4_not_1 &lt;  perm_sib_ce_c_ch4, perm_sib_ce_c_ch4, IF( ((perm_sib_equilib_c_ch4_not_1 - perm_sib_ce_c_ch4)/PERM_SIB_LIMIT_C)^(1-(1+PERM_SIB_POW_C_CH4)*perm_sib_pow_c_ch4_correct_not_1) &lt; (1-(1+PERM_SIB_POW_C_CH4)*perm_sib_pow_c_ch4_correct_not_1) * YP_NOT_1 / (PERM_SIB_LAG_C_CH4*perm_sib_lag_c_ch4_correct_not_1), perm_sib_equilib_c_ch4_not_1, ( perm_sib_equilib_c_ch4_not_1 - PERM_SIB_LIMIT_C * ( ( ((perm_sib_equilib_c_ch4_not_1 - perm_sib_ce_c_ch4)/PERM_SIB_LIMIT_C)^(1-(1+PERM_SIB_POW_C_CH4)*perm_sib_pow_c_ch4_correct_not_1) - (1-(1+PERM_SIB_POW_C_CH4)*perm_sib_pow_c_ch4_correct_not_1) * YP_NOT_1 / (PERM_SIB_LAG_C_CH4*perm_sib_lag_c_ch4_correct_not_1) )^( 1/(1-(1+PERM_SIB_POW_C_CH4)*perm_sib_pow_c_ch4_correct_not_1) ) ) ) ) )</f>
        <v>248.33404019134741</v>
      </c>
      <c r="F51" s="115">
        <f ca="1"/>
        <v>331.40285095297259</v>
      </c>
      <c r="G51" s="115">
        <f ca="1"/>
        <v>431.30236225688714</v>
      </c>
      <c r="H51" s="115">
        <f ca="1"/>
        <v>723.68265749292186</v>
      </c>
      <c r="I51" s="115">
        <f ca="1"/>
        <v>1007.8304427555177</v>
      </c>
      <c r="J51" s="115">
        <f ca="1"/>
        <v>1441.6359365523376</v>
      </c>
      <c r="K51" s="115">
        <f ca="1"/>
        <v>1790.9154675174186</v>
      </c>
      <c r="L51" s="115">
        <f ca="1"/>
        <v>2088.8845109813665</v>
      </c>
      <c r="M51" s="115">
        <f ca="1"/>
        <v>2340.5353469041311</v>
      </c>
      <c r="N51" s="58" t="s">
        <v>503</v>
      </c>
      <c r="O51" s="1"/>
      <c r="P51" s="1"/>
      <c r="Q51" s="1"/>
      <c r="R51" s="1"/>
      <c r="S51" s="1"/>
      <c r="T51" s="1"/>
      <c r="U51" s="1"/>
      <c r="V51" s="1"/>
      <c r="W51" s="1"/>
      <c r="X51" s="1"/>
      <c r="Z51" s="124" t="s">
        <v>877</v>
      </c>
    </row>
    <row r="52" spans="1:39" s="4" customFormat="1" x14ac:dyDescent="0.25">
      <c r="A52" s="113" t="s">
        <v>763</v>
      </c>
      <c r="B52" s="115"/>
      <c r="C52" s="115">
        <f ca="1">PERM_SIB_CE_CH4_0</f>
        <v>234.08219411333332</v>
      </c>
      <c r="D52" s="115">
        <f t="array" ref="D52:M52" ca="1" xml:space="preserve"> perm_sib_ce_c_ch4 * (16/12)</f>
        <v>252.89293771204029</v>
      </c>
      <c r="E52" s="115">
        <f ca="1"/>
        <v>331.1120535884632</v>
      </c>
      <c r="F52" s="115">
        <f ca="1"/>
        <v>441.87046793729678</v>
      </c>
      <c r="G52" s="115">
        <f ca="1"/>
        <v>575.06981634251611</v>
      </c>
      <c r="H52" s="115">
        <f ca="1"/>
        <v>964.91020999056241</v>
      </c>
      <c r="I52" s="115">
        <f ca="1"/>
        <v>1343.7739236740235</v>
      </c>
      <c r="J52" s="115">
        <f ca="1"/>
        <v>1922.18124873645</v>
      </c>
      <c r="K52" s="115">
        <f ca="1"/>
        <v>2387.8872900232245</v>
      </c>
      <c r="L52" s="115">
        <f ca="1"/>
        <v>2785.179347975155</v>
      </c>
      <c r="M52" s="115">
        <f ca="1"/>
        <v>3120.7137958721746</v>
      </c>
      <c r="N52" s="3" t="s">
        <v>458</v>
      </c>
      <c r="O52" s="1"/>
      <c r="P52" s="1"/>
      <c r="Q52" s="1"/>
      <c r="R52" s="1"/>
      <c r="S52" s="1"/>
      <c r="T52" s="1"/>
      <c r="U52" s="1"/>
      <c r="V52" s="1"/>
      <c r="W52" s="1"/>
      <c r="X52" s="1"/>
      <c r="AM52"/>
    </row>
    <row r="53" spans="1:39" s="4" customFormat="1" x14ac:dyDescent="0.25">
      <c r="A53" s="57"/>
      <c r="B53" s="59"/>
      <c r="C53" s="59"/>
      <c r="D53" s="59"/>
      <c r="E53" s="59"/>
      <c r="F53" s="59"/>
      <c r="G53" s="59"/>
      <c r="H53" s="59"/>
      <c r="I53" s="59"/>
      <c r="J53" s="59"/>
      <c r="K53" s="59"/>
      <c r="L53" s="59"/>
      <c r="M53" s="59"/>
      <c r="N53" s="3"/>
      <c r="O53" s="1"/>
      <c r="P53" s="1"/>
      <c r="Q53" s="1"/>
      <c r="R53" s="1"/>
      <c r="S53" s="1"/>
      <c r="T53" s="1"/>
      <c r="U53" s="1"/>
      <c r="V53" s="1"/>
      <c r="W53" s="1"/>
      <c r="X53" s="1"/>
      <c r="AM53"/>
    </row>
    <row r="54" spans="1:39" s="4" customFormat="1" x14ac:dyDescent="0.25">
      <c r="A54" s="3" t="s">
        <v>837</v>
      </c>
      <c r="B54"/>
      <c r="C54"/>
      <c r="D54"/>
      <c r="E54"/>
      <c r="F54"/>
      <c r="G54"/>
      <c r="H54" s="1"/>
      <c r="I54" s="1"/>
      <c r="J54" s="1"/>
      <c r="K54" s="1"/>
      <c r="L54" s="1"/>
      <c r="M54" s="1"/>
      <c r="N54"/>
      <c r="X54" s="1"/>
      <c r="AM54"/>
    </row>
    <row r="55" spans="1:39" s="4" customFormat="1" ht="13" x14ac:dyDescent="0.3">
      <c r="A55" s="116" t="s">
        <v>511</v>
      </c>
      <c r="B55" s="116"/>
      <c r="C55" s="113">
        <f ca="1" xml:space="preserve"> RT_G_0 * PERM_JUL_AF</f>
        <v>1.8316914979517342</v>
      </c>
      <c r="D55" s="113">
        <f t="array" ref="D55:M55" ca="1" xml:space="preserve"> rt_g * PERM_JUL_AF</f>
        <v>2.1280287713325663</v>
      </c>
      <c r="E55" s="113">
        <f ca="1"/>
        <v>2.9492971233072667</v>
      </c>
      <c r="F55" s="113">
        <f ca="1"/>
        <v>3.4849886949110083</v>
      </c>
      <c r="G55" s="113">
        <f ca="1"/>
        <v>3.8279437559218144</v>
      </c>
      <c r="H55" s="113">
        <f ca="1"/>
        <v>4.1750458166200879</v>
      </c>
      <c r="I55" s="113">
        <f ca="1"/>
        <v>4.1609343058108701</v>
      </c>
      <c r="J55" s="113">
        <f ca="1"/>
        <v>3.6951853484068349</v>
      </c>
      <c r="K55" s="113">
        <f ca="1"/>
        <v>3.3932815689438809</v>
      </c>
      <c r="L55" s="113">
        <f ca="1"/>
        <v>3.2046117891073331</v>
      </c>
      <c r="M55" s="113">
        <f ca="1"/>
        <v>3.0159176195293393</v>
      </c>
      <c r="N55" s="4" t="s">
        <v>43</v>
      </c>
      <c r="X55" s="1"/>
      <c r="Z55" s="124" t="s">
        <v>846</v>
      </c>
      <c r="AM55"/>
    </row>
    <row r="56" spans="1:39" s="4" customFormat="1" ht="13" x14ac:dyDescent="0.3">
      <c r="A56" s="103" t="s">
        <v>755</v>
      </c>
      <c r="B56" s="103" t="s">
        <v>841</v>
      </c>
      <c r="C56" s="113">
        <f ca="1" xml:space="preserve"> (PERM_JUL_TEMP_0 /(0.5*PERM_JUL_LIMIT_T))^PERM_JUL_SENS_SLOPE_VS_T_CO2</f>
        <v>1.2210729337170785</v>
      </c>
      <c r="D56" s="113">
        <f t="array" ref="D56:M56" ca="1" xml:space="preserve"> (perm_jul_temp/(0.5*PERM_JUL_LIMIT_T))^PERM_JUL_SENS_SLOPE_VS_T_CO2</f>
        <v>1.1989605253576083</v>
      </c>
      <c r="E56" s="113">
        <f ca="1"/>
        <v>1.1522085334968974</v>
      </c>
      <c r="F56" s="113">
        <f ca="1"/>
        <v>1.1290097595313857</v>
      </c>
      <c r="G56" s="113">
        <f ca="1"/>
        <v>1.1161686458021722</v>
      </c>
      <c r="H56" s="113">
        <f ca="1"/>
        <v>1.1044241444519241</v>
      </c>
      <c r="I56" s="113">
        <f ca="1"/>
        <v>1.1048799346409139</v>
      </c>
      <c r="J56" s="113">
        <f ca="1"/>
        <v>1.1209803072752729</v>
      </c>
      <c r="K56" s="113">
        <f ca="1"/>
        <v>1.1326849123537563</v>
      </c>
      <c r="L56" s="113">
        <f ca="1"/>
        <v>1.1406092243634141</v>
      </c>
      <c r="M56" s="113">
        <f ca="1"/>
        <v>1.1490762420748268</v>
      </c>
      <c r="N56" s="4" t="s">
        <v>509</v>
      </c>
      <c r="X56" s="1"/>
      <c r="Z56" s="173" t="s">
        <v>851</v>
      </c>
      <c r="AM56"/>
    </row>
    <row r="57" spans="1:39" s="4" customFormat="1" ht="13" x14ac:dyDescent="0.3">
      <c r="A57" s="103" t="s">
        <v>754</v>
      </c>
      <c r="B57" s="103" t="s">
        <v>841</v>
      </c>
      <c r="C57" s="113">
        <f ca="1" xml:space="preserve"> (PERM_JUL_TEMP_0 /(0.5*PERM_JUL_LIMIT_T))^PERM_JUL_LAG_SLOPE_VS_T_CO2</f>
        <v>2.9255854348257828</v>
      </c>
      <c r="D57" s="113">
        <f t="array" ref="D57:M57" ca="1" xml:space="preserve"> (perm_jul_temp/(0.5*PERM_JUL_LIMIT_T))^PERM_JUL_LAG_SLOPE_VS_T_CO2</f>
        <v>2.6518872165959331</v>
      </c>
      <c r="E57" s="113">
        <f ca="1"/>
        <v>2.1414751433593855</v>
      </c>
      <c r="F57" s="113">
        <f ca="1"/>
        <v>1.9197113682007148</v>
      </c>
      <c r="G57" s="113">
        <f ca="1"/>
        <v>1.8052399333697697</v>
      </c>
      <c r="H57" s="113">
        <f ca="1"/>
        <v>1.7054689412662274</v>
      </c>
      <c r="I57" s="113">
        <f ca="1"/>
        <v>1.7092552992349077</v>
      </c>
      <c r="J57" s="113">
        <f ca="1"/>
        <v>1.8474632749965414</v>
      </c>
      <c r="K57" s="113">
        <f ca="1"/>
        <v>1.9535383297952489</v>
      </c>
      <c r="L57" s="113">
        <f ca="1"/>
        <v>2.0281279624808701</v>
      </c>
      <c r="M57" s="113">
        <f ca="1"/>
        <v>2.110370975821279</v>
      </c>
      <c r="N57" s="4" t="s">
        <v>509</v>
      </c>
      <c r="X57" s="1"/>
      <c r="Z57" s="173" t="s">
        <v>851</v>
      </c>
      <c r="AM57"/>
    </row>
    <row r="58" spans="1:39" s="4" customFormat="1" ht="13" x14ac:dyDescent="0.3">
      <c r="A58" s="103" t="s">
        <v>756</v>
      </c>
      <c r="B58" s="103" t="s">
        <v>839</v>
      </c>
      <c r="C58" s="113">
        <f ca="1" xml:space="preserve"> IF(1 + PERM_JUL_POW_SLOPE_VS_T_CO2*(PERM_JUL_TEMP_0 - 0.5*PERM_JUL_LIMIT_T)/PERM_JUL_LIMIT_T &lt;=0, 0.000001, 1 + PERM_JUL_POW_SLOPE_VS_T_CO2*(PERM_JUL_TEMP_0 - 0.5*PERM_JUL_LIMIT_T)/PERM_JUL_LIMIT_T)</f>
        <v>0.34775040297797954</v>
      </c>
      <c r="D58" s="113">
        <f t="array" ref="D58:M58" ca="1" xml:space="preserve"> IF(1 + PERM_JUL_POW_SLOPE_VS_T_CO2 * (perm_jul_temp - 0.5*PERM_JUL_LIMIT_T) /PERM_JUL_LIMIT_T &lt;= 0, 0.000001, 1 + PERM_JUL_POW_SLOPE_VS_T_CO2 * (perm_jul_temp - 0.5*PERM_JUL_LIMIT_T) /PERM_JUL_LIMIT_T)</f>
        <v>0.37318090492299294</v>
      </c>
      <c r="E58" s="113">
        <f ca="1"/>
        <v>0.44365893215188723</v>
      </c>
      <c r="F58" s="113">
        <f ca="1"/>
        <v>0.48962988072064539</v>
      </c>
      <c r="G58" s="113">
        <f ca="1"/>
        <v>0.51906093826729172</v>
      </c>
      <c r="H58" s="113">
        <f ca="1"/>
        <v>0.54884787505388288</v>
      </c>
      <c r="I58" s="113">
        <f ca="1"/>
        <v>0.54763688057118842</v>
      </c>
      <c r="J58" s="113">
        <f ca="1"/>
        <v>0.50766813269137001</v>
      </c>
      <c r="K58" s="113">
        <f ca="1"/>
        <v>0.48175993503790471</v>
      </c>
      <c r="L58" s="113">
        <f ca="1"/>
        <v>0.46556903489105572</v>
      </c>
      <c r="M58" s="113">
        <f ca="1"/>
        <v>0.44937604171230339</v>
      </c>
      <c r="N58" s="4" t="s">
        <v>509</v>
      </c>
      <c r="X58" s="1"/>
      <c r="Z58" s="124" t="s">
        <v>849</v>
      </c>
      <c r="AM58"/>
    </row>
    <row r="59" spans="1:39" s="4" customFormat="1" ht="13" x14ac:dyDescent="0.3">
      <c r="A59" s="118" t="s">
        <v>757</v>
      </c>
      <c r="B59" s="116"/>
      <c r="C59" s="115">
        <f ca="1" xml:space="preserve"> (PERM_JUL_SENS_C_CO2 * PERM_JUL_SENS_C_CO2_CORRECT_0) * PERM_JUL_TEMP_0</f>
        <v>138375.26420306953</v>
      </c>
      <c r="D59" s="115">
        <f t="array" ref="D59:M59" ca="1" xml:space="preserve"> IF((PERM_JUL_SENS_C_CO2 * perm_jul_sens_c_co2_correct) * perm_jul_temp &lt; PERM_JUL_LIMIT_C, (PERM_JUL_SENS_C_CO2 * perm_jul_sens_c_co2_correct) * perm_jul_temp, PERM_JUL_LIMIT_C)</f>
        <v>157850.84414571754</v>
      </c>
      <c r="E59" s="115">
        <f ca="1"/>
        <v>210239.41688139495</v>
      </c>
      <c r="F59" s="115">
        <f ca="1"/>
        <v>243424.11428167351</v>
      </c>
      <c r="G59" s="115">
        <f ca="1"/>
        <v>264338.17993890092</v>
      </c>
      <c r="H59" s="115">
        <f ca="1"/>
        <v>285273.65531062504</v>
      </c>
      <c r="I59" s="115">
        <f ca="1"/>
        <v>284426.77324853413</v>
      </c>
      <c r="J59" s="115">
        <f ca="1"/>
        <v>256270.57256255022</v>
      </c>
      <c r="K59" s="115">
        <f ca="1"/>
        <v>237789.97572626706</v>
      </c>
      <c r="L59" s="115">
        <f ca="1"/>
        <v>226139.71175339184</v>
      </c>
      <c r="M59" s="115">
        <f ca="1"/>
        <v>214403.98281626811</v>
      </c>
      <c r="N59" s="58" t="s">
        <v>503</v>
      </c>
      <c r="X59" s="1"/>
      <c r="Z59" s="124" t="s">
        <v>846</v>
      </c>
      <c r="AM59"/>
    </row>
    <row r="60" spans="1:39" s="4" customFormat="1" ht="13" x14ac:dyDescent="0.3">
      <c r="A60" s="113" t="s">
        <v>758</v>
      </c>
      <c r="B60" s="116"/>
      <c r="C60" s="115">
        <f ca="1" xml:space="preserve"> PERM_JUL_CE_C_CO2_0</f>
        <v>20040.996860659488</v>
      </c>
      <c r="D60" s="115">
        <f ca="1" xml:space="preserve"> IF(perm_jul_equilib_c_co2_1 &lt;  PERM_JUL_CE_C_CO2_0, PERM_JUL_CE_C_CO2_0, IF( ((perm_jul_equilib_c_co2_1 - PERM_JUL_CE_C_CO2_0)/PERM_JUL_LIMIT_C)^(1-(1+PERM_JUL_POW_C_CO2)*perm_jul_pow_c_co2_correct_1) &lt; (1-(1+PERM_JUL_POW_C_CO2)*perm_jul_pow_c_co2_correct_1) * YP_1 / (PERM_JUL_LAG_C_CO2*perm_jul_lag_c_co2_correct_1), perm_jul_equilib_c_co2_1, ( perm_jul_equilib_c_co2_1 - PERM_JUL_LIMIT_C * ( ( ((perm_jul_equilib_c_co2_1 - PERM_JUL_CE_C_CO2_0)/PERM_JUL_LIMIT_C)^(1-(1+PERM_JUL_POW_C_CO2)*perm_jul_pow_c_co2_correct_1) - (1-(1+PERM_JUL_POW_C_CO2)*perm_jul_pow_c_co2_correct_1) * YP_1 / (PERM_JUL_LAG_C_CO2*perm_jul_lag_c_co2_correct_1) )^( 1/(1-(1+PERM_JUL_POW_C_CO2)*perm_jul_pow_c_co2_correct_1) ) ) ) ) )</f>
        <v>21066.824952700175</v>
      </c>
      <c r="E60" s="115">
        <f t="array" ref="E60:M60" ca="1" xml:space="preserve"> IF(perm_jul_equilib_c_co2_not_1 &lt;  perm_jul_ce_c_co2, perm_jul_ce_c_co2, IF( ((perm_jul_equilib_c_co2_not_1 - perm_jul_ce_c_co2)/PERM_JUL_LIMIT_C)^(1-(1+PERM_JUL_POW_C_CO2)*perm_jul_pow_c_co2_correct_not_1) &lt; (1-(1+PERM_JUL_POW_C_CO2)*perm_jul_pow_c_co2_correct_not_1) * YP_NOT_1 / (PERM_JUL_LAG_C_CO2*perm_jul_lag_c_co2_correct_not_1), perm_jul_equilib_c_co2_not_1, ( perm_jul_equilib_c_co2_not_1 - PERM_JUL_LIMIT_C * ( ( ((perm_jul_equilib_c_co2_not_1 - perm_jul_ce_c_co2)/PERM_JUL_LIMIT_C)^(1-(1+PERM_JUL_POW_C_CO2)*perm_jul_pow_c_co2_correct_not_1) - (1-(1+PERM_JUL_POW_C_CO2)*perm_jul_pow_c_co2_correct_not_1) * YP_NOT_1 / (PERM_JUL_LAG_C_CO2*perm_jul_lag_c_co2_correct_not_1) )^( 1/(1-(1+PERM_JUL_POW_C_CO2)*perm_jul_pow_c_co2_correct_not_1) ) ) ) ) )</f>
        <v>23684.784253054328</v>
      </c>
      <c r="F60" s="115">
        <f ca="1"/>
        <v>26650.251877524395</v>
      </c>
      <c r="G60" s="115">
        <f ca="1"/>
        <v>29826.487212833163</v>
      </c>
      <c r="H60" s="115">
        <f ca="1"/>
        <v>38233.179038751201</v>
      </c>
      <c r="I60" s="115">
        <f ca="1"/>
        <v>46392.618664389331</v>
      </c>
      <c r="J60" s="115">
        <f ca="1"/>
        <v>60522.274012658192</v>
      </c>
      <c r="K60" s="115">
        <f ca="1"/>
        <v>72971.044371896511</v>
      </c>
      <c r="L60" s="115">
        <f ca="1"/>
        <v>84199.259951718472</v>
      </c>
      <c r="M60" s="115">
        <f ca="1"/>
        <v>94262.990575886841</v>
      </c>
      <c r="N60" s="58" t="s">
        <v>503</v>
      </c>
      <c r="X60" s="1"/>
      <c r="Z60" s="124" t="s">
        <v>852</v>
      </c>
      <c r="AM60"/>
    </row>
    <row r="61" spans="1:39" s="4" customFormat="1" ht="13" x14ac:dyDescent="0.3">
      <c r="A61" s="113" t="s">
        <v>759</v>
      </c>
      <c r="B61" s="115"/>
      <c r="C61" s="115">
        <f ca="1" xml:space="preserve"> PERM_JUL_CE_CO2_0</f>
        <v>73483.655155751461</v>
      </c>
      <c r="D61" s="115">
        <f t="array" ref="D61:M61" ca="1" xml:space="preserve"> perm_jul_ce_c_co2 * (44/12)</f>
        <v>77245.0248265673</v>
      </c>
      <c r="E61" s="115">
        <f ca="1"/>
        <v>86844.208927865868</v>
      </c>
      <c r="F61" s="115">
        <f ca="1"/>
        <v>97717.590217589444</v>
      </c>
      <c r="G61" s="115">
        <f ca="1"/>
        <v>109363.78644705492</v>
      </c>
      <c r="H61" s="115">
        <f ca="1"/>
        <v>140188.32314208773</v>
      </c>
      <c r="I61" s="115">
        <f ca="1"/>
        <v>170106.26843609419</v>
      </c>
      <c r="J61" s="115">
        <f ca="1"/>
        <v>221915.00471308004</v>
      </c>
      <c r="K61" s="115">
        <f ca="1"/>
        <v>267560.49603028718</v>
      </c>
      <c r="L61" s="115">
        <f ca="1"/>
        <v>308730.61982296774</v>
      </c>
      <c r="M61" s="115">
        <f ca="1"/>
        <v>345630.96544491843</v>
      </c>
      <c r="N61" s="3" t="s">
        <v>457</v>
      </c>
      <c r="X61" s="1"/>
      <c r="Z61" s="124" t="s">
        <v>846</v>
      </c>
      <c r="AM61"/>
    </row>
    <row r="62" spans="1:39" s="4" customFormat="1" ht="13" x14ac:dyDescent="0.3">
      <c r="A62" s="113" t="s">
        <v>612</v>
      </c>
      <c r="B62" s="115"/>
      <c r="C62" s="115">
        <f ca="1" xml:space="preserve"> (44/12) * (PERM_JUL_LIMIT_C / (PERM_JUL_LAG_C_CO2 * PERM_JUL_LAG_C_CO2_CORRECT_0)) * ( IF(PERM_JUL_EQUILIB_C_CO2_0 &gt;PERM_JUL_CE_C_CO2_0, ((PERM_JUL_EQUILIB_C_CO2_0 - PERM_JUL_CE_C_CO2_0)/PERM_JUL_LIMIT_C)^((1 + PERM_JUL_POW_C_CO2)*PERM_JUL_POW_C_CO2_CORRECT_0), 0) )</f>
        <v>673.09925620280569</v>
      </c>
      <c r="D62" s="115">
        <f t="array" ref="D62:M62" ca="1" xml:space="preserve"> (44/12) * (PERM_JUL_LIMIT_C / (PERM_JUL_LAG_C_CO2 * perm_jul_lag_c_co2_correct)) * ( IF(perm_jul_equilib_c_co2 &gt; perm_jul_ce_c_co2, ((perm_jul_equilib_c_co2 - perm_jul_ce_c_co2)/PERM_JUL_LIMIT_C)^((1 + PERM_JUL_POW_C_CO2)*perm_jul_pow_c_co2_correct), 0) )</f>
        <v>750.74600889549617</v>
      </c>
      <c r="E62" s="115">
        <f ca="1"/>
        <v>955.5977269510912</v>
      </c>
      <c r="F62" s="115">
        <f ca="1"/>
        <v>1082.0733224435508</v>
      </c>
      <c r="G62" s="115">
        <f ca="1"/>
        <v>1158.7017704650525</v>
      </c>
      <c r="H62" s="115">
        <f ca="1"/>
        <v>1216.5393851444599</v>
      </c>
      <c r="I62" s="115">
        <f ca="1"/>
        <v>1180.6801050699426</v>
      </c>
      <c r="J62" s="115">
        <f ca="1"/>
        <v>1009.6161952047174</v>
      </c>
      <c r="K62" s="115">
        <f ca="1"/>
        <v>889.69659610818996</v>
      </c>
      <c r="L62" s="115">
        <f ca="1"/>
        <v>802.23899777090764</v>
      </c>
      <c r="M62" s="115">
        <f ca="1"/>
        <v>718.65458139473617</v>
      </c>
      <c r="N62" s="58" t="s">
        <v>591</v>
      </c>
      <c r="X62" s="1"/>
      <c r="Z62" s="124" t="s">
        <v>846</v>
      </c>
      <c r="AM62"/>
    </row>
    <row r="63" spans="1:39" s="4" customFormat="1" x14ac:dyDescent="0.25">
      <c r="A63"/>
      <c r="B63"/>
      <c r="C63"/>
      <c r="D63"/>
      <c r="E63"/>
      <c r="F63"/>
      <c r="G63"/>
      <c r="H63" s="1"/>
      <c r="I63" s="1"/>
      <c r="J63" s="1"/>
      <c r="K63" s="1"/>
      <c r="L63" s="1"/>
      <c r="M63" s="1"/>
      <c r="N63"/>
      <c r="X63" s="1"/>
      <c r="AM63"/>
    </row>
    <row r="64" spans="1:39" s="4" customFormat="1" ht="13" x14ac:dyDescent="0.3">
      <c r="A64" s="113" t="s">
        <v>763</v>
      </c>
      <c r="B64" s="86"/>
      <c r="C64" s="115">
        <f ca="1" xml:space="preserve"> PERM_JUL_CE_CH4_0</f>
        <v>1634.31985196508</v>
      </c>
      <c r="D64" s="115">
        <f t="array" ref="D64:M64" ca="1" xml:space="preserve"> perm_jul_ce_c_co2 * (PERM_JUL_CH4_CO2_C_RATIO/100) * (16/12)</f>
        <v>1717.9749329564149</v>
      </c>
      <c r="E64" s="115">
        <f ca="1"/>
        <v>1931.4664516644621</v>
      </c>
      <c r="F64" s="115">
        <f ca="1"/>
        <v>2173.2968677225022</v>
      </c>
      <c r="G64" s="115">
        <f ca="1"/>
        <v>2432.3151440637353</v>
      </c>
      <c r="H64" s="115">
        <f ca="1"/>
        <v>3117.8710291315351</v>
      </c>
      <c r="I64" s="115">
        <f ca="1"/>
        <v>3783.2637864782419</v>
      </c>
      <c r="J64" s="115">
        <f ca="1"/>
        <v>4935.5206526239945</v>
      </c>
      <c r="K64" s="115">
        <f ca="1"/>
        <v>5950.7033140511539</v>
      </c>
      <c r="L64" s="115">
        <f ca="1"/>
        <v>6866.351160903957</v>
      </c>
      <c r="M64" s="115">
        <f ca="1"/>
        <v>7687.036621725194</v>
      </c>
      <c r="N64" s="3" t="s">
        <v>458</v>
      </c>
      <c r="X64" s="1"/>
      <c r="Z64" s="124" t="s">
        <v>871</v>
      </c>
      <c r="AM64"/>
    </row>
    <row r="65" spans="1:39" s="4" customFormat="1" x14ac:dyDescent="0.25">
      <c r="A65"/>
      <c r="B65"/>
      <c r="C65"/>
      <c r="D65"/>
      <c r="E65"/>
      <c r="F65"/>
      <c r="G65"/>
      <c r="H65" s="1"/>
      <c r="I65" s="1"/>
      <c r="J65" s="1"/>
      <c r="K65" s="1"/>
      <c r="L65" s="1"/>
      <c r="M65" s="1"/>
      <c r="N65"/>
      <c r="X65" s="1"/>
      <c r="AM65"/>
    </row>
    <row r="66" spans="1:39" x14ac:dyDescent="0.25">
      <c r="A66" s="57" t="s">
        <v>908</v>
      </c>
      <c r="X66" s="1"/>
    </row>
    <row r="67" spans="1:39" ht="13" x14ac:dyDescent="0.3">
      <c r="A67" s="113" t="s">
        <v>854</v>
      </c>
      <c r="B67" s="115" t="s">
        <v>853</v>
      </c>
      <c r="C67" s="115">
        <f ca="1" xml:space="preserve"> IF(switch_perm = 1, 1, 0) * 0.5 *(PERM_SIB_CE_CO2_0 + PERM_JUL_CE_CO2_0) * (1 + PERM_INITIAL_C_STOCK_UNCERTAINTY/100)</f>
        <v>43642.591291556564</v>
      </c>
      <c r="D67" s="115">
        <f t="array" ref="D67:M67" ca="1" xml:space="preserve"> IF(switch_perm = 1, 1, 0) * 0.5 *(perm_sib_ce_co2 + perm_jul_ce_co2) * (1 + PERM_INITIAL_C_STOCK_UNCERTAINTY/100)</f>
        <v>47785.77993283869</v>
      </c>
      <c r="E67" s="115">
        <f ca="1"/>
        <v>60090.752126094507</v>
      </c>
      <c r="F67" s="115">
        <f ca="1"/>
        <v>74650.216398526769</v>
      </c>
      <c r="G67" s="115">
        <f ca="1"/>
        <v>90188.224718864512</v>
      </c>
      <c r="H67" s="115">
        <f ca="1"/>
        <v>128975.9716084337</v>
      </c>
      <c r="I67" s="115">
        <f ca="1"/>
        <v>160371.59348374789</v>
      </c>
      <c r="J67" s="115">
        <f ca="1"/>
        <v>198424.48765092625</v>
      </c>
      <c r="K67" s="115">
        <f ca="1"/>
        <v>224065.45180180675</v>
      </c>
      <c r="L67" s="115">
        <f ca="1"/>
        <v>244664.28709560935</v>
      </c>
      <c r="M67" s="115">
        <f ca="1"/>
        <v>263114.4599065847</v>
      </c>
      <c r="N67" s="3" t="s">
        <v>457</v>
      </c>
      <c r="O67" s="1"/>
      <c r="P67" s="1"/>
      <c r="Q67" s="1"/>
      <c r="R67" s="1"/>
      <c r="S67" s="1"/>
      <c r="T67" s="1"/>
      <c r="U67" s="1"/>
      <c r="V67" s="1"/>
      <c r="W67" s="1"/>
      <c r="X67" s="1"/>
      <c r="Z67" s="124" t="s">
        <v>846</v>
      </c>
    </row>
    <row r="68" spans="1:39" ht="13" x14ac:dyDescent="0.3">
      <c r="A68" s="113" t="s">
        <v>612</v>
      </c>
      <c r="B68" s="115" t="s">
        <v>853</v>
      </c>
      <c r="C68" s="115">
        <f ca="1" xml:space="preserve"> IF(switch_perm = 1, 1, 0) * 0.5 *(PERM_SIB_E_CO2_0 + PERM_JUL_E_CO2_0) * (1 + PERM_INITIAL_C_STOCK_UNCERTAINTY/100)</f>
        <v>692.24764206212285</v>
      </c>
      <c r="D68" s="115">
        <f t="array" ref="D68:M68" ca="1" xml:space="preserve"> IF(switch_perm = 1, 1, 0) * 0.5 *(perm_sib_e_co2 + perm_jul_e_co2) * (1 + PERM_INITIAL_C_STOCK_UNCERTAINTY/100)</f>
        <v>813.25573212512745</v>
      </c>
      <c r="E68" s="115">
        <f ca="1"/>
        <v>1176.7640380972357</v>
      </c>
      <c r="F68" s="115">
        <f ca="1"/>
        <v>1389.3004282768179</v>
      </c>
      <c r="G68" s="115">
        <f ca="1"/>
        <v>1482.6285247617125</v>
      </c>
      <c r="H68" s="115">
        <f ca="1"/>
        <v>1389.3711203734929</v>
      </c>
      <c r="I68" s="115">
        <f ca="1"/>
        <v>1146.8497473140237</v>
      </c>
      <c r="J68" s="115">
        <f ca="1"/>
        <v>689.13410688861325</v>
      </c>
      <c r="K68" s="115">
        <f ca="1"/>
        <v>490.86390137535057</v>
      </c>
      <c r="L68" s="115">
        <f ca="1"/>
        <v>401.37782731178783</v>
      </c>
      <c r="M68" s="115">
        <f ca="1"/>
        <v>359.32729069736808</v>
      </c>
      <c r="N68" s="58" t="s">
        <v>591</v>
      </c>
      <c r="O68" s="1"/>
      <c r="P68" s="1"/>
      <c r="Q68" s="1"/>
      <c r="R68" s="1"/>
      <c r="S68" s="1"/>
      <c r="T68" s="1"/>
      <c r="U68" s="1"/>
      <c r="V68" s="1"/>
      <c r="W68" s="1"/>
      <c r="X68" s="1"/>
      <c r="Z68" s="124" t="s">
        <v>846</v>
      </c>
    </row>
    <row r="69" spans="1:39" x14ac:dyDescent="0.25">
      <c r="X69" s="1"/>
    </row>
    <row r="70" spans="1:39" ht="13" x14ac:dyDescent="0.3">
      <c r="A70" s="113" t="s">
        <v>874</v>
      </c>
      <c r="B70" s="115" t="s">
        <v>853</v>
      </c>
      <c r="C70" s="115">
        <f ca="1" xml:space="preserve"> IF(switch_perm = 1, 1, 0) * 0.5 *(PERM_SIB_CE_CH4_0 + PERM_JUL_CE_CH4_0) * (1 + PERM_INITIAL_C_STOCK_UNCERTAINTY/100)</f>
        <v>934.20102303920669</v>
      </c>
      <c r="D70" s="115">
        <f t="array" ref="D70:M70" ca="1" xml:space="preserve"> IF(switch_perm = 1, 1, 0) * 0.5 *(perm_sib_ce_ch4 + perm_jul_ce_ch4) * (1 + PERM_INITIAL_C_STOCK_UNCERTAINTY/100)</f>
        <v>985.43393533422761</v>
      </c>
      <c r="E70" s="115">
        <f ca="1"/>
        <v>1131.2892526264627</v>
      </c>
      <c r="F70" s="115">
        <f ca="1"/>
        <v>1307.5836678298995</v>
      </c>
      <c r="G70" s="115">
        <f ca="1"/>
        <v>1503.6924802031258</v>
      </c>
      <c r="H70" s="115">
        <f ca="1"/>
        <v>2041.3906195610489</v>
      </c>
      <c r="I70" s="115">
        <f ca="1"/>
        <v>2563.5188550761327</v>
      </c>
      <c r="J70" s="115">
        <f ca="1"/>
        <v>3428.850950680222</v>
      </c>
      <c r="K70" s="115">
        <f ca="1"/>
        <v>4169.2953020371897</v>
      </c>
      <c r="L70" s="115">
        <f ca="1"/>
        <v>4825.765254439556</v>
      </c>
      <c r="M70" s="115">
        <f ca="1"/>
        <v>5403.8752087986841</v>
      </c>
      <c r="N70" s="3" t="s">
        <v>458</v>
      </c>
      <c r="X70" s="1"/>
      <c r="Z70" s="124" t="s">
        <v>871</v>
      </c>
    </row>
    <row r="71" spans="1:39" x14ac:dyDescent="0.25">
      <c r="X71" s="1"/>
    </row>
    <row r="72" spans="1:39" x14ac:dyDescent="0.25">
      <c r="A72" s="57" t="s">
        <v>767</v>
      </c>
      <c r="X72" s="1"/>
    </row>
    <row r="73" spans="1:39" s="4" customFormat="1" ht="13" x14ac:dyDescent="0.3">
      <c r="A73" s="113" t="s">
        <v>608</v>
      </c>
      <c r="B73" s="115"/>
      <c r="C73" s="115">
        <f ca="1" xml:space="preserve"> ANTHR_CE_CO2_0</f>
        <v>2035000</v>
      </c>
      <c r="D73" s="115">
        <f ca="1" xml:space="preserve"> ANTHR_CE_CO2_0 + 0.5*(E_CO2_G_0 + e_co2_g)*YP_1</f>
        <v>2212162.1827390832</v>
      </c>
      <c r="E73" s="115">
        <f t="array" ref="E73:M73" ca="1" xml:space="preserve"> anthr_ce_co2 + 0.5*(e_co2_g + e_co2_g_not_1)*YP_NOT_1</f>
        <v>2559497.9510716554</v>
      </c>
      <c r="F73" s="115">
        <f ca="1"/>
        <v>2798944.5436511701</v>
      </c>
      <c r="G73" s="115">
        <f ca="1"/>
        <v>2950285.767112873</v>
      </c>
      <c r="H73" s="115">
        <f ca="1"/>
        <v>3106797.2785435189</v>
      </c>
      <c r="I73" s="115">
        <f ca="1"/>
        <v>3087422.9582000519</v>
      </c>
      <c r="J73" s="115">
        <f ca="1"/>
        <v>2984876.6104182173</v>
      </c>
      <c r="K73" s="115">
        <f ca="1"/>
        <v>2882330.2626363826</v>
      </c>
      <c r="L73" s="115">
        <f ca="1"/>
        <v>2779783.9148545479</v>
      </c>
      <c r="M73" s="115">
        <f ca="1"/>
        <v>2677237.5670727133</v>
      </c>
      <c r="N73" s="3" t="s">
        <v>457</v>
      </c>
      <c r="X73" s="1"/>
      <c r="Z73" s="173" t="s">
        <v>633</v>
      </c>
      <c r="AM73"/>
    </row>
    <row r="74" spans="1:39" s="4" customFormat="1" x14ac:dyDescent="0.25">
      <c r="A74"/>
      <c r="B74"/>
      <c r="C74"/>
      <c r="D74"/>
      <c r="E74"/>
      <c r="F74"/>
      <c r="G74"/>
      <c r="H74" s="1"/>
      <c r="I74" s="1"/>
      <c r="J74" s="1"/>
      <c r="K74" s="1"/>
      <c r="L74" s="1"/>
      <c r="M74" s="1"/>
      <c r="N74"/>
      <c r="X74" s="1"/>
      <c r="AM74"/>
    </row>
    <row r="75" spans="1:39" s="4" customFormat="1" ht="13" x14ac:dyDescent="0.3">
      <c r="A75" s="113" t="s">
        <v>609</v>
      </c>
      <c r="B75" s="116"/>
      <c r="C75" s="115">
        <f ca="1" xml:space="preserve"> ANTHR_CE_CO2_0 + PERM_TOT_CE_CO2_0</f>
        <v>2078642.5912915566</v>
      </c>
      <c r="D75" s="115">
        <f t="array" ref="D75:M75" ca="1" xml:space="preserve"> anthr_ce_co2 + perm_tot_ce_co2</f>
        <v>2259947.9626719221</v>
      </c>
      <c r="E75" s="115">
        <f ca="1"/>
        <v>2619588.7031977498</v>
      </c>
      <c r="F75" s="115">
        <f ca="1"/>
        <v>2873594.760049697</v>
      </c>
      <c r="G75" s="115">
        <f ca="1"/>
        <v>3040473.9918317376</v>
      </c>
      <c r="H75" s="115">
        <f ca="1"/>
        <v>3235773.2501519527</v>
      </c>
      <c r="I75" s="115">
        <f ca="1"/>
        <v>3247794.5516837998</v>
      </c>
      <c r="J75" s="115">
        <f ca="1"/>
        <v>3183301.0980691435</v>
      </c>
      <c r="K75" s="115">
        <f ca="1"/>
        <v>3106395.7144381893</v>
      </c>
      <c r="L75" s="115">
        <f ca="1"/>
        <v>3024448.2019501571</v>
      </c>
      <c r="M75" s="115">
        <f ca="1"/>
        <v>2940352.0269792979</v>
      </c>
      <c r="N75" s="3" t="s">
        <v>457</v>
      </c>
      <c r="O75" s="1"/>
      <c r="P75" s="1"/>
      <c r="Q75" s="1"/>
      <c r="R75" s="1"/>
      <c r="S75" s="1"/>
      <c r="T75" s="1"/>
      <c r="U75" s="1"/>
      <c r="V75" s="1"/>
      <c r="W75" s="1"/>
      <c r="X75" s="1"/>
      <c r="Z75" s="124" t="s">
        <v>846</v>
      </c>
      <c r="AM75"/>
    </row>
    <row r="76" spans="1:39" s="4" customFormat="1" ht="13" x14ac:dyDescent="0.3">
      <c r="A76" s="113" t="s">
        <v>613</v>
      </c>
      <c r="B76" s="115"/>
      <c r="C76" s="115">
        <f ca="1" xml:space="preserve"> E_CO2_G_0 + PERM_TOT_E_CO2_0</f>
        <v>41916.107327840684</v>
      </c>
      <c r="D76" s="115">
        <f t="array" ref="D76:M76" ca="1" xml:space="preserve"> e_co2_g + perm_tot_e_co2</f>
        <v>40639.395988784883</v>
      </c>
      <c r="E76" s="115">
        <f ca="1"/>
        <v>30817.777447951932</v>
      </c>
      <c r="F76" s="115">
        <f ca="1"/>
        <v>19637.605534325063</v>
      </c>
      <c r="G76" s="115">
        <f ca="1"/>
        <v>13502.568111054046</v>
      </c>
      <c r="H76" s="115">
        <f ca="1"/>
        <v>1890.3524485328358</v>
      </c>
      <c r="I76" s="115">
        <f ca="1"/>
        <v>-904.07720832266978</v>
      </c>
      <c r="J76" s="115">
        <f ca="1"/>
        <v>-1361.7928487480804</v>
      </c>
      <c r="K76" s="115">
        <f ca="1"/>
        <v>-1560.063054261343</v>
      </c>
      <c r="L76" s="115">
        <f ca="1"/>
        <v>-1649.5491283249057</v>
      </c>
      <c r="M76" s="115">
        <f ca="1"/>
        <v>-1691.5996649393255</v>
      </c>
      <c r="N76" s="58" t="s">
        <v>591</v>
      </c>
      <c r="O76" s="1"/>
      <c r="P76" s="1"/>
      <c r="Q76" s="1"/>
      <c r="R76" s="1"/>
      <c r="S76" s="1"/>
      <c r="T76" s="1"/>
      <c r="U76" s="1"/>
      <c r="V76" s="1"/>
      <c r="W76" s="1"/>
      <c r="X76" s="1"/>
      <c r="Z76" s="124" t="s">
        <v>846</v>
      </c>
      <c r="AM76"/>
    </row>
    <row r="78" spans="1:39" s="4" customFormat="1" ht="13" x14ac:dyDescent="0.3">
      <c r="A78" s="113" t="s">
        <v>617</v>
      </c>
      <c r="B78" s="115"/>
      <c r="C78" s="115">
        <f ca="1" xml:space="preserve"> CORRECT_RE_CO2_0 * TOTAL_E_CO2_0 * TIME_CO2_HIST * (PERCENT_CO2_STAY/100)</f>
        <v>398052.51555819</v>
      </c>
      <c r="D78" s="115">
        <f t="array" aca="1" ref="D78:M78" ca="1" xml:space="preserve"> CORRECT_RE_CO2_0 * TOTAL_E_CO2_0 * TIME_CO2_HIST * (PERCENT_CO2_STAY/100)</f>
        <v>398052.51555819</v>
      </c>
      <c r="E78" s="115">
        <f ca="1"/>
        <v>398052.51555819</v>
      </c>
      <c r="F78" s="115">
        <f ca="1"/>
        <v>398052.51555819</v>
      </c>
      <c r="G78" s="115">
        <f ca="1"/>
        <v>398052.51555819</v>
      </c>
      <c r="H78" s="115">
        <f ca="1"/>
        <v>398052.51555819</v>
      </c>
      <c r="I78" s="115">
        <f ca="1"/>
        <v>398052.51555819</v>
      </c>
      <c r="J78" s="115">
        <f ca="1"/>
        <v>398052.51555819</v>
      </c>
      <c r="K78" s="115">
        <f ca="1"/>
        <v>398052.51555819</v>
      </c>
      <c r="L78" s="115">
        <f ca="1"/>
        <v>398052.51555819</v>
      </c>
      <c r="M78" s="115">
        <f ca="1"/>
        <v>398052.51555819</v>
      </c>
      <c r="N78" s="3" t="s">
        <v>457</v>
      </c>
      <c r="Z78" s="173" t="s">
        <v>634</v>
      </c>
      <c r="AM78"/>
    </row>
    <row r="79" spans="1:39" s="4" customFormat="1" ht="13" x14ac:dyDescent="0.3">
      <c r="A79" s="113" t="s">
        <v>625</v>
      </c>
      <c r="B79" s="115"/>
      <c r="C79" s="115">
        <f ca="1" xml:space="preserve"> CORRECT_RE_CO2_0 * TOTAL_E_CO2_0 * (TIME_CO2_HIST / (1 + TIME_CO2_HIST/TIME_CO2_OCEAN_LONG)) * (PERCENT_CO2_OCEAN_LONG/100)</f>
        <v>337021.67567840981</v>
      </c>
      <c r="D79" s="115">
        <f t="array" aca="1" ref="D79:M79" ca="1" xml:space="preserve"> CORRECT_RE_CO2_0 * TOTAL_E_CO2_0 * (TIME_CO2_HIST / (1 + TIME_CO2_HIST/TIME_CO2_OCEAN_LONG)) * (PERCENT_CO2_OCEAN_LONG/100)* EXP(-(Y-Y_0)/TIME_CO2_OCEAN_LONG)</f>
        <v>331672.9527541906</v>
      </c>
      <c r="E79" s="115">
        <f ca="1"/>
        <v>321228.82139155956</v>
      </c>
      <c r="F79" s="115">
        <f ca="1"/>
        <v>311113.56785575795</v>
      </c>
      <c r="G79" s="115">
        <f ca="1"/>
        <v>301316.83603183232</v>
      </c>
      <c r="H79" s="115">
        <f ca="1"/>
        <v>278153.49183155561</v>
      </c>
      <c r="I79" s="115">
        <f ca="1"/>
        <v>256770.79992275531</v>
      </c>
      <c r="J79" s="115">
        <f ca="1"/>
        <v>218810.35444699277</v>
      </c>
      <c r="K79" s="115">
        <f ca="1"/>
        <v>186461.89998092383</v>
      </c>
      <c r="L79" s="115">
        <f ca="1"/>
        <v>158895.7717854192</v>
      </c>
      <c r="M79" s="115">
        <f ca="1"/>
        <v>135404.96098059189</v>
      </c>
      <c r="N79" s="3" t="s">
        <v>457</v>
      </c>
      <c r="Z79" s="173" t="s">
        <v>634</v>
      </c>
      <c r="AM79"/>
    </row>
    <row r="80" spans="1:39" s="4" customFormat="1" ht="13" x14ac:dyDescent="0.3">
      <c r="A80" s="113" t="s">
        <v>623</v>
      </c>
      <c r="B80" s="115"/>
      <c r="C80" s="115">
        <f ca="1" xml:space="preserve"> CORRECT_RE_CO2_0 * TOTAL_E_CO2_0 * (TIME_CO2_HIST / (1 + TIME_CO2_HIST/TIME_CO2_OCEAN_SHORT)) * (PERCENT_CO2_OCEAN_SHORT/100)</f>
        <v>186991.46346838988</v>
      </c>
      <c r="D80" s="115">
        <f t="array" aca="1" ref="D80:M80" ca="1" xml:space="preserve"> CORRECT_RE_CO2_0 * TOTAL_E_CO2_0 * (TIME_CO2_HIST / (1 + TIME_CO2_HIST/TIME_CO2_OCEAN_SHORT)) * (PERCENT_CO2_OCEAN_SHORT/100) * EXP(-(Y-Y_0)/TIME_CO2_OCEAN_SHORT)</f>
        <v>162014.75574644504</v>
      </c>
      <c r="E80" s="115">
        <f ca="1"/>
        <v>121624.24294620333</v>
      </c>
      <c r="F80" s="115">
        <f ca="1"/>
        <v>91303.143371628787</v>
      </c>
      <c r="G80" s="115">
        <f ca="1"/>
        <v>68541.137750205671</v>
      </c>
      <c r="H80" s="115">
        <f ca="1"/>
        <v>33466.882448992015</v>
      </c>
      <c r="I80" s="115">
        <f ca="1"/>
        <v>16341.021722407702</v>
      </c>
      <c r="J80" s="115">
        <f ca="1"/>
        <v>3895.8937609902609</v>
      </c>
      <c r="K80" s="115">
        <f ca="1"/>
        <v>928.82736800416569</v>
      </c>
      <c r="L80" s="115">
        <f ca="1"/>
        <v>221.44348190189328</v>
      </c>
      <c r="M80" s="115">
        <f ca="1"/>
        <v>52.794757525506299</v>
      </c>
      <c r="N80" s="3" t="s">
        <v>457</v>
      </c>
      <c r="Z80" s="173" t="s">
        <v>634</v>
      </c>
      <c r="AM80"/>
    </row>
    <row r="81" spans="1:39" s="4" customFormat="1" ht="13" x14ac:dyDescent="0.3">
      <c r="A81" s="113" t="s">
        <v>614</v>
      </c>
      <c r="B81" s="115"/>
      <c r="C81" s="115">
        <f ca="1" xml:space="preserve"> CORRECT_RE_CO2_0 * TOTAL_E_CO2_0 * (TIME_CO2_HIST / (1 + TIME_CO2_HIST/TIME_CO2_LAND)) * (PERCENT_CO2_LAND/100)</f>
        <v>36239.095295010498</v>
      </c>
      <c r="D81" s="115">
        <f t="array" aca="1" ref="D81:M81" ca="1" xml:space="preserve"> CORRECT_RE_CO2_0 * TOTAL_E_CO2_0 * (TIME_CO2_HIST / (1 + TIME_CO2_HIST/TIME_CO2_LAND)) * (PERCENT_CO2_LAND/100) * EXP(-(Y-Y_0)/TIME_CO2_LAND)</f>
        <v>11198.680784728134</v>
      </c>
      <c r="E81" s="115">
        <f ca="1"/>
        <v>1069.4140906461303</v>
      </c>
      <c r="F81" s="115">
        <f ca="1"/>
        <v>102.12332320714981</v>
      </c>
      <c r="G81" s="115">
        <f ca="1"/>
        <v>9.7522309029711511</v>
      </c>
      <c r="H81" s="115">
        <f ca="1"/>
        <v>2.7482204519382707E-2</v>
      </c>
      <c r="I81" s="115">
        <f ca="1"/>
        <v>7.7446029812017211E-5</v>
      </c>
      <c r="J81" s="115">
        <f ca="1"/>
        <v>6.150272274435687E-10</v>
      </c>
      <c r="K81" s="115">
        <f ca="1"/>
        <v>4.8841559911471481E-15</v>
      </c>
      <c r="L81" s="115">
        <f ca="1"/>
        <v>3.8786867770089699E-20</v>
      </c>
      <c r="M81" s="115">
        <f ca="1"/>
        <v>3.0802069265217666E-25</v>
      </c>
      <c r="N81" s="3" t="s">
        <v>457</v>
      </c>
      <c r="Z81" s="173" t="s">
        <v>634</v>
      </c>
      <c r="AM81"/>
    </row>
    <row r="82" spans="1:39" s="4" customFormat="1" ht="13" x14ac:dyDescent="0.3">
      <c r="A82" s="113" t="s">
        <v>615</v>
      </c>
      <c r="B82" s="115"/>
      <c r="C82" s="208">
        <v>0</v>
      </c>
      <c r="D82" s="115">
        <f ca="1" xml:space="preserve"> 0.5*(TOTAL_E_CO2_0 + total_e_co2_1) * YP_1 * (PERCENT_CO2_STAY/100)</f>
        <v>48332.164174438367</v>
      </c>
      <c r="E82" s="115">
        <f t="array" ref="E82:M82" ca="1" xml:space="preserve"> asymp_comp_co2_proj + 0.5*(total_e_co2 + total_e_co2_not_1) * YP_NOT_1 * (PERCENT_CO2_STAY/100)</f>
        <v>132001.44603296602</v>
      </c>
      <c r="F82" s="115">
        <f ca="1"/>
        <v>191079.70867599614</v>
      </c>
      <c r="G82" s="115">
        <f ca="1"/>
        <v>229883.57393146458</v>
      </c>
      <c r="H82" s="115">
        <f ca="1"/>
        <v>274942.5423661113</v>
      </c>
      <c r="I82" s="115">
        <f ca="1"/>
        <v>277829.6192365773</v>
      </c>
      <c r="J82" s="115">
        <f ca="1"/>
        <v>264564.07070297241</v>
      </c>
      <c r="K82" s="115">
        <f ca="1"/>
        <v>247458.04947787215</v>
      </c>
      <c r="L82" s="115">
        <f ca="1"/>
        <v>228667.35755390982</v>
      </c>
      <c r="M82" s="115">
        <f ca="1"/>
        <v>209106.58382960348</v>
      </c>
      <c r="N82" s="3" t="s">
        <v>457</v>
      </c>
      <c r="Z82" s="173" t="s">
        <v>635</v>
      </c>
      <c r="AM82"/>
    </row>
    <row r="83" spans="1:39" s="4" customFormat="1" ht="13" x14ac:dyDescent="0.3">
      <c r="A83" s="113" t="s">
        <v>626</v>
      </c>
      <c r="B83" s="115"/>
      <c r="C83" s="208">
        <v>0</v>
      </c>
      <c r="D83" s="115">
        <f ca="1" xml:space="preserve"> 0.5 * (TOTAL_E_CO2_0 + total_e_co2_1) * TIME_CO2_OCEAN_LONG * (1 - EXP(-YP_1/TIME_CO2_OCEAN_LONG)) * (PERCENT_CO2_OCEAN_LONG/100)</f>
        <v>47037.431886501567</v>
      </c>
      <c r="E83" s="115">
        <f t="array" ref="E83:M83" ca="1" xml:space="preserve"> ocean_long_comp_co2_proj * EXP(-YP_NOT_1/TIME_CO2_OCEAN_LONG) + 0.5*(total_e_co2 + total_e_co2_not_1) * TIME_CO2_OCEAN_LONG * (1 - EXP(-YP_NOT_1/TIME_CO2_OCEAN_LONG)) * (PERCENT_CO2_OCEAN_LONG/100)</f>
        <v>126338.03649094919</v>
      </c>
      <c r="F83" s="115">
        <f ca="1"/>
        <v>179399.1643136561</v>
      </c>
      <c r="G83" s="115">
        <f ca="1"/>
        <v>211214.72794022923</v>
      </c>
      <c r="H83" s="115">
        <f ca="1"/>
        <v>237459.79317417124</v>
      </c>
      <c r="I83" s="115">
        <f ca="1"/>
        <v>221927.33424598619</v>
      </c>
      <c r="J83" s="115">
        <f ca="1"/>
        <v>177091.94000000367</v>
      </c>
      <c r="K83" s="115">
        <f ca="1"/>
        <v>135403.26183015635</v>
      </c>
      <c r="L83" s="115">
        <f ca="1"/>
        <v>98350.478750536815</v>
      </c>
      <c r="M83" s="115">
        <f ca="1"/>
        <v>66077.367696009635</v>
      </c>
      <c r="N83" s="3" t="s">
        <v>457</v>
      </c>
      <c r="Z83" s="173" t="s">
        <v>635</v>
      </c>
      <c r="AM83"/>
    </row>
    <row r="84" spans="1:39" s="4" customFormat="1" ht="13" x14ac:dyDescent="0.3">
      <c r="A84" s="113" t="s">
        <v>624</v>
      </c>
      <c r="B84" s="115"/>
      <c r="C84" s="208">
        <v>0</v>
      </c>
      <c r="D84" s="115">
        <f ca="1" xml:space="preserve"> 0.5 * (TOTAL_E_CO2_0 + total_e_co2_1) * TIME_CO2_OCEAN_SHORT * (1 - EXP(-YP_1/TIME_CO2_OCEAN_SHORT)) * (PERCENT_CO2_OCEAN_SHORT/100)</f>
        <v>51230.980875034627</v>
      </c>
      <c r="E84" s="115">
        <f t="array" ref="E84:M84" ca="1" xml:space="preserve"> ocean_short_comp_co2_proj * EXP(-YP_NOT_1/TIME_CO2_OCEAN_SHORT) + 0.5*(total_e_co2 + total_e_co2_not_1) * TIME_CO2_OCEAN_SHORT * (1 - EXP(-YP_NOT_1/TIME_CO2_OCEAN_SHORT)) * (PERCENT_CO2_OCEAN_SHORT/100)</f>
        <v>121223.47840748474</v>
      </c>
      <c r="F84" s="115">
        <f ca="1"/>
        <v>149441.66116946243</v>
      </c>
      <c r="G84" s="115">
        <f ca="1"/>
        <v>150569.86669814948</v>
      </c>
      <c r="H84" s="115">
        <f ca="1"/>
        <v>110115.22400217198</v>
      </c>
      <c r="I84" s="115">
        <f ca="1"/>
        <v>56111.258794503527</v>
      </c>
      <c r="J84" s="115">
        <f ca="1"/>
        <v>5360.2861663179192</v>
      </c>
      <c r="K84" s="115">
        <f ca="1"/>
        <v>-9060.4167569143283</v>
      </c>
      <c r="L84" s="115">
        <f ca="1"/>
        <v>-13516.648779829531</v>
      </c>
      <c r="M84" s="115">
        <f ca="1"/>
        <v>-15044.482084103391</v>
      </c>
      <c r="N84" s="3" t="s">
        <v>457</v>
      </c>
      <c r="Z84" s="173" t="s">
        <v>635</v>
      </c>
      <c r="AM84"/>
    </row>
    <row r="85" spans="1:39" s="4" customFormat="1" ht="13" x14ac:dyDescent="0.3">
      <c r="A85" s="113" t="s">
        <v>616</v>
      </c>
      <c r="B85" s="115"/>
      <c r="C85" s="208">
        <v>0</v>
      </c>
      <c r="D85" s="115">
        <f ca="1" xml:space="preserve"> 0.5 * (TOTAL_E_CO2_0 + total_e_co2_1) * TIME_CO2_LAND * (1 - EXP(-YP_1/TIME_CO2_LAND)) * (PERCENT_CO2_LAND/100)</f>
        <v>32744.543598804707</v>
      </c>
      <c r="E85" s="115">
        <f t="array" ref="E85:M85" ca="1" xml:space="preserve"> land_comp_co2_proj * EXP(-YP_NOT_1/TIME_CO2_LAND) + 0.5*(total_e_co2 + total_e_co2_not_1) * TIME_CO2_LAND * (1 - EXP(-YP_NOT_1/TIME_CO2_LAND)) * (PERCENT_CO2_LAND/100)</f>
        <v>40227.937535742363</v>
      </c>
      <c r="F85" s="115">
        <f ca="1"/>
        <v>30038.30139945968</v>
      </c>
      <c r="G85" s="115">
        <f ca="1"/>
        <v>20075.081302797546</v>
      </c>
      <c r="H85" s="115">
        <f ca="1"/>
        <v>8867.5518251465273</v>
      </c>
      <c r="I85" s="115">
        <f ca="1"/>
        <v>589.53767980989687</v>
      </c>
      <c r="J85" s="115">
        <f ca="1"/>
        <v>-1300.6448733476846</v>
      </c>
      <c r="K85" s="115">
        <f ca="1"/>
        <v>-1677.207381041221</v>
      </c>
      <c r="L85" s="115">
        <f ca="1"/>
        <v>-1842.3875738505697</v>
      </c>
      <c r="M85" s="115">
        <f ca="1"/>
        <v>-1917.893230448436</v>
      </c>
      <c r="N85" s="3" t="s">
        <v>457</v>
      </c>
      <c r="Z85" s="173" t="s">
        <v>635</v>
      </c>
      <c r="AM85"/>
    </row>
    <row r="86" spans="1:39" s="4" customFormat="1" x14ac:dyDescent="0.25">
      <c r="A86"/>
      <c r="B86"/>
      <c r="C86" s="1"/>
      <c r="D86" s="1"/>
      <c r="E86" s="1"/>
      <c r="F86" s="1"/>
      <c r="G86" s="1"/>
      <c r="H86" s="1"/>
      <c r="I86" s="1"/>
      <c r="J86" s="1"/>
      <c r="K86" s="1"/>
      <c r="L86" s="1"/>
      <c r="M86" s="1"/>
      <c r="N86"/>
      <c r="AM86"/>
    </row>
    <row r="87" spans="1:39" s="4" customFormat="1" x14ac:dyDescent="0.25">
      <c r="A87" s="58" t="s">
        <v>167</v>
      </c>
      <c r="C87" s="104">
        <f ca="1">RE_CO2_NO_CCF_0</f>
        <v>958304.75000000023</v>
      </c>
      <c r="D87" s="104">
        <f t="shared" ref="D87:M87" ca="1" si="0">SUM(D78:D85)</f>
        <v>1082284.0253783329</v>
      </c>
      <c r="E87" s="104">
        <f t="shared" ca="1" si="0"/>
        <v>1261765.8924537413</v>
      </c>
      <c r="F87" s="104">
        <f t="shared" ca="1" si="0"/>
        <v>1350530.1856673581</v>
      </c>
      <c r="G87" s="104">
        <f t="shared" ca="1" si="0"/>
        <v>1379663.4914437721</v>
      </c>
      <c r="H87" s="104">
        <f t="shared" ca="1" si="0"/>
        <v>1341058.028688543</v>
      </c>
      <c r="I87" s="104">
        <f t="shared" ca="1" si="0"/>
        <v>1227622.0872376757</v>
      </c>
      <c r="J87" s="104">
        <f t="shared" ca="1" si="0"/>
        <v>1066474.4157621202</v>
      </c>
      <c r="K87" s="104">
        <f t="shared" ca="1" si="0"/>
        <v>957566.93007719074</v>
      </c>
      <c r="L87" s="104">
        <f t="shared" ca="1" si="0"/>
        <v>868828.53077627753</v>
      </c>
      <c r="M87" s="104">
        <f t="shared" ca="1" si="0"/>
        <v>791731.84750736877</v>
      </c>
      <c r="N87" s="4" t="str">
        <f>'Base data'!$F$35</f>
        <v>Mtonne</v>
      </c>
    </row>
    <row r="88" spans="1:39" s="4" customFormat="1" x14ac:dyDescent="0.25">
      <c r="A88" s="58" t="s">
        <v>166</v>
      </c>
      <c r="C88" s="104">
        <f ca="1">PIC_CO2+EXC_CO2*(RE_CO2_NO_CCF_0/RE_CO2_0)</f>
        <v>400859.58333333337</v>
      </c>
      <c r="D88" s="28">
        <f t="array" ref="D88:M88" ca="1">PIC_CO2+EXC_CO2*(re_co2_no_ccff/RE_CO2_0)</f>
        <v>416754.3622279914</v>
      </c>
      <c r="E88" s="28">
        <f ca="1"/>
        <v>439764.85800688993</v>
      </c>
      <c r="F88" s="28">
        <f ca="1"/>
        <v>451144.89559837925</v>
      </c>
      <c r="G88" s="28">
        <f ca="1"/>
        <v>454879.93480048364</v>
      </c>
      <c r="H88" s="28">
        <f ca="1"/>
        <v>449930.51649853116</v>
      </c>
      <c r="I88" s="28">
        <f ca="1"/>
        <v>435387.44708175329</v>
      </c>
      <c r="J88" s="28">
        <f ca="1"/>
        <v>414727.48920027184</v>
      </c>
      <c r="K88" s="28">
        <f ca="1"/>
        <v>400764.99103553727</v>
      </c>
      <c r="L88" s="28">
        <f ca="1"/>
        <v>389388.27317644586</v>
      </c>
      <c r="M88" s="28">
        <f ca="1"/>
        <v>379504.08301376522</v>
      </c>
      <c r="N88" s="4" t="str">
        <f>'Base data'!$F$13</f>
        <v>ppb</v>
      </c>
    </row>
    <row r="89" spans="1:39" s="4" customFormat="1" x14ac:dyDescent="0.25">
      <c r="A89" s="58" t="s">
        <v>420</v>
      </c>
      <c r="B89" s="58" t="s">
        <v>421</v>
      </c>
      <c r="C89" s="204">
        <f ca="1">IF(CCF*(RT_G_0)&lt;CCFFMAX,CCF*(RT_G_0),CCFFMAX)</f>
        <v>0</v>
      </c>
      <c r="D89" s="26">
        <f t="array" ref="D89:M89" ca="1">IF(CCF*(rt_g)&lt;CCFFMAX,CCF*(rt_g),CCFFMAX)</f>
        <v>0</v>
      </c>
      <c r="E89" s="26">
        <f ca="1"/>
        <v>0</v>
      </c>
      <c r="F89" s="26">
        <f ca="1"/>
        <v>0</v>
      </c>
      <c r="G89" s="26">
        <f ca="1"/>
        <v>0</v>
      </c>
      <c r="H89" s="26">
        <f ca="1"/>
        <v>0</v>
      </c>
      <c r="I89" s="26">
        <f ca="1"/>
        <v>0</v>
      </c>
      <c r="J89" s="26">
        <f ca="1"/>
        <v>0</v>
      </c>
      <c r="K89" s="26">
        <f ca="1"/>
        <v>0</v>
      </c>
      <c r="L89" s="26">
        <f ca="1"/>
        <v>0</v>
      </c>
      <c r="M89" s="26">
        <f ca="1"/>
        <v>0</v>
      </c>
      <c r="N89" s="58" t="s">
        <v>40</v>
      </c>
    </row>
    <row r="90" spans="1:39" s="4" customFormat="1" ht="13" x14ac:dyDescent="0.3">
      <c r="A90" s="58" t="s">
        <v>164</v>
      </c>
      <c r="B90" s="58" t="s">
        <v>165</v>
      </c>
      <c r="C90" s="104">
        <f ca="1">(C_CO2_NO_CCFF_0-PIC_CO2)*GAIN_0/100</f>
        <v>0</v>
      </c>
      <c r="D90" s="28">
        <f t="array" ref="D90:M90" ca="1">(c_co2_no_ccff-PIC_CO2)*gain/100</f>
        <v>0</v>
      </c>
      <c r="E90" s="28">
        <f ca="1"/>
        <v>0</v>
      </c>
      <c r="F90" s="28">
        <f ca="1"/>
        <v>0</v>
      </c>
      <c r="G90" s="28">
        <f ca="1"/>
        <v>0</v>
      </c>
      <c r="H90" s="28">
        <f ca="1"/>
        <v>0</v>
      </c>
      <c r="I90" s="28">
        <f ca="1"/>
        <v>0</v>
      </c>
      <c r="J90" s="28">
        <f ca="1"/>
        <v>0</v>
      </c>
      <c r="K90" s="28">
        <f ca="1"/>
        <v>0</v>
      </c>
      <c r="L90" s="28">
        <f ca="1"/>
        <v>0</v>
      </c>
      <c r="M90" s="28">
        <f ca="1"/>
        <v>0</v>
      </c>
      <c r="N90" s="4" t="str">
        <f>'Base data'!$F$13</f>
        <v>ppb</v>
      </c>
      <c r="Z90" s="124"/>
      <c r="AA90"/>
      <c r="AB90"/>
    </row>
    <row r="91" spans="1:39" s="4" customFormat="1" ht="15.5" x14ac:dyDescent="0.4">
      <c r="A91" s="58" t="s">
        <v>64</v>
      </c>
      <c r="B91" s="4" t="s">
        <v>65</v>
      </c>
      <c r="C91" s="28">
        <f>C_CO2_0</f>
        <v>400859.58333333337</v>
      </c>
      <c r="D91" s="28">
        <f t="array" ref="D91:M91" ca="1">c_co2_no_ccff+ccff</f>
        <v>416754.3622279914</v>
      </c>
      <c r="E91" s="28">
        <f ca="1"/>
        <v>439764.85800688993</v>
      </c>
      <c r="F91" s="28">
        <f ca="1"/>
        <v>451144.89559837925</v>
      </c>
      <c r="G91" s="28">
        <f ca="1"/>
        <v>454879.93480048364</v>
      </c>
      <c r="H91" s="28">
        <f ca="1"/>
        <v>449930.51649853116</v>
      </c>
      <c r="I91" s="28">
        <f ca="1"/>
        <v>435387.44708175329</v>
      </c>
      <c r="J91" s="28">
        <f ca="1"/>
        <v>414727.48920027184</v>
      </c>
      <c r="K91" s="28">
        <f ca="1"/>
        <v>400764.99103553727</v>
      </c>
      <c r="L91" s="28">
        <f ca="1"/>
        <v>389388.27317644586</v>
      </c>
      <c r="M91" s="28">
        <f ca="1"/>
        <v>379504.08301376522</v>
      </c>
      <c r="N91" s="4" t="str">
        <f>'Base data'!$F$13</f>
        <v>ppb</v>
      </c>
      <c r="O91" s="58"/>
      <c r="P91" s="58"/>
      <c r="Q91" s="58"/>
      <c r="R91" s="58"/>
      <c r="S91" s="58"/>
      <c r="T91" s="58"/>
      <c r="U91" s="58"/>
      <c r="V91" s="58"/>
      <c r="W91" s="58"/>
      <c r="X91" s="58"/>
      <c r="Z91" s="3"/>
      <c r="AA91"/>
      <c r="AB91" s="3"/>
    </row>
    <row r="92" spans="1:39" s="4" customFormat="1" ht="16" thickBot="1" x14ac:dyDescent="0.45">
      <c r="A92" s="6" t="s">
        <v>66</v>
      </c>
      <c r="B92" s="6" t="s">
        <v>67</v>
      </c>
      <c r="C92" s="35">
        <f>F_CO2_0</f>
        <v>1.68</v>
      </c>
      <c r="D92" s="35">
        <f t="array" ref="D92:M92" ca="1">F_CO2_0+FSLOPE_CO2*LN(c_co2/C_CO2_0)</f>
        <v>1.8938718400326082</v>
      </c>
      <c r="E92" s="35">
        <f ca="1"/>
        <v>2.1894593388980383</v>
      </c>
      <c r="F92" s="35">
        <f ca="1"/>
        <v>2.3299755044356556</v>
      </c>
      <c r="G92" s="35">
        <f ca="1"/>
        <v>2.3753226765992324</v>
      </c>
      <c r="H92" s="35">
        <f ca="1"/>
        <v>2.3151507983051114</v>
      </c>
      <c r="I92" s="35">
        <f ca="1"/>
        <v>2.1344381483375181</v>
      </c>
      <c r="J92" s="35">
        <f ca="1"/>
        <v>1.8670574875263615</v>
      </c>
      <c r="K92" s="35">
        <f ca="1"/>
        <v>1.678701991787857</v>
      </c>
      <c r="L92" s="35">
        <f ca="1"/>
        <v>1.5203117770328494</v>
      </c>
      <c r="M92" s="35">
        <f ca="1"/>
        <v>1.3788978578589122</v>
      </c>
      <c r="N92" s="6" t="str">
        <f>'Base data'!$F$21</f>
        <v>W/m2</v>
      </c>
      <c r="O92" s="6"/>
      <c r="P92" s="6"/>
      <c r="Q92" s="6"/>
      <c r="R92" s="6"/>
      <c r="S92" s="6"/>
      <c r="T92" s="6"/>
      <c r="U92" s="6"/>
      <c r="V92" s="6"/>
      <c r="W92" s="6"/>
      <c r="X92" s="6"/>
      <c r="Z92" s="3"/>
      <c r="AB92" s="3"/>
      <c r="AM92" s="59"/>
    </row>
    <row r="93" spans="1:39" s="4" customFormat="1" ht="13" thickTop="1" x14ac:dyDescent="0.25">
      <c r="A93" s="6"/>
      <c r="B93" s="6"/>
      <c r="C93" s="6"/>
      <c r="D93" s="6"/>
      <c r="E93" s="6"/>
      <c r="F93" s="6"/>
      <c r="G93" s="6"/>
      <c r="H93" s="6"/>
      <c r="I93" s="6"/>
      <c r="J93" s="6"/>
      <c r="K93" s="6"/>
      <c r="L93" s="6"/>
      <c r="M93" s="6"/>
      <c r="N93" s="6"/>
      <c r="O93" s="6"/>
      <c r="P93" s="6"/>
      <c r="Q93" s="6"/>
      <c r="R93" s="6"/>
      <c r="S93" s="6"/>
      <c r="T93" s="6"/>
      <c r="U93" s="6"/>
      <c r="V93" s="6"/>
      <c r="W93" s="6"/>
      <c r="X93" s="6"/>
      <c r="Z93"/>
      <c r="AA93"/>
      <c r="AB93"/>
    </row>
    <row r="94" spans="1:39" s="6" customFormat="1" ht="15.5" x14ac:dyDescent="0.4">
      <c r="A94" s="4" t="s">
        <v>63</v>
      </c>
      <c r="B94" s="58" t="s">
        <v>172</v>
      </c>
      <c r="C94" s="27">
        <f ca="1">STIM_CH4*RT_G_0</f>
        <v>0</v>
      </c>
      <c r="D94" s="27">
        <f t="array" ref="D94:M94" ca="1">STIM_CH4*rt_g</f>
        <v>0</v>
      </c>
      <c r="E94" s="27">
        <f ca="1"/>
        <v>0</v>
      </c>
      <c r="F94" s="27">
        <f ca="1"/>
        <v>0</v>
      </c>
      <c r="G94" s="27">
        <f ca="1"/>
        <v>0</v>
      </c>
      <c r="H94" s="27">
        <f ca="1"/>
        <v>0</v>
      </c>
      <c r="I94" s="27">
        <f ca="1"/>
        <v>0</v>
      </c>
      <c r="J94" s="27">
        <f ca="1"/>
        <v>0</v>
      </c>
      <c r="K94" s="27">
        <f ca="1"/>
        <v>0</v>
      </c>
      <c r="L94" s="27">
        <f ca="1"/>
        <v>0</v>
      </c>
      <c r="M94" s="27">
        <f ca="1"/>
        <v>0</v>
      </c>
      <c r="N94" s="4" t="s">
        <v>572</v>
      </c>
      <c r="O94" s="4"/>
      <c r="P94" s="4"/>
      <c r="Q94" s="4"/>
      <c r="R94" s="4"/>
      <c r="S94" s="4"/>
      <c r="T94" s="4"/>
      <c r="U94" s="4"/>
      <c r="V94" s="4"/>
      <c r="W94" s="4"/>
      <c r="X94" s="4"/>
      <c r="Z94" s="57"/>
      <c r="AA94"/>
      <c r="AB94"/>
    </row>
    <row r="95" spans="1:39" s="6" customFormat="1" ht="15.5" x14ac:dyDescent="0.4">
      <c r="A95" s="58" t="s">
        <v>449</v>
      </c>
      <c r="B95" s="4" t="s">
        <v>58</v>
      </c>
      <c r="C95" s="28">
        <f>(E_CH4_G_0)*AIR_CH4/100</f>
        <v>371.13927589582107</v>
      </c>
      <c r="D95" s="28">
        <f t="array" ref="D95:M95">(e_ch4_g)*AIR_CH4/100</f>
        <v>258.7080019027718</v>
      </c>
      <c r="E95" s="28">
        <v>232.97260578540738</v>
      </c>
      <c r="F95" s="28">
        <v>218.54623253562468</v>
      </c>
      <c r="G95" s="28">
        <v>180.5315699033402</v>
      </c>
      <c r="H95" s="28">
        <v>141.947317389067</v>
      </c>
      <c r="I95" s="28">
        <v>119.99719132163072</v>
      </c>
      <c r="J95" s="28">
        <v>119.99719132163072</v>
      </c>
      <c r="K95" s="28">
        <v>119.99719132163072</v>
      </c>
      <c r="L95" s="28">
        <v>119.99719132163072</v>
      </c>
      <c r="M95" s="28">
        <v>119.99719132163072</v>
      </c>
      <c r="N95" s="4" t="s">
        <v>572</v>
      </c>
      <c r="O95" s="4"/>
      <c r="P95" s="4"/>
      <c r="Q95" s="4"/>
      <c r="R95" s="4"/>
      <c r="S95" s="4"/>
      <c r="T95" s="4"/>
      <c r="U95" s="4"/>
      <c r="V95" s="4"/>
      <c r="W95" s="4"/>
      <c r="X95" s="4"/>
    </row>
    <row r="96" spans="1:39" s="6" customFormat="1" x14ac:dyDescent="0.25">
      <c r="A96" s="118" t="s">
        <v>448</v>
      </c>
      <c r="B96" s="116"/>
      <c r="C96" s="104"/>
      <c r="D96" s="104">
        <f ca="1">(NTE_CH4_0+nte_ch4)*(AIR_CH4/100)*YP_1/2</f>
        <v>0</v>
      </c>
      <c r="E96" s="104">
        <f t="array" ref="E96:M96" ca="1">(nte_ch4+nte_ch4_not_1)*(AIR_CH4/100)*YP_NOT_1/2</f>
        <v>0</v>
      </c>
      <c r="F96" s="104">
        <f ca="1"/>
        <v>0</v>
      </c>
      <c r="G96" s="104">
        <f ca="1"/>
        <v>0</v>
      </c>
      <c r="H96" s="104">
        <f ca="1"/>
        <v>0</v>
      </c>
      <c r="I96" s="104">
        <f ca="1"/>
        <v>0</v>
      </c>
      <c r="J96" s="104">
        <f ca="1"/>
        <v>0</v>
      </c>
      <c r="K96" s="104">
        <f ca="1"/>
        <v>0</v>
      </c>
      <c r="L96" s="104">
        <f ca="1"/>
        <v>0</v>
      </c>
      <c r="M96" s="104">
        <f ca="1"/>
        <v>0</v>
      </c>
      <c r="N96" s="4" t="str">
        <f>'Base data'!$G$35</f>
        <v>Mtonne</v>
      </c>
      <c r="O96" s="4"/>
      <c r="P96" s="4"/>
      <c r="Q96" s="4"/>
      <c r="R96" s="4"/>
      <c r="S96" s="4"/>
      <c r="T96" s="4"/>
      <c r="U96" s="4"/>
      <c r="V96" s="4"/>
      <c r="W96" s="4"/>
      <c r="X96" s="4"/>
      <c r="AM96" s="4"/>
    </row>
    <row r="97" spans="1:30" s="4" customFormat="1" x14ac:dyDescent="0.25">
      <c r="A97" s="118" t="s">
        <v>446</v>
      </c>
      <c r="B97" s="116"/>
      <c r="C97" s="116"/>
      <c r="D97" s="104">
        <f>(TEA_CH4_0+tea_ch4)*YP_1/2</f>
        <v>1574.6181944964819</v>
      </c>
      <c r="E97" s="104">
        <f t="array" ref="E97:M97">(tea_ch4+tea_ch4_not_1)*YP_NOT_1/2</f>
        <v>2458.4030384408961</v>
      </c>
      <c r="F97" s="104">
        <v>2257.5941916051602</v>
      </c>
      <c r="G97" s="104">
        <v>1995.3890121948245</v>
      </c>
      <c r="H97" s="104">
        <v>4030.98609115509</v>
      </c>
      <c r="I97" s="104">
        <v>3274.3063588837217</v>
      </c>
      <c r="J97" s="104">
        <v>5999.8595660815363</v>
      </c>
      <c r="K97" s="104">
        <v>5999.8595660815363</v>
      </c>
      <c r="L97" s="104">
        <v>5999.8595660815363</v>
      </c>
      <c r="M97" s="104">
        <v>5999.8595660815363</v>
      </c>
      <c r="N97" s="4" t="str">
        <f>'Base data'!$G$35</f>
        <v>Mtonne</v>
      </c>
    </row>
    <row r="98" spans="1:30" s="4" customFormat="1" ht="13" x14ac:dyDescent="0.3">
      <c r="A98" s="118" t="s">
        <v>447</v>
      </c>
      <c r="B98" s="118"/>
      <c r="C98" s="116"/>
      <c r="D98" s="115">
        <f ca="1" xml:space="preserve"> (perm_tot_ce_ch4_1 - PERM_TOT_CE_CH4_0) * (AIR_CH4/100)</f>
        <v>51.232912295020924</v>
      </c>
      <c r="E98" s="115">
        <f t="array" ref="E98:M98" ca="1" xml:space="preserve"> (perm_tot_ce_ch4_not_1 - perm_tot_ce_ch4) * (AIR_CH4/100)</f>
        <v>145.8553172922351</v>
      </c>
      <c r="F98" s="115">
        <f ca="1"/>
        <v>176.29441520343676</v>
      </c>
      <c r="G98" s="115">
        <f ca="1"/>
        <v>196.10881237322633</v>
      </c>
      <c r="H98" s="115">
        <f ca="1"/>
        <v>537.69813935792308</v>
      </c>
      <c r="I98" s="115">
        <f ca="1"/>
        <v>522.12823551508382</v>
      </c>
      <c r="J98" s="115">
        <f ca="1"/>
        <v>865.33209560408932</v>
      </c>
      <c r="K98" s="115">
        <f ca="1"/>
        <v>740.44435135696767</v>
      </c>
      <c r="L98" s="115">
        <f ca="1"/>
        <v>656.46995240236629</v>
      </c>
      <c r="M98" s="115">
        <f ca="1"/>
        <v>578.1099543591281</v>
      </c>
      <c r="N98" s="3" t="s">
        <v>266</v>
      </c>
      <c r="Z98" s="124" t="s">
        <v>876</v>
      </c>
    </row>
    <row r="99" spans="1:30" s="4" customFormat="1" ht="15.5" x14ac:dyDescent="0.4">
      <c r="A99" s="113" t="s">
        <v>450</v>
      </c>
      <c r="B99" s="116" t="s">
        <v>60</v>
      </c>
      <c r="C99" s="115"/>
      <c r="D99" s="104">
        <f t="array" ref="D99:M99" ca="1">natur_teay_ch4+anthr_teay_ch4+perm_teay_ch4</f>
        <v>1625.8511067915028</v>
      </c>
      <c r="E99" s="104">
        <f ca="1"/>
        <v>2604.2583557331313</v>
      </c>
      <c r="F99" s="104">
        <f ca="1"/>
        <v>2433.8886068085967</v>
      </c>
      <c r="G99" s="104">
        <f ca="1"/>
        <v>2191.4978245680509</v>
      </c>
      <c r="H99" s="104">
        <f ca="1"/>
        <v>4568.6842305130131</v>
      </c>
      <c r="I99" s="104">
        <f ca="1"/>
        <v>3796.4345943988055</v>
      </c>
      <c r="J99" s="104">
        <f ca="1"/>
        <v>6865.1916616856251</v>
      </c>
      <c r="K99" s="104">
        <f ca="1"/>
        <v>6740.303917438504</v>
      </c>
      <c r="L99" s="104">
        <f ca="1"/>
        <v>6656.3295184839026</v>
      </c>
      <c r="M99" s="104">
        <f ca="1"/>
        <v>6577.9695204406644</v>
      </c>
      <c r="N99" s="3" t="s">
        <v>266</v>
      </c>
    </row>
    <row r="100" spans="1:30" s="4" customFormat="1" x14ac:dyDescent="0.25">
      <c r="A100" s="6" t="s">
        <v>68</v>
      </c>
      <c r="B100" s="6"/>
      <c r="C100" s="6"/>
      <c r="D100" s="26">
        <f t="array" ref="D100:M100">EXP(-(YP/RES_CH4))</f>
        <v>0.62114515761545153</v>
      </c>
      <c r="E100" s="26">
        <v>0.38582130682912413</v>
      </c>
      <c r="F100" s="26">
        <v>0.38582130682912413</v>
      </c>
      <c r="G100" s="26">
        <v>0.38582130682912413</v>
      </c>
      <c r="H100" s="26">
        <v>9.246247606291999E-2</v>
      </c>
      <c r="I100" s="26">
        <v>9.246247606291999E-2</v>
      </c>
      <c r="J100" s="26">
        <v>8.5493094796860528E-3</v>
      </c>
      <c r="K100" s="26">
        <v>8.5493094796860528E-3</v>
      </c>
      <c r="L100" s="26">
        <v>8.5493094796860528E-3</v>
      </c>
      <c r="M100" s="26">
        <v>8.5493094796860528E-3</v>
      </c>
      <c r="N100" s="6"/>
      <c r="O100" s="6"/>
      <c r="P100" s="6"/>
      <c r="Q100" s="6"/>
      <c r="R100" s="6"/>
      <c r="S100" s="6"/>
      <c r="T100" s="6"/>
      <c r="U100" s="6"/>
      <c r="V100" s="6"/>
      <c r="W100" s="6"/>
      <c r="X100" s="6"/>
    </row>
    <row r="101" spans="1:30" s="4" customFormat="1" x14ac:dyDescent="0.25">
      <c r="A101" s="4" t="s">
        <v>69</v>
      </c>
      <c r="D101" s="28">
        <f>RE_CH4_0*EXPF_CH4</f>
        <v>1904.6422426025633</v>
      </c>
      <c r="E101" s="28">
        <f t="array" ref="E101:M101" ca="1">re_ch4*EXPF_CH4_NOT_1</f>
        <v>1233.9188604503699</v>
      </c>
      <c r="F101" s="28">
        <f ca="1"/>
        <v>1124.0413217081675</v>
      </c>
      <c r="G101" s="28">
        <f ca="1"/>
        <v>1039.2582925310035</v>
      </c>
      <c r="H101" s="28">
        <f ca="1"/>
        <v>226.7668231448402</v>
      </c>
      <c r="I101" s="28">
        <f ca="1"/>
        <v>181.9839815354118</v>
      </c>
      <c r="J101" s="28">
        <f ca="1"/>
        <v>13.927294150713804</v>
      </c>
      <c r="K101" s="28">
        <f ca="1"/>
        <v>12.339150721281204</v>
      </c>
      <c r="L101" s="28">
        <f ca="1"/>
        <v>12.103272264350826</v>
      </c>
      <c r="M101" s="28">
        <f ca="1"/>
        <v>11.951780737031392</v>
      </c>
      <c r="N101" s="4" t="str">
        <f>'Base data'!$G$35</f>
        <v>Mtonne</v>
      </c>
    </row>
    <row r="102" spans="1:30" s="6" customFormat="1" x14ac:dyDescent="0.25">
      <c r="A102" s="4" t="s">
        <v>70</v>
      </c>
      <c r="B102" s="4"/>
      <c r="C102" s="4"/>
      <c r="D102" s="14">
        <f t="array" ref="D102:M102" ca="1">teay_ch4*RES_CH4*(1-EXPF_CH4)/YP</f>
        <v>1293.5192860889008</v>
      </c>
      <c r="E102" s="14">
        <f ca="1"/>
        <v>1679.453993283684</v>
      </c>
      <c r="F102" s="14">
        <f ca="1"/>
        <v>1569.5846500458472</v>
      </c>
      <c r="G102" s="14">
        <f ca="1"/>
        <v>1413.2698334790243</v>
      </c>
      <c r="H102" s="14">
        <f ca="1"/>
        <v>1741.4259971682686</v>
      </c>
      <c r="I102" s="14">
        <f ca="1"/>
        <v>1447.0708776677013</v>
      </c>
      <c r="J102" s="14">
        <f ca="1"/>
        <v>1429.3647928418279</v>
      </c>
      <c r="K102" s="14">
        <f ca="1"/>
        <v>1403.3625843848483</v>
      </c>
      <c r="L102" s="14">
        <f ca="1"/>
        <v>1385.878724460639</v>
      </c>
      <c r="M102" s="14">
        <f ca="1"/>
        <v>1369.5638088851199</v>
      </c>
      <c r="N102" s="4" t="str">
        <f>'Base data'!$G$35</f>
        <v>Mtonne</v>
      </c>
      <c r="O102" s="4"/>
      <c r="P102" s="4"/>
      <c r="Q102" s="4"/>
      <c r="R102" s="4"/>
      <c r="S102" s="4"/>
      <c r="T102" s="4"/>
      <c r="U102" s="4"/>
      <c r="V102" s="4"/>
      <c r="W102" s="4"/>
      <c r="X102" s="4"/>
    </row>
    <row r="103" spans="1:30" s="4" customFormat="1" ht="15.5" x14ac:dyDescent="0.4">
      <c r="A103" s="4" t="s">
        <v>54</v>
      </c>
      <c r="B103" s="4" t="s">
        <v>55</v>
      </c>
      <c r="C103" s="14">
        <f>RE_CH4_0</f>
        <v>3066.3399999999997</v>
      </c>
      <c r="D103" s="14">
        <f t="shared" ref="D103:M103" ca="1" si="1">SUM(D101:D102)</f>
        <v>3198.1615286914639</v>
      </c>
      <c r="E103" s="14">
        <f t="shared" ca="1" si="1"/>
        <v>2913.3728537340539</v>
      </c>
      <c r="F103" s="14">
        <f t="shared" ca="1" si="1"/>
        <v>2693.6259717540147</v>
      </c>
      <c r="G103" s="14">
        <f t="shared" ca="1" si="1"/>
        <v>2452.5281260100278</v>
      </c>
      <c r="H103" s="14">
        <f t="shared" ca="1" si="1"/>
        <v>1968.1928203131088</v>
      </c>
      <c r="I103" s="14">
        <f t="shared" ca="1" si="1"/>
        <v>1629.0548592031132</v>
      </c>
      <c r="J103" s="14">
        <f t="shared" ca="1" si="1"/>
        <v>1443.2920869925417</v>
      </c>
      <c r="K103" s="14">
        <f t="shared" ca="1" si="1"/>
        <v>1415.7017351061295</v>
      </c>
      <c r="L103" s="14">
        <f t="shared" ca="1" si="1"/>
        <v>1397.9819967249898</v>
      </c>
      <c r="M103" s="14">
        <f t="shared" ca="1" si="1"/>
        <v>1381.5155896221513</v>
      </c>
      <c r="N103" s="4" t="str">
        <f>'Base data'!$G$35</f>
        <v>Mtonne</v>
      </c>
      <c r="AC103"/>
      <c r="AD103"/>
    </row>
    <row r="104" spans="1:30" s="4" customFormat="1" ht="15.5" x14ac:dyDescent="0.4">
      <c r="A104" s="4" t="s">
        <v>71</v>
      </c>
      <c r="B104" s="4" t="s">
        <v>72</v>
      </c>
      <c r="C104" s="14">
        <f>C_CH4_0</f>
        <v>1803</v>
      </c>
      <c r="D104" s="14">
        <f t="array" ref="D104:M104" ca="1">PIC_CH4+EXC_CH4*(re_ch4/RE_CH4_0)</f>
        <v>1850.4178160760662</v>
      </c>
      <c r="E104" s="14">
        <f ca="1"/>
        <v>1747.9758466669259</v>
      </c>
      <c r="F104" s="14">
        <f ca="1"/>
        <v>1668.9302056669119</v>
      </c>
      <c r="G104" s="14">
        <f ca="1"/>
        <v>1582.2043618741109</v>
      </c>
      <c r="H104" s="14">
        <f ca="1"/>
        <v>1407.9830288896076</v>
      </c>
      <c r="I104" s="14">
        <f ca="1"/>
        <v>1285.9909565478824</v>
      </c>
      <c r="J104" s="14">
        <f ca="1"/>
        <v>1219.169815464943</v>
      </c>
      <c r="K104" s="14">
        <f ca="1"/>
        <v>1209.2452284554424</v>
      </c>
      <c r="L104" s="14">
        <f ca="1"/>
        <v>1202.8712218435217</v>
      </c>
      <c r="M104" s="14">
        <f ca="1"/>
        <v>1196.9480538209177</v>
      </c>
      <c r="N104" s="4" t="str">
        <f>'Base data'!$F$19</f>
        <v>ppb</v>
      </c>
    </row>
    <row r="105" spans="1:30" s="4" customFormat="1" ht="13" thickBot="1" x14ac:dyDescent="0.3">
      <c r="A105" s="6" t="s">
        <v>159</v>
      </c>
      <c r="B105" s="6"/>
      <c r="C105" s="35">
        <f>F_CH4_0</f>
        <v>0.48</v>
      </c>
      <c r="D105" s="35">
        <f t="array" ref="D105:M105" ca="1">F_CH4_0+FSLOPE_CH4*(SQRT(c_ch4)-SQRT(C_CH4_0))</f>
        <v>0.49997048099203578</v>
      </c>
      <c r="E105" s="35">
        <f ca="1"/>
        <v>0.45649392873451589</v>
      </c>
      <c r="F105" s="35">
        <f ca="1"/>
        <v>0.42206861016463487</v>
      </c>
      <c r="G105" s="35">
        <f ca="1"/>
        <v>0.38334666157055164</v>
      </c>
      <c r="H105" s="35">
        <f ca="1"/>
        <v>0.30220868805513185</v>
      </c>
      <c r="I105" s="35">
        <f ca="1"/>
        <v>0.24236286858590725</v>
      </c>
      <c r="J105" s="35">
        <f ca="1"/>
        <v>0.20837513361257942</v>
      </c>
      <c r="K105" s="35">
        <f ca="1"/>
        <v>0.20324841600689564</v>
      </c>
      <c r="L105" s="35">
        <f ca="1"/>
        <v>0.19994471103904587</v>
      </c>
      <c r="M105" s="35">
        <f ca="1"/>
        <v>0.19686682442089876</v>
      </c>
      <c r="N105" s="6" t="str">
        <f>'Base data'!$F$21</f>
        <v>W/m2</v>
      </c>
      <c r="O105" s="6"/>
      <c r="P105" s="6"/>
      <c r="Q105" s="6"/>
      <c r="R105" s="6"/>
      <c r="S105" s="6"/>
      <c r="T105" s="6"/>
      <c r="U105" s="6"/>
      <c r="V105" s="6"/>
      <c r="W105" s="6"/>
      <c r="X105" s="6"/>
    </row>
    <row r="106" spans="1:30" s="4" customFormat="1" ht="13" thickTop="1"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30" s="6" customFormat="1" ht="15.5" x14ac:dyDescent="0.4">
      <c r="A107" s="4" t="s">
        <v>148</v>
      </c>
      <c r="B107" s="58" t="s">
        <v>173</v>
      </c>
      <c r="C107" s="27">
        <f ca="1">STIM_N2O*RT_G_0</f>
        <v>0</v>
      </c>
      <c r="D107" s="27">
        <f t="array" ref="D107:M107" ca="1">STIM_N2O*rt_g</f>
        <v>0</v>
      </c>
      <c r="E107" s="27">
        <f ca="1"/>
        <v>0</v>
      </c>
      <c r="F107" s="27">
        <f ca="1"/>
        <v>0</v>
      </c>
      <c r="G107" s="27">
        <f ca="1"/>
        <v>0</v>
      </c>
      <c r="H107" s="27">
        <f ca="1"/>
        <v>0</v>
      </c>
      <c r="I107" s="27">
        <f ca="1"/>
        <v>0</v>
      </c>
      <c r="J107" s="27">
        <f ca="1"/>
        <v>0</v>
      </c>
      <c r="K107" s="27">
        <f ca="1"/>
        <v>0</v>
      </c>
      <c r="L107" s="27">
        <f ca="1"/>
        <v>0</v>
      </c>
      <c r="M107" s="27">
        <f ca="1"/>
        <v>0</v>
      </c>
      <c r="N107" s="4" t="s">
        <v>572</v>
      </c>
      <c r="O107" s="4"/>
      <c r="P107" s="4"/>
      <c r="Q107" s="4"/>
      <c r="R107" s="4"/>
      <c r="S107" s="4"/>
      <c r="T107" s="4"/>
      <c r="U107" s="4"/>
      <c r="V107" s="4"/>
      <c r="W107" s="4"/>
      <c r="X107" s="4"/>
    </row>
    <row r="108" spans="1:30" s="6" customFormat="1" ht="15.5" x14ac:dyDescent="0.4">
      <c r="A108" s="4" t="s">
        <v>149</v>
      </c>
      <c r="B108" s="58" t="s">
        <v>120</v>
      </c>
      <c r="C108" s="28">
        <f ca="1">(E_N2O_G_0+NTE_N2O_0)*AIR_N2O/100</f>
        <v>11.222813480654541</v>
      </c>
      <c r="D108" s="28">
        <f t="array" ref="D108:M108" ca="1">(e_n2o_g+nte_n2o)*AIR_N2O/100</f>
        <v>11.774684666742722</v>
      </c>
      <c r="E108" s="28">
        <f ca="1"/>
        <v>11.402518939038805</v>
      </c>
      <c r="F108" s="28">
        <f ca="1"/>
        <v>10.935717872286888</v>
      </c>
      <c r="G108" s="28">
        <f ca="1"/>
        <v>9.2875690960042796</v>
      </c>
      <c r="H108" s="28">
        <f ca="1"/>
        <v>7.9465635269472834</v>
      </c>
      <c r="I108" s="28">
        <f ca="1"/>
        <v>6.9610162732484469</v>
      </c>
      <c r="J108" s="28">
        <f ca="1"/>
        <v>6.9610162732484469</v>
      </c>
      <c r="K108" s="28">
        <f ca="1"/>
        <v>6.9610162732484469</v>
      </c>
      <c r="L108" s="28">
        <f ca="1"/>
        <v>6.9610162732484469</v>
      </c>
      <c r="M108" s="28">
        <f ca="1"/>
        <v>6.9610162732484469</v>
      </c>
      <c r="N108" s="4" t="s">
        <v>572</v>
      </c>
      <c r="O108" s="4"/>
      <c r="P108" s="4"/>
      <c r="Q108" s="4"/>
      <c r="R108" s="4"/>
      <c r="S108" s="4"/>
      <c r="T108" s="4"/>
      <c r="U108" s="4"/>
      <c r="V108" s="4"/>
      <c r="W108" s="4"/>
      <c r="X108" s="4"/>
    </row>
    <row r="109" spans="1:30" s="4" customFormat="1" ht="15.5" x14ac:dyDescent="0.4">
      <c r="A109" s="4" t="s">
        <v>150</v>
      </c>
      <c r="B109" s="58" t="s">
        <v>121</v>
      </c>
      <c r="D109" s="28">
        <f ca="1">(TEA_N2O_0+tea_n2o)*YP_1/2</f>
        <v>57.493745368493158</v>
      </c>
      <c r="E109" s="28">
        <f t="array" ref="E109:M109" ca="1">(tea_n2o+tea_n2o_not_1)*YP_NOT_1/2</f>
        <v>115.88601802890764</v>
      </c>
      <c r="F109" s="28">
        <f ca="1"/>
        <v>111.69118405662846</v>
      </c>
      <c r="G109" s="28">
        <f ca="1"/>
        <v>101.11643484145586</v>
      </c>
      <c r="H109" s="28">
        <f ca="1"/>
        <v>215.42665778689454</v>
      </c>
      <c r="I109" s="28">
        <f ca="1"/>
        <v>186.34474750244664</v>
      </c>
      <c r="J109" s="28">
        <f ca="1"/>
        <v>348.05081366242234</v>
      </c>
      <c r="K109" s="28">
        <f ca="1"/>
        <v>348.05081366242234</v>
      </c>
      <c r="L109" s="28">
        <f ca="1"/>
        <v>348.05081366242234</v>
      </c>
      <c r="M109" s="28">
        <f ca="1"/>
        <v>348.05081366242234</v>
      </c>
      <c r="N109" s="4" t="str">
        <f>'Base data'!$G$35</f>
        <v>Mtonne</v>
      </c>
    </row>
    <row r="110" spans="1:30" s="4" customFormat="1" x14ac:dyDescent="0.25">
      <c r="A110" s="6" t="s">
        <v>151</v>
      </c>
      <c r="B110" s="6"/>
      <c r="C110" s="6"/>
      <c r="D110" s="26">
        <f t="array" ref="D110:M110">EXP(-(YP/RES_N2O))</f>
        <v>0.95708827622606829</v>
      </c>
      <c r="E110" s="26">
        <v>0.91601796848938666</v>
      </c>
      <c r="F110" s="26">
        <v>0.91601796848938666</v>
      </c>
      <c r="G110" s="26">
        <v>0.91601796848938666</v>
      </c>
      <c r="H110" s="26">
        <v>0.8030821666988891</v>
      </c>
      <c r="I110" s="26">
        <v>0.8030821666988891</v>
      </c>
      <c r="J110" s="26">
        <v>0.64494096646978238</v>
      </c>
      <c r="K110" s="26">
        <v>0.64494096646978238</v>
      </c>
      <c r="L110" s="26">
        <v>0.64494096646978238</v>
      </c>
      <c r="M110" s="26">
        <v>0.64494096646978238</v>
      </c>
      <c r="N110" s="6"/>
      <c r="O110" s="6"/>
      <c r="P110" s="6"/>
      <c r="Q110" s="6"/>
      <c r="R110" s="6"/>
      <c r="S110" s="6"/>
      <c r="T110" s="6"/>
      <c r="U110" s="6"/>
      <c r="V110" s="6"/>
      <c r="W110" s="6"/>
      <c r="X110" s="6"/>
    </row>
    <row r="111" spans="1:30" s="4" customFormat="1" x14ac:dyDescent="0.25">
      <c r="A111" s="4" t="s">
        <v>152</v>
      </c>
      <c r="D111" s="28">
        <f>RE_N2O_0*EXPF_N2O</f>
        <v>403.12558194641997</v>
      </c>
      <c r="E111" s="28">
        <f t="array" ref="E111:M111" ca="1">re_n2o*EXPF_N2O_NOT_1</f>
        <v>420.79734114953118</v>
      </c>
      <c r="F111" s="28">
        <f ca="1"/>
        <v>487.08893998325709</v>
      </c>
      <c r="G111" s="28">
        <f ca="1"/>
        <v>544.13440332660605</v>
      </c>
      <c r="H111" s="28">
        <f ca="1"/>
        <v>514.72972336799796</v>
      </c>
      <c r="I111" s="28">
        <f ca="1"/>
        <v>568.71956732705803</v>
      </c>
      <c r="J111" s="28">
        <f ca="1"/>
        <v>474.70683854029522</v>
      </c>
      <c r="K111" s="28">
        <f ca="1"/>
        <v>487.8759218625604</v>
      </c>
      <c r="L111" s="28">
        <f ca="1"/>
        <v>496.36920318794313</v>
      </c>
      <c r="M111" s="28">
        <f ca="1"/>
        <v>501.84686825443521</v>
      </c>
      <c r="N111" s="4" t="str">
        <f>'Base data'!$G$35</f>
        <v>Mtonne</v>
      </c>
    </row>
    <row r="112" spans="1:30" s="6" customFormat="1" x14ac:dyDescent="0.25">
      <c r="A112" s="4" t="s">
        <v>153</v>
      </c>
      <c r="B112" s="4"/>
      <c r="C112" s="4"/>
      <c r="D112" s="14">
        <f t="array" ref="D112:M112" ca="1">teay_n2o*RES_N2O*(1-EXPF_N2O)/YP</f>
        <v>56.251150415579197</v>
      </c>
      <c r="E112" s="14">
        <f ca="1"/>
        <v>110.9487126822728</v>
      </c>
      <c r="F112" s="14">
        <f ca="1"/>
        <v>106.93259894347693</v>
      </c>
      <c r="G112" s="14">
        <f ca="1"/>
        <v>96.8083852348947</v>
      </c>
      <c r="H112" s="14">
        <f ca="1"/>
        <v>193.44135913132996</v>
      </c>
      <c r="I112" s="14">
        <f ca="1"/>
        <v>167.32739389902318</v>
      </c>
      <c r="J112" s="14">
        <f ca="1"/>
        <v>281.75917498191905</v>
      </c>
      <c r="K112" s="14">
        <f ca="1"/>
        <v>281.75917498191905</v>
      </c>
      <c r="L112" s="14">
        <f ca="1"/>
        <v>281.75917498191905</v>
      </c>
      <c r="M112" s="14">
        <f ca="1"/>
        <v>281.75917498191905</v>
      </c>
      <c r="N112" s="4" t="str">
        <f>'Base data'!$G$35</f>
        <v>Mtonne</v>
      </c>
      <c r="O112" s="4"/>
      <c r="P112" s="4"/>
      <c r="Q112" s="4"/>
      <c r="R112" s="4"/>
      <c r="S112" s="4"/>
      <c r="T112" s="4"/>
      <c r="U112" s="4"/>
      <c r="V112" s="4"/>
      <c r="W112" s="4"/>
      <c r="X112" s="4"/>
    </row>
    <row r="113" spans="1:24" s="4" customFormat="1" ht="15.5" x14ac:dyDescent="0.4">
      <c r="A113" s="4" t="s">
        <v>154</v>
      </c>
      <c r="B113" s="58" t="s">
        <v>122</v>
      </c>
      <c r="C113" s="14">
        <f>RE_N2O_0</f>
        <v>421.2</v>
      </c>
      <c r="D113" s="14">
        <f t="shared" ref="D113:M113" ca="1" si="2">SUM(D111:D112)</f>
        <v>459.37673236199919</v>
      </c>
      <c r="E113" s="14">
        <f t="shared" ca="1" si="2"/>
        <v>531.74605383180392</v>
      </c>
      <c r="F113" s="14">
        <f t="shared" ca="1" si="2"/>
        <v>594.02153892673402</v>
      </c>
      <c r="G113" s="14">
        <f t="shared" ca="1" si="2"/>
        <v>640.94278856150072</v>
      </c>
      <c r="H113" s="14">
        <f t="shared" ca="1" si="2"/>
        <v>708.17108249932789</v>
      </c>
      <c r="I113" s="14">
        <f t="shared" ca="1" si="2"/>
        <v>736.04696122608118</v>
      </c>
      <c r="J113" s="14">
        <f t="shared" ca="1" si="2"/>
        <v>756.46601352221433</v>
      </c>
      <c r="K113" s="14">
        <f t="shared" ca="1" si="2"/>
        <v>769.63509684447945</v>
      </c>
      <c r="L113" s="14">
        <f t="shared" ca="1" si="2"/>
        <v>778.12837816986212</v>
      </c>
      <c r="M113" s="14">
        <f t="shared" ca="1" si="2"/>
        <v>783.60604323635425</v>
      </c>
      <c r="N113" s="4" t="str">
        <f>'Base data'!$G$35</f>
        <v>Mtonne</v>
      </c>
    </row>
    <row r="114" spans="1:24" s="4" customFormat="1" ht="15.5" x14ac:dyDescent="0.4">
      <c r="A114" s="4" t="s">
        <v>155</v>
      </c>
      <c r="B114" s="58" t="s">
        <v>123</v>
      </c>
      <c r="C114" s="14">
        <f>C_N2O_0</f>
        <v>324</v>
      </c>
      <c r="D114" s="14">
        <f t="array" ref="D114:M114" ca="1">PIC_N2O+EXC_N2O*(re_n2o/RE_N2O_0)</f>
        <v>328.89445286692296</v>
      </c>
      <c r="E114" s="14">
        <f ca="1"/>
        <v>338.17257100407744</v>
      </c>
      <c r="F114" s="14">
        <f ca="1"/>
        <v>346.15660755470947</v>
      </c>
      <c r="G114" s="14">
        <f ca="1"/>
        <v>352.17215237967957</v>
      </c>
      <c r="H114" s="14">
        <f ca="1"/>
        <v>360.79116442299073</v>
      </c>
      <c r="I114" s="14">
        <f ca="1"/>
        <v>364.36499502898477</v>
      </c>
      <c r="J114" s="14">
        <f ca="1"/>
        <v>366.98282224643776</v>
      </c>
      <c r="K114" s="14">
        <f ca="1"/>
        <v>368.67116626211276</v>
      </c>
      <c r="L114" s="14">
        <f ca="1"/>
        <v>369.76004848331564</v>
      </c>
      <c r="M114" s="14">
        <f ca="1"/>
        <v>370.46231323543003</v>
      </c>
      <c r="N114" s="4" t="str">
        <f>'Base data'!$F$19</f>
        <v>ppb</v>
      </c>
    </row>
    <row r="115" spans="1:24" s="4" customFormat="1" x14ac:dyDescent="0.25">
      <c r="A115" s="6" t="s">
        <v>160</v>
      </c>
      <c r="B115" s="6"/>
      <c r="C115" s="26">
        <f>F_N2O_0</f>
        <v>0.17</v>
      </c>
      <c r="D115" s="26">
        <f t="array" ref="D115:M115" ca="1">F_N2O_0+FSLOPE_N2O*(SQRT(c_n2o)-SQRT(C_N2O_0))</f>
        <v>0.18625368955085081</v>
      </c>
      <c r="E115" s="26">
        <f ca="1"/>
        <v>0.21673628294336866</v>
      </c>
      <c r="F115" s="26">
        <f ca="1"/>
        <v>0.24263412783819477</v>
      </c>
      <c r="G115" s="26">
        <f ca="1"/>
        <v>0.26195004257807331</v>
      </c>
      <c r="H115" s="26">
        <f ca="1"/>
        <v>0.28934042382682862</v>
      </c>
      <c r="I115" s="26">
        <f ca="1"/>
        <v>0.30060165205942813</v>
      </c>
      <c r="J115" s="26">
        <f ca="1"/>
        <v>0.30881548636438072</v>
      </c>
      <c r="K115" s="26">
        <f ca="1"/>
        <v>0.31409739251066027</v>
      </c>
      <c r="L115" s="26">
        <f ca="1"/>
        <v>0.31749749689132811</v>
      </c>
      <c r="M115" s="26">
        <f ca="1"/>
        <v>0.31968770845545091</v>
      </c>
      <c r="N115" s="6" t="str">
        <f>'Base data'!$F$21</f>
        <v>W/m2</v>
      </c>
      <c r="O115" s="6"/>
      <c r="P115" s="6"/>
      <c r="Q115" s="6"/>
      <c r="R115" s="6"/>
      <c r="S115" s="6"/>
      <c r="T115" s="6"/>
      <c r="U115" s="6"/>
      <c r="V115" s="6"/>
      <c r="W115" s="6"/>
      <c r="X115" s="6"/>
    </row>
    <row r="116" spans="1:24" s="4" customFormat="1" x14ac:dyDescent="0.25">
      <c r="A116" s="6" t="s">
        <v>157</v>
      </c>
      <c r="B116" s="6"/>
      <c r="C116" s="26">
        <v>0</v>
      </c>
      <c r="D116" s="26">
        <f t="array" ref="D116:M116" ca="1">-(0.47*LN(1+0.00002*(c_ch4*C_N2O_0)^0.75+0.0000000000000053*c_ch4*(c_ch4*C_N2O_0)^1.52)-0.47*LN(1+0.00002*(C_CH4_0*C_N2O_0)^0.75+0.0000000000000053*C_CH4_0*(C_CH4_0*C_N2O_0)^1.52))</f>
        <v>-2.8494407615878015E-3</v>
      </c>
      <c r="E116" s="26">
        <f ca="1"/>
        <v>3.3450164844796015E-3</v>
      </c>
      <c r="F116" s="26">
        <f ca="1"/>
        <v>8.2262104353389154E-3</v>
      </c>
      <c r="G116" s="26">
        <f ca="1"/>
        <v>1.3690864300432787E-2</v>
      </c>
      <c r="H116" s="26">
        <f ca="1"/>
        <v>2.5048780498165862E-2</v>
      </c>
      <c r="I116" s="26">
        <f ca="1"/>
        <v>3.3340537729058484E-2</v>
      </c>
      <c r="J116" s="26">
        <f ca="1"/>
        <v>3.8014989482563627E-2</v>
      </c>
      <c r="K116" s="26">
        <f ca="1"/>
        <v>3.8717817267668542E-2</v>
      </c>
      <c r="L116" s="26">
        <f ca="1"/>
        <v>3.9170405344663983E-2</v>
      </c>
      <c r="M116" s="26">
        <f ca="1"/>
        <v>3.9591830295788222E-2</v>
      </c>
      <c r="N116" s="6" t="str">
        <f>'Base data'!$F$21</f>
        <v>W/m2</v>
      </c>
      <c r="O116" s="6"/>
      <c r="P116" s="6"/>
      <c r="Q116" s="6"/>
      <c r="R116" s="6"/>
      <c r="S116" s="6"/>
      <c r="T116" s="6"/>
      <c r="U116" s="6"/>
      <c r="V116" s="6"/>
      <c r="W116" s="6"/>
      <c r="X116" s="6"/>
    </row>
    <row r="117" spans="1:24" s="6" customFormat="1" x14ac:dyDescent="0.25">
      <c r="A117" s="6" t="s">
        <v>158</v>
      </c>
      <c r="C117" s="26">
        <v>0</v>
      </c>
      <c r="D117" s="26">
        <f t="array" ref="D117:M117" ca="1">-(0.47*LN(1+0.00002*(C_CH4_0*c_n2o)^0.75+0.0000000000000053*C_CH4_0*(C_CH4_0*c_n2o)^1.52)-0.47*LN(1+0.00002*(C_CH4_0*C_N2O_0)^0.75+0.0000000000000053*C_CH4_0*(C_CH4_0*C_N2O_0)^1.52))</f>
        <v>-1.6121877167725451E-3</v>
      </c>
      <c r="E117" s="26">
        <f ca="1"/>
        <v>-4.6383234301945186E-3</v>
      </c>
      <c r="F117" s="26">
        <f ca="1"/>
        <v>-7.2117875388282571E-3</v>
      </c>
      <c r="G117" s="26">
        <f ca="1"/>
        <v>-9.1325740564895119E-3</v>
      </c>
      <c r="H117" s="26">
        <f ca="1"/>
        <v>-1.1858138789975409E-2</v>
      </c>
      <c r="I117" s="26">
        <f ca="1"/>
        <v>-1.2979309785028315E-2</v>
      </c>
      <c r="J117" s="26">
        <f ca="1"/>
        <v>-1.3797285289546213E-2</v>
      </c>
      <c r="K117" s="26">
        <f ca="1"/>
        <v>-1.4323372493051517E-2</v>
      </c>
      <c r="L117" s="26">
        <f ca="1"/>
        <v>-1.4662064588241985E-2</v>
      </c>
      <c r="M117" s="26">
        <f ca="1"/>
        <v>-1.4880251110628268E-2</v>
      </c>
      <c r="N117" s="6" t="str">
        <f>'Base data'!$F$21</f>
        <v>W/m2</v>
      </c>
    </row>
    <row r="118" spans="1:24" s="6" customFormat="1" ht="15.5" x14ac:dyDescent="0.4">
      <c r="A118" s="6" t="s">
        <v>73</v>
      </c>
      <c r="B118" s="6" t="s">
        <v>74</v>
      </c>
      <c r="C118" s="26">
        <f>F_CH4_0</f>
        <v>0.48</v>
      </c>
      <c r="D118" s="26">
        <f t="array" ref="D118:M118" ca="1">f_ch4_no_over+over_ch4</f>
        <v>0.49712104023044801</v>
      </c>
      <c r="E118" s="26">
        <f ca="1"/>
        <v>0.45983894521899549</v>
      </c>
      <c r="F118" s="26">
        <f ca="1"/>
        <v>0.43029482059997382</v>
      </c>
      <c r="G118" s="26">
        <f ca="1"/>
        <v>0.3970375258709844</v>
      </c>
      <c r="H118" s="26">
        <f ca="1"/>
        <v>0.32725746855329774</v>
      </c>
      <c r="I118" s="26">
        <f ca="1"/>
        <v>0.2757034063149657</v>
      </c>
      <c r="J118" s="26">
        <f ca="1"/>
        <v>0.24639012309514305</v>
      </c>
      <c r="K118" s="26">
        <f ca="1"/>
        <v>0.24196623327456418</v>
      </c>
      <c r="L118" s="26">
        <f ca="1"/>
        <v>0.23911511638370986</v>
      </c>
      <c r="M118" s="26">
        <f ca="1"/>
        <v>0.23645865471668698</v>
      </c>
      <c r="N118" s="6" t="str">
        <f>'Base data'!$F$21</f>
        <v>W/m2</v>
      </c>
    </row>
    <row r="119" spans="1:24" s="6" customFormat="1" ht="16" thickBot="1" x14ac:dyDescent="0.45">
      <c r="A119" s="6" t="s">
        <v>156</v>
      </c>
      <c r="B119" s="57" t="s">
        <v>124</v>
      </c>
      <c r="C119" s="35">
        <f>F_N2O_0</f>
        <v>0.17</v>
      </c>
      <c r="D119" s="35">
        <f t="array" ref="D119:M119" ca="1">f_n2o_no_over+over_n2o</f>
        <v>0.18464150183407826</v>
      </c>
      <c r="E119" s="35">
        <f ca="1"/>
        <v>0.21209795951317414</v>
      </c>
      <c r="F119" s="35">
        <f ca="1"/>
        <v>0.23542234029936651</v>
      </c>
      <c r="G119" s="35">
        <f ca="1"/>
        <v>0.25281746852158382</v>
      </c>
      <c r="H119" s="35">
        <f ca="1"/>
        <v>0.27748228503685324</v>
      </c>
      <c r="I119" s="35">
        <f ca="1"/>
        <v>0.28762234227439981</v>
      </c>
      <c r="J119" s="35">
        <f ca="1"/>
        <v>0.29501820107483451</v>
      </c>
      <c r="K119" s="35">
        <f ca="1"/>
        <v>0.29977402001760878</v>
      </c>
      <c r="L119" s="35">
        <f ca="1"/>
        <v>0.30283543230308613</v>
      </c>
      <c r="M119" s="35">
        <f ca="1"/>
        <v>0.30480745734482262</v>
      </c>
    </row>
    <row r="120" spans="1:24" s="6" customFormat="1" ht="13" thickTop="1" x14ac:dyDescent="0.25"/>
    <row r="121" spans="1:24" s="6" customFormat="1" ht="15.5" x14ac:dyDescent="0.4">
      <c r="A121" s="4" t="str">
        <f>"Natural emissions of "&amp;GLIN_NAME</f>
        <v>Natural emissions of Lin</v>
      </c>
      <c r="B121" s="58" t="s">
        <v>174</v>
      </c>
      <c r="C121" s="27">
        <f ca="1">STIM_GLIN*RT_G_0</f>
        <v>0</v>
      </c>
      <c r="D121" s="27">
        <f t="array" ref="D121:M121" ca="1">STIM_GLIN*rt_g</f>
        <v>0</v>
      </c>
      <c r="E121" s="27">
        <f ca="1"/>
        <v>0</v>
      </c>
      <c r="F121" s="27">
        <f ca="1"/>
        <v>0</v>
      </c>
      <c r="G121" s="27">
        <f ca="1"/>
        <v>0</v>
      </c>
      <c r="H121" s="27">
        <f ca="1"/>
        <v>0</v>
      </c>
      <c r="I121" s="27">
        <f ca="1"/>
        <v>0</v>
      </c>
      <c r="J121" s="27">
        <f ca="1"/>
        <v>0</v>
      </c>
      <c r="K121" s="27">
        <f ca="1"/>
        <v>0</v>
      </c>
      <c r="L121" s="27">
        <f ca="1"/>
        <v>0</v>
      </c>
      <c r="M121" s="27">
        <f ca="1"/>
        <v>0</v>
      </c>
      <c r="N121" s="4" t="s">
        <v>572</v>
      </c>
      <c r="O121" s="4"/>
      <c r="P121" s="4"/>
      <c r="Q121" s="4"/>
      <c r="R121" s="4"/>
      <c r="S121" s="4"/>
      <c r="T121" s="4"/>
      <c r="U121" s="4"/>
      <c r="V121" s="4"/>
      <c r="W121" s="4"/>
      <c r="X121" s="4"/>
    </row>
    <row r="122" spans="1:24" s="6" customFormat="1" ht="15.5" x14ac:dyDescent="0.4">
      <c r="A122" s="4" t="str">
        <f>"Total emissions to air of "&amp;GLIN_NAME</f>
        <v>Total emissions to air of Lin</v>
      </c>
      <c r="B122" s="58" t="s">
        <v>175</v>
      </c>
      <c r="C122" s="28">
        <f ca="1">(E_GLIN_G_0+NTE_GLIN_0)*AIR_GLIN/100</f>
        <v>631.21629832267081</v>
      </c>
      <c r="D122" s="28">
        <f t="array" ref="D122:M122" ca="1">(e_glin_g+nte_glin)*AIR_GLIN/100</f>
        <v>568.09466849040359</v>
      </c>
      <c r="E122" s="28">
        <f ca="1"/>
        <v>400.47620595317676</v>
      </c>
      <c r="F122" s="28">
        <f ca="1"/>
        <v>270.62071187851728</v>
      </c>
      <c r="G122" s="28">
        <f ca="1"/>
        <v>117.39880362756787</v>
      </c>
      <c r="H122" s="28">
        <f ca="1"/>
        <v>110.50363494106246</v>
      </c>
      <c r="I122" s="28">
        <f ca="1"/>
        <v>104.01343930152429</v>
      </c>
      <c r="J122" s="28">
        <f ca="1"/>
        <v>104.01343930152429</v>
      </c>
      <c r="K122" s="28">
        <f ca="1"/>
        <v>104.01343930152429</v>
      </c>
      <c r="L122" s="28">
        <f ca="1"/>
        <v>104.01343930152429</v>
      </c>
      <c r="M122" s="28">
        <f ca="1"/>
        <v>104.01343930152429</v>
      </c>
      <c r="N122" s="4" t="s">
        <v>572</v>
      </c>
      <c r="O122" s="4"/>
      <c r="P122" s="4"/>
      <c r="Q122" s="4"/>
      <c r="R122" s="4"/>
      <c r="S122" s="4"/>
      <c r="T122" s="4"/>
      <c r="U122" s="4"/>
      <c r="V122" s="4"/>
      <c r="W122" s="4"/>
      <c r="X122" s="4"/>
    </row>
    <row r="123" spans="1:24" s="4" customFormat="1" ht="15.5" x14ac:dyDescent="0.4">
      <c r="A123" s="4" t="str">
        <f>"Total this period of "&amp;GLIN_NAME</f>
        <v>Total this period of Lin</v>
      </c>
      <c r="B123" s="58" t="s">
        <v>176</v>
      </c>
      <c r="D123" s="28">
        <f ca="1">(TEA_GLIN_0+tea_glin)*YP_1/2</f>
        <v>2998.2774170326861</v>
      </c>
      <c r="E123" s="28">
        <f t="array" ref="E123:M123" ca="1">(tea_glin+tea_glin_not_1)*YP_NOT_1/2</f>
        <v>4842.854372217902</v>
      </c>
      <c r="F123" s="28">
        <f ca="1"/>
        <v>3355.4845891584705</v>
      </c>
      <c r="G123" s="28">
        <f ca="1"/>
        <v>1940.0975775304257</v>
      </c>
      <c r="H123" s="28">
        <f ca="1"/>
        <v>2848.7804821078789</v>
      </c>
      <c r="I123" s="28">
        <f ca="1"/>
        <v>2681.4634280323344</v>
      </c>
      <c r="J123" s="28">
        <f ca="1"/>
        <v>5200.6719650762143</v>
      </c>
      <c r="K123" s="28">
        <f ca="1"/>
        <v>5200.6719650762143</v>
      </c>
      <c r="L123" s="28">
        <f ca="1"/>
        <v>5200.6719650762143</v>
      </c>
      <c r="M123" s="28">
        <f ca="1"/>
        <v>5200.6719650762143</v>
      </c>
      <c r="N123" s="4" t="str">
        <f>'Base data'!$G$35</f>
        <v>Mtonne</v>
      </c>
    </row>
    <row r="124" spans="1:24" s="4" customFormat="1" x14ac:dyDescent="0.25">
      <c r="A124" s="6" t="str">
        <f>"Exponential factor for "&amp;GLIN_NAME</f>
        <v>Exponential factor for Lin</v>
      </c>
      <c r="B124" s="6"/>
      <c r="C124" s="6"/>
      <c r="D124" s="26">
        <f t="array" ref="D124:M124">EXP(-(YP/RES_GLIN))</f>
        <v>0.99501247919268232</v>
      </c>
      <c r="E124" s="26">
        <v>0.99004983374916811</v>
      </c>
      <c r="F124" s="26">
        <v>0.99004983374916811</v>
      </c>
      <c r="G124" s="26">
        <v>0.99004983374916811</v>
      </c>
      <c r="H124" s="26">
        <v>0.97530991202833262</v>
      </c>
      <c r="I124" s="26">
        <v>0.97530991202833262</v>
      </c>
      <c r="J124" s="26">
        <v>0.95122942450071402</v>
      </c>
      <c r="K124" s="26">
        <v>0.95122942450071402</v>
      </c>
      <c r="L124" s="26">
        <v>0.95122942450071402</v>
      </c>
      <c r="M124" s="26">
        <v>0.95122942450071402</v>
      </c>
      <c r="N124" s="6"/>
      <c r="O124" s="6"/>
      <c r="P124" s="6"/>
      <c r="Q124" s="6"/>
      <c r="R124" s="6"/>
      <c r="S124" s="6"/>
      <c r="T124" s="6"/>
      <c r="U124" s="6"/>
      <c r="V124" s="6"/>
      <c r="W124" s="6"/>
      <c r="X124" s="6"/>
    </row>
    <row r="125" spans="1:24" s="4" customFormat="1" x14ac:dyDescent="0.25">
      <c r="A125" s="4" t="str">
        <f>"Remaining emissions factor for "&amp;GLIN_NAME</f>
        <v>Remaining emissions factor for Lin</v>
      </c>
      <c r="D125" s="28">
        <f>RE_GLIN_0*EXPF_GLIN</f>
        <v>10945.137271119505</v>
      </c>
      <c r="E125" s="28">
        <f t="array" ref="E125:M125" ca="1">re_glin*EXPF_GLIN_NOT_1</f>
        <v>13797.266636826824</v>
      </c>
      <c r="F125" s="28">
        <f ca="1"/>
        <v>18430.75508197918</v>
      </c>
      <c r="G125" s="28">
        <f ca="1"/>
        <v>21552.907709769457</v>
      </c>
      <c r="H125" s="28">
        <f ca="1"/>
        <v>22903.531395971786</v>
      </c>
      <c r="I125" s="28">
        <f ca="1"/>
        <v>25082.04210567629</v>
      </c>
      <c r="J125" s="28">
        <f ca="1"/>
        <v>26377.843848752284</v>
      </c>
      <c r="K125" s="28">
        <f ca="1"/>
        <v>29916.773372315991</v>
      </c>
      <c r="L125" s="28">
        <f ca="1"/>
        <v>33283.107266364088</v>
      </c>
      <c r="M125" s="28">
        <f ca="1"/>
        <v>36485.263119076706</v>
      </c>
      <c r="N125" s="4" t="str">
        <f>'Base data'!$G$35</f>
        <v>Mtonne</v>
      </c>
    </row>
    <row r="126" spans="1:24" s="6" customFormat="1" x14ac:dyDescent="0.25">
      <c r="A126" s="4" t="str">
        <f>"Total this period factor for "&amp;GLIN_NAME</f>
        <v>Total this period factor for Lin</v>
      </c>
      <c r="B126" s="4"/>
      <c r="C126" s="4"/>
      <c r="D126" s="28">
        <f t="array" ref="D126:M126" ca="1">teay_glin*RES_GLIN*(1-EXPF_GLIN)/YP</f>
        <v>2990.7942007122465</v>
      </c>
      <c r="E126" s="28">
        <f ca="1"/>
        <v>4818.7206132136243</v>
      </c>
      <c r="F126" s="28">
        <f ca="1"/>
        <v>3338.7629514231135</v>
      </c>
      <c r="G126" s="28">
        <f ca="1"/>
        <v>1930.4293439263954</v>
      </c>
      <c r="H126" s="28">
        <f ca="1"/>
        <v>2813.4656286085024</v>
      </c>
      <c r="I126" s="28">
        <f ca="1"/>
        <v>2648.2227172370854</v>
      </c>
      <c r="J126" s="28">
        <f ca="1"/>
        <v>5072.7952943953906</v>
      </c>
      <c r="K126" s="28">
        <f ca="1"/>
        <v>5072.7952943953906</v>
      </c>
      <c r="L126" s="28">
        <f ca="1"/>
        <v>5072.7952943953906</v>
      </c>
      <c r="M126" s="28">
        <f ca="1"/>
        <v>5072.7952943953906</v>
      </c>
      <c r="N126" s="4" t="str">
        <f>'Base data'!$G$35</f>
        <v>Mtonne</v>
      </c>
      <c r="O126" s="4"/>
      <c r="P126" s="4"/>
      <c r="Q126" s="4"/>
      <c r="R126" s="4"/>
      <c r="S126" s="4"/>
      <c r="T126" s="4"/>
      <c r="U126" s="4"/>
      <c r="V126" s="4"/>
      <c r="W126" s="4"/>
      <c r="X126" s="4"/>
    </row>
    <row r="127" spans="1:24" s="4" customFormat="1" ht="15.5" x14ac:dyDescent="0.4">
      <c r="A127" s="4" t="str">
        <f>"Remaining emissions of "&amp;GLIN_NAME</f>
        <v>Remaining emissions of Lin</v>
      </c>
      <c r="B127" s="58" t="s">
        <v>177</v>
      </c>
      <c r="C127" s="28">
        <f>RE_GLIN_0</f>
        <v>11000</v>
      </c>
      <c r="D127" s="28">
        <f t="shared" ref="D127:M127" ca="1" si="3">SUM(D125:D126)</f>
        <v>13935.931471831751</v>
      </c>
      <c r="E127" s="28">
        <f t="shared" ca="1" si="3"/>
        <v>18615.987250040449</v>
      </c>
      <c r="F127" s="28">
        <f t="shared" ca="1" si="3"/>
        <v>21769.518033402292</v>
      </c>
      <c r="G127" s="28">
        <f t="shared" ca="1" si="3"/>
        <v>23483.337053695854</v>
      </c>
      <c r="H127" s="28">
        <f t="shared" ca="1" si="3"/>
        <v>25716.997024580287</v>
      </c>
      <c r="I127" s="28">
        <f t="shared" ca="1" si="3"/>
        <v>27730.264822913374</v>
      </c>
      <c r="J127" s="28">
        <f t="shared" ca="1" si="3"/>
        <v>31450.639143147673</v>
      </c>
      <c r="K127" s="28">
        <f t="shared" ca="1" si="3"/>
        <v>34989.568666711384</v>
      </c>
      <c r="L127" s="28">
        <f t="shared" ca="1" si="3"/>
        <v>38355.902560759481</v>
      </c>
      <c r="M127" s="28">
        <f t="shared" ca="1" si="3"/>
        <v>41558.058413472099</v>
      </c>
      <c r="N127" s="4" t="str">
        <f>'Base data'!$G$35</f>
        <v>Mtonne</v>
      </c>
    </row>
    <row r="128" spans="1:24" s="4" customFormat="1" ht="15.5" x14ac:dyDescent="0.4">
      <c r="A128" s="4" t="str">
        <f>"Concentration of "&amp;GLIN_NAME</f>
        <v>Concentration of Lin</v>
      </c>
      <c r="B128" s="58" t="s">
        <v>178</v>
      </c>
      <c r="C128" s="28">
        <f>C_GLIN_0</f>
        <v>0.11</v>
      </c>
      <c r="D128" s="28">
        <f t="array" ref="D128:M128" ca="1">PIC_GLIN+EXC_GLIN*(re_glin/RE_GLIN_0)</f>
        <v>0.1393593147183175</v>
      </c>
      <c r="E128" s="28">
        <f ca="1"/>
        <v>0.1861598725004045</v>
      </c>
      <c r="F128" s="28">
        <f ca="1"/>
        <v>0.21769518033402291</v>
      </c>
      <c r="G128" s="28">
        <f ca="1"/>
        <v>0.23483337053695855</v>
      </c>
      <c r="H128" s="28">
        <f ca="1"/>
        <v>0.25716997024580285</v>
      </c>
      <c r="I128" s="28">
        <f ca="1"/>
        <v>0.27730264822913375</v>
      </c>
      <c r="J128" s="28">
        <f ca="1"/>
        <v>0.31450639143147674</v>
      </c>
      <c r="K128" s="28">
        <f ca="1"/>
        <v>0.34989568666711385</v>
      </c>
      <c r="L128" s="28">
        <f ca="1"/>
        <v>0.38355902560759481</v>
      </c>
      <c r="M128" s="28">
        <f ca="1"/>
        <v>0.41558058413472099</v>
      </c>
      <c r="N128" s="4" t="str">
        <f>'Base data'!$F$19</f>
        <v>ppb</v>
      </c>
    </row>
    <row r="129" spans="1:25" s="4" customFormat="1" ht="15.5" x14ac:dyDescent="0.4">
      <c r="A129" s="6" t="str">
        <f>"Forcing from "&amp;GLIN_NAME</f>
        <v>Forcing from Lin</v>
      </c>
      <c r="B129" s="57" t="s">
        <v>179</v>
      </c>
      <c r="C129" s="28">
        <f>F_GLIN_0</f>
        <v>2.1999999999999999E-2</v>
      </c>
      <c r="D129" s="28">
        <f t="array" ref="D129:M129" ca="1">F_GLIN_0+FSLOPE_GLIN*(c_glin-C_GLIN_0)</f>
        <v>2.7871862943663499E-2</v>
      </c>
      <c r="E129" s="28">
        <f ca="1"/>
        <v>3.7231974500080901E-2</v>
      </c>
      <c r="F129" s="28">
        <f ca="1"/>
        <v>4.3539036066804579E-2</v>
      </c>
      <c r="G129" s="28">
        <f ca="1"/>
        <v>4.6966674107391707E-2</v>
      </c>
      <c r="H129" s="28">
        <f ca="1"/>
        <v>5.1433994049160575E-2</v>
      </c>
      <c r="I129" s="28">
        <f ca="1"/>
        <v>5.5460529645826755E-2</v>
      </c>
      <c r="J129" s="28">
        <f ca="1"/>
        <v>6.2901278286295353E-2</v>
      </c>
      <c r="K129" s="28">
        <f ca="1"/>
        <v>6.9979137333422772E-2</v>
      </c>
      <c r="L129" s="28">
        <f ca="1"/>
        <v>7.6711805121518956E-2</v>
      </c>
      <c r="M129" s="28">
        <f ca="1"/>
        <v>8.3116116826944197E-2</v>
      </c>
      <c r="N129" s="6" t="str">
        <f>'Base data'!$F$21</f>
        <v>W/m2</v>
      </c>
      <c r="O129" s="6"/>
      <c r="P129" s="6"/>
      <c r="Q129" s="6"/>
      <c r="R129" s="6"/>
      <c r="S129" s="6"/>
      <c r="T129" s="6"/>
      <c r="U129" s="6"/>
      <c r="V129" s="6"/>
      <c r="W129" s="6"/>
      <c r="X129" s="6"/>
      <c r="Y129" s="6"/>
    </row>
    <row r="130" spans="1:25" s="4" customFormat="1" x14ac:dyDescent="0.25">
      <c r="A130" s="6"/>
      <c r="B130" s="57"/>
      <c r="C130" s="1"/>
      <c r="D130" s="1"/>
      <c r="E130" s="1"/>
      <c r="F130" s="1"/>
      <c r="G130" s="1"/>
      <c r="H130" s="1"/>
      <c r="I130" s="1"/>
      <c r="J130" s="1"/>
      <c r="K130" s="1"/>
      <c r="L130" s="1"/>
      <c r="M130" s="1"/>
      <c r="N130" s="6"/>
      <c r="O130" s="6"/>
      <c r="P130" s="6"/>
      <c r="Q130" s="6"/>
      <c r="R130" s="6"/>
      <c r="S130" s="6"/>
      <c r="T130" s="6"/>
      <c r="U130" s="6"/>
      <c r="V130" s="6"/>
      <c r="W130" s="6"/>
      <c r="X130" s="6"/>
      <c r="Y130" s="1"/>
    </row>
    <row r="131" spans="1:25" s="6" customFormat="1" ht="13" thickBot="1" x14ac:dyDescent="0.3">
      <c r="A131" s="4" t="s">
        <v>125</v>
      </c>
      <c r="B131" s="4" t="s">
        <v>75</v>
      </c>
      <c r="C131" s="35">
        <f>F_CO2_0+F_CH4_0+F_N2O_0+F_GLIN_0+EXF_0</f>
        <v>3.202</v>
      </c>
      <c r="D131" s="35">
        <f t="array" ref="D131:M131" ca="1">f_co2+f_ch4+f_n2o+f_glin+exf_a</f>
        <v>3.341876567707097</v>
      </c>
      <c r="E131" s="35">
        <f ca="1"/>
        <v>3.460649312467742</v>
      </c>
      <c r="F131" s="35">
        <f ca="1"/>
        <v>3.4166007486063079</v>
      </c>
      <c r="G131" s="35">
        <f ca="1"/>
        <v>3.3270938153818963</v>
      </c>
      <c r="H131" s="35">
        <f ca="1"/>
        <v>3.1076009281318657</v>
      </c>
      <c r="I131" s="35">
        <f ca="1"/>
        <v>2.8532957478457632</v>
      </c>
      <c r="J131" s="35">
        <f ca="1"/>
        <v>2.571438411255687</v>
      </c>
      <c r="K131" s="35">
        <f ca="1"/>
        <v>2.3904927036865056</v>
      </c>
      <c r="L131" s="35">
        <f ca="1"/>
        <v>2.2390454521142171</v>
      </c>
      <c r="M131" s="35">
        <f ca="1"/>
        <v>2.1033514080204188</v>
      </c>
      <c r="N131" s="6" t="str">
        <f>'Base data'!$F$21</f>
        <v>W/m2</v>
      </c>
    </row>
    <row r="132" spans="1:25" s="6" customFormat="1" ht="13" thickTop="1" x14ac:dyDescent="0.25">
      <c r="A132" s="4"/>
      <c r="B132" s="4"/>
      <c r="O132"/>
      <c r="P132"/>
      <c r="Q132"/>
      <c r="R132"/>
      <c r="S132"/>
      <c r="T132"/>
      <c r="U132"/>
      <c r="V132"/>
      <c r="W132"/>
      <c r="X132"/>
      <c r="Y132"/>
    </row>
    <row r="133" spans="1:25" s="1" customFormat="1" x14ac:dyDescent="0.25">
      <c r="A133" s="57" t="s">
        <v>193</v>
      </c>
      <c r="B133" s="1" t="str">
        <f t="array" ref="B133:B140">R_CODE</f>
        <v>EU</v>
      </c>
      <c r="C133" s="26">
        <f t="array" aca="1" ref="C133:C140" ca="1">D*SFX_0/SFX_G_0</f>
        <v>-2.3910297514986536</v>
      </c>
      <c r="D133" s="26">
        <f t="array" aca="1" ref="D133:M140" ca="1">FSD_0*sfx/SFX_0</f>
        <v>-1.2104415428798694</v>
      </c>
      <c r="E133" s="26">
        <f ca="1"/>
        <v>-0.55603473848423168</v>
      </c>
      <c r="F133" s="26">
        <f ca="1"/>
        <v>-0.27099310781378483</v>
      </c>
      <c r="G133" s="26">
        <f ca="1"/>
        <v>-0.19385895739015402</v>
      </c>
      <c r="H133" s="26">
        <f ca="1"/>
        <v>-0.12656790894215811</v>
      </c>
      <c r="I133" s="26">
        <f ca="1"/>
        <v>-0.10260936633449454</v>
      </c>
      <c r="J133" s="26">
        <f ca="1"/>
        <v>-0.10260936633449454</v>
      </c>
      <c r="K133" s="26">
        <f ca="1"/>
        <v>-0.10260936633449454</v>
      </c>
      <c r="L133" s="26">
        <f ca="1"/>
        <v>-0.10260936633449454</v>
      </c>
      <c r="M133" s="26">
        <f ca="1"/>
        <v>-0.10260936633449454</v>
      </c>
      <c r="N133" s="6" t="str">
        <f>'Base data'!$F$21</f>
        <v>W/m2</v>
      </c>
      <c r="O133" s="6"/>
      <c r="P133" s="6"/>
      <c r="Q133" s="6"/>
      <c r="R133" s="6"/>
      <c r="S133" s="6"/>
      <c r="T133" s="6"/>
      <c r="U133" s="6"/>
      <c r="V133" s="6"/>
      <c r="W133" s="6"/>
      <c r="X133" s="6"/>
      <c r="Y133" s="6"/>
    </row>
    <row r="134" spans="1:25" s="1" customFormat="1" x14ac:dyDescent="0.25">
      <c r="A134" s="6"/>
      <c r="B134" s="1" t="str">
        <v>US</v>
      </c>
      <c r="C134" s="26">
        <f ca="1"/>
        <v>-1.5636182395385172</v>
      </c>
      <c r="D134" s="26">
        <f ca="1"/>
        <v>-0.79157044079264094</v>
      </c>
      <c r="E134" s="26">
        <f ca="1"/>
        <v>-0.36361992499927431</v>
      </c>
      <c r="F134" s="26">
        <f ca="1"/>
        <v>-0.17721643400768047</v>
      </c>
      <c r="G134" s="26">
        <f ca="1"/>
        <v>-0.1267744165388047</v>
      </c>
      <c r="H134" s="26">
        <f ca="1"/>
        <v>-8.2769313446713094E-2</v>
      </c>
      <c r="I134" s="26">
        <f ca="1"/>
        <v>-6.7101581085531534E-2</v>
      </c>
      <c r="J134" s="26">
        <f ca="1"/>
        <v>-6.7101581085531534E-2</v>
      </c>
      <c r="K134" s="26">
        <f ca="1"/>
        <v>-6.7101581085531534E-2</v>
      </c>
      <c r="L134" s="26">
        <f ca="1"/>
        <v>-6.7101581085531534E-2</v>
      </c>
      <c r="M134" s="26">
        <f ca="1"/>
        <v>-6.7101581085531534E-2</v>
      </c>
      <c r="N134" s="6" t="str">
        <f>'Base data'!$F$21</f>
        <v>W/m2</v>
      </c>
      <c r="O134" s="6"/>
      <c r="P134" s="6"/>
      <c r="Q134" s="6"/>
      <c r="R134" s="6"/>
      <c r="S134" s="6"/>
      <c r="T134" s="6"/>
      <c r="U134" s="6"/>
      <c r="V134" s="6"/>
      <c r="W134" s="6"/>
      <c r="X134" s="6"/>
      <c r="Y134" s="6"/>
    </row>
    <row r="135" spans="1:25" s="6" customFormat="1" x14ac:dyDescent="0.25">
      <c r="B135" s="1" t="str">
        <v>OT</v>
      </c>
      <c r="C135" s="26">
        <f ca="1"/>
        <v>-0.32280379093351869</v>
      </c>
      <c r="D135" s="26">
        <f ca="1"/>
        <v>-0.16341708776318384</v>
      </c>
      <c r="E135" s="26">
        <f ca="1"/>
        <v>-7.5068125505730957E-2</v>
      </c>
      <c r="F135" s="26">
        <f ca="1"/>
        <v>-3.6585744056223522E-2</v>
      </c>
      <c r="G135" s="26">
        <f ca="1"/>
        <v>-2.6172157127170075E-2</v>
      </c>
      <c r="H135" s="26">
        <f ca="1"/>
        <v>-1.7087449786623889E-2</v>
      </c>
      <c r="I135" s="26">
        <f ca="1"/>
        <v>-1.3852898491664654E-2</v>
      </c>
      <c r="J135" s="26">
        <f ca="1"/>
        <v>-1.3852898491664654E-2</v>
      </c>
      <c r="K135" s="26">
        <f ca="1"/>
        <v>-1.3852898491664654E-2</v>
      </c>
      <c r="L135" s="26">
        <f ca="1"/>
        <v>-1.3852898491664654E-2</v>
      </c>
      <c r="M135" s="26">
        <f ca="1"/>
        <v>-1.3852898491664654E-2</v>
      </c>
      <c r="N135" s="6" t="str">
        <f>'Base data'!$F$21</f>
        <v>W/m2</v>
      </c>
    </row>
    <row r="136" spans="1:25" s="6" customFormat="1" x14ac:dyDescent="0.25">
      <c r="B136" s="1" t="str">
        <v>EE</v>
      </c>
      <c r="C136" s="26">
        <f ca="1"/>
        <v>-1.4824346914119941</v>
      </c>
      <c r="D136" s="26">
        <f ca="1"/>
        <v>-0.48622938435310076</v>
      </c>
      <c r="E136" s="26">
        <f ca="1"/>
        <v>-0.24074107629933481</v>
      </c>
      <c r="F136" s="26">
        <f ca="1"/>
        <v>-0.16752950590181215</v>
      </c>
      <c r="G136" s="26">
        <f ca="1"/>
        <v>-0.11260979046585269</v>
      </c>
      <c r="H136" s="26">
        <f ca="1"/>
        <v>-4.538456448890546E-2</v>
      </c>
      <c r="I136" s="26">
        <f ca="1"/>
        <v>-3.7708734751062352E-2</v>
      </c>
      <c r="J136" s="26">
        <f ca="1"/>
        <v>-3.7708734751062352E-2</v>
      </c>
      <c r="K136" s="26">
        <f ca="1"/>
        <v>-3.7708734751062352E-2</v>
      </c>
      <c r="L136" s="26">
        <f ca="1"/>
        <v>-3.7708734751062352E-2</v>
      </c>
      <c r="M136" s="26">
        <f ca="1"/>
        <v>-3.7708734751062352E-2</v>
      </c>
      <c r="N136" s="6" t="str">
        <f>'Base data'!$F$21</f>
        <v>W/m2</v>
      </c>
    </row>
    <row r="137" spans="1:25" s="6" customFormat="1" x14ac:dyDescent="0.25">
      <c r="B137" s="1" t="str">
        <v>CA</v>
      </c>
      <c r="C137" s="26">
        <f ca="1"/>
        <v>-8.3877430858348809</v>
      </c>
      <c r="D137" s="26">
        <f ca="1"/>
        <v>-4.7624535566431803</v>
      </c>
      <c r="E137" s="26">
        <f ca="1"/>
        <v>-3.1735439030226531</v>
      </c>
      <c r="F137" s="26">
        <f ca="1"/>
        <v>-1.8046789301412445</v>
      </c>
      <c r="G137" s="26">
        <f ca="1"/>
        <v>-1.2596262334961272</v>
      </c>
      <c r="H137" s="26">
        <f ca="1"/>
        <v>-0.71084923528990684</v>
      </c>
      <c r="I137" s="26">
        <f ca="1"/>
        <v>-0.31573353028306939</v>
      </c>
      <c r="J137" s="26">
        <f ca="1"/>
        <v>-0.31573353028306939</v>
      </c>
      <c r="K137" s="26">
        <f ca="1"/>
        <v>-0.31573353028306939</v>
      </c>
      <c r="L137" s="26">
        <f ca="1"/>
        <v>-0.31573353028306939</v>
      </c>
      <c r="M137" s="26">
        <f ca="1"/>
        <v>-0.31573353028306939</v>
      </c>
      <c r="N137" s="6" t="str">
        <f>'Base data'!$F$21</f>
        <v>W/m2</v>
      </c>
    </row>
    <row r="138" spans="1:25" s="6" customFormat="1" x14ac:dyDescent="0.25">
      <c r="B138" s="1" t="str">
        <v>IA</v>
      </c>
      <c r="C138" s="26">
        <f ca="1"/>
        <v>-2.2636749244760317</v>
      </c>
      <c r="D138" s="26">
        <f ca="1"/>
        <v>-1.2852857538473115</v>
      </c>
      <c r="E138" s="26">
        <f ca="1"/>
        <v>-0.85647255542771816</v>
      </c>
      <c r="F138" s="26">
        <f ca="1"/>
        <v>-0.48704477462954415</v>
      </c>
      <c r="G138" s="26">
        <f ca="1"/>
        <v>-0.33994654936352992</v>
      </c>
      <c r="H138" s="26">
        <f ca="1"/>
        <v>-0.19184321366807322</v>
      </c>
      <c r="I138" s="26">
        <f ca="1"/>
        <v>-8.5209819614657151E-2</v>
      </c>
      <c r="J138" s="26">
        <f ca="1"/>
        <v>-8.5209819614657151E-2</v>
      </c>
      <c r="K138" s="26">
        <f ca="1"/>
        <v>-8.5209819614657151E-2</v>
      </c>
      <c r="L138" s="26">
        <f ca="1"/>
        <v>-8.5209819614657151E-2</v>
      </c>
      <c r="M138" s="26">
        <f ca="1"/>
        <v>-8.5209819614657151E-2</v>
      </c>
      <c r="N138" s="6" t="str">
        <f>'Base data'!$F$21</f>
        <v>W/m2</v>
      </c>
    </row>
    <row r="139" spans="1:25" s="6" customFormat="1" x14ac:dyDescent="0.25">
      <c r="B139" s="1" t="str">
        <v>AF</v>
      </c>
      <c r="C139" s="26">
        <f ca="1"/>
        <v>-0.93993229485783591</v>
      </c>
      <c r="D139" s="26">
        <f ca="1"/>
        <v>-0.55108892380615571</v>
      </c>
      <c r="E139" s="26">
        <f ca="1"/>
        <v>-0.42886765629457391</v>
      </c>
      <c r="F139" s="26">
        <f ca="1"/>
        <v>-0.3668236768982322</v>
      </c>
      <c r="G139" s="26">
        <f ca="1"/>
        <v>-0.35503081088275357</v>
      </c>
      <c r="H139" s="26">
        <f ca="1"/>
        <v>-0.3598130234914359</v>
      </c>
      <c r="I139" s="26">
        <f ca="1"/>
        <v>-0.2122286751501293</v>
      </c>
      <c r="J139" s="26">
        <f ca="1"/>
        <v>-0.2122286751501293</v>
      </c>
      <c r="K139" s="26">
        <f ca="1"/>
        <v>-0.2122286751501293</v>
      </c>
      <c r="L139" s="26">
        <f ca="1"/>
        <v>-0.2122286751501293</v>
      </c>
      <c r="M139" s="26">
        <f ca="1"/>
        <v>-0.2122286751501293</v>
      </c>
      <c r="N139" s="6" t="str">
        <f>'Base data'!$F$21</f>
        <v>W/m2</v>
      </c>
    </row>
    <row r="140" spans="1:25" s="6" customFormat="1" x14ac:dyDescent="0.25">
      <c r="B140" s="1" t="str">
        <v>LA</v>
      </c>
      <c r="C140" s="26">
        <f ca="1"/>
        <v>-0.61552879515961301</v>
      </c>
      <c r="D140" s="26">
        <f ca="1"/>
        <v>-0.26404603585625608</v>
      </c>
      <c r="E140" s="26">
        <f ca="1"/>
        <v>-0.23834510082628566</v>
      </c>
      <c r="F140" s="26">
        <f ca="1"/>
        <v>-0.22594634489953194</v>
      </c>
      <c r="G140" s="26">
        <f ca="1"/>
        <v>-0.19185872865093118</v>
      </c>
      <c r="H140" s="26">
        <f ca="1"/>
        <v>-5.8927781484863287E-2</v>
      </c>
      <c r="I140" s="26">
        <f ca="1"/>
        <v>-3.2649185005437953E-2</v>
      </c>
      <c r="J140" s="26">
        <f ca="1"/>
        <v>-3.2649185005437953E-2</v>
      </c>
      <c r="K140" s="26">
        <f ca="1"/>
        <v>-3.2649185005437953E-2</v>
      </c>
      <c r="L140" s="26">
        <f ca="1"/>
        <v>-3.2649185005437953E-2</v>
      </c>
      <c r="M140" s="26">
        <f ca="1"/>
        <v>-3.2649185005437953E-2</v>
      </c>
      <c r="N140" s="6" t="str">
        <f>'Base data'!$F$21</f>
        <v>W/m2</v>
      </c>
    </row>
    <row r="141" spans="1:25" s="6" customFormat="1" x14ac:dyDescent="0.25">
      <c r="B141" s="6" t="s">
        <v>138</v>
      </c>
      <c r="C141" s="258">
        <f t="array" aca="1" ref="C141" ca="1">SUM(AREA*C133:C140)/AREA_E</f>
        <v>-0.46666666666666673</v>
      </c>
      <c r="D141" s="258">
        <f t="array" aca="1" ref="D141" ca="1">SUM(AREA*D133:D140)/AREA_E</f>
        <v>-0.24080604307693171</v>
      </c>
      <c r="E141" s="258">
        <f t="array" aca="1" ref="E141" ca="1">SUM(AREA*E133:E140)/AREA_E</f>
        <v>-0.15920780419951525</v>
      </c>
      <c r="F141" s="258">
        <f t="array" aca="1" ref="F141" ca="1">SUM(AREA*F133:F140)/AREA_E</f>
        <v>-0.10571856082836133</v>
      </c>
      <c r="G141" s="258">
        <f t="array" aca="1" ref="G141" ca="1">SUM(AREA*G133:G140)/AREA_E</f>
        <v>-8.3091287182793933E-2</v>
      </c>
      <c r="H141" s="258">
        <f t="array" aca="1" ref="H141" ca="1">SUM(AREA*H133:H140)/AREA_E</f>
        <v>-5.4496951950914002E-2</v>
      </c>
      <c r="I141" s="258">
        <f t="array" aca="1" ref="I141" ca="1">SUM(AREA*I133:I140)/AREA_E</f>
        <v>-3.0309976016930629E-2</v>
      </c>
      <c r="J141" s="258">
        <f t="array" aca="1" ref="J141" ca="1">SUM(AREA*J133:J140)/AREA_E</f>
        <v>-3.0309976016930629E-2</v>
      </c>
      <c r="K141" s="258">
        <f t="array" aca="1" ref="K141" ca="1">SUM(AREA*K133:K140)/AREA_E</f>
        <v>-3.0309976016930629E-2</v>
      </c>
      <c r="L141" s="258">
        <f t="array" aca="1" ref="L141" ca="1">SUM(AREA*L133:L140)/AREA_E</f>
        <v>-3.0309976016930629E-2</v>
      </c>
      <c r="M141" s="258">
        <f t="array" aca="1" ref="M141" ca="1">SUM(AREA*M133:M140)/AREA_E</f>
        <v>-3.0309976016930629E-2</v>
      </c>
      <c r="N141" s="6" t="s">
        <v>44</v>
      </c>
      <c r="Y141"/>
    </row>
    <row r="142" spans="1:25" s="6" customFormat="1" x14ac:dyDescent="0.25">
      <c r="A142" s="57" t="s">
        <v>194</v>
      </c>
      <c r="B142" s="1" t="str">
        <f t="array" ref="B142:B149">R_CODE</f>
        <v>EU</v>
      </c>
      <c r="C142" s="26">
        <f t="array" aca="1" ref="C142:C149" ca="1" xml:space="preserve"> IF(SFX_0 &gt;0, (IND/LN(2))*LN((NF_0+SFX_0)/NF_0), 0)</f>
        <v>-0.84291973318113067</v>
      </c>
      <c r="D142" s="26">
        <f t="array" aca="1" ref="D142:M149" ca="1" xml:space="preserve"> IF(sfx&gt;0, (IND/LN(2))*LN((NF_0+sfx)/NF_0), 0)</f>
        <v>-0.63958983666298075</v>
      </c>
      <c r="E142" s="26">
        <f ca="1"/>
        <v>-0.43230616417920931</v>
      </c>
      <c r="F142" s="26">
        <f ca="1"/>
        <v>-0.27639626462919753</v>
      </c>
      <c r="G142" s="26">
        <f ca="1"/>
        <v>-0.21794143992786788</v>
      </c>
      <c r="H142" s="26">
        <f ca="1"/>
        <v>-0.15706316777468918</v>
      </c>
      <c r="I142" s="26">
        <f ca="1"/>
        <v>-0.1324240967595251</v>
      </c>
      <c r="J142" s="26">
        <f ca="1"/>
        <v>-0.1324240967595251</v>
      </c>
      <c r="K142" s="26">
        <f ca="1"/>
        <v>-0.1324240967595251</v>
      </c>
      <c r="L142" s="26">
        <f ca="1"/>
        <v>-0.1324240967595251</v>
      </c>
      <c r="M142" s="26">
        <f ca="1"/>
        <v>-0.1324240967595251</v>
      </c>
      <c r="N142" s="6" t="str">
        <f>'Base data'!$F$21</f>
        <v>W/m2</v>
      </c>
      <c r="Y142"/>
    </row>
    <row r="143" spans="1:25" s="6" customFormat="1" x14ac:dyDescent="0.25">
      <c r="B143" s="1" t="str">
        <v>US</v>
      </c>
      <c r="C143" s="26">
        <f ca="1"/>
        <v>-0.71420351160872098</v>
      </c>
      <c r="D143" s="26">
        <f ca="1"/>
        <v>-0.52225780423824542</v>
      </c>
      <c r="E143" s="26">
        <f ca="1"/>
        <v>-0.33535668212102465</v>
      </c>
      <c r="F143" s="26">
        <f ca="1"/>
        <v>-0.20387819364954457</v>
      </c>
      <c r="G143" s="26">
        <f ca="1"/>
        <v>-0.15726789285604273</v>
      </c>
      <c r="H143" s="26">
        <f ca="1"/>
        <v>-0.11056034562838589</v>
      </c>
      <c r="I143" s="26">
        <f ca="1"/>
        <v>-9.2231396968850146E-2</v>
      </c>
      <c r="J143" s="26">
        <f ca="1"/>
        <v>-9.2231396968850146E-2</v>
      </c>
      <c r="K143" s="26">
        <f ca="1"/>
        <v>-9.2231396968850146E-2</v>
      </c>
      <c r="L143" s="26">
        <f ca="1"/>
        <v>-9.2231396968850146E-2</v>
      </c>
      <c r="M143" s="26">
        <f ca="1"/>
        <v>-9.2231396968850146E-2</v>
      </c>
      <c r="N143" s="6" t="str">
        <f>'Base data'!$F$21</f>
        <v>W/m2</v>
      </c>
      <c r="Y143"/>
    </row>
    <row r="144" spans="1:25" s="6" customFormat="1" x14ac:dyDescent="0.25">
      <c r="B144" s="1" t="str">
        <v>OT</v>
      </c>
      <c r="C144" s="26">
        <f ca="1"/>
        <v>-0.31063802001016794</v>
      </c>
      <c r="D144" s="26">
        <f ca="1"/>
        <v>-0.19175477473598276</v>
      </c>
      <c r="E144" s="26">
        <f ca="1"/>
        <v>-0.10167574394035887</v>
      </c>
      <c r="F144" s="26">
        <f ca="1"/>
        <v>-5.3384959809189385E-2</v>
      </c>
      <c r="G144" s="26">
        <f ca="1"/>
        <v>-3.9031666841996236E-2</v>
      </c>
      <c r="H144" s="26">
        <f ca="1"/>
        <v>-2.5989807408446079E-2</v>
      </c>
      <c r="I144" s="26">
        <f ca="1"/>
        <v>-2.1221603908775227E-2</v>
      </c>
      <c r="J144" s="26">
        <f ca="1"/>
        <v>-2.1221603908775227E-2</v>
      </c>
      <c r="K144" s="26">
        <f ca="1"/>
        <v>-2.1221603908775227E-2</v>
      </c>
      <c r="L144" s="26">
        <f ca="1"/>
        <v>-2.1221603908775227E-2</v>
      </c>
      <c r="M144" s="26">
        <f ca="1"/>
        <v>-2.1221603908775227E-2</v>
      </c>
      <c r="N144" s="6" t="str">
        <f>'Base data'!$F$21</f>
        <v>W/m2</v>
      </c>
      <c r="Y144"/>
    </row>
    <row r="145" spans="1:41" s="6" customFormat="1" x14ac:dyDescent="0.25">
      <c r="B145" s="1" t="str">
        <v>EE</v>
      </c>
      <c r="C145" s="26">
        <f ca="1"/>
        <v>-0.69845751926848776</v>
      </c>
      <c r="D145" s="26">
        <f ca="1"/>
        <v>-0.40026860921364787</v>
      </c>
      <c r="E145" s="26">
        <f ca="1"/>
        <v>-0.25466374657531954</v>
      </c>
      <c r="F145" s="26">
        <f ca="1"/>
        <v>-0.19541363130842077</v>
      </c>
      <c r="G145" s="26">
        <f ca="1"/>
        <v>-0.14292869183476337</v>
      </c>
      <c r="H145" s="26">
        <f ca="1"/>
        <v>-6.5053091529672161E-2</v>
      </c>
      <c r="I145" s="26">
        <f ca="1"/>
        <v>-5.489686938519326E-2</v>
      </c>
      <c r="J145" s="26">
        <f ca="1"/>
        <v>-5.489686938519326E-2</v>
      </c>
      <c r="K145" s="26">
        <f ca="1"/>
        <v>-5.489686938519326E-2</v>
      </c>
      <c r="L145" s="26">
        <f ca="1"/>
        <v>-5.489686938519326E-2</v>
      </c>
      <c r="M145" s="26">
        <f ca="1"/>
        <v>-5.489686938519326E-2</v>
      </c>
      <c r="N145" s="6" t="str">
        <f>'Base data'!$F$21</f>
        <v>W/m2</v>
      </c>
      <c r="Y145"/>
    </row>
    <row r="146" spans="1:41" s="6" customFormat="1" x14ac:dyDescent="0.25">
      <c r="B146" s="1" t="str">
        <v>CA</v>
      </c>
      <c r="C146" s="26">
        <f ca="1"/>
        <v>-1.2451300226491619</v>
      </c>
      <c r="D146" s="26">
        <f ca="1"/>
        <v>-1.0608790859779869</v>
      </c>
      <c r="E146" s="26">
        <f ca="1"/>
        <v>-0.93137220432017476</v>
      </c>
      <c r="F146" s="26">
        <f ca="1"/>
        <v>-0.75703737786200442</v>
      </c>
      <c r="G146" s="26">
        <f ca="1"/>
        <v>-0.65102593019419763</v>
      </c>
      <c r="H146" s="26">
        <f ca="1"/>
        <v>-0.49405635336762466</v>
      </c>
      <c r="I146" s="26">
        <f ca="1"/>
        <v>-0.30616549184473252</v>
      </c>
      <c r="J146" s="26">
        <f ca="1"/>
        <v>-0.30616549184473252</v>
      </c>
      <c r="K146" s="26">
        <f ca="1"/>
        <v>-0.30616549184473252</v>
      </c>
      <c r="L146" s="26">
        <f ca="1"/>
        <v>-0.30616549184473252</v>
      </c>
      <c r="M146" s="26">
        <f ca="1"/>
        <v>-0.30616549184473252</v>
      </c>
      <c r="N146" s="6" t="str">
        <f>'Base data'!$F$21</f>
        <v>W/m2</v>
      </c>
      <c r="Y146"/>
    </row>
    <row r="147" spans="1:41" s="6" customFormat="1" x14ac:dyDescent="0.25">
      <c r="B147" s="1" t="str">
        <v>IA</v>
      </c>
      <c r="C147" s="26">
        <f ca="1"/>
        <v>-0.82603933048885225</v>
      </c>
      <c r="D147" s="26">
        <f ca="1"/>
        <v>-0.65684138141470405</v>
      </c>
      <c r="E147" s="26">
        <f ca="1"/>
        <v>-0.54333490558951103</v>
      </c>
      <c r="F147" s="26">
        <f ca="1"/>
        <v>-0.40066099493281288</v>
      </c>
      <c r="G147" s="26">
        <f ca="1"/>
        <v>-0.32124174490668694</v>
      </c>
      <c r="H147" s="26">
        <f ca="1"/>
        <v>-0.2162690406758277</v>
      </c>
      <c r="I147" s="26">
        <f ca="1"/>
        <v>-0.11332763968506357</v>
      </c>
      <c r="J147" s="26">
        <f ca="1"/>
        <v>-0.11332763968506357</v>
      </c>
      <c r="K147" s="26">
        <f ca="1"/>
        <v>-0.11332763968506357</v>
      </c>
      <c r="L147" s="26">
        <f ca="1"/>
        <v>-0.11332763968506357</v>
      </c>
      <c r="M147" s="26">
        <f ca="1"/>
        <v>-0.11332763968506357</v>
      </c>
      <c r="N147" s="6" t="str">
        <f>'Base data'!$F$21</f>
        <v>W/m2</v>
      </c>
      <c r="Y147"/>
    </row>
    <row r="148" spans="1:41" s="6" customFormat="1" x14ac:dyDescent="0.25">
      <c r="B148" s="1" t="str">
        <v>AF</v>
      </c>
      <c r="C148" s="26">
        <f ca="1"/>
        <v>-0.56863272020002387</v>
      </c>
      <c r="D148" s="26">
        <f ca="1"/>
        <v>-0.43013393043994075</v>
      </c>
      <c r="E148" s="26">
        <f ca="1"/>
        <v>-0.37144949751924405</v>
      </c>
      <c r="F148" s="26">
        <f ca="1"/>
        <v>-0.33722220454141583</v>
      </c>
      <c r="G148" s="26">
        <f ca="1"/>
        <v>-0.33030368163956203</v>
      </c>
      <c r="H148" s="26">
        <f ca="1"/>
        <v>-0.33312642445914853</v>
      </c>
      <c r="I148" s="26">
        <f ca="1"/>
        <v>-0.23281111807691987</v>
      </c>
      <c r="J148" s="26">
        <f ca="1"/>
        <v>-0.23281111807691987</v>
      </c>
      <c r="K148" s="26">
        <f ca="1"/>
        <v>-0.23281111807691987</v>
      </c>
      <c r="L148" s="26">
        <f ca="1"/>
        <v>-0.23281111807691987</v>
      </c>
      <c r="M148" s="26">
        <f ca="1"/>
        <v>-0.23281111807691987</v>
      </c>
      <c r="N148" s="6" t="str">
        <f>'Base data'!$F$21</f>
        <v>W/m2</v>
      </c>
      <c r="Y148"/>
    </row>
    <row r="149" spans="1:41" s="6" customFormat="1" x14ac:dyDescent="0.25">
      <c r="B149" s="1" t="str">
        <v>LA</v>
      </c>
      <c r="C149" s="26">
        <f ca="1"/>
        <v>-0.45739371352325592</v>
      </c>
      <c r="D149" s="26">
        <f ca="1"/>
        <v>-0.27152826837252764</v>
      </c>
      <c r="E149" s="26">
        <f ca="1"/>
        <v>-0.25288103280352731</v>
      </c>
      <c r="F149" s="26">
        <f ca="1"/>
        <v>-0.24350187271746729</v>
      </c>
      <c r="G149" s="26">
        <f ca="1"/>
        <v>-0.21628194475076654</v>
      </c>
      <c r="H149" s="26">
        <f ca="1"/>
        <v>-8.225783952684923E-2</v>
      </c>
      <c r="I149" s="26">
        <f ca="1"/>
        <v>-4.8030800693521156E-2</v>
      </c>
      <c r="J149" s="26">
        <f ca="1"/>
        <v>-4.8030800693521156E-2</v>
      </c>
      <c r="K149" s="26">
        <f ca="1"/>
        <v>-4.8030800693521156E-2</v>
      </c>
      <c r="L149" s="26">
        <f ca="1"/>
        <v>-4.8030800693521156E-2</v>
      </c>
      <c r="M149" s="26">
        <f ca="1"/>
        <v>-4.8030800693521156E-2</v>
      </c>
      <c r="N149" s="6" t="str">
        <f>'Base data'!$F$21</f>
        <v>W/m2</v>
      </c>
      <c r="Y149"/>
    </row>
    <row r="150" spans="1:41" s="6" customFormat="1" x14ac:dyDescent="0.25">
      <c r="B150" s="6" t="s">
        <v>138</v>
      </c>
      <c r="C150" s="258">
        <f t="array" aca="1" ref="C150" ca="1">SUM(AREA*C142:C149)/AREA_E</f>
        <v>-0.17529148701061475</v>
      </c>
      <c r="D150" s="258">
        <f t="array" aca="1" ref="D150" ca="1">SUM(AREA*D142:D149)/AREA_E</f>
        <v>-0.12355160185473402</v>
      </c>
      <c r="E150" s="258">
        <f t="array" aca="1" ref="E150" ca="1">SUM(AREA*E142:E149)/AREA_E</f>
        <v>-9.883342939555767E-2</v>
      </c>
      <c r="F150" s="258">
        <f t="array" aca="1" ref="F150" ca="1">SUM(AREA*F142:F149)/AREA_E</f>
        <v>-8.1461732187313479E-2</v>
      </c>
      <c r="G150" s="258">
        <f t="array" aca="1" ref="G150" ca="1">SUM(AREA*G142:G149)/AREA_E</f>
        <v>-7.1162417120570309E-2</v>
      </c>
      <c r="H150" s="258">
        <f t="array" aca="1" ref="H150" ca="1">SUM(AREA*H142:H149)/AREA_E</f>
        <v>-5.1535895996510858E-2</v>
      </c>
      <c r="I150" s="258">
        <f t="array" aca="1" ref="I150" ca="1">SUM(AREA*I142:I149)/AREA_E</f>
        <v>-3.4796482724614053E-2</v>
      </c>
      <c r="J150" s="258">
        <f t="array" aca="1" ref="J150" ca="1">SUM(AREA*J142:J149)/AREA_E</f>
        <v>-3.4796482724614053E-2</v>
      </c>
      <c r="K150" s="258">
        <f t="array" aca="1" ref="K150" ca="1">SUM(AREA*K142:K149)/AREA_E</f>
        <v>-3.4796482724614053E-2</v>
      </c>
      <c r="L150" s="258">
        <f t="array" aca="1" ref="L150" ca="1">SUM(AREA*L142:L149)/AREA_E</f>
        <v>-3.4796482724614053E-2</v>
      </c>
      <c r="M150" s="258">
        <f t="array" aca="1" ref="M150" ca="1">SUM(AREA*M142:M149)/AREA_E</f>
        <v>-3.4796482724614053E-2</v>
      </c>
      <c r="N150" s="6" t="s">
        <v>44</v>
      </c>
      <c r="Y150"/>
    </row>
    <row r="151" spans="1:41" s="6" customFormat="1" x14ac:dyDescent="0.25">
      <c r="A151" t="s">
        <v>76</v>
      </c>
      <c r="B151" t="s">
        <v>77</v>
      </c>
      <c r="C151" s="1" t="str">
        <f t="array" ref="C151:C158">R_CODE</f>
        <v>EU</v>
      </c>
      <c r="D151" s="26">
        <f t="array" ref="D151:M158" ca="1" xml:space="preserve"> fsd + fsi</f>
        <v>-1.85003137954285</v>
      </c>
      <c r="E151" s="26">
        <f ca="1"/>
        <v>-0.98834090266344099</v>
      </c>
      <c r="F151" s="26">
        <f ca="1"/>
        <v>-0.54738937244298236</v>
      </c>
      <c r="G151" s="26">
        <f ca="1"/>
        <v>-0.41180039731802187</v>
      </c>
      <c r="H151" s="26">
        <f ca="1"/>
        <v>-0.28363107671684729</v>
      </c>
      <c r="I151" s="26">
        <f ca="1"/>
        <v>-0.23503346309401962</v>
      </c>
      <c r="J151" s="26">
        <f ca="1"/>
        <v>-0.23503346309401962</v>
      </c>
      <c r="K151" s="26">
        <f ca="1"/>
        <v>-0.23503346309401962</v>
      </c>
      <c r="L151" s="26">
        <f ca="1"/>
        <v>-0.23503346309401962</v>
      </c>
      <c r="M151" s="26">
        <f ca="1"/>
        <v>-0.23503346309401962</v>
      </c>
      <c r="N151" s="6" t="str">
        <f>'Base data'!$F$21</f>
        <v>W/m2</v>
      </c>
      <c r="O151"/>
      <c r="P151"/>
      <c r="Q151"/>
      <c r="R151"/>
      <c r="S151"/>
      <c r="T151"/>
      <c r="U151"/>
      <c r="V151"/>
      <c r="W151"/>
      <c r="X151"/>
      <c r="Y151"/>
      <c r="AF151" s="159"/>
      <c r="AG151" s="159"/>
      <c r="AH151" s="159"/>
      <c r="AI151" s="159"/>
      <c r="AJ151" s="159"/>
      <c r="AK151" s="159"/>
      <c r="AL151" s="159"/>
      <c r="AM151" s="159"/>
      <c r="AN151" s="159"/>
      <c r="AO151" s="159"/>
    </row>
    <row r="152" spans="1:41" s="6" customFormat="1" x14ac:dyDescent="0.25">
      <c r="A152"/>
      <c r="B152"/>
      <c r="C152" s="1" t="str">
        <v>US</v>
      </c>
      <c r="D152" s="26">
        <f ca="1"/>
        <v>-1.3138282450308862</v>
      </c>
      <c r="E152" s="26">
        <f ca="1"/>
        <v>-0.69897660712029897</v>
      </c>
      <c r="F152" s="26">
        <f ca="1"/>
        <v>-0.38109462765722502</v>
      </c>
      <c r="G152" s="26">
        <f ca="1"/>
        <v>-0.28404230939484743</v>
      </c>
      <c r="H152" s="26">
        <f ca="1"/>
        <v>-0.19332965907509897</v>
      </c>
      <c r="I152" s="26">
        <f ca="1"/>
        <v>-0.15933297805438168</v>
      </c>
      <c r="J152" s="26">
        <f ca="1"/>
        <v>-0.15933297805438168</v>
      </c>
      <c r="K152" s="26">
        <f ca="1"/>
        <v>-0.15933297805438168</v>
      </c>
      <c r="L152" s="26">
        <f ca="1"/>
        <v>-0.15933297805438168</v>
      </c>
      <c r="M152" s="26">
        <f ca="1"/>
        <v>-0.15933297805438168</v>
      </c>
      <c r="N152" s="6" t="str">
        <f>'Base data'!$F$21</f>
        <v>W/m2</v>
      </c>
      <c r="O152"/>
      <c r="P152"/>
      <c r="Q152"/>
      <c r="R152"/>
      <c r="S152"/>
      <c r="T152"/>
      <c r="U152"/>
      <c r="V152"/>
      <c r="W152"/>
      <c r="X152"/>
      <c r="Y152"/>
      <c r="AF152" s="159"/>
      <c r="AG152" s="159"/>
      <c r="AH152" s="159"/>
      <c r="AI152" s="159"/>
      <c r="AJ152" s="159"/>
      <c r="AK152" s="159"/>
      <c r="AL152" s="159"/>
      <c r="AM152" s="159"/>
      <c r="AN152" s="159"/>
      <c r="AO152" s="159"/>
    </row>
    <row r="153" spans="1:41" x14ac:dyDescent="0.25">
      <c r="C153" s="1" t="str">
        <v>OT</v>
      </c>
      <c r="D153" s="26">
        <f ca="1"/>
        <v>-0.3551718624991666</v>
      </c>
      <c r="E153" s="26">
        <f ca="1"/>
        <v>-0.17674386944608983</v>
      </c>
      <c r="F153" s="26">
        <f ca="1"/>
        <v>-8.9970703865412907E-2</v>
      </c>
      <c r="G153" s="26">
        <f ca="1"/>
        <v>-6.5203823969166311E-2</v>
      </c>
      <c r="H153" s="26">
        <f ca="1"/>
        <v>-4.3077257195069968E-2</v>
      </c>
      <c r="I153" s="26">
        <f ca="1"/>
        <v>-3.5074502400439883E-2</v>
      </c>
      <c r="J153" s="26">
        <f ca="1"/>
        <v>-3.5074502400439883E-2</v>
      </c>
      <c r="K153" s="26">
        <f ca="1"/>
        <v>-3.5074502400439883E-2</v>
      </c>
      <c r="L153" s="26">
        <f ca="1"/>
        <v>-3.5074502400439883E-2</v>
      </c>
      <c r="M153" s="26">
        <f ca="1"/>
        <v>-3.5074502400439883E-2</v>
      </c>
      <c r="N153" s="6" t="str">
        <f>'Base data'!$F$21</f>
        <v>W/m2</v>
      </c>
      <c r="AF153" s="159"/>
      <c r="AG153" s="159"/>
      <c r="AH153" s="159"/>
      <c r="AI153" s="159"/>
      <c r="AJ153" s="159"/>
      <c r="AK153" s="159"/>
      <c r="AL153" s="159"/>
      <c r="AM153" s="159"/>
      <c r="AN153" s="159"/>
      <c r="AO153" s="159"/>
    </row>
    <row r="154" spans="1:41" x14ac:dyDescent="0.25">
      <c r="C154" s="1" t="str">
        <v>EE</v>
      </c>
      <c r="D154" s="26">
        <f ca="1"/>
        <v>-0.88649799356674863</v>
      </c>
      <c r="E154" s="26">
        <f ca="1"/>
        <v>-0.49540482287465437</v>
      </c>
      <c r="F154" s="26">
        <f ca="1"/>
        <v>-0.36294313721023291</v>
      </c>
      <c r="G154" s="26">
        <f ca="1"/>
        <v>-0.25553848230061604</v>
      </c>
      <c r="H154" s="26">
        <f ca="1"/>
        <v>-0.11043765601857762</v>
      </c>
      <c r="I154" s="26">
        <f ca="1"/>
        <v>-9.2605604136255612E-2</v>
      </c>
      <c r="J154" s="26">
        <f ca="1"/>
        <v>-9.2605604136255612E-2</v>
      </c>
      <c r="K154" s="26">
        <f ca="1"/>
        <v>-9.2605604136255612E-2</v>
      </c>
      <c r="L154" s="26">
        <f ca="1"/>
        <v>-9.2605604136255612E-2</v>
      </c>
      <c r="M154" s="26">
        <f ca="1"/>
        <v>-9.2605604136255612E-2</v>
      </c>
      <c r="N154" s="6" t="str">
        <f>'Base data'!$F$21</f>
        <v>W/m2</v>
      </c>
      <c r="AF154" s="159"/>
      <c r="AG154" s="159"/>
      <c r="AH154" s="159"/>
      <c r="AI154" s="159"/>
      <c r="AJ154" s="159"/>
      <c r="AK154" s="159"/>
      <c r="AL154" s="159"/>
      <c r="AM154" s="159"/>
      <c r="AN154" s="159"/>
      <c r="AO154" s="159"/>
    </row>
    <row r="155" spans="1:41" x14ac:dyDescent="0.25">
      <c r="C155" s="1" t="str">
        <v>CA</v>
      </c>
      <c r="D155" s="26">
        <f ca="1"/>
        <v>-5.8233326426211676</v>
      </c>
      <c r="E155" s="26">
        <f ca="1"/>
        <v>-4.1049161073428282</v>
      </c>
      <c r="F155" s="26">
        <f ca="1"/>
        <v>-2.5617163080032488</v>
      </c>
      <c r="G155" s="26">
        <f ca="1"/>
        <v>-1.9106521636903249</v>
      </c>
      <c r="H155" s="26">
        <f ca="1"/>
        <v>-1.2049055886575315</v>
      </c>
      <c r="I155" s="26">
        <f ca="1"/>
        <v>-0.6218990221278019</v>
      </c>
      <c r="J155" s="26">
        <f ca="1"/>
        <v>-0.6218990221278019</v>
      </c>
      <c r="K155" s="26">
        <f ca="1"/>
        <v>-0.6218990221278019</v>
      </c>
      <c r="L155" s="26">
        <f ca="1"/>
        <v>-0.6218990221278019</v>
      </c>
      <c r="M155" s="26">
        <f ca="1"/>
        <v>-0.6218990221278019</v>
      </c>
      <c r="N155" s="6" t="str">
        <f>'Base data'!$F$21</f>
        <v>W/m2</v>
      </c>
      <c r="AF155" s="159"/>
      <c r="AG155" s="159"/>
      <c r="AH155" s="159"/>
      <c r="AI155" s="159"/>
      <c r="AJ155" s="159"/>
      <c r="AK155" s="159"/>
      <c r="AL155" s="159"/>
      <c r="AM155" s="159"/>
      <c r="AN155" s="159"/>
      <c r="AO155" s="159"/>
    </row>
    <row r="156" spans="1:41" x14ac:dyDescent="0.25">
      <c r="C156" s="1" t="str">
        <v>IA</v>
      </c>
      <c r="D156" s="26">
        <f ca="1"/>
        <v>-1.9421271352620155</v>
      </c>
      <c r="E156" s="26">
        <f ca="1"/>
        <v>-1.3998074610172293</v>
      </c>
      <c r="F156" s="26">
        <f ca="1"/>
        <v>-0.88770576956235703</v>
      </c>
      <c r="G156" s="26">
        <f ca="1"/>
        <v>-0.66118829427021686</v>
      </c>
      <c r="H156" s="26">
        <f ca="1"/>
        <v>-0.40811225434390092</v>
      </c>
      <c r="I156" s="26">
        <f ca="1"/>
        <v>-0.19853745929972072</v>
      </c>
      <c r="J156" s="26">
        <f ca="1"/>
        <v>-0.19853745929972072</v>
      </c>
      <c r="K156" s="26">
        <f ca="1"/>
        <v>-0.19853745929972072</v>
      </c>
      <c r="L156" s="26">
        <f ca="1"/>
        <v>-0.19853745929972072</v>
      </c>
      <c r="M156" s="26">
        <f ca="1"/>
        <v>-0.19853745929972072</v>
      </c>
      <c r="N156" s="6" t="str">
        <f>'Base data'!$F$21</f>
        <v>W/m2</v>
      </c>
      <c r="AF156" s="159"/>
      <c r="AG156" s="159"/>
      <c r="AH156" s="159"/>
      <c r="AI156" s="159"/>
      <c r="AJ156" s="159"/>
      <c r="AK156" s="159"/>
      <c r="AL156" s="159"/>
      <c r="AM156" s="159"/>
      <c r="AN156" s="159"/>
      <c r="AO156" s="159"/>
    </row>
    <row r="157" spans="1:41" x14ac:dyDescent="0.25">
      <c r="C157" s="1" t="str">
        <v>AF</v>
      </c>
      <c r="D157" s="26">
        <f ca="1"/>
        <v>-0.98122285424609645</v>
      </c>
      <c r="E157" s="26">
        <f ca="1"/>
        <v>-0.80031715381381796</v>
      </c>
      <c r="F157" s="26">
        <f ca="1"/>
        <v>-0.70404588143964797</v>
      </c>
      <c r="G157" s="26">
        <f ca="1"/>
        <v>-0.6853344925223156</v>
      </c>
      <c r="H157" s="26">
        <f ca="1"/>
        <v>-0.69293944795058438</v>
      </c>
      <c r="I157" s="26">
        <f ca="1"/>
        <v>-0.44503979322704917</v>
      </c>
      <c r="J157" s="26">
        <f ca="1"/>
        <v>-0.44503979322704917</v>
      </c>
      <c r="K157" s="26">
        <f ca="1"/>
        <v>-0.44503979322704917</v>
      </c>
      <c r="L157" s="26">
        <f ca="1"/>
        <v>-0.44503979322704917</v>
      </c>
      <c r="M157" s="26">
        <f ca="1"/>
        <v>-0.44503979322704917</v>
      </c>
      <c r="N157" s="6" t="str">
        <f>'Base data'!$F$21</f>
        <v>W/m2</v>
      </c>
      <c r="AF157" s="159"/>
      <c r="AG157" s="159"/>
      <c r="AH157" s="159"/>
      <c r="AI157" s="159"/>
      <c r="AJ157" s="159"/>
      <c r="AK157" s="159"/>
      <c r="AL157" s="159"/>
      <c r="AM157" s="159"/>
      <c r="AN157" s="159"/>
      <c r="AO157" s="159"/>
    </row>
    <row r="158" spans="1:41" x14ac:dyDescent="0.25">
      <c r="C158" s="1" t="str">
        <v>LA</v>
      </c>
      <c r="D158" s="26">
        <f ca="1"/>
        <v>-0.53557430422878372</v>
      </c>
      <c r="E158" s="26">
        <f ca="1"/>
        <v>-0.49122613362981293</v>
      </c>
      <c r="F158" s="26">
        <f ca="1"/>
        <v>-0.46944821761699923</v>
      </c>
      <c r="G158" s="26">
        <f ca="1"/>
        <v>-0.40814067340169768</v>
      </c>
      <c r="H158" s="26">
        <f ca="1"/>
        <v>-0.1411856210117125</v>
      </c>
      <c r="I158" s="26">
        <f ca="1"/>
        <v>-8.0679985698959109E-2</v>
      </c>
      <c r="J158" s="26">
        <f ca="1"/>
        <v>-8.0679985698959109E-2</v>
      </c>
      <c r="K158" s="26">
        <f ca="1"/>
        <v>-8.0679985698959109E-2</v>
      </c>
      <c r="L158" s="26">
        <f ca="1"/>
        <v>-8.0679985698959109E-2</v>
      </c>
      <c r="M158" s="26">
        <f ca="1"/>
        <v>-8.0679985698959109E-2</v>
      </c>
      <c r="N158" s="6" t="str">
        <f>'Base data'!$F$21</f>
        <v>W/m2</v>
      </c>
      <c r="AF158" s="159"/>
      <c r="AG158" s="159"/>
      <c r="AH158" s="159"/>
      <c r="AI158" s="159"/>
      <c r="AJ158" s="159"/>
      <c r="AK158" s="159"/>
      <c r="AL158" s="159"/>
      <c r="AM158" s="159"/>
      <c r="AN158" s="159"/>
      <c r="AO158" s="159"/>
    </row>
    <row r="159" spans="1:41" ht="13.5" thickBot="1" x14ac:dyDescent="0.35">
      <c r="C159" t="s">
        <v>138</v>
      </c>
      <c r="D159" s="259">
        <f t="array" aca="1" ref="D159" ca="1">SUM(AREA*D151:D158)/AREA_E</f>
        <v>-0.36435764493166573</v>
      </c>
      <c r="E159" s="259">
        <f t="array" aca="1" ref="E159" ca="1">SUM(AREA*E151:E158)/AREA_E</f>
        <v>-0.25804123359507292</v>
      </c>
      <c r="F159" s="259">
        <f t="array" aca="1" ref="F159" ca="1">SUM(AREA*F151:F158)/AREA_E</f>
        <v>-0.18718029301567482</v>
      </c>
      <c r="G159" s="259">
        <f t="array" aca="1" ref="G159" ca="1">SUM(AREA*G151:G158)/AREA_E</f>
        <v>-0.15425370430336421</v>
      </c>
      <c r="H159" s="259">
        <f t="array" aca="1" ref="H159" ca="1">SUM(AREA*H151:H158)/AREA_E</f>
        <v>-0.10603284794742485</v>
      </c>
      <c r="I159" s="259">
        <f t="array" aca="1" ref="I159" ca="1">SUM(AREA*I151:I158)/AREA_E</f>
        <v>-6.5106458741544679E-2</v>
      </c>
      <c r="J159" s="259">
        <f t="array" aca="1" ref="J159" ca="1">SUM(AREA*J151:J158)/AREA_E</f>
        <v>-6.5106458741544679E-2</v>
      </c>
      <c r="K159" s="259">
        <f t="array" aca="1" ref="K159" ca="1">SUM(AREA*K151:K158)/AREA_E</f>
        <v>-6.5106458741544679E-2</v>
      </c>
      <c r="L159" s="259">
        <f t="array" aca="1" ref="L159" ca="1">SUM(AREA*L151:L158)/AREA_E</f>
        <v>-6.5106458741544679E-2</v>
      </c>
      <c r="M159" s="259">
        <f t="array" aca="1" ref="M159" ca="1">SUM(AREA*M151:M158)/AREA_E</f>
        <v>-6.5106458741544679E-2</v>
      </c>
      <c r="N159" s="6" t="s">
        <v>44</v>
      </c>
      <c r="O159" s="6"/>
      <c r="P159" s="6"/>
      <c r="Q159" s="6"/>
      <c r="R159" s="6"/>
      <c r="S159" s="6"/>
      <c r="T159" s="6"/>
      <c r="U159" s="6"/>
      <c r="V159" s="6"/>
      <c r="W159" s="6"/>
      <c r="X159" s="6"/>
      <c r="Z159" s="124" t="s">
        <v>559</v>
      </c>
    </row>
    <row r="160" spans="1:41" ht="13.5" thickTop="1" x14ac:dyDescent="0.3">
      <c r="D160" s="6"/>
      <c r="E160" s="6"/>
      <c r="F160" s="6"/>
      <c r="G160" s="6"/>
      <c r="H160" s="6"/>
      <c r="I160" s="6"/>
      <c r="J160" s="6"/>
      <c r="K160" s="6"/>
      <c r="L160" s="6"/>
      <c r="M160" s="6"/>
      <c r="N160" s="6"/>
      <c r="O160" s="6"/>
      <c r="P160" s="6"/>
      <c r="Q160" s="6"/>
      <c r="R160" s="6"/>
      <c r="S160" s="6"/>
      <c r="T160" s="6"/>
      <c r="U160" s="6"/>
      <c r="V160" s="6"/>
      <c r="W160" s="6"/>
      <c r="X160" s="6"/>
      <c r="Z160" s="124"/>
    </row>
    <row r="161" spans="1:26" ht="13" x14ac:dyDescent="0.3">
      <c r="A161" s="3" t="s">
        <v>566</v>
      </c>
      <c r="B161" t="s">
        <v>563</v>
      </c>
      <c r="C161" s="215">
        <f ca="1">FT_0 + FSD_G_0 + FSI_G_0</f>
        <v>2.5600418463227186</v>
      </c>
      <c r="D161" s="215">
        <f t="array" ref="D161:M161" ca="1" xml:space="preserve"> ft+fs_g</f>
        <v>2.9775189227754311</v>
      </c>
      <c r="E161" s="215">
        <f ca="1"/>
        <v>3.202608078872669</v>
      </c>
      <c r="F161" s="215">
        <f ca="1"/>
        <v>3.229420455590633</v>
      </c>
      <c r="G161" s="215">
        <f ca="1"/>
        <v>3.172840111078532</v>
      </c>
      <c r="H161" s="215">
        <f ca="1"/>
        <v>3.0015680801844411</v>
      </c>
      <c r="I161" s="215">
        <f ca="1"/>
        <v>2.7881892891042184</v>
      </c>
      <c r="J161" s="215">
        <f ca="1"/>
        <v>2.5063319525141421</v>
      </c>
      <c r="K161" s="215">
        <f ca="1"/>
        <v>2.3253862449449607</v>
      </c>
      <c r="L161" s="215">
        <f ca="1"/>
        <v>2.1739389933726723</v>
      </c>
      <c r="M161" s="215">
        <f ca="1"/>
        <v>2.0382449492788739</v>
      </c>
      <c r="N161" s="6" t="s">
        <v>44</v>
      </c>
      <c r="O161" s="6"/>
      <c r="P161" s="6"/>
      <c r="Q161" s="6"/>
      <c r="R161" s="6"/>
      <c r="S161" s="6"/>
      <c r="T161" s="6"/>
      <c r="U161" s="6"/>
      <c r="V161" s="6"/>
      <c r="W161" s="6"/>
      <c r="X161" s="6"/>
      <c r="Z161" s="124" t="s">
        <v>567</v>
      </c>
    </row>
    <row r="162" spans="1:26" ht="13" x14ac:dyDescent="0.3">
      <c r="A162" t="s">
        <v>564</v>
      </c>
      <c r="B162" s="3"/>
      <c r="D162" s="224">
        <f ca="1" xml:space="preserve"> (fgt_1 - FGT_0) / YP_1</f>
        <v>8.3495415290542496E-2</v>
      </c>
      <c r="E162" s="224">
        <f t="array" ref="E162:M162" ca="1" xml:space="preserve"> (fgt_not_1 - fgt) / YP_NOT_1</f>
        <v>2.250891560972379E-2</v>
      </c>
      <c r="F162" s="224">
        <f ca="1"/>
        <v>2.6812376717963993E-3</v>
      </c>
      <c r="G162" s="224">
        <f ca="1"/>
        <v>-5.658034451210092E-3</v>
      </c>
      <c r="H162" s="224">
        <f ca="1"/>
        <v>-6.8508812357636374E-3</v>
      </c>
      <c r="I162" s="224">
        <f ca="1"/>
        <v>-8.5351516432089092E-3</v>
      </c>
      <c r="J162" s="224">
        <f ca="1"/>
        <v>-5.6371467318015256E-3</v>
      </c>
      <c r="K162" s="224">
        <f ca="1"/>
        <v>-3.6189141513836274E-3</v>
      </c>
      <c r="L162" s="224">
        <f ca="1"/>
        <v>-3.0289450314457691E-3</v>
      </c>
      <c r="M162" s="224">
        <f ca="1"/>
        <v>-2.7138808818759673E-3</v>
      </c>
      <c r="N162" s="57" t="s">
        <v>565</v>
      </c>
      <c r="O162" s="6"/>
      <c r="P162" s="6"/>
      <c r="Q162" s="6"/>
      <c r="R162" s="6"/>
      <c r="S162" s="6"/>
      <c r="T162" s="6"/>
      <c r="U162" s="6"/>
      <c r="V162" s="6"/>
      <c r="W162" s="6"/>
      <c r="X162" s="6"/>
      <c r="Z162" s="124" t="s">
        <v>567</v>
      </c>
    </row>
    <row r="163" spans="1:26" x14ac:dyDescent="0.25">
      <c r="D163" s="6"/>
      <c r="E163" s="6"/>
      <c r="F163" s="6"/>
      <c r="G163" s="6"/>
      <c r="H163" s="6"/>
      <c r="I163" s="6"/>
      <c r="J163" s="6"/>
      <c r="K163" s="6"/>
      <c r="L163" s="6"/>
      <c r="M163" s="6"/>
      <c r="N163" s="6"/>
    </row>
    <row r="164" spans="1:26" ht="14.5" x14ac:dyDescent="0.35">
      <c r="A164" s="3" t="s">
        <v>924</v>
      </c>
      <c r="B164" s="3" t="s">
        <v>445</v>
      </c>
      <c r="C164" s="215">
        <f ca="1" xml:space="preserve"> RT_G_0</f>
        <v>0.94616666666666671</v>
      </c>
      <c r="D164" s="260">
        <f ca="1" xml:space="preserve"> RT_G_0 + (ECS * FGT_0 / (LN(2) * FSLOPE_CO2) - RT_G_0) * (1 - EXP(-YP_1/FRT))</f>
        <v>1.0980041587474358</v>
      </c>
      <c r="E164" s="215">
        <f t="array" ref="E164:M164" ca="1" xml:space="preserve"> pt_g + (ECS * (fgt - rate_fgt*FRT) / (LN(2)*FSLOPE_CO2) - pt_g) * ( 1 - EXP( - (YP_NOT_1)/FRT) ) + ECS * (rate_fgt*YP_NOT_1) / (LN(2)*FSLOPE_CO2)</f>
        <v>1.5201280932256269</v>
      </c>
      <c r="F164" s="215">
        <f ca="1"/>
        <v>1.795320698208148</v>
      </c>
      <c r="G164" s="215">
        <f ca="1"/>
        <v>1.9715672823778634</v>
      </c>
      <c r="H164" s="215">
        <f ca="1"/>
        <v>2.1501696391383995</v>
      </c>
      <c r="I164" s="215">
        <f ca="1"/>
        <v>2.1427934151109533</v>
      </c>
      <c r="J164" s="215">
        <f ca="1"/>
        <v>1.9014897589776094</v>
      </c>
      <c r="K164" s="215">
        <f ca="1"/>
        <v>1.7447741556220739</v>
      </c>
      <c r="L164" s="215">
        <f ca="1"/>
        <v>1.6469378881369754</v>
      </c>
      <c r="M164" s="215">
        <f ca="1"/>
        <v>1.5492981034175957</v>
      </c>
      <c r="N164" s="57" t="s">
        <v>43</v>
      </c>
    </row>
    <row r="165" spans="1:26" ht="14.5" x14ac:dyDescent="0.35">
      <c r="A165" s="3"/>
      <c r="B165" s="3"/>
      <c r="C165" s="6"/>
      <c r="D165" s="112"/>
      <c r="E165" s="6"/>
      <c r="F165" s="6"/>
      <c r="G165" s="6"/>
      <c r="H165" s="6"/>
      <c r="I165" s="6"/>
      <c r="J165" s="6"/>
      <c r="K165" s="6"/>
      <c r="L165" s="6"/>
      <c r="M165" s="6"/>
      <c r="N165" s="57"/>
    </row>
    <row r="166" spans="1:26" ht="14.5" x14ac:dyDescent="0.35">
      <c r="A166" s="103" t="s">
        <v>917</v>
      </c>
      <c r="B166" s="103"/>
      <c r="C166" s="251">
        <f ca="1" xml:space="preserve"> ALB_FSAF_Y0 / RT_G_0</f>
        <v>0.36009025090005786</v>
      </c>
      <c r="D166" s="252">
        <f ca="1" xml:space="preserve"> ( ((ALB_SAF_QUADR_MEAN_T2_COEFF*(pt_g_1^3)/3 + ALB_SAF_QUADR_MEAN_T1_COEFF*(pt_g_1^2)/2 + ALB_SAF_QUADR_MEAN_T0_COEFF*pt_g_1) + (ALB_SAF_QUADR_STD*pt_g_1) * ALB_EMULATOR_RAND) - ALB_FSAF_Y0 ) / (pt_g_1 - RT_G_0)</f>
        <v>0.35511839664972566</v>
      </c>
      <c r="E166" s="251">
        <f t="array" ref="E166:M166" ca="1" xml:space="preserve"> IF( pt_g_not_1 &lt;= ALB_T_SWITCH, ( ((ALB_SAF_QUADR_MEAN_T2_COEFF*(pt_g_not_1^3)/3 + ALB_SAF_QUADR_MEAN_T1_COEFF*(pt_g_not_1^2)/2 + ALB_SAF_QUADR_MEAN_T0_COEFF*pt_g_not_1) + (ALB_SAF_QUADR_STD*pt_g_not_1) * ALB_EMULATOR_RAND) - ((ALB_SAF_QUADR_MEAN_T2_COEFF*(rt_g^3)/3 + ALB_SAF_QUADR_MEAN_T1_COEFF*(rt_g^2)/2 + ALB_SAF_QUADR_MEAN_T0_COEFF*rt_g) + (ALB_SAF_QUADR_STD*rt_g) * ALB_EMULATOR_RAND) ) / (pt_g_not_1 - rt_g), 0 ) + IF(  pt_g_not_1 &gt; ALB_T_SWITCH, (ALB_SAF_LIN_MEAN + ALB_SAF_LIN_STD*ALB_EMULATOR_RAND) )</f>
        <v>0.3519429143801413</v>
      </c>
      <c r="F166" s="251">
        <f ca="1"/>
        <v>0.34769256944788801</v>
      </c>
      <c r="G166" s="251">
        <f ca="1"/>
        <v>0.34468074050107861</v>
      </c>
      <c r="H166" s="251">
        <f ca="1"/>
        <v>0.34216857889932839</v>
      </c>
      <c r="I166" s="251">
        <f ca="1"/>
        <v>0.34091503534514483</v>
      </c>
      <c r="J166" s="251">
        <f ca="1"/>
        <v>0.34271530617904022</v>
      </c>
      <c r="K166" s="251">
        <f ca="1"/>
        <v>0.3454884565542431</v>
      </c>
      <c r="L166" s="251">
        <f ca="1"/>
        <v>0.34717793488941018</v>
      </c>
      <c r="M166" s="251">
        <f ca="1"/>
        <v>0.34843186878099291</v>
      </c>
      <c r="N166" s="57" t="s">
        <v>544</v>
      </c>
      <c r="Z166" s="124" t="s">
        <v>952</v>
      </c>
    </row>
    <row r="167" spans="1:26" ht="14.5" x14ac:dyDescent="0.35">
      <c r="A167" s="103" t="s">
        <v>919</v>
      </c>
      <c r="B167" s="103"/>
      <c r="C167" s="251">
        <f ca="1">ALB_SAF_APPROX_0 - ALB_SAF_ECS</f>
        <v>1.0499779406104692E-2</v>
      </c>
      <c r="D167" s="252">
        <f t="array" ref="D167:M167" ca="1" xml:space="preserve"> alb_saf_approx - ALB_SAF_ECS</f>
        <v>5.5279251557724951E-3</v>
      </c>
      <c r="E167" s="251">
        <f ca="1"/>
        <v>2.352442886188133E-3</v>
      </c>
      <c r="F167" s="251">
        <f ca="1"/>
        <v>-1.8979020460651586E-3</v>
      </c>
      <c r="G167" s="251">
        <f ca="1"/>
        <v>-4.9097309928745614E-3</v>
      </c>
      <c r="H167" s="251">
        <f ca="1"/>
        <v>-7.4218925946247793E-3</v>
      </c>
      <c r="I167" s="251">
        <f ca="1"/>
        <v>-8.6754361488083354E-3</v>
      </c>
      <c r="J167" s="251">
        <f ca="1"/>
        <v>-6.8751653149129455E-3</v>
      </c>
      <c r="K167" s="251">
        <f ca="1"/>
        <v>-4.1020149397100747E-3</v>
      </c>
      <c r="L167" s="251">
        <f ca="1"/>
        <v>-2.4125366045429919E-3</v>
      </c>
      <c r="M167" s="251">
        <f ca="1"/>
        <v>-1.158602712960255E-3</v>
      </c>
      <c r="N167" s="57" t="s">
        <v>544</v>
      </c>
      <c r="O167" s="6"/>
      <c r="P167" s="6"/>
      <c r="Q167" s="6"/>
      <c r="R167" s="6"/>
      <c r="S167" s="6"/>
      <c r="T167" s="6"/>
      <c r="U167" s="6"/>
      <c r="V167" s="6"/>
      <c r="W167" s="6"/>
      <c r="X167" s="6"/>
      <c r="Z167" s="124" t="s">
        <v>952</v>
      </c>
    </row>
    <row r="168" spans="1:26" ht="14.5" x14ac:dyDescent="0.35">
      <c r="A168" s="103" t="s">
        <v>927</v>
      </c>
      <c r="B168" s="103"/>
      <c r="C168" s="208">
        <v>0</v>
      </c>
      <c r="D168" s="252">
        <f ca="1" xml:space="preserve"> ((ALB_SAF_QUADR_MEAN_T2_COEFF*(RT_G_0^3)/3 + ALB_SAF_QUADR_MEAN_T1_COEFF*(RT_G_0^2)/2 + ALB_SAF_QUADR_MEAN_T0_COEFF*RT_G_0) + (ALB_SAF_QUADR_STD*RT_G_0) * ALB_EMULATOR_RAND) - alb_saf_approx_1*RT_G_0</f>
        <v>4.7042027631892802E-3</v>
      </c>
      <c r="E168" s="251">
        <f t="array" ref="E168:M168" ca="1" xml:space="preserve"> IF( rt_g &lt;= ALB_T_SWITCH, ((ALB_SAF_QUADR_MEAN_T2_COEFF*(rt_g^3)/3 + ALB_SAF_QUADR_MEAN_T1_COEFF*(rt_g^2)/2 + ALB_SAF_QUADR_MEAN_T0_COEFF*rt_g) + (ALB_SAF_QUADR_STD*rt_g) * ALB_EMULATOR_RAND), 0 ) + IF( rt_g &gt; ALB_T_SWITCH, ALB_FSAF_T_SWITCH + ALB_SAF_LIN_MEAN*(rt_g - ALB_T_SWITCH) + (ALB_SAF_LIN_STD*(rt_g - ALB_T_SWITCH)) * ALB_EMULATOR_RAND, 0 ) - alb_saf_approx_not_1 * rt_g</f>
        <v>8.1938292561568038E-3</v>
      </c>
      <c r="F168" s="251">
        <f ca="1"/>
        <v>1.4660739846874216E-2</v>
      </c>
      <c r="G168" s="251">
        <f ca="1"/>
        <v>2.0073790137964065E-2</v>
      </c>
      <c r="H168" s="251">
        <f ca="1"/>
        <v>2.503408071515989E-2</v>
      </c>
      <c r="I168" s="251">
        <f ca="1"/>
        <v>2.7729058931634243E-2</v>
      </c>
      <c r="J168" s="251">
        <f ca="1"/>
        <v>2.3860009022639184E-2</v>
      </c>
      <c r="K168" s="251">
        <f ca="1"/>
        <v>1.8579120464495724E-2</v>
      </c>
      <c r="L168" s="251">
        <f ca="1"/>
        <v>1.5626210150471942E-2</v>
      </c>
      <c r="M168" s="251">
        <f ca="1"/>
        <v>1.355583224985335E-2</v>
      </c>
      <c r="N168" s="3" t="s">
        <v>44</v>
      </c>
      <c r="Z168" s="124" t="s">
        <v>952</v>
      </c>
    </row>
    <row r="169" spans="1:26" ht="14.5" x14ac:dyDescent="0.35">
      <c r="A169" s="103" t="s">
        <v>928</v>
      </c>
      <c r="B169" s="103"/>
      <c r="C169" s="252">
        <f ca="1" xml:space="preserve"> ECS / ( 1 - ECS * ALB_SAF_ADJUST_0 / (LN(2)*FSLOPE_CO2) )</f>
        <v>2.8285268151193343</v>
      </c>
      <c r="D169" s="252">
        <f t="array" ref="D169:M169" ca="1" xml:space="preserve"> ECS / ( 1 - ECS * alb_saf_adjust / (LN(2)*FSLOPE_CO2) )</f>
        <v>2.8181311629235757</v>
      </c>
      <c r="E169" s="251">
        <f ca="1"/>
        <v>2.8115314402197877</v>
      </c>
      <c r="F169" s="251">
        <f ca="1"/>
        <v>2.8027460164647309</v>
      </c>
      <c r="G169" s="251">
        <f ca="1"/>
        <v>2.7965537580980619</v>
      </c>
      <c r="H169" s="251">
        <f ca="1"/>
        <v>2.7914096962975967</v>
      </c>
      <c r="I169" s="251">
        <f ca="1"/>
        <v>2.7888499318331808</v>
      </c>
      <c r="J169" s="251">
        <f ca="1"/>
        <v>2.7925275980841744</v>
      </c>
      <c r="K169" s="251">
        <f ca="1"/>
        <v>2.7982117190855962</v>
      </c>
      <c r="L169" s="251">
        <f ca="1"/>
        <v>2.8016859966115941</v>
      </c>
      <c r="M169" s="251">
        <f ca="1"/>
        <v>2.8042701947288129</v>
      </c>
      <c r="N169" s="57" t="s">
        <v>43</v>
      </c>
      <c r="O169" s="6"/>
      <c r="P169" s="6"/>
      <c r="Q169" s="6"/>
      <c r="R169" s="6"/>
      <c r="S169" s="6"/>
      <c r="T169" s="6"/>
      <c r="U169" s="6"/>
      <c r="V169" s="6"/>
      <c r="W169" s="6"/>
      <c r="X169" s="6"/>
      <c r="Z169" s="124" t="s">
        <v>558</v>
      </c>
    </row>
    <row r="170" spans="1:26" ht="14.5" x14ac:dyDescent="0.35">
      <c r="A170" s="103" t="s">
        <v>929</v>
      </c>
      <c r="B170" s="103"/>
      <c r="C170" s="253">
        <f ca="1" xml:space="preserve"> FRT / ( 1 - ECS * ALB_SAF_ADJUST_0 / (LN(2)*FSLOPE_CO2) )</f>
        <v>28.554057555823473</v>
      </c>
      <c r="D170" s="253">
        <f t="array" ref="D170:M170" ca="1" xml:space="preserve"> FRT / ( 1 - ECS * alb_saf_adjust / (LN(2)*FSLOPE_CO2) )</f>
        <v>28.449113155246707</v>
      </c>
      <c r="E170" s="204">
        <f ca="1"/>
        <v>28.382488769390037</v>
      </c>
      <c r="F170" s="204">
        <f ca="1"/>
        <v>28.293799670098753</v>
      </c>
      <c r="G170" s="204">
        <f ca="1"/>
        <v>28.231288648157125</v>
      </c>
      <c r="H170" s="204">
        <f ca="1"/>
        <v>28.179359199959549</v>
      </c>
      <c r="I170" s="204">
        <f ca="1"/>
        <v>28.153518305874478</v>
      </c>
      <c r="J170" s="204">
        <f ca="1"/>
        <v>28.190644449858922</v>
      </c>
      <c r="K170" s="204">
        <f ca="1"/>
        <v>28.248025810842066</v>
      </c>
      <c r="L170" s="204">
        <f ca="1"/>
        <v>28.283098739941398</v>
      </c>
      <c r="M170" s="204">
        <f ca="1"/>
        <v>28.309186292437026</v>
      </c>
      <c r="N170" s="57" t="s">
        <v>459</v>
      </c>
      <c r="O170" s="6"/>
      <c r="P170" s="6"/>
      <c r="Q170" s="6"/>
      <c r="R170" s="6"/>
      <c r="S170" s="6"/>
      <c r="T170" s="6"/>
      <c r="U170" s="6"/>
      <c r="V170" s="6"/>
      <c r="W170" s="6"/>
      <c r="X170" s="6"/>
      <c r="Z170" s="124" t="s">
        <v>558</v>
      </c>
    </row>
    <row r="171" spans="1:26" ht="14.5" x14ac:dyDescent="0.35">
      <c r="A171" s="3"/>
      <c r="B171" s="103" t="s">
        <v>925</v>
      </c>
      <c r="C171" s="204"/>
      <c r="D171" s="112"/>
      <c r="E171" s="6"/>
      <c r="F171" s="6"/>
      <c r="G171" s="6"/>
      <c r="H171" s="6"/>
      <c r="I171" s="6"/>
      <c r="J171" s="6"/>
      <c r="K171" s="6"/>
      <c r="L171" s="6"/>
      <c r="M171" s="6"/>
      <c r="N171" s="3"/>
    </row>
    <row r="172" spans="1:26" ht="13" x14ac:dyDescent="0.3">
      <c r="A172" s="113" t="s">
        <v>923</v>
      </c>
      <c r="B172" s="113" t="s">
        <v>181</v>
      </c>
      <c r="C172" s="254">
        <f ca="1" xml:space="preserve"> RT_G_0</f>
        <v>0.94616666666666671</v>
      </c>
      <c r="D172" s="254">
        <f ca="1" xml:space="preserve"> IF(switch_seaice = 0,  pt_g_1, 0) +  IF(switch_seaice = 1, RT_G_0 + (ecs_alb_adj_1 * (FGT_0 + alb_fsaf_adjust_1) / (LN(2) * FSLOPE_CO2) - RT_G_0) * (1 - EXP(-YP_1/frt_alb_adj_1)), 0)</f>
        <v>1.099240724430961</v>
      </c>
      <c r="E172" s="254">
        <f t="array" ref="E172:M172" ca="1" xml:space="preserve"> IF(switch_seaice = 0,  pt_g_not_1, 0) +  IF(switch_seaice = 1, rt_g + (ecs_alb_adj_not_1 * (fgt - rate_fgt*frt_alb_adj_not_1 + alb_fsaf_adjust_not_1) / (LN(2)*FSLOPE_CO2) - rt_g) * (1 - EXP( - (YP_NOT_1)/frt_alb_adj_not_1)) + ecs_alb_adj_not_1 * (rate_fgt*YP_NOT_1) / (LN(2)*FSLOPE_CO2), 0)</f>
        <v>1.5234697716780892</v>
      </c>
      <c r="F172" s="254">
        <f ca="1"/>
        <v>1.8001831315602104</v>
      </c>
      <c r="G172" s="254">
        <f ca="1"/>
        <v>1.9773377710046351</v>
      </c>
      <c r="H172" s="254">
        <f ca="1"/>
        <v>2.1566345576803738</v>
      </c>
      <c r="I172" s="254">
        <f ca="1"/>
        <v>2.149345207285442</v>
      </c>
      <c r="J172" s="254">
        <f ca="1"/>
        <v>1.9087609500438529</v>
      </c>
      <c r="K172" s="254">
        <f ca="1"/>
        <v>1.7528114940421422</v>
      </c>
      <c r="L172" s="254">
        <f ca="1"/>
        <v>1.6553534576379223</v>
      </c>
      <c r="M172" s="254">
        <f ca="1"/>
        <v>1.5578828226272281</v>
      </c>
      <c r="N172" t="str">
        <f>'Base data'!$L$35</f>
        <v>degC</v>
      </c>
      <c r="O172" s="6">
        <f ca="1">_xll.RiskOutput(,"rt_g_a",1)+D172</f>
        <v>1.099240724430961</v>
      </c>
      <c r="P172" s="6">
        <f ca="1">_xll.RiskOutput(,"rt_g_a",2)+E172</f>
        <v>1.5234697716780892</v>
      </c>
      <c r="Q172" s="6">
        <f ca="1">_xll.RiskOutput(,"rt_g_a",3)+F172</f>
        <v>1.8001831315602104</v>
      </c>
      <c r="R172" s="6">
        <f ca="1">_xll.RiskOutput(,"rt_g_a",4)+G172</f>
        <v>1.9773377710046351</v>
      </c>
      <c r="S172" s="6">
        <f ca="1">_xll.RiskOutput(,"rt_g_a",5)+H172</f>
        <v>2.1566345576803738</v>
      </c>
      <c r="T172" s="6">
        <f ca="1">_xll.RiskOutput(,"rt_g_a",6)+I172</f>
        <v>2.149345207285442</v>
      </c>
      <c r="U172" s="6">
        <f ca="1">_xll.RiskOutput(,"rt_g_a",7)+J172</f>
        <v>1.9087609500438529</v>
      </c>
      <c r="V172" s="6">
        <f ca="1">_xll.RiskOutput(,"rt_g_a",8)+K172</f>
        <v>1.7528114940421422</v>
      </c>
      <c r="W172" s="6">
        <f ca="1">_xll.RiskOutput(,"rt_g_a",9)+L172</f>
        <v>1.6553534576379223</v>
      </c>
      <c r="X172" s="6">
        <f ca="1">_xll.RiskOutput(,"rt_g_a",10)+M172</f>
        <v>1.5578828226272281</v>
      </c>
      <c r="Z172" s="124" t="s">
        <v>926</v>
      </c>
    </row>
    <row r="173" spans="1:26" x14ac:dyDescent="0.25">
      <c r="O173" s="6"/>
      <c r="P173" s="6"/>
      <c r="Q173" s="6"/>
      <c r="R173" s="6"/>
      <c r="S173" s="6"/>
      <c r="T173" s="6"/>
      <c r="U173" s="6"/>
      <c r="V173" s="6"/>
      <c r="W173" s="6"/>
      <c r="X173" s="6"/>
    </row>
    <row r="174" spans="1:26" ht="14.5" x14ac:dyDescent="0.35">
      <c r="A174" s="103" t="s">
        <v>921</v>
      </c>
      <c r="B174" s="103"/>
      <c r="C174" s="253">
        <f ca="1" xml:space="preserve"> ALB_FSAF_Y0</f>
        <v>0.34070539239327141</v>
      </c>
      <c r="D174" s="253">
        <f t="array" ref="D174:M174" ca="1" xml:space="preserve"> IF( rt_g &lt;= ALB_T_SWITCH, (ALB_SAF_QUADR_MEAN_T2_COEFF*(rt_g^3)/3 + ALB_SAF_QUADR_MEAN_T1_COEFF*(rt_g^2)/2 + ALB_SAF_QUADR_MEAN_T0_COEFF*rt_g) + (ALB_SAF_QUADR_STD*rt_g) * ALB_EMULATOR_RAND, 0 ) + IF( rt_g &gt; ALB_T_SWITCH, ALB_FSAF_T_SWITCH + ALB_SAF_LIN_MEAN*(rt_g - ALB_T_SWITCH) + (ALB_SAF_LIN_STD*(rt_g - ALB_T_SWITCH)) * ALB_EMULATOR_RAND, 0 )</f>
        <v>0.39506381341772701</v>
      </c>
      <c r="E174" s="204">
        <f ca="1"/>
        <v>0.54435985923781638</v>
      </c>
      <c r="F174" s="204">
        <f ca="1"/>
        <v>0.64056224496168801</v>
      </c>
      <c r="G174" s="204">
        <f ca="1"/>
        <v>0.70161693582378148</v>
      </c>
      <c r="H174" s="204">
        <f ca="1"/>
        <v>0.76295820538979964</v>
      </c>
      <c r="I174" s="204">
        <f ca="1"/>
        <v>0.76047350982192208</v>
      </c>
      <c r="J174" s="204">
        <f ca="1"/>
        <v>0.67803399502615713</v>
      </c>
      <c r="K174" s="204">
        <f ca="1"/>
        <v>0.62416368490244456</v>
      </c>
      <c r="L174" s="204">
        <f ca="1"/>
        <v>0.5903337309877128</v>
      </c>
      <c r="M174" s="204">
        <f ca="1"/>
        <v>0.55637712931541761</v>
      </c>
      <c r="N174" s="3" t="s">
        <v>44</v>
      </c>
      <c r="O174" s="6"/>
      <c r="P174" s="6"/>
      <c r="Q174" s="6"/>
      <c r="R174" s="6"/>
      <c r="S174" s="6"/>
      <c r="T174" s="6"/>
      <c r="U174" s="6"/>
      <c r="V174" s="6"/>
      <c r="W174" s="6"/>
      <c r="X174" s="6"/>
      <c r="Z174" s="124" t="s">
        <v>952</v>
      </c>
    </row>
    <row r="175" spans="1:26" ht="14.5" x14ac:dyDescent="0.35">
      <c r="A175" s="103" t="s">
        <v>922</v>
      </c>
      <c r="B175" s="103"/>
      <c r="C175" s="253">
        <f ca="1" xml:space="preserve"> ALB_SAF_Y0</f>
        <v>0.35677636190954537</v>
      </c>
      <c r="D175" s="253">
        <f t="array" ref="D175:M175" ca="1" xml:space="preserve"> IF( rt_g &lt;= ALB_T_SWITCH, (ALB_SAF_QUADR_MEAN_T2_COEFF*(rt_g^2)/2 + ALB_SAF_QUADR_MEAN_T1_COEFF*rt_g + ALB_SAF_QUADR_MEAN_T0_COEFF) + ALB_SAF_QUADR_STD * ALB_EMULATOR_RAND, 0 ) + IF( rt_g &gt; ALB_T_SWITCH, ALB_SAF_LIN_MEAN + ALB_SAF_LIN_STD * ALB_EMULATOR_RAND, 0 )</f>
        <v>0.3554920500982256</v>
      </c>
      <c r="E175" s="204">
        <f ca="1"/>
        <v>0.35169288755518424</v>
      </c>
      <c r="F175" s="204">
        <f ca="1"/>
        <v>0.34902486129735966</v>
      </c>
      <c r="G175" s="204">
        <f ca="1"/>
        <v>0.3472380288954075</v>
      </c>
      <c r="H175" s="204">
        <f ca="1"/>
        <v>0.34536700645685314</v>
      </c>
      <c r="I175" s="204">
        <f ca="1"/>
        <v>0.34544430107808255</v>
      </c>
      <c r="J175" s="204">
        <f ca="1"/>
        <v>0.34793700567535446</v>
      </c>
      <c r="K175" s="204">
        <f ca="1"/>
        <v>0.34949224983672822</v>
      </c>
      <c r="L175" s="204">
        <f ca="1"/>
        <v>0.35043999012187943</v>
      </c>
      <c r="M175" s="204">
        <f ca="1"/>
        <v>0.35136924756356541</v>
      </c>
      <c r="N175" s="57" t="s">
        <v>544</v>
      </c>
      <c r="O175" s="6"/>
      <c r="P175" s="6"/>
      <c r="Q175" s="6"/>
      <c r="R175" s="6"/>
      <c r="S175" s="6"/>
      <c r="T175" s="6"/>
      <c r="U175" s="6"/>
      <c r="V175" s="6"/>
      <c r="W175" s="6"/>
      <c r="X175" s="6"/>
      <c r="Z175" s="124" t="s">
        <v>952</v>
      </c>
    </row>
    <row r="176" spans="1:26" x14ac:dyDescent="0.25">
      <c r="O176" s="6"/>
      <c r="P176" s="6"/>
      <c r="Q176" s="6"/>
      <c r="R176" s="6"/>
      <c r="S176" s="6"/>
      <c r="T176" s="6"/>
      <c r="U176" s="6"/>
      <c r="V176" s="6"/>
      <c r="W176" s="6"/>
      <c r="X176" s="6"/>
    </row>
    <row r="177" spans="1:42" ht="13" x14ac:dyDescent="0.3">
      <c r="A177" s="57" t="s">
        <v>427</v>
      </c>
      <c r="B177" s="57" t="s">
        <v>170</v>
      </c>
      <c r="C177" s="1" t="str">
        <f t="array" ref="C177:C184">R_CODE</f>
        <v>EU</v>
      </c>
      <c r="D177" s="215">
        <f t="array" ref="D177:M184" ca="1" xml:space="preserve"> rt_g * AMPF</f>
        <v>1.3960357200273208</v>
      </c>
      <c r="E177" s="215">
        <f ca="1"/>
        <v>1.9348066100311736</v>
      </c>
      <c r="F177" s="215">
        <f ca="1"/>
        <v>2.2862325770814675</v>
      </c>
      <c r="G177" s="215">
        <f ca="1"/>
        <v>2.5112189691758871</v>
      </c>
      <c r="H177" s="215">
        <f ca="1"/>
        <v>2.7389258882540752</v>
      </c>
      <c r="I177" s="215">
        <f ca="1"/>
        <v>2.729668413252512</v>
      </c>
      <c r="J177" s="215">
        <f ca="1"/>
        <v>2.4241264065556938</v>
      </c>
      <c r="K177" s="215">
        <f ca="1"/>
        <v>2.2260705974335209</v>
      </c>
      <c r="L177" s="215">
        <f ca="1"/>
        <v>2.1022988912001619</v>
      </c>
      <c r="M177" s="215">
        <f ca="1"/>
        <v>1.9785111847365802</v>
      </c>
      <c r="N177" s="3" t="s">
        <v>43</v>
      </c>
      <c r="O177" s="6"/>
      <c r="P177" s="6"/>
      <c r="Q177" s="6"/>
      <c r="R177" s="6"/>
      <c r="S177" s="6"/>
      <c r="T177" s="6"/>
      <c r="U177" s="6"/>
      <c r="V177" s="6"/>
      <c r="W177" s="6"/>
      <c r="X177" s="6"/>
      <c r="Z177" s="124" t="s">
        <v>559</v>
      </c>
    </row>
    <row r="178" spans="1:42" x14ac:dyDescent="0.25">
      <c r="A178" s="6"/>
      <c r="B178" s="6"/>
      <c r="C178" s="1" t="str">
        <v>US</v>
      </c>
      <c r="D178" s="215">
        <f ca="1"/>
        <v>1.4729825707374877</v>
      </c>
      <c r="E178" s="215">
        <f ca="1"/>
        <v>2.0414494940486394</v>
      </c>
      <c r="F178" s="215">
        <f ca="1"/>
        <v>2.412245396290682</v>
      </c>
      <c r="G178" s="215">
        <f ca="1"/>
        <v>2.6496326131462111</v>
      </c>
      <c r="H178" s="215">
        <f ca="1"/>
        <v>2.8898903072917013</v>
      </c>
      <c r="I178" s="215">
        <f ca="1"/>
        <v>2.8801225777624926</v>
      </c>
      <c r="J178" s="215">
        <f ca="1"/>
        <v>2.5577396730587632</v>
      </c>
      <c r="K178" s="215">
        <f ca="1"/>
        <v>2.3487674020164708</v>
      </c>
      <c r="L178" s="215">
        <f ca="1"/>
        <v>2.2181736332348159</v>
      </c>
      <c r="M178" s="215">
        <f ca="1"/>
        <v>2.087562982320486</v>
      </c>
      <c r="N178" t="str">
        <f>'Base data'!$L$35</f>
        <v>degC</v>
      </c>
      <c r="O178" s="6"/>
      <c r="P178" s="6"/>
      <c r="Q178" s="6"/>
      <c r="R178" s="6"/>
      <c r="S178" s="6"/>
      <c r="T178" s="6"/>
      <c r="U178" s="6"/>
      <c r="V178" s="6"/>
      <c r="W178" s="6"/>
      <c r="X178" s="6"/>
    </row>
    <row r="179" spans="1:42" x14ac:dyDescent="0.25">
      <c r="A179" s="6"/>
      <c r="B179" s="6"/>
      <c r="C179" s="1" t="str">
        <v>OT</v>
      </c>
      <c r="D179" s="215">
        <f ca="1"/>
        <v>1.3410736838057724</v>
      </c>
      <c r="E179" s="215">
        <f ca="1"/>
        <v>1.8586331214472687</v>
      </c>
      <c r="F179" s="215">
        <f ca="1"/>
        <v>2.1962234205034568</v>
      </c>
      <c r="G179" s="215">
        <f ca="1"/>
        <v>2.4123520806256549</v>
      </c>
      <c r="H179" s="215">
        <f ca="1"/>
        <v>2.6310941603700559</v>
      </c>
      <c r="I179" s="215">
        <f ca="1"/>
        <v>2.622201152888239</v>
      </c>
      <c r="J179" s="215">
        <f ca="1"/>
        <v>2.3286883590535004</v>
      </c>
      <c r="K179" s="215">
        <f ca="1"/>
        <v>2.1384300227314132</v>
      </c>
      <c r="L179" s="215">
        <f ca="1"/>
        <v>2.019531218318265</v>
      </c>
      <c r="M179" s="215">
        <f ca="1"/>
        <v>1.9006170436052183</v>
      </c>
      <c r="N179" t="str">
        <f>'Base data'!$L$35</f>
        <v>degC</v>
      </c>
      <c r="O179" s="6"/>
      <c r="P179" s="6"/>
      <c r="Q179" s="6"/>
      <c r="R179" s="6"/>
      <c r="S179" s="6"/>
      <c r="T179" s="6"/>
      <c r="U179" s="6"/>
      <c r="V179" s="6"/>
      <c r="W179" s="6"/>
      <c r="X179" s="6"/>
    </row>
    <row r="180" spans="1:42" x14ac:dyDescent="0.25">
      <c r="A180" s="6"/>
      <c r="B180" s="6"/>
      <c r="C180" s="1" t="str">
        <v>EE</v>
      </c>
      <c r="D180" s="215">
        <f ca="1"/>
        <v>1.8137471953110853</v>
      </c>
      <c r="E180" s="215">
        <f ca="1"/>
        <v>2.5137251232688467</v>
      </c>
      <c r="F180" s="215">
        <f ca="1"/>
        <v>2.9703021670743466</v>
      </c>
      <c r="G180" s="215">
        <f ca="1"/>
        <v>3.2626073221576473</v>
      </c>
      <c r="H180" s="215">
        <f ca="1"/>
        <v>3.5584470201726162</v>
      </c>
      <c r="I180" s="215">
        <f ca="1"/>
        <v>3.5464195920209787</v>
      </c>
      <c r="J180" s="215">
        <f ca="1"/>
        <v>3.1494555675723568</v>
      </c>
      <c r="K180" s="215">
        <f ca="1"/>
        <v>2.8921389651695342</v>
      </c>
      <c r="L180" s="215">
        <f ca="1"/>
        <v>2.7313332051025712</v>
      </c>
      <c r="M180" s="215">
        <f ca="1"/>
        <v>2.570506657334926</v>
      </c>
      <c r="N180" t="str">
        <f>'Base data'!$L$35</f>
        <v>degC</v>
      </c>
      <c r="O180" s="6"/>
      <c r="P180" s="6"/>
      <c r="Q180" s="6"/>
      <c r="R180" s="6"/>
      <c r="S180" s="6"/>
      <c r="T180" s="6"/>
      <c r="U180" s="6"/>
      <c r="V180" s="6"/>
      <c r="W180" s="6"/>
      <c r="X180" s="6"/>
    </row>
    <row r="181" spans="1:42" x14ac:dyDescent="0.25">
      <c r="A181" s="6"/>
      <c r="B181" s="6"/>
      <c r="C181" s="1" t="str">
        <v>CA</v>
      </c>
      <c r="D181" s="215">
        <f ca="1"/>
        <v>1.2861116475842242</v>
      </c>
      <c r="E181" s="215">
        <f ca="1"/>
        <v>1.7824596328633642</v>
      </c>
      <c r="F181" s="215">
        <f ca="1"/>
        <v>2.106214263925446</v>
      </c>
      <c r="G181" s="215">
        <f ca="1"/>
        <v>2.3134851920754231</v>
      </c>
      <c r="H181" s="215">
        <f ca="1"/>
        <v>2.5232624324860371</v>
      </c>
      <c r="I181" s="215">
        <f ca="1"/>
        <v>2.5147338925239668</v>
      </c>
      <c r="J181" s="215">
        <f ca="1"/>
        <v>2.2332503115513078</v>
      </c>
      <c r="K181" s="215">
        <f ca="1"/>
        <v>2.0507894480293061</v>
      </c>
      <c r="L181" s="215">
        <f ca="1"/>
        <v>1.936763545436369</v>
      </c>
      <c r="M181" s="215">
        <f ca="1"/>
        <v>1.8227229024738567</v>
      </c>
      <c r="N181" t="str">
        <f>'Base data'!$L$35</f>
        <v>degC</v>
      </c>
      <c r="O181" s="6"/>
      <c r="P181" s="6"/>
      <c r="Q181" s="6"/>
      <c r="R181" s="6"/>
      <c r="S181" s="6"/>
      <c r="T181" s="6"/>
      <c r="U181" s="6"/>
      <c r="V181" s="6"/>
      <c r="W181" s="6"/>
      <c r="X181" s="6"/>
    </row>
    <row r="182" spans="1:42" x14ac:dyDescent="0.25">
      <c r="A182" s="6"/>
      <c r="B182" s="6"/>
      <c r="C182" s="1" t="str">
        <v>IA</v>
      </c>
      <c r="D182" s="215">
        <f ca="1"/>
        <v>1.1102331316752707</v>
      </c>
      <c r="E182" s="215">
        <f ca="1"/>
        <v>1.5387044693948702</v>
      </c>
      <c r="F182" s="215">
        <f ca="1"/>
        <v>1.8181849628758124</v>
      </c>
      <c r="G182" s="215">
        <f ca="1"/>
        <v>1.9971111487146815</v>
      </c>
      <c r="H182" s="215">
        <f ca="1"/>
        <v>2.1782009032571774</v>
      </c>
      <c r="I182" s="215">
        <f ca="1"/>
        <v>2.1708386593582962</v>
      </c>
      <c r="J182" s="215">
        <f ca="1"/>
        <v>1.9278485595442916</v>
      </c>
      <c r="K182" s="215">
        <f ca="1"/>
        <v>1.7703396089825636</v>
      </c>
      <c r="L182" s="215">
        <f ca="1"/>
        <v>1.6719069922143015</v>
      </c>
      <c r="M182" s="215">
        <f ca="1"/>
        <v>1.5734616508535004</v>
      </c>
      <c r="N182" t="str">
        <f>'Base data'!$L$35</f>
        <v>degC</v>
      </c>
      <c r="O182" s="6"/>
      <c r="P182" s="6"/>
      <c r="Q182" s="6"/>
      <c r="R182" s="6"/>
      <c r="S182" s="6"/>
      <c r="T182" s="6"/>
      <c r="U182" s="6"/>
      <c r="V182" s="6"/>
      <c r="W182" s="6"/>
      <c r="X182" s="6"/>
    </row>
    <row r="183" spans="1:42" x14ac:dyDescent="0.25">
      <c r="A183" s="6"/>
      <c r="B183" s="6"/>
      <c r="C183" s="1" t="str">
        <v>AF</v>
      </c>
      <c r="D183" s="215">
        <f ca="1"/>
        <v>1.3300812765614627</v>
      </c>
      <c r="E183" s="215">
        <f ca="1"/>
        <v>1.8433984237304879</v>
      </c>
      <c r="F183" s="215">
        <f ca="1"/>
        <v>2.1782215891878547</v>
      </c>
      <c r="G183" s="215">
        <f ca="1"/>
        <v>2.3925787029156083</v>
      </c>
      <c r="H183" s="215">
        <f ca="1"/>
        <v>2.6095278147932524</v>
      </c>
      <c r="I183" s="215">
        <f ca="1"/>
        <v>2.6007077008153847</v>
      </c>
      <c r="J183" s="215">
        <f ca="1"/>
        <v>2.3096007495530619</v>
      </c>
      <c r="K183" s="215">
        <f ca="1"/>
        <v>2.1209019077909921</v>
      </c>
      <c r="L183" s="215">
        <f ca="1"/>
        <v>2.0029776837418858</v>
      </c>
      <c r="M183" s="215">
        <f ca="1"/>
        <v>1.885038215378946</v>
      </c>
      <c r="N183" t="str">
        <f>'Base data'!$L$35</f>
        <v>degC</v>
      </c>
      <c r="O183" s="6"/>
      <c r="P183" s="6"/>
      <c r="Q183" s="6"/>
      <c r="R183" s="6"/>
      <c r="S183" s="6"/>
      <c r="T183" s="6"/>
      <c r="U183" s="6"/>
      <c r="V183" s="6"/>
      <c r="W183" s="6"/>
      <c r="X183" s="6"/>
      <c r="AE183" s="158"/>
      <c r="AF183" s="6"/>
      <c r="AG183" s="6"/>
      <c r="AH183" s="6"/>
      <c r="AI183" s="6"/>
      <c r="AJ183" s="6"/>
      <c r="AK183" s="6"/>
      <c r="AL183" s="6"/>
      <c r="AM183" s="6"/>
      <c r="AN183" s="6"/>
      <c r="AO183" s="6"/>
      <c r="AP183" s="3"/>
    </row>
    <row r="184" spans="1:42" x14ac:dyDescent="0.25">
      <c r="A184" s="6"/>
      <c r="B184" s="6"/>
      <c r="C184" s="1" t="str">
        <v>LA</v>
      </c>
      <c r="D184" s="215">
        <f ca="1"/>
        <v>1.1432103534081994</v>
      </c>
      <c r="E184" s="215">
        <f ca="1"/>
        <v>1.5844085625452129</v>
      </c>
      <c r="F184" s="215">
        <f ca="1"/>
        <v>1.8721904568226189</v>
      </c>
      <c r="G184" s="215">
        <f ca="1"/>
        <v>2.0564312818448207</v>
      </c>
      <c r="H184" s="215">
        <f ca="1"/>
        <v>2.2428999399875886</v>
      </c>
      <c r="I184" s="215">
        <f ca="1"/>
        <v>2.2353190155768599</v>
      </c>
      <c r="J184" s="215">
        <f ca="1"/>
        <v>1.9851113880456071</v>
      </c>
      <c r="K184" s="215">
        <f ca="1"/>
        <v>1.822923953803828</v>
      </c>
      <c r="L184" s="215">
        <f ca="1"/>
        <v>1.7215675959434393</v>
      </c>
      <c r="M184" s="215">
        <f ca="1"/>
        <v>1.6201981355323172</v>
      </c>
      <c r="N184" t="str">
        <f>'Base data'!$L$35</f>
        <v>degC</v>
      </c>
      <c r="O184" s="6"/>
      <c r="P184" s="6"/>
      <c r="Q184" s="6"/>
      <c r="R184" s="6"/>
      <c r="S184" s="6"/>
      <c r="T184" s="6"/>
      <c r="U184" s="6"/>
      <c r="V184" s="6"/>
      <c r="W184" s="6"/>
      <c r="X184" s="6"/>
      <c r="AA184" s="3"/>
      <c r="AE184" s="158"/>
      <c r="AF184" s="6"/>
      <c r="AG184" s="6"/>
      <c r="AH184" s="6"/>
      <c r="AI184" s="6"/>
      <c r="AJ184" s="6"/>
      <c r="AK184" s="6"/>
      <c r="AL184" s="6"/>
      <c r="AM184" s="6"/>
      <c r="AN184" s="6"/>
      <c r="AO184" s="6"/>
      <c r="AP184" s="3"/>
    </row>
    <row r="185" spans="1:42" x14ac:dyDescent="0.25">
      <c r="A185" s="57" t="s">
        <v>171</v>
      </c>
      <c r="B185" s="57" t="s">
        <v>180</v>
      </c>
      <c r="C185" s="258">
        <f ca="1">RTL_G_0</f>
        <v>1.1683981941310047</v>
      </c>
      <c r="D185" s="258">
        <f t="array" aca="1" ref="D185" ca="1">SUM(AREA*D177:D184)/AREA_L</f>
        <v>1.3574256234000972</v>
      </c>
      <c r="E185" s="258">
        <f t="array" aca="1" ref="E185" ca="1">SUM(AREA*E177:E184)/AREA_L</f>
        <v>1.8812957513213175</v>
      </c>
      <c r="F185" s="258">
        <f t="array" aca="1" ref="F185" ca="1">SUM(AREA*F177:F184)/AREA_L</f>
        <v>2.2230023463308579</v>
      </c>
      <c r="G185" s="258">
        <f t="array" aca="1" ref="G185" ca="1">SUM(AREA*G177:G184)/AREA_L</f>
        <v>2.4417662999776377</v>
      </c>
      <c r="H185" s="258">
        <f t="array" aca="1" ref="H185" ca="1">SUM(AREA*H177:H184)/AREA_L</f>
        <v>2.6631755391167165</v>
      </c>
      <c r="I185" s="258">
        <f t="array" aca="1" ref="I185" ca="1">SUM(AREA*I177:I184)/AREA_L</f>
        <v>2.654174097681635</v>
      </c>
      <c r="J185" s="258">
        <f t="array" aca="1" ref="J185" ca="1">SUM(AREA*J177:J184)/AREA_L</f>
        <v>2.3570824524139709</v>
      </c>
      <c r="K185" s="258">
        <f t="array" aca="1" ref="K185" ca="1">SUM(AREA*K177:K184)/AREA_L</f>
        <v>2.164504263826923</v>
      </c>
      <c r="L185" s="258">
        <f t="array" aca="1" ref="L185" ca="1">SUM(AREA*L177:L184)/AREA_L</f>
        <v>2.044155706062353</v>
      </c>
      <c r="M185" s="258">
        <f t="array" aca="1" ref="M185" ca="1">SUM(AREA*M177:M184)/AREA_L</f>
        <v>1.9237915905852021</v>
      </c>
      <c r="N185" t="str">
        <f>'Base data'!$L$35</f>
        <v>degC</v>
      </c>
      <c r="O185" s="6"/>
      <c r="P185" s="6"/>
      <c r="Q185" s="6"/>
      <c r="R185" s="6"/>
      <c r="S185" s="6"/>
      <c r="T185" s="6"/>
      <c r="U185" s="6"/>
      <c r="V185" s="6"/>
      <c r="W185" s="6"/>
      <c r="X185" s="6"/>
    </row>
    <row r="186" spans="1:42" s="6" customFormat="1" x14ac:dyDescent="0.25">
      <c r="Y186"/>
    </row>
    <row r="187" spans="1:42" s="6" customFormat="1" x14ac:dyDescent="0.25">
      <c r="A187" s="57" t="s">
        <v>444</v>
      </c>
      <c r="B187" s="57" t="s">
        <v>443</v>
      </c>
      <c r="C187" s="215">
        <f ca="1" xml:space="preserve"> (RT_G_0 * AREA_E - RTL_G_0 * AREA_L) / (AREA_E - AREA_L)</f>
        <v>0.8598424494987994</v>
      </c>
      <c r="D187" s="215">
        <f t="array" ref="D187:M187" ca="1" xml:space="preserve"> (rt_g * AREA_E - rtl_g * AREA_L) / (AREA_E - AREA_L)</f>
        <v>0.99895068213868488</v>
      </c>
      <c r="E187" s="215">
        <f ca="1"/>
        <v>1.3844748778055995</v>
      </c>
      <c r="F187" s="215">
        <f ca="1"/>
        <v>1.6359420891884631</v>
      </c>
      <c r="G187" s="215">
        <f ca="1"/>
        <v>1.7969338937894539</v>
      </c>
      <c r="H187" s="215">
        <f ca="1"/>
        <v>1.9598724052312693</v>
      </c>
      <c r="I187" s="215">
        <f ca="1"/>
        <v>1.9532481041227612</v>
      </c>
      <c r="J187" s="215">
        <f ca="1"/>
        <v>1.7346137299207627</v>
      </c>
      <c r="K187" s="215">
        <f ca="1"/>
        <v>1.5928924381330061</v>
      </c>
      <c r="L187" s="215">
        <f ca="1"/>
        <v>1.5043260579197091</v>
      </c>
      <c r="M187" s="215">
        <f ca="1"/>
        <v>1.4157482285431386</v>
      </c>
      <c r="N187" s="3" t="s">
        <v>43</v>
      </c>
      <c r="Y187"/>
    </row>
    <row r="188" spans="1:42" s="6" customFormat="1" x14ac:dyDescent="0.25">
      <c r="A188" s="57"/>
      <c r="B188" s="57"/>
      <c r="N188" s="3"/>
      <c r="Y188"/>
    </row>
    <row r="189" spans="1:42" s="6" customFormat="1" x14ac:dyDescent="0.25">
      <c r="A189" s="57" t="s">
        <v>186</v>
      </c>
      <c r="B189" s="57" t="s">
        <v>187</v>
      </c>
      <c r="C189" s="26">
        <f ca="1">SLA+SLTEMP*RT_G_0</f>
        <v>2.640022222222222</v>
      </c>
      <c r="D189" s="26">
        <f t="array" ref="D189:M189" ca="1">SLA+SLTEMP*rt_g</f>
        <v>2.9053505890136657</v>
      </c>
      <c r="E189" s="26">
        <f ca="1"/>
        <v>3.6406809375753548</v>
      </c>
      <c r="F189" s="26">
        <f ca="1"/>
        <v>4.1203174280376977</v>
      </c>
      <c r="G189" s="26">
        <f ca="1"/>
        <v>4.4273854697413677</v>
      </c>
      <c r="H189" s="26">
        <f ca="1"/>
        <v>4.7381665666459813</v>
      </c>
      <c r="I189" s="26">
        <f ca="1"/>
        <v>4.725531692628099</v>
      </c>
      <c r="J189" s="26">
        <f ca="1"/>
        <v>4.3085189800760118</v>
      </c>
      <c r="K189" s="26">
        <f ca="1"/>
        <v>4.038206589673047</v>
      </c>
      <c r="L189" s="26">
        <f ca="1"/>
        <v>3.8692793265723986</v>
      </c>
      <c r="M189" s="26">
        <f ca="1"/>
        <v>3.7003302258871953</v>
      </c>
      <c r="N189" s="3" t="s">
        <v>182</v>
      </c>
      <c r="Y189"/>
    </row>
    <row r="190" spans="1:42" s="6" customFormat="1" ht="13" x14ac:dyDescent="0.3">
      <c r="A190" s="57" t="s">
        <v>188</v>
      </c>
      <c r="B190" s="57" t="s">
        <v>189</v>
      </c>
      <c r="D190" s="26">
        <f t="array" aca="1" ref="D190:M190" ca="1">EXP(-(YP/SLTAU))</f>
        <v>0.98713016592366909</v>
      </c>
      <c r="E190" s="26">
        <f ca="1"/>
        <v>0.97442596447649055</v>
      </c>
      <c r="F190" s="26">
        <f ca="1"/>
        <v>0.97442596447649055</v>
      </c>
      <c r="G190" s="26">
        <f ca="1"/>
        <v>0.97442596447649055</v>
      </c>
      <c r="H190" s="26">
        <f ca="1"/>
        <v>0.93728597608308639</v>
      </c>
      <c r="I190" s="26">
        <f ca="1"/>
        <v>0.93728597608308639</v>
      </c>
      <c r="J190" s="26">
        <f ca="1"/>
        <v>0.87850500096202389</v>
      </c>
      <c r="K190" s="26">
        <f ca="1"/>
        <v>0.87850500096202389</v>
      </c>
      <c r="L190" s="26">
        <f ca="1"/>
        <v>0.87850500096202389</v>
      </c>
      <c r="M190" s="26">
        <f ca="1"/>
        <v>0.87850500096202389</v>
      </c>
      <c r="N190"/>
      <c r="Y190"/>
      <c r="Z190" s="124"/>
      <c r="AA190"/>
      <c r="AB190"/>
      <c r="AC190"/>
      <c r="AD190"/>
      <c r="AE190"/>
      <c r="AF190"/>
    </row>
    <row r="191" spans="1:42" s="6" customFormat="1" ht="13" thickBot="1" x14ac:dyDescent="0.3">
      <c r="A191" s="57" t="s">
        <v>190</v>
      </c>
      <c r="B191" s="57" t="s">
        <v>191</v>
      </c>
      <c r="C191" s="35">
        <f ca="1">S_0</f>
        <v>0.18999999999999997</v>
      </c>
      <c r="D191" s="35">
        <f ca="1">S_0+(es_1-S_0)*(1-EXPFS_1)</f>
        <v>0.22494611153967325</v>
      </c>
      <c r="E191" s="35">
        <f t="array" ref="E191:M191" ca="1">s+(es_not_1-s)*(1-EXPFS_NOT_1)</f>
        <v>0.31230023531959816</v>
      </c>
      <c r="F191" s="35">
        <f ca="1"/>
        <v>0.40968660228030557</v>
      </c>
      <c r="G191" s="35">
        <f ca="1"/>
        <v>0.51243537583951848</v>
      </c>
      <c r="H191" s="35">
        <f ca="1"/>
        <v>0.77744798280620286</v>
      </c>
      <c r="I191" s="35">
        <f ca="1"/>
        <v>1.0250481990099503</v>
      </c>
      <c r="J191" s="35">
        <f ca="1"/>
        <v>1.4239734783967941</v>
      </c>
      <c r="K191" s="35">
        <f ca="1"/>
        <v>1.7415897277363477</v>
      </c>
      <c r="L191" s="35">
        <f ca="1"/>
        <v>2.0000933735000457</v>
      </c>
      <c r="M191" s="35">
        <f ca="1"/>
        <v>2.2066636482451538</v>
      </c>
      <c r="N191" s="3" t="s">
        <v>182</v>
      </c>
      <c r="O191" s="6">
        <f ca="1">_xll.RiskOutput(,"s_a",1)+D191</f>
        <v>0.22494611153967325</v>
      </c>
      <c r="P191" s="6">
        <f ca="1">_xll.RiskOutput(,"s_a",2)+E191</f>
        <v>0.31230023531959816</v>
      </c>
      <c r="Q191" s="6">
        <f ca="1">_xll.RiskOutput(,"s_a",3)+F191</f>
        <v>0.40968660228030557</v>
      </c>
      <c r="R191" s="6">
        <f ca="1">_xll.RiskOutput(,"s_a",4)+G191</f>
        <v>0.51243537583951848</v>
      </c>
      <c r="S191" s="6">
        <f ca="1">_xll.RiskOutput(,"s_a",5)+H191</f>
        <v>0.77744798280620286</v>
      </c>
      <c r="T191" s="6">
        <f ca="1">_xll.RiskOutput(,"s_a",6)+I191</f>
        <v>1.0250481990099503</v>
      </c>
      <c r="U191" s="6">
        <f ca="1">_xll.RiskOutput(,"s_a",7)+J191</f>
        <v>1.4239734783967941</v>
      </c>
      <c r="V191" s="6">
        <f ca="1">_xll.RiskOutput(,"s_a",8)+K191</f>
        <v>1.7415897277363477</v>
      </c>
      <c r="W191" s="6">
        <f ca="1">_xll.RiskOutput(,"s_a",9)+L191</f>
        <v>2.0000933735000457</v>
      </c>
      <c r="X191" s="6">
        <f ca="1">_xll.RiskOutput(,"s_a",10)+M191</f>
        <v>2.2066636482451538</v>
      </c>
      <c r="Z191" s="57"/>
      <c r="AB191" s="3"/>
      <c r="AG191" s="57"/>
    </row>
    <row r="192" spans="1:42" s="6" customFormat="1" ht="13" thickTop="1" x14ac:dyDescent="0.25">
      <c r="A192" s="57"/>
      <c r="B192" s="57"/>
      <c r="D192" s="57"/>
      <c r="E192" s="57"/>
      <c r="F192" s="57"/>
      <c r="G192" s="57"/>
      <c r="H192" s="57"/>
      <c r="I192" s="57"/>
      <c r="Y192"/>
    </row>
    <row r="193" spans="1:33" s="6" customFormat="1" ht="13" x14ac:dyDescent="0.3">
      <c r="A193" s="57"/>
      <c r="B193" s="57"/>
      <c r="D193" s="57"/>
      <c r="E193" s="57"/>
      <c r="F193" s="57"/>
      <c r="G193" s="57"/>
      <c r="H193" s="57"/>
      <c r="I193" s="57"/>
      <c r="J193" s="57"/>
      <c r="K193" s="57"/>
      <c r="L193" s="57"/>
      <c r="M193" s="57"/>
      <c r="N193" s="3"/>
      <c r="Y193"/>
      <c r="Z193" s="128"/>
    </row>
    <row r="194" spans="1:33" s="6" customFormat="1" x14ac:dyDescent="0.25">
      <c r="A194" s="57"/>
      <c r="B194" s="57"/>
      <c r="D194" s="57"/>
      <c r="E194" s="57"/>
      <c r="F194" s="57"/>
      <c r="G194" s="57"/>
      <c r="H194" s="57"/>
      <c r="I194" s="57"/>
      <c r="J194" s="57"/>
      <c r="K194" s="57"/>
      <c r="L194" s="57"/>
      <c r="M194" s="57"/>
      <c r="N194" s="3"/>
      <c r="Y194"/>
      <c r="Z194" s="57"/>
    </row>
    <row r="195" spans="1:33" s="6" customFormat="1" ht="13" x14ac:dyDescent="0.3">
      <c r="A195" s="2" t="s">
        <v>589</v>
      </c>
      <c r="B195" s="57"/>
      <c r="D195" s="57"/>
      <c r="E195" s="57"/>
      <c r="F195" s="57"/>
      <c r="G195" s="57"/>
      <c r="H195" s="57"/>
      <c r="I195" s="57"/>
      <c r="J195" s="57"/>
      <c r="K195" s="57"/>
      <c r="L195" s="57"/>
      <c r="M195" s="57"/>
      <c r="N195" s="3"/>
      <c r="Y195"/>
      <c r="Z195" s="57"/>
      <c r="AF195" s="57"/>
      <c r="AG195" s="57"/>
    </row>
    <row r="196" spans="1:33" s="6" customFormat="1" x14ac:dyDescent="0.25">
      <c r="A196" s="57"/>
      <c r="B196" s="57"/>
      <c r="D196" s="57"/>
      <c r="E196" s="57"/>
      <c r="F196" s="57"/>
      <c r="G196" s="57"/>
      <c r="H196" s="57"/>
      <c r="I196" s="57"/>
      <c r="J196" s="57"/>
      <c r="K196" s="57"/>
      <c r="L196" s="57"/>
      <c r="M196" s="57"/>
      <c r="N196" s="3"/>
      <c r="Y196"/>
      <c r="Z196" s="57"/>
      <c r="AF196" s="57"/>
      <c r="AG196" s="57"/>
    </row>
    <row r="197" spans="1:33" s="6" customFormat="1" x14ac:dyDescent="0.25">
      <c r="A197" s="57"/>
      <c r="B197" s="57"/>
      <c r="D197" s="57"/>
      <c r="E197" s="57"/>
      <c r="F197" s="57"/>
      <c r="G197" s="57"/>
      <c r="H197" s="57"/>
      <c r="I197" s="57"/>
      <c r="J197" s="57"/>
      <c r="K197" s="57"/>
      <c r="L197" s="57"/>
      <c r="M197" s="57"/>
      <c r="N197" s="3"/>
      <c r="Y197"/>
    </row>
    <row r="198" spans="1:33" s="6" customFormat="1" ht="13" x14ac:dyDescent="0.3">
      <c r="A198" s="2" t="s">
        <v>904</v>
      </c>
      <c r="B198"/>
      <c r="C198"/>
      <c r="D198" s="3"/>
      <c r="E198" s="3"/>
      <c r="F198" s="3"/>
      <c r="G198" s="3"/>
      <c r="H198" s="3"/>
      <c r="I198" s="3"/>
      <c r="J198" s="3"/>
      <c r="K198" s="3"/>
      <c r="L198" s="3"/>
      <c r="M198" s="3"/>
      <c r="N198"/>
      <c r="O198"/>
      <c r="P198"/>
      <c r="Q198"/>
      <c r="R198"/>
      <c r="S198"/>
      <c r="T198"/>
      <c r="U198"/>
      <c r="V198"/>
      <c r="W198"/>
      <c r="Y198"/>
      <c r="Z198" s="57"/>
    </row>
    <row r="199" spans="1:33" s="6" customFormat="1" x14ac:dyDescent="0.25">
      <c r="A199" s="3" t="s">
        <v>934</v>
      </c>
      <c r="B199"/>
      <c r="C199"/>
      <c r="D199" s="1">
        <f t="array" ref="D199:M199" ca="1" xml:space="preserve"> ALB_SAF_ECS * rt_g</f>
        <v>0.38428408313917428</v>
      </c>
      <c r="E199" s="1">
        <f ca="1"/>
        <v>0.53259051578772842</v>
      </c>
      <c r="F199" s="1">
        <f ca="1"/>
        <v>0.62932686973759511</v>
      </c>
      <c r="G199" s="1">
        <f ca="1"/>
        <v>0.69125844366831279</v>
      </c>
      <c r="H199" s="1">
        <f ca="1"/>
        <v>0.75393889185963503</v>
      </c>
      <c r="I199" s="1">
        <f ca="1"/>
        <v>0.75139060441818617</v>
      </c>
      <c r="J199" s="1">
        <f ca="1"/>
        <v>0.66728464049507652</v>
      </c>
      <c r="K199" s="1">
        <f ca="1"/>
        <v>0.61276619664221299</v>
      </c>
      <c r="L199" s="1">
        <f ca="1"/>
        <v>0.57869579574478691</v>
      </c>
      <c r="M199" s="1">
        <f ca="1"/>
        <v>0.54462099049458323</v>
      </c>
      <c r="N199" s="3" t="s">
        <v>44</v>
      </c>
      <c r="Y199"/>
    </row>
    <row r="200" spans="1:33" s="6" customFormat="1" x14ac:dyDescent="0.25">
      <c r="A200" s="3" t="s">
        <v>935</v>
      </c>
      <c r="B200"/>
      <c r="C200"/>
      <c r="D200" s="1">
        <f t="array" ref="D200:M200" ca="1" xml:space="preserve"> alb_fsaf - ALB_SAF_ECS * rt_g</f>
        <v>1.0779730278552724E-2</v>
      </c>
      <c r="E200" s="1">
        <f ca="1"/>
        <v>1.1769343450087955E-2</v>
      </c>
      <c r="F200" s="1">
        <f ca="1"/>
        <v>1.1235375224092903E-2</v>
      </c>
      <c r="G200" s="1">
        <f ca="1"/>
        <v>1.035849215546869E-2</v>
      </c>
      <c r="H200" s="1">
        <f ca="1"/>
        <v>9.0193135301646077E-3</v>
      </c>
      <c r="I200" s="1">
        <f ca="1"/>
        <v>9.082905403735908E-3</v>
      </c>
      <c r="J200" s="1">
        <f ca="1"/>
        <v>1.0749354531080613E-2</v>
      </c>
      <c r="K200" s="1">
        <f ca="1"/>
        <v>1.139748826023157E-2</v>
      </c>
      <c r="L200" s="1">
        <f ca="1"/>
        <v>1.163793524292589E-2</v>
      </c>
      <c r="M200" s="1">
        <f ca="1"/>
        <v>1.1756138820834372E-2</v>
      </c>
      <c r="N200" s="3" t="s">
        <v>44</v>
      </c>
      <c r="Y200"/>
    </row>
    <row r="201" spans="1:33" s="6" customFormat="1" x14ac:dyDescent="0.25">
      <c r="A201" s="3" t="s">
        <v>562</v>
      </c>
      <c r="B201"/>
      <c r="C201"/>
      <c r="D201" s="158">
        <f t="array" ref="D201:M201" ca="1" xml:space="preserve"> (rt_g / pt_g) - 1</f>
        <v>1.1261939890425676E-3</v>
      </c>
      <c r="E201" s="158">
        <f ca="1"/>
        <v>2.1982874123267493E-3</v>
      </c>
      <c r="F201" s="158">
        <f ca="1"/>
        <v>2.7083926325337515E-3</v>
      </c>
      <c r="G201" s="158">
        <f ca="1"/>
        <v>2.9268535131157236E-3</v>
      </c>
      <c r="H201" s="158">
        <f ca="1"/>
        <v>3.0067016221868581E-3</v>
      </c>
      <c r="I201" s="158">
        <f ca="1"/>
        <v>3.0575939464279056E-3</v>
      </c>
      <c r="J201" s="158">
        <f ca="1"/>
        <v>3.8239443740959445E-3</v>
      </c>
      <c r="K201" s="158">
        <f ca="1"/>
        <v>4.6065207890488846E-3</v>
      </c>
      <c r="L201" s="158">
        <f ca="1"/>
        <v>5.1098281007224688E-3</v>
      </c>
      <c r="M201" s="158">
        <f ca="1"/>
        <v>5.5410377064912808E-3</v>
      </c>
      <c r="N201"/>
      <c r="Y201"/>
    </row>
    <row r="202" spans="1:33" s="6" customFormat="1" x14ac:dyDescent="0.25">
      <c r="A202" s="3" t="s">
        <v>556</v>
      </c>
      <c r="B202"/>
      <c r="C202"/>
      <c r="D202" s="158">
        <f t="array" ref="D202:M202" ca="1" xml:space="preserve"> ecs_alb_adj / ECS - 1</f>
        <v>4.0863466557661265E-3</v>
      </c>
      <c r="E202" s="158">
        <f ca="1"/>
        <v>1.7348977431779211E-3</v>
      </c>
      <c r="F202" s="158">
        <f ca="1"/>
        <v>-1.3953057612205999E-3</v>
      </c>
      <c r="G202" s="158">
        <f ca="1"/>
        <v>-3.6015771238661065E-3</v>
      </c>
      <c r="H202" s="158">
        <f ca="1"/>
        <v>-5.4343811778981843E-3</v>
      </c>
      <c r="I202" s="158">
        <f ca="1"/>
        <v>-6.3464127338419551E-3</v>
      </c>
      <c r="J202" s="158">
        <f ca="1"/>
        <v>-5.0360782402733006E-3</v>
      </c>
      <c r="K202" s="158">
        <f ca="1"/>
        <v>-3.0108537349858855E-3</v>
      </c>
      <c r="L202" s="158">
        <f ca="1"/>
        <v>-1.7729856491269791E-3</v>
      </c>
      <c r="M202" s="158">
        <f ca="1"/>
        <v>-8.5224850222254123E-4</v>
      </c>
      <c r="N202"/>
      <c r="Y202"/>
    </row>
    <row r="203" spans="1:33" s="6" customFormat="1" x14ac:dyDescent="0.25">
      <c r="A203" s="3"/>
      <c r="B203"/>
      <c r="C203"/>
      <c r="D203" s="158"/>
      <c r="E203" s="158"/>
      <c r="F203" s="158"/>
      <c r="G203" s="158"/>
      <c r="H203" s="158"/>
      <c r="I203" s="158"/>
      <c r="J203" s="158"/>
      <c r="K203" s="158"/>
      <c r="L203" s="158"/>
      <c r="M203" s="158"/>
      <c r="N203"/>
      <c r="Y203"/>
    </row>
    <row r="204" spans="1:33" s="6" customFormat="1" x14ac:dyDescent="0.25">
      <c r="A204" s="3"/>
      <c r="B204"/>
      <c r="C204"/>
      <c r="D204" s="158"/>
      <c r="E204" s="158"/>
      <c r="F204" s="158"/>
      <c r="G204" s="158"/>
      <c r="H204" s="158"/>
      <c r="I204" s="158"/>
      <c r="J204" s="158"/>
      <c r="K204" s="158"/>
      <c r="L204" s="158"/>
      <c r="M204" s="158"/>
      <c r="N204"/>
      <c r="Y204"/>
    </row>
    <row r="205" spans="1:33" s="6" customFormat="1" ht="13" x14ac:dyDescent="0.3">
      <c r="A205" s="2" t="s">
        <v>786</v>
      </c>
      <c r="B205"/>
      <c r="C205"/>
      <c r="D205" s="158"/>
      <c r="E205" s="158"/>
      <c r="F205" s="158"/>
      <c r="G205" s="158"/>
      <c r="H205" s="158"/>
      <c r="I205" s="158"/>
      <c r="J205" s="158"/>
      <c r="K205" s="158"/>
      <c r="L205" s="158"/>
      <c r="M205" s="158"/>
      <c r="N205"/>
      <c r="Y205"/>
    </row>
    <row r="206" spans="1:33" s="6" customFormat="1" x14ac:dyDescent="0.25">
      <c r="A206" s="3" t="s">
        <v>557</v>
      </c>
      <c r="B206"/>
      <c r="C206"/>
      <c r="D206" s="158">
        <f t="shared" ref="D206:M206" ca="1" si="4">C67/C73</f>
        <v>2.1445990806661701E-2</v>
      </c>
      <c r="E206" s="158">
        <f t="shared" ca="1" si="4"/>
        <v>2.1601390849955986E-2</v>
      </c>
      <c r="F206" s="158">
        <f t="shared" ca="1" si="4"/>
        <v>2.3477554299637028E-2</v>
      </c>
      <c r="G206" s="158">
        <f t="shared" ca="1" si="4"/>
        <v>2.6670845111188581E-2</v>
      </c>
      <c r="H206" s="158">
        <f t="shared" ca="1" si="4"/>
        <v>3.0569318309501256E-2</v>
      </c>
      <c r="I206" s="158">
        <f t="shared" ca="1" si="4"/>
        <v>4.1514125333886681E-2</v>
      </c>
      <c r="J206" s="158">
        <f t="shared" ca="1" si="4"/>
        <v>5.1943512649541064E-2</v>
      </c>
      <c r="K206" s="158">
        <f t="shared" ca="1" si="4"/>
        <v>6.6476613123088057E-2</v>
      </c>
      <c r="L206" s="158">
        <f t="shared" ca="1" si="4"/>
        <v>7.7737605126784001E-2</v>
      </c>
      <c r="M206" s="158">
        <f t="shared" ca="1" si="4"/>
        <v>8.8015577681480106E-2</v>
      </c>
      <c r="N206"/>
      <c r="Y206"/>
    </row>
    <row r="207" spans="1:33" s="6" customFormat="1" ht="14.5" x14ac:dyDescent="0.35">
      <c r="A207" s="3"/>
      <c r="B207"/>
      <c r="C207"/>
      <c r="D207" s="131"/>
      <c r="E207" s="131"/>
      <c r="F207" s="131"/>
      <c r="G207" s="131"/>
      <c r="H207" s="131"/>
      <c r="I207" s="131"/>
      <c r="J207" s="131"/>
      <c r="K207" s="131"/>
      <c r="L207" s="131"/>
      <c r="M207" s="131"/>
      <c r="N207" s="3"/>
      <c r="O207"/>
      <c r="P207"/>
      <c r="Q207"/>
      <c r="R207"/>
      <c r="S207"/>
      <c r="T207"/>
      <c r="U207"/>
      <c r="V207"/>
      <c r="W207"/>
      <c r="Y207"/>
    </row>
    <row r="208" spans="1:33" s="6" customFormat="1" ht="14.5" x14ac:dyDescent="0.35">
      <c r="A208"/>
      <c r="B208"/>
      <c r="C208"/>
      <c r="D208" s="111"/>
      <c r="E208"/>
      <c r="F208"/>
      <c r="G208"/>
      <c r="H208"/>
      <c r="I208"/>
      <c r="J208"/>
      <c r="K208"/>
      <c r="L208"/>
      <c r="M208"/>
      <c r="N208"/>
      <c r="O208"/>
      <c r="P208"/>
      <c r="Q208"/>
      <c r="R208"/>
      <c r="S208"/>
      <c r="T208"/>
      <c r="U208"/>
      <c r="V208"/>
      <c r="W208"/>
      <c r="X208"/>
      <c r="Y208"/>
    </row>
    <row r="209" spans="1:25" s="6" customFormat="1" ht="14.5" x14ac:dyDescent="0.35">
      <c r="A209" s="2" t="s">
        <v>779</v>
      </c>
      <c r="B209"/>
      <c r="C209"/>
      <c r="D209" s="111"/>
      <c r="E209"/>
      <c r="F209"/>
      <c r="G209"/>
      <c r="H209"/>
      <c r="I209"/>
      <c r="J209"/>
      <c r="K209"/>
      <c r="L209"/>
      <c r="M209"/>
      <c r="N209"/>
      <c r="O209"/>
      <c r="P209"/>
      <c r="Q209"/>
      <c r="R209"/>
      <c r="S209"/>
      <c r="T209"/>
      <c r="U209"/>
      <c r="V209"/>
      <c r="W209"/>
      <c r="X209"/>
      <c r="Y209"/>
    </row>
    <row r="210" spans="1:25" s="6" customFormat="1" ht="14.5" x14ac:dyDescent="0.35">
      <c r="A210" s="3" t="s">
        <v>780</v>
      </c>
      <c r="B210"/>
      <c r="C210"/>
      <c r="D210" s="131">
        <f t="shared" ref="D210:M210" ca="1" si="5">D75-C75</f>
        <v>181305.37138036545</v>
      </c>
      <c r="E210" s="131">
        <f t="shared" ca="1" si="5"/>
        <v>359640.74052582774</v>
      </c>
      <c r="F210" s="131">
        <f t="shared" ca="1" si="5"/>
        <v>254006.05685194721</v>
      </c>
      <c r="G210" s="131">
        <f t="shared" ca="1" si="5"/>
        <v>166879.23178204056</v>
      </c>
      <c r="H210" s="131">
        <f t="shared" ca="1" si="5"/>
        <v>195299.25832021516</v>
      </c>
      <c r="I210" s="131">
        <f t="shared" ca="1" si="5"/>
        <v>12021.301531847101</v>
      </c>
      <c r="J210" s="131">
        <f t="shared" ca="1" si="5"/>
        <v>-64493.453614656348</v>
      </c>
      <c r="K210" s="131">
        <f t="shared" ca="1" si="5"/>
        <v>-76905.383630954195</v>
      </c>
      <c r="L210" s="131">
        <f t="shared" ca="1" si="5"/>
        <v>-81947.512488032226</v>
      </c>
      <c r="M210" s="131">
        <f t="shared" ca="1" si="5"/>
        <v>-84096.174970859196</v>
      </c>
      <c r="N210" s="3" t="s">
        <v>501</v>
      </c>
      <c r="O210"/>
      <c r="P210"/>
      <c r="Q210"/>
      <c r="R210"/>
      <c r="S210"/>
      <c r="T210"/>
      <c r="U210"/>
      <c r="V210"/>
      <c r="W210"/>
      <c r="X210"/>
      <c r="Y210"/>
    </row>
    <row r="211" spans="1:25" s="6" customFormat="1" ht="14.5" x14ac:dyDescent="0.35">
      <c r="A211" s="3" t="s">
        <v>781</v>
      </c>
      <c r="B211"/>
      <c r="C211"/>
      <c r="D211" s="131">
        <f t="shared" ref="D211:M211" ca="1" si="6">D210 * (1 - PERCENT_CO2_LAND/100)</f>
        <v>132418.2801310753</v>
      </c>
      <c r="E211" s="131">
        <f t="shared" ca="1" si="6"/>
        <v>262667.38797046902</v>
      </c>
      <c r="F211" s="131">
        <f t="shared" ca="1" si="6"/>
        <v>185515.98849571374</v>
      </c>
      <c r="G211" s="131">
        <f t="shared" ca="1" si="6"/>
        <v>121881.99772533595</v>
      </c>
      <c r="H211" s="131">
        <f t="shared" ca="1" si="6"/>
        <v>142638.8622727707</v>
      </c>
      <c r="I211" s="131">
        <f t="shared" ca="1" si="6"/>
        <v>8779.8836938189197</v>
      </c>
      <c r="J211" s="131">
        <f t="shared" ca="1" si="6"/>
        <v>-47103.470472750319</v>
      </c>
      <c r="K211" s="131">
        <f t="shared" ca="1" si="6"/>
        <v>-56168.653778419452</v>
      </c>
      <c r="L211" s="131">
        <f t="shared" ca="1" si="6"/>
        <v>-59851.225488072851</v>
      </c>
      <c r="M211" s="131">
        <f t="shared" ca="1" si="6"/>
        <v>-61420.523674838689</v>
      </c>
      <c r="N211" s="3" t="s">
        <v>501</v>
      </c>
      <c r="O211"/>
      <c r="P211"/>
      <c r="Q211"/>
      <c r="R211"/>
      <c r="S211"/>
      <c r="T211"/>
      <c r="U211"/>
      <c r="V211"/>
      <c r="W211"/>
      <c r="X211"/>
      <c r="Y211"/>
    </row>
    <row r="212" spans="1:25" s="6" customFormat="1" ht="14.5" x14ac:dyDescent="0.35">
      <c r="A212" s="57" t="s">
        <v>782</v>
      </c>
      <c r="C212" s="131"/>
      <c r="D212" s="131">
        <f ca="1">D87</f>
        <v>1082284.0253783329</v>
      </c>
      <c r="E212" s="131">
        <f t="shared" ref="E212:M212" ca="1" si="7">E87</f>
        <v>1261765.8924537413</v>
      </c>
      <c r="F212" s="131">
        <f t="shared" ca="1" si="7"/>
        <v>1350530.1856673581</v>
      </c>
      <c r="G212" s="131">
        <f t="shared" ca="1" si="7"/>
        <v>1379663.4914437721</v>
      </c>
      <c r="H212" s="131">
        <f t="shared" ca="1" si="7"/>
        <v>1341058.028688543</v>
      </c>
      <c r="I212" s="131">
        <f t="shared" ca="1" si="7"/>
        <v>1227622.0872376757</v>
      </c>
      <c r="J212" s="131">
        <f t="shared" ca="1" si="7"/>
        <v>1066474.4157621202</v>
      </c>
      <c r="K212" s="131">
        <f t="shared" ca="1" si="7"/>
        <v>957566.93007719074</v>
      </c>
      <c r="L212" s="131">
        <f t="shared" ca="1" si="7"/>
        <v>868828.53077627753</v>
      </c>
      <c r="M212" s="131">
        <f t="shared" ca="1" si="7"/>
        <v>791731.84750736877</v>
      </c>
      <c r="N212" s="3" t="s">
        <v>501</v>
      </c>
      <c r="O212"/>
      <c r="P212"/>
      <c r="Q212"/>
      <c r="R212"/>
      <c r="S212"/>
      <c r="T212"/>
      <c r="U212"/>
      <c r="V212"/>
      <c r="W212"/>
      <c r="X212"/>
      <c r="Y212"/>
    </row>
    <row r="213" spans="1:25" s="6" customFormat="1" ht="14.5" x14ac:dyDescent="0.35">
      <c r="A213" s="3" t="s">
        <v>949</v>
      </c>
      <c r="B213"/>
      <c r="C213"/>
      <c r="D213" s="257">
        <f ca="1">E213</f>
        <v>-8318.5520895060672</v>
      </c>
      <c r="E213" s="201">
        <f t="array" aca="1" ref="E213:M213" ca="1" xml:space="preserve"> (re_co2_not_1 - re_co2 - teay_perm_anthr_co2_not_1) / YP_NOT_1</f>
        <v>-8318.5520895060672</v>
      </c>
      <c r="F213" s="201">
        <f ca="1"/>
        <v>-9675.1695282096916</v>
      </c>
      <c r="G213" s="201">
        <f ca="1"/>
        <v>-9274.8691948921951</v>
      </c>
      <c r="H213" s="201">
        <f ca="1"/>
        <v>-7249.7730011199919</v>
      </c>
      <c r="I213" s="201">
        <f ca="1"/>
        <v>-4888.6330057874502</v>
      </c>
      <c r="J213" s="201">
        <f ca="1"/>
        <v>-2280.884020056104</v>
      </c>
      <c r="K213" s="201">
        <f ca="1"/>
        <v>-1054.7766381301992</v>
      </c>
      <c r="L213" s="201">
        <f ca="1"/>
        <v>-577.74347625680718</v>
      </c>
      <c r="M213" s="201">
        <f ca="1"/>
        <v>-313.52319188140143</v>
      </c>
      <c r="N213" s="3" t="s">
        <v>592</v>
      </c>
      <c r="O213"/>
      <c r="P213"/>
      <c r="Q213"/>
      <c r="R213"/>
      <c r="S213"/>
      <c r="T213"/>
      <c r="U213"/>
      <c r="V213"/>
      <c r="W213"/>
      <c r="X213"/>
      <c r="Y213"/>
    </row>
    <row r="214" spans="1:25" s="6" customFormat="1" ht="14.5" x14ac:dyDescent="0.35">
      <c r="A214" s="3"/>
      <c r="B214"/>
      <c r="C214"/>
      <c r="D214" s="131"/>
      <c r="E214" s="131"/>
      <c r="F214" s="131"/>
      <c r="G214" s="131"/>
      <c r="H214" s="131"/>
      <c r="I214" s="131"/>
      <c r="J214" s="131"/>
      <c r="K214" s="131"/>
      <c r="L214" s="131"/>
      <c r="M214" s="131"/>
      <c r="N214" s="3"/>
      <c r="O214"/>
      <c r="P214"/>
      <c r="Q214"/>
      <c r="R214"/>
      <c r="S214"/>
      <c r="T214"/>
      <c r="U214"/>
      <c r="V214"/>
      <c r="W214"/>
      <c r="X214"/>
      <c r="Y214"/>
    </row>
    <row r="215" spans="1:25" s="6" customFormat="1" x14ac:dyDescent="0.25">
      <c r="A215" s="3"/>
      <c r="B215"/>
      <c r="C215"/>
      <c r="N215" s="3"/>
      <c r="O215"/>
      <c r="P215"/>
      <c r="Q215"/>
      <c r="R215"/>
      <c r="S215"/>
      <c r="T215"/>
      <c r="U215"/>
      <c r="V215"/>
      <c r="W215"/>
      <c r="X215"/>
      <c r="Y215"/>
    </row>
    <row r="217" spans="1:25" s="6" customFormat="1" ht="14.5" x14ac:dyDescent="0.35">
      <c r="A217" s="3"/>
      <c r="B217"/>
      <c r="C217"/>
      <c r="D217" s="131"/>
      <c r="E217" s="131"/>
      <c r="F217" s="131"/>
      <c r="G217" s="131"/>
      <c r="H217" s="131"/>
      <c r="I217" s="131"/>
      <c r="J217" s="131"/>
      <c r="K217" s="131"/>
      <c r="L217" s="131"/>
      <c r="M217" s="131"/>
      <c r="N217" s="3"/>
      <c r="O217"/>
      <c r="P217"/>
      <c r="Q217"/>
      <c r="R217"/>
      <c r="S217"/>
      <c r="T217"/>
      <c r="U217"/>
      <c r="V217"/>
      <c r="W217"/>
      <c r="X217"/>
      <c r="Y217"/>
    </row>
    <row r="218" spans="1:25" s="6" customFormat="1" ht="14.5" x14ac:dyDescent="0.35">
      <c r="A218" s="2" t="s">
        <v>589</v>
      </c>
      <c r="B218"/>
      <c r="C218"/>
      <c r="D218" s="131"/>
      <c r="E218" s="131"/>
      <c r="F218" s="131"/>
      <c r="G218" s="131"/>
      <c r="H218" s="131"/>
      <c r="I218" s="131"/>
      <c r="J218" s="131"/>
      <c r="K218" s="131"/>
      <c r="L218" s="131"/>
      <c r="M218" s="131"/>
      <c r="N218" s="3"/>
      <c r="O218"/>
      <c r="P218"/>
      <c r="Q218"/>
      <c r="R218"/>
      <c r="S218"/>
      <c r="T218"/>
      <c r="U218"/>
      <c r="V218"/>
      <c r="W218"/>
      <c r="X218"/>
      <c r="Y218"/>
    </row>
    <row r="219" spans="1:25" s="6" customFormat="1" ht="14.5" x14ac:dyDescent="0.35">
      <c r="A219"/>
      <c r="B219"/>
      <c r="C219"/>
      <c r="D219" s="131"/>
      <c r="E219" s="131"/>
      <c r="F219" s="131"/>
      <c r="G219" s="131"/>
      <c r="H219" s="131"/>
      <c r="I219" s="131"/>
      <c r="J219" s="131"/>
      <c r="K219" s="131"/>
      <c r="L219" s="131"/>
      <c r="M219" s="131"/>
      <c r="N219"/>
      <c r="O219"/>
      <c r="P219"/>
      <c r="Q219"/>
      <c r="R219"/>
      <c r="S219"/>
      <c r="T219"/>
      <c r="U219"/>
      <c r="V219"/>
      <c r="W219"/>
      <c r="X219"/>
      <c r="Y219"/>
    </row>
    <row r="220" spans="1:25" s="6" customFormat="1" ht="14.5" x14ac:dyDescent="0.35">
      <c r="A220" s="3"/>
      <c r="B220" s="131"/>
      <c r="C220" s="3"/>
      <c r="D220" s="131"/>
      <c r="E220" s="131"/>
      <c r="F220" s="131"/>
      <c r="G220" s="131"/>
      <c r="H220" s="131"/>
      <c r="I220" s="131"/>
      <c r="J220" s="131"/>
      <c r="K220" s="131"/>
      <c r="L220" s="131"/>
      <c r="M220" s="131"/>
      <c r="N220"/>
      <c r="O220"/>
      <c r="P220"/>
      <c r="Q220"/>
      <c r="R220"/>
      <c r="S220"/>
      <c r="T220"/>
      <c r="U220"/>
      <c r="V220"/>
      <c r="W220"/>
      <c r="X220"/>
      <c r="Y220"/>
    </row>
    <row r="221" spans="1:25" s="6" customFormat="1" ht="14.5" x14ac:dyDescent="0.35">
      <c r="A221" s="2" t="s">
        <v>944</v>
      </c>
      <c r="B221" s="131"/>
      <c r="C221" s="3"/>
      <c r="D221" s="131">
        <f t="array" ref="D221:M221" ca="1">fgt+alb_fsaf_diff</f>
        <v>2.9882986530539837</v>
      </c>
      <c r="E221" s="131">
        <f ca="1"/>
        <v>3.214377422322757</v>
      </c>
      <c r="F221" s="131">
        <f ca="1"/>
        <v>3.2406558308147257</v>
      </c>
      <c r="G221" s="131">
        <f ca="1"/>
        <v>3.1831986032340005</v>
      </c>
      <c r="H221" s="131">
        <f ca="1"/>
        <v>3.0105873937146059</v>
      </c>
      <c r="I221" s="131">
        <f ca="1"/>
        <v>2.7972721945079542</v>
      </c>
      <c r="J221" s="131">
        <f ca="1"/>
        <v>2.5170813070452227</v>
      </c>
      <c r="K221" s="131">
        <f ca="1"/>
        <v>2.3367837332051922</v>
      </c>
      <c r="L221" s="131">
        <f ca="1"/>
        <v>2.1855769286155979</v>
      </c>
      <c r="M221" s="131">
        <f ca="1"/>
        <v>2.0500010880997084</v>
      </c>
      <c r="N221" s="3" t="s">
        <v>44</v>
      </c>
      <c r="O221"/>
      <c r="P221"/>
      <c r="Q221"/>
      <c r="R221"/>
      <c r="S221"/>
      <c r="T221"/>
      <c r="U221"/>
      <c r="V221"/>
      <c r="W221"/>
      <c r="X221"/>
      <c r="Y221"/>
    </row>
    <row r="222" spans="1:25" s="6" customFormat="1" ht="14.5" x14ac:dyDescent="0.35">
      <c r="A222" s="3"/>
      <c r="B222"/>
      <c r="C222"/>
      <c r="D222" s="131"/>
      <c r="E222" s="131"/>
      <c r="F222" s="131"/>
      <c r="G222" s="131"/>
      <c r="H222" s="131"/>
      <c r="I222" s="131"/>
      <c r="J222" s="131"/>
      <c r="K222" s="131"/>
      <c r="L222" s="131"/>
      <c r="M222" s="131"/>
      <c r="N222" s="3"/>
      <c r="O222"/>
      <c r="P222"/>
      <c r="Q222"/>
      <c r="R222"/>
      <c r="S222"/>
      <c r="T222"/>
      <c r="U222"/>
      <c r="V222"/>
      <c r="W222"/>
      <c r="X222"/>
      <c r="Y222"/>
    </row>
    <row r="223" spans="1:25" s="6" customFormat="1" ht="14.5" x14ac:dyDescent="0.35">
      <c r="A223"/>
      <c r="B223"/>
      <c r="C223"/>
      <c r="D223" s="131"/>
      <c r="E223" s="131"/>
      <c r="F223" s="131"/>
      <c r="G223" s="131"/>
      <c r="H223" s="131"/>
      <c r="I223" s="131"/>
      <c r="J223" s="131"/>
      <c r="K223" s="131"/>
      <c r="L223" s="131"/>
      <c r="M223" s="131"/>
      <c r="N223"/>
      <c r="O223"/>
      <c r="P223"/>
      <c r="Q223"/>
      <c r="R223"/>
      <c r="S223"/>
      <c r="T223"/>
      <c r="U223"/>
      <c r="V223"/>
      <c r="W223"/>
      <c r="X223"/>
      <c r="Y223"/>
    </row>
    <row r="224" spans="1:25" s="6" customFormat="1" ht="14.5" x14ac:dyDescent="0.35">
      <c r="A224" s="3"/>
      <c r="B224" s="131"/>
      <c r="C224" s="3"/>
      <c r="D224" s="131"/>
      <c r="E224" s="131"/>
      <c r="F224" s="131"/>
      <c r="G224" s="131"/>
      <c r="H224" s="131"/>
      <c r="I224" s="131"/>
      <c r="J224" s="131"/>
      <c r="K224" s="131"/>
      <c r="L224" s="131"/>
      <c r="M224" s="131"/>
      <c r="N224"/>
      <c r="O224"/>
      <c r="P224"/>
      <c r="Q224"/>
      <c r="R224"/>
      <c r="S224"/>
      <c r="T224"/>
      <c r="U224"/>
      <c r="V224"/>
      <c r="W224"/>
      <c r="X224"/>
      <c r="Y224"/>
    </row>
    <row r="225" spans="1:25" s="6" customFormat="1" ht="14.5" x14ac:dyDescent="0.35">
      <c r="A225" s="3"/>
      <c r="B225"/>
      <c r="C225"/>
      <c r="D225" s="131"/>
      <c r="E225" s="131"/>
      <c r="F225" s="131"/>
      <c r="G225" s="131"/>
      <c r="H225" s="131"/>
      <c r="I225" s="131"/>
      <c r="J225" s="131"/>
      <c r="K225" s="131"/>
      <c r="L225" s="131"/>
      <c r="M225" s="131"/>
      <c r="N225" s="3"/>
      <c r="O225"/>
      <c r="P225"/>
      <c r="Q225"/>
      <c r="R225"/>
      <c r="S225"/>
      <c r="T225"/>
      <c r="U225"/>
      <c r="V225"/>
      <c r="W225"/>
      <c r="X225"/>
      <c r="Y225"/>
    </row>
    <row r="226" spans="1:25" s="6" customFormat="1" ht="14.5" x14ac:dyDescent="0.35">
      <c r="A226" s="3"/>
      <c r="B226"/>
      <c r="C226"/>
      <c r="D226" s="131"/>
      <c r="E226" s="131"/>
      <c r="F226" s="131"/>
      <c r="G226" s="131"/>
      <c r="H226" s="131"/>
      <c r="I226" s="131"/>
      <c r="J226" s="131"/>
      <c r="K226" s="131"/>
      <c r="L226" s="131"/>
      <c r="M226" s="131"/>
      <c r="N226" s="3"/>
      <c r="O226"/>
      <c r="P226"/>
      <c r="Q226"/>
      <c r="R226"/>
      <c r="S226"/>
      <c r="T226"/>
      <c r="U226"/>
      <c r="V226"/>
      <c r="W226"/>
      <c r="X226"/>
      <c r="Y226"/>
    </row>
    <row r="227" spans="1:25" s="6" customFormat="1" ht="14.5" x14ac:dyDescent="0.35">
      <c r="A227"/>
      <c r="B227"/>
      <c r="C227"/>
      <c r="D227" s="131"/>
      <c r="E227" s="131"/>
      <c r="F227" s="131"/>
      <c r="G227" s="131"/>
      <c r="H227" s="131"/>
      <c r="I227" s="131"/>
      <c r="J227" s="131"/>
      <c r="K227" s="131"/>
      <c r="L227" s="131"/>
      <c r="M227" s="131"/>
      <c r="N227"/>
      <c r="O227"/>
      <c r="P227"/>
      <c r="Q227"/>
      <c r="R227"/>
      <c r="S227"/>
      <c r="T227"/>
      <c r="U227"/>
      <c r="V227"/>
      <c r="W227"/>
      <c r="X227"/>
      <c r="Y227"/>
    </row>
    <row r="228" spans="1:25" s="6" customFormat="1" ht="14.5" x14ac:dyDescent="0.35">
      <c r="A228"/>
      <c r="B228"/>
      <c r="C228"/>
      <c r="D228" s="131"/>
      <c r="E228" s="131"/>
      <c r="F228" s="131"/>
      <c r="G228" s="131"/>
      <c r="H228" s="131"/>
      <c r="I228" s="131"/>
      <c r="J228" s="131"/>
      <c r="K228" s="131"/>
      <c r="L228" s="131"/>
      <c r="M228" s="131"/>
      <c r="N228"/>
      <c r="O228"/>
      <c r="P228"/>
      <c r="Q228"/>
      <c r="R228"/>
      <c r="S228"/>
      <c r="T228"/>
      <c r="U228"/>
      <c r="V228"/>
      <c r="W228"/>
      <c r="X228"/>
      <c r="Y228"/>
    </row>
    <row r="229" spans="1:25" s="6" customFormat="1" ht="14.5" x14ac:dyDescent="0.35">
      <c r="A229" s="2"/>
      <c r="B229"/>
      <c r="C229"/>
      <c r="D229" s="131"/>
      <c r="E229" s="131"/>
      <c r="F229" s="131"/>
      <c r="G229" s="131"/>
      <c r="H229" s="131"/>
      <c r="I229" s="131"/>
      <c r="J229" s="131"/>
      <c r="K229" s="131"/>
      <c r="L229" s="131"/>
      <c r="M229" s="131"/>
      <c r="N229"/>
      <c r="O229"/>
      <c r="P229"/>
      <c r="Q229"/>
      <c r="R229"/>
      <c r="S229"/>
      <c r="T229"/>
      <c r="U229"/>
      <c r="V229"/>
      <c r="W229"/>
      <c r="X229"/>
      <c r="Y229"/>
    </row>
    <row r="230" spans="1:25" s="6" customFormat="1" ht="14.5" x14ac:dyDescent="0.35">
      <c r="A230" s="3"/>
      <c r="B230"/>
      <c r="C230" s="3"/>
      <c r="D230" s="131"/>
      <c r="E230" s="131"/>
      <c r="F230" s="131"/>
      <c r="G230" s="131"/>
      <c r="H230" s="131"/>
      <c r="I230" s="131"/>
      <c r="J230" s="131"/>
      <c r="K230" s="131"/>
      <c r="L230" s="131"/>
      <c r="M230" s="131"/>
      <c r="N230" s="3"/>
      <c r="O230"/>
      <c r="P230"/>
      <c r="Q230"/>
      <c r="R230"/>
      <c r="S230"/>
      <c r="T230"/>
      <c r="U230"/>
      <c r="V230"/>
      <c r="W230"/>
      <c r="X230"/>
      <c r="Y230"/>
    </row>
    <row r="231" spans="1:25" s="6" customFormat="1" ht="14.5" x14ac:dyDescent="0.35">
      <c r="A231" s="57"/>
      <c r="B231"/>
      <c r="C231" s="131"/>
      <c r="D231" s="131"/>
      <c r="E231" s="131"/>
      <c r="F231" s="131"/>
      <c r="G231" s="131"/>
      <c r="H231" s="131"/>
      <c r="I231" s="131"/>
      <c r="J231" s="131"/>
      <c r="K231" s="131"/>
      <c r="L231" s="131"/>
      <c r="M231" s="131"/>
      <c r="N231" s="3"/>
      <c r="O231"/>
      <c r="P231"/>
      <c r="Q231"/>
      <c r="R231"/>
      <c r="S231"/>
      <c r="T231"/>
      <c r="U231"/>
      <c r="V231"/>
      <c r="W231"/>
      <c r="X231"/>
      <c r="Y231"/>
    </row>
    <row r="232" spans="1:25" s="6" customFormat="1" ht="14.5" x14ac:dyDescent="0.35">
      <c r="A232" s="3"/>
      <c r="B232"/>
      <c r="C232"/>
      <c r="D232" s="131"/>
      <c r="E232" s="131"/>
      <c r="F232" s="131"/>
      <c r="G232" s="131"/>
      <c r="H232" s="131"/>
      <c r="I232" s="131"/>
      <c r="J232" s="131"/>
      <c r="K232" s="131"/>
      <c r="L232" s="131"/>
      <c r="M232" s="131"/>
      <c r="N232"/>
      <c r="O232"/>
      <c r="P232"/>
      <c r="Q232"/>
      <c r="R232"/>
      <c r="S232"/>
      <c r="T232"/>
      <c r="U232"/>
      <c r="V232"/>
      <c r="W232"/>
      <c r="X232"/>
      <c r="Y232"/>
    </row>
    <row r="233" spans="1:25" s="6" customFormat="1" ht="14.5" x14ac:dyDescent="0.35">
      <c r="A233" s="3"/>
      <c r="B233"/>
      <c r="C233"/>
      <c r="D233" s="131"/>
      <c r="E233" s="131"/>
      <c r="F233" s="131"/>
      <c r="G233" s="131"/>
      <c r="H233" s="131"/>
      <c r="I233" s="131"/>
      <c r="J233" s="131"/>
      <c r="K233" s="131"/>
      <c r="L233" s="131"/>
      <c r="M233" s="131"/>
      <c r="N233"/>
      <c r="O233"/>
      <c r="P233"/>
      <c r="Q233"/>
      <c r="R233"/>
      <c r="S233"/>
      <c r="T233"/>
      <c r="U233"/>
      <c r="V233"/>
      <c r="W233"/>
      <c r="X233"/>
      <c r="Y233"/>
    </row>
    <row r="234" spans="1:25" s="6" customFormat="1" ht="14.5" x14ac:dyDescent="0.35">
      <c r="A234" s="3"/>
      <c r="B234"/>
      <c r="C234"/>
      <c r="D234" s="131"/>
      <c r="E234" s="131"/>
      <c r="F234" s="131"/>
      <c r="G234" s="131"/>
      <c r="H234" s="131"/>
      <c r="I234" s="131"/>
      <c r="J234" s="131"/>
      <c r="K234" s="131"/>
      <c r="L234" s="131"/>
      <c r="M234" s="131"/>
      <c r="N234"/>
      <c r="O234"/>
      <c r="P234"/>
      <c r="Q234"/>
      <c r="R234"/>
      <c r="S234"/>
      <c r="T234"/>
      <c r="U234"/>
      <c r="V234"/>
      <c r="W234"/>
      <c r="X234"/>
      <c r="Y234"/>
    </row>
    <row r="235" spans="1:25" s="6" customFormat="1" ht="14.5" x14ac:dyDescent="0.35">
      <c r="A235" s="3"/>
      <c r="B235" s="1"/>
      <c r="C235" s="3"/>
      <c r="D235" s="131"/>
      <c r="E235" s="131"/>
      <c r="F235" s="131"/>
      <c r="G235" s="131"/>
      <c r="H235" s="131"/>
      <c r="I235" s="131"/>
      <c r="J235" s="131"/>
      <c r="K235" s="131"/>
      <c r="L235" s="131"/>
      <c r="M235" s="131"/>
      <c r="N235"/>
      <c r="O235"/>
      <c r="P235"/>
      <c r="Q235"/>
      <c r="R235"/>
      <c r="S235"/>
      <c r="T235"/>
      <c r="U235"/>
      <c r="V235"/>
      <c r="W235"/>
      <c r="X235"/>
      <c r="Y235"/>
    </row>
    <row r="236" spans="1:25" s="6" customFormat="1" ht="14.5" x14ac:dyDescent="0.35">
      <c r="A236" s="3"/>
      <c r="B236" s="1"/>
      <c r="C236"/>
      <c r="D236" s="131"/>
      <c r="E236" s="131"/>
      <c r="F236" s="131"/>
      <c r="G236" s="131"/>
      <c r="H236" s="131"/>
      <c r="I236" s="131"/>
      <c r="J236" s="131"/>
      <c r="K236" s="131"/>
      <c r="L236" s="131"/>
      <c r="M236" s="131"/>
      <c r="N236"/>
      <c r="O236"/>
      <c r="P236"/>
      <c r="Q236"/>
      <c r="R236"/>
      <c r="S236"/>
      <c r="T236"/>
      <c r="U236"/>
      <c r="V236"/>
      <c r="W236"/>
      <c r="X236"/>
      <c r="Y236"/>
    </row>
    <row r="237" spans="1:25" s="6" customFormat="1" ht="14.5" x14ac:dyDescent="0.35">
      <c r="A237" s="3"/>
      <c r="B237" s="1"/>
      <c r="C237"/>
      <c r="D237" s="131"/>
      <c r="E237" s="131"/>
      <c r="F237" s="131"/>
      <c r="G237" s="131"/>
      <c r="H237" s="131"/>
      <c r="I237" s="131"/>
      <c r="J237" s="131"/>
      <c r="K237" s="131"/>
      <c r="L237" s="131"/>
      <c r="M237" s="131"/>
      <c r="N237"/>
      <c r="O237"/>
      <c r="P237"/>
      <c r="Q237"/>
      <c r="R237"/>
      <c r="S237"/>
      <c r="T237"/>
      <c r="U237"/>
      <c r="V237"/>
      <c r="W237"/>
      <c r="X237"/>
      <c r="Y237"/>
    </row>
    <row r="238" spans="1:25" ht="14.5" x14ac:dyDescent="0.35">
      <c r="B238" s="1"/>
      <c r="D238" s="131"/>
      <c r="E238" s="131"/>
      <c r="F238" s="131"/>
      <c r="G238" s="131"/>
      <c r="H238" s="131"/>
      <c r="I238" s="131"/>
      <c r="J238" s="131"/>
      <c r="K238" s="131"/>
      <c r="L238" s="131"/>
      <c r="M238" s="131"/>
    </row>
    <row r="239" spans="1:25" ht="14.5" x14ac:dyDescent="0.35">
      <c r="A239" s="3"/>
      <c r="B239" s="1"/>
      <c r="C239" s="3"/>
      <c r="D239" s="131"/>
      <c r="E239" s="131"/>
      <c r="F239" s="131"/>
      <c r="G239" s="131"/>
      <c r="H239" s="131"/>
      <c r="I239" s="131"/>
      <c r="J239" s="131"/>
      <c r="K239" s="131"/>
      <c r="L239" s="131"/>
      <c r="M239" s="131"/>
    </row>
    <row r="240" spans="1:25" ht="14.5" x14ac:dyDescent="0.35">
      <c r="A240" s="3"/>
      <c r="B240" s="1"/>
      <c r="D240" s="131"/>
      <c r="E240" s="131"/>
      <c r="F240" s="131"/>
      <c r="G240" s="131"/>
      <c r="H240" s="131"/>
      <c r="I240" s="131"/>
      <c r="J240" s="131"/>
      <c r="K240" s="131"/>
      <c r="L240" s="131"/>
      <c r="M240" s="131"/>
    </row>
    <row r="241" spans="1:13" ht="14.5" x14ac:dyDescent="0.35">
      <c r="A241" s="3"/>
      <c r="B241" s="1"/>
      <c r="D241" s="131"/>
      <c r="E241" s="131"/>
      <c r="F241" s="131"/>
      <c r="G241" s="131"/>
      <c r="H241" s="131"/>
      <c r="I241" s="131"/>
      <c r="J241" s="131"/>
      <c r="K241" s="131"/>
      <c r="L241" s="131"/>
      <c r="M241" s="131"/>
    </row>
    <row r="242" spans="1:13" ht="14.5" x14ac:dyDescent="0.35">
      <c r="B242" s="1"/>
      <c r="D242" s="131"/>
      <c r="E242" s="131"/>
      <c r="F242" s="131"/>
      <c r="G242" s="131"/>
      <c r="H242" s="131"/>
      <c r="I242" s="131"/>
      <c r="J242" s="131"/>
      <c r="K242" s="131"/>
      <c r="L242" s="131"/>
      <c r="M242" s="131"/>
    </row>
    <row r="243" spans="1:13" ht="14.5" x14ac:dyDescent="0.35">
      <c r="A243" s="3"/>
      <c r="B243" s="1"/>
      <c r="C243" s="3"/>
      <c r="D243" s="131"/>
      <c r="E243" s="131"/>
      <c r="F243" s="131"/>
      <c r="G243" s="131"/>
      <c r="H243" s="131"/>
      <c r="I243" s="131"/>
      <c r="J243" s="131"/>
      <c r="K243" s="131"/>
      <c r="L243" s="131"/>
      <c r="M243" s="131"/>
    </row>
    <row r="244" spans="1:13" ht="14.5" x14ac:dyDescent="0.35">
      <c r="A244" s="3"/>
      <c r="D244" s="131"/>
      <c r="E244" s="131"/>
      <c r="F244" s="131"/>
      <c r="G244" s="131"/>
      <c r="H244" s="131"/>
      <c r="I244" s="131"/>
      <c r="J244" s="131"/>
      <c r="K244" s="131"/>
      <c r="L244" s="131"/>
      <c r="M244" s="131"/>
    </row>
    <row r="245" spans="1:13" ht="14.5" x14ac:dyDescent="0.35">
      <c r="A245" s="3"/>
      <c r="D245" s="131"/>
      <c r="E245" s="131"/>
      <c r="F245" s="131"/>
      <c r="G245" s="131"/>
      <c r="H245" s="131"/>
      <c r="I245" s="131"/>
      <c r="J245" s="131"/>
      <c r="K245" s="131"/>
      <c r="L245" s="131"/>
      <c r="M245" s="131"/>
    </row>
  </sheetData>
  <phoneticPr fontId="0" type="noConversion"/>
  <pageMargins left="0.75" right="0.75" top="1" bottom="1" header="0.5" footer="0.5"/>
  <pageSetup paperSize="9" orientation="portrait" horizontalDpi="4294967293" verticalDpi="4294967293"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AM246"/>
  <sheetViews>
    <sheetView zoomScaleNormal="100" workbookViewId="0">
      <selection activeCell="B5" sqref="B5"/>
    </sheetView>
  </sheetViews>
  <sheetFormatPr defaultRowHeight="12.5" x14ac:dyDescent="0.25"/>
  <cols>
    <col min="1" max="1" width="33.453125" customWidth="1"/>
    <col min="2" max="2" width="8.54296875" bestFit="1" customWidth="1"/>
    <col min="3" max="3" width="9.453125" bestFit="1" customWidth="1"/>
    <col min="4" max="4" width="9.81640625" bestFit="1" customWidth="1"/>
    <col min="5" max="5" width="10.1796875" bestFit="1" customWidth="1"/>
    <col min="6" max="6" width="9.81640625" bestFit="1" customWidth="1"/>
    <col min="7" max="13" width="10.54296875" bestFit="1" customWidth="1"/>
    <col min="14" max="14" width="11.54296875" bestFit="1" customWidth="1"/>
    <col min="15" max="24" width="2.1796875" customWidth="1"/>
  </cols>
  <sheetData>
    <row r="1" spans="1:10" ht="13" x14ac:dyDescent="0.3">
      <c r="A1" s="2" t="str">
        <f>MODEL_NAME</f>
        <v>PAGE-ICE Nonlinear Arctic Feedbacks</v>
      </c>
      <c r="B1" t="s">
        <v>39</v>
      </c>
      <c r="C1" s="51" t="str">
        <f>VERSION</f>
        <v>6.22</v>
      </c>
    </row>
    <row r="2" spans="1:10" ht="13" x14ac:dyDescent="0.3">
      <c r="A2" s="2"/>
      <c r="C2" s="51"/>
    </row>
    <row r="3" spans="1:10" x14ac:dyDescent="0.25">
      <c r="A3" s="4" t="s">
        <v>555</v>
      </c>
      <c r="B3" s="14">
        <f xml:space="preserve"> IF(EXPERIMENT = EXPERIMENT_SCC_LANDPERM, 1, 0) + IF(EXPERIMENT = EXPERIMENT_SCC_BOTHFEED, 1, 0) + IF(EXPERIMENT = EXPERIMENT_TWOSCEN_BOTHFEED, 1, 0)</f>
        <v>0</v>
      </c>
      <c r="E3" s="3"/>
    </row>
    <row r="4" spans="1:10" x14ac:dyDescent="0.25">
      <c r="A4" s="58" t="s">
        <v>554</v>
      </c>
      <c r="B4" s="14">
        <f xml:space="preserve"> IF(EXPERIMENT = EXPERIMENT_SCC_SAF, 1, 0) + IF(EXPERIMENT = EXPERIMENT_SCC_BOTHFEED, 1, 0) + IF(EXPERIMENT = EXPERIMENT_TWOSCEN_BOTHFEED, 1, 0)</f>
        <v>0</v>
      </c>
      <c r="E4" s="3"/>
    </row>
    <row r="5" spans="1:10" x14ac:dyDescent="0.25">
      <c r="A5" s="3"/>
      <c r="B5" s="3"/>
      <c r="C5" s="3"/>
      <c r="D5" s="59"/>
      <c r="E5" s="3"/>
    </row>
    <row r="6" spans="1:10" ht="13" x14ac:dyDescent="0.3">
      <c r="A6" s="2"/>
      <c r="D6" s="3"/>
      <c r="E6" s="3"/>
      <c r="F6" s="3"/>
      <c r="G6" s="3"/>
      <c r="H6" s="3"/>
    </row>
    <row r="7" spans="1:10" ht="13" x14ac:dyDescent="0.3">
      <c r="A7" t="s">
        <v>61</v>
      </c>
      <c r="B7" s="3">
        <f>Y_0</f>
        <v>2015</v>
      </c>
      <c r="C7" t="s">
        <v>56</v>
      </c>
      <c r="D7" s="124" t="s">
        <v>545</v>
      </c>
      <c r="E7" s="3"/>
      <c r="F7" s="3"/>
      <c r="G7" s="3"/>
      <c r="H7" s="3"/>
    </row>
    <row r="8" spans="1:10" ht="13" x14ac:dyDescent="0.3">
      <c r="A8" t="s">
        <v>62</v>
      </c>
      <c r="B8" s="3">
        <f>Y_0</f>
        <v>2015</v>
      </c>
      <c r="C8" t="s">
        <v>57</v>
      </c>
      <c r="D8" s="124" t="s">
        <v>545</v>
      </c>
      <c r="E8" s="3"/>
      <c r="F8" s="3"/>
      <c r="G8" s="3"/>
      <c r="H8" s="3"/>
    </row>
    <row r="9" spans="1:10" ht="13" x14ac:dyDescent="0.3">
      <c r="A9" s="3" t="s">
        <v>630</v>
      </c>
      <c r="B9" s="3"/>
      <c r="C9" s="3"/>
      <c r="D9" s="124" t="s">
        <v>545</v>
      </c>
      <c r="E9" s="3"/>
      <c r="F9" s="3"/>
      <c r="G9" s="3"/>
      <c r="H9" s="3"/>
    </row>
    <row r="10" spans="1:10" x14ac:dyDescent="0.25">
      <c r="A10" s="3"/>
      <c r="B10" s="3"/>
      <c r="C10" s="3"/>
      <c r="D10" s="3"/>
      <c r="E10" s="3"/>
      <c r="F10" s="3"/>
      <c r="G10" s="3"/>
      <c r="H10" s="3"/>
    </row>
    <row r="11" spans="1:10" x14ac:dyDescent="0.25">
      <c r="A11" s="3" t="s">
        <v>767</v>
      </c>
      <c r="B11" s="3"/>
      <c r="C11" s="3"/>
      <c r="E11" s="3"/>
    </row>
    <row r="12" spans="1:10" ht="13" x14ac:dyDescent="0.3">
      <c r="A12" s="3" t="s">
        <v>607</v>
      </c>
      <c r="B12" s="138"/>
      <c r="C12" s="3"/>
      <c r="D12" s="124" t="s">
        <v>545</v>
      </c>
      <c r="E12" s="3"/>
    </row>
    <row r="13" spans="1:10" ht="13" x14ac:dyDescent="0.3">
      <c r="A13" s="103" t="s">
        <v>631</v>
      </c>
      <c r="B13" s="103">
        <f ca="1" xml:space="preserve"> TOTAL_CE_CO2_0_b / TOTAL_E_CO2_0_b</f>
        <v>49.36461591688456</v>
      </c>
      <c r="C13" s="3" t="s">
        <v>459</v>
      </c>
      <c r="D13" s="3" t="s">
        <v>855</v>
      </c>
      <c r="E13" s="3"/>
      <c r="J13" s="173" t="s">
        <v>633</v>
      </c>
    </row>
    <row r="14" spans="1:10" ht="13" x14ac:dyDescent="0.3">
      <c r="A14" s="103" t="s">
        <v>632</v>
      </c>
      <c r="B14" s="103">
        <f ca="1" xml:space="preserve"> RE_CO2_NO_CCF_0 / (TOTAL_E_CO2_0_b * TIME_CO2_HIST_b * ( (PERCENT_CO2_STAY/100) + (PERCENT_CO2_OCEAN_LONG/100) / (1 + TIME_CO2_HIST_b/TIME_CO2_OCEAN_LONG) + (PERCENT_CO2_OCEAN_SHORT/100) / (1 + TIME_CO2_HIST_b/TIME_CO2_OCEAN_SHORT) + (PERCENT_CO2_LAND/100) / (1 + TIME_CO2_HIST_b/TIME_CO2_LAND) ) )</f>
        <v>0.83451491873125405</v>
      </c>
      <c r="C14" s="3"/>
      <c r="D14" s="3" t="s">
        <v>855</v>
      </c>
      <c r="E14" s="3"/>
      <c r="J14" s="173" t="s">
        <v>633</v>
      </c>
    </row>
    <row r="15" spans="1:10" x14ac:dyDescent="0.25">
      <c r="A15" s="3"/>
      <c r="E15" s="3"/>
    </row>
    <row r="16" spans="1:10" x14ac:dyDescent="0.25">
      <c r="A16" s="3" t="s">
        <v>833</v>
      </c>
      <c r="B16" s="3"/>
      <c r="C16" s="3"/>
      <c r="E16" s="3"/>
    </row>
    <row r="17" spans="1:4" ht="13" x14ac:dyDescent="0.3">
      <c r="A17" s="3" t="s">
        <v>627</v>
      </c>
      <c r="B17" s="59"/>
      <c r="C17" s="3"/>
      <c r="D17" s="124" t="s">
        <v>545</v>
      </c>
    </row>
    <row r="18" spans="1:4" ht="13" x14ac:dyDescent="0.3">
      <c r="A18" s="3" t="s">
        <v>628</v>
      </c>
      <c r="B18" s="59"/>
      <c r="C18" s="3"/>
      <c r="D18" s="124" t="s">
        <v>545</v>
      </c>
    </row>
    <row r="19" spans="1:4" ht="13" x14ac:dyDescent="0.3">
      <c r="A19" s="3" t="s">
        <v>629</v>
      </c>
      <c r="B19" s="59"/>
      <c r="C19" s="3"/>
      <c r="D19" s="124" t="s">
        <v>545</v>
      </c>
    </row>
    <row r="20" spans="1:4" ht="13" x14ac:dyDescent="0.3">
      <c r="A20" s="3"/>
      <c r="B20" s="59"/>
      <c r="C20" s="3"/>
      <c r="D20" s="124"/>
    </row>
    <row r="21" spans="1:4" ht="13" x14ac:dyDescent="0.3">
      <c r="A21" s="3" t="s">
        <v>834</v>
      </c>
      <c r="B21" s="59"/>
      <c r="C21" s="3"/>
      <c r="D21" s="124"/>
    </row>
    <row r="22" spans="1:4" ht="13" x14ac:dyDescent="0.3">
      <c r="A22" s="3" t="s">
        <v>627</v>
      </c>
      <c r="B22" s="59"/>
      <c r="C22" s="3"/>
      <c r="D22" s="124" t="s">
        <v>545</v>
      </c>
    </row>
    <row r="23" spans="1:4" ht="13" x14ac:dyDescent="0.3">
      <c r="A23" s="3" t="s">
        <v>628</v>
      </c>
      <c r="B23" s="59"/>
      <c r="C23" s="3"/>
      <c r="D23" s="124" t="s">
        <v>545</v>
      </c>
    </row>
    <row r="24" spans="1:4" ht="13" x14ac:dyDescent="0.3">
      <c r="A24" s="3" t="s">
        <v>629</v>
      </c>
      <c r="B24" s="59"/>
      <c r="C24" s="3"/>
      <c r="D24" s="124" t="s">
        <v>545</v>
      </c>
    </row>
    <row r="26" spans="1:4" x14ac:dyDescent="0.25">
      <c r="A26" t="s">
        <v>835</v>
      </c>
      <c r="B26" s="3"/>
    </row>
    <row r="27" spans="1:4" ht="13" x14ac:dyDescent="0.3">
      <c r="A27" s="3" t="s">
        <v>940</v>
      </c>
      <c r="B27" s="3"/>
      <c r="D27" s="124" t="s">
        <v>545</v>
      </c>
    </row>
    <row r="28" spans="1:4" ht="13" x14ac:dyDescent="0.3">
      <c r="A28" s="3" t="s">
        <v>918</v>
      </c>
      <c r="B28" s="3"/>
      <c r="D28" s="124" t="s">
        <v>545</v>
      </c>
    </row>
    <row r="29" spans="1:4" ht="13" x14ac:dyDescent="0.3">
      <c r="A29" s="3" t="s">
        <v>943</v>
      </c>
      <c r="B29" s="3"/>
      <c r="D29" s="124" t="s">
        <v>545</v>
      </c>
    </row>
    <row r="30" spans="1:4" ht="13" x14ac:dyDescent="0.3">
      <c r="A30" s="3" t="s">
        <v>916</v>
      </c>
      <c r="B30" s="3"/>
      <c r="D30" s="124" t="s">
        <v>545</v>
      </c>
    </row>
    <row r="31" spans="1:4" ht="13" x14ac:dyDescent="0.3">
      <c r="A31" s="3" t="s">
        <v>950</v>
      </c>
      <c r="B31" s="3"/>
      <c r="D31" s="124" t="s">
        <v>545</v>
      </c>
    </row>
    <row r="32" spans="1:4" ht="13" x14ac:dyDescent="0.3">
      <c r="A32" s="3"/>
      <c r="B32" s="3"/>
      <c r="D32" s="124"/>
    </row>
    <row r="33" spans="1:26" ht="13" x14ac:dyDescent="0.3">
      <c r="A33" s="3"/>
      <c r="B33" s="3"/>
      <c r="D33" s="124"/>
    </row>
    <row r="34" spans="1:26" x14ac:dyDescent="0.25">
      <c r="C34">
        <f>Y_0</f>
        <v>2015</v>
      </c>
      <c r="D34">
        <f t="array" ref="D34:M34">Y</f>
        <v>2020</v>
      </c>
      <c r="E34">
        <v>2030</v>
      </c>
      <c r="F34">
        <v>2040</v>
      </c>
      <c r="G34">
        <v>2050</v>
      </c>
      <c r="H34">
        <v>2075</v>
      </c>
      <c r="I34">
        <v>2100</v>
      </c>
      <c r="J34">
        <v>2150</v>
      </c>
      <c r="K34">
        <v>2200</v>
      </c>
      <c r="L34">
        <v>2250</v>
      </c>
      <c r="M34">
        <v>2300</v>
      </c>
    </row>
    <row r="35" spans="1:26" s="4" customFormat="1" x14ac:dyDescent="0.25">
      <c r="A35" s="4" t="s">
        <v>59</v>
      </c>
      <c r="D35" s="14">
        <f>YP_1</f>
        <v>5</v>
      </c>
      <c r="E35" s="14">
        <f t="array" ref="E35:M35">Y_NOT_1-Y</f>
        <v>10</v>
      </c>
      <c r="F35" s="14">
        <v>10</v>
      </c>
      <c r="G35" s="14">
        <v>10</v>
      </c>
      <c r="H35" s="14">
        <v>25</v>
      </c>
      <c r="I35" s="14">
        <v>25</v>
      </c>
      <c r="J35" s="14">
        <v>50</v>
      </c>
      <c r="K35" s="14">
        <v>50</v>
      </c>
      <c r="L35" s="14">
        <v>50</v>
      </c>
      <c r="M35" s="14">
        <v>50</v>
      </c>
      <c r="N35" s="4" t="s">
        <v>41</v>
      </c>
    </row>
    <row r="36" spans="1:26" s="4" customFormat="1" x14ac:dyDescent="0.25">
      <c r="A36"/>
      <c r="B36"/>
      <c r="C36"/>
    </row>
    <row r="37" spans="1:26" s="4" customFormat="1" x14ac:dyDescent="0.25">
      <c r="A37" s="3" t="s">
        <v>836</v>
      </c>
      <c r="B37"/>
      <c r="C37"/>
    </row>
    <row r="38" spans="1:26" s="4" customFormat="1" ht="13" x14ac:dyDescent="0.3">
      <c r="A38" s="116" t="s">
        <v>511</v>
      </c>
      <c r="B38" s="116"/>
      <c r="C38" s="113">
        <f ca="1" xml:space="preserve"> PERM_SIB_TEMP_0</f>
        <v>1.7746013312537106</v>
      </c>
      <c r="D38" s="113">
        <f t="array" ref="D38:M38" ca="1" xml:space="preserve"> rt_g_b * PERM_SIB_AF</f>
        <v>2.0593830986457391</v>
      </c>
      <c r="E38" s="113">
        <f ca="1"/>
        <v>2.8417907744226185</v>
      </c>
      <c r="F38" s="113">
        <f ca="1"/>
        <v>3.3431778418501854</v>
      </c>
      <c r="G38" s="113">
        <f ca="1"/>
        <v>3.6555944986051259</v>
      </c>
      <c r="H38" s="113">
        <f ca="1"/>
        <v>3.9378549828978153</v>
      </c>
      <c r="I38" s="113">
        <f ca="1"/>
        <v>3.8757456523036304</v>
      </c>
      <c r="J38" s="113">
        <f ca="1"/>
        <v>3.3508175115802978</v>
      </c>
      <c r="K38" s="113">
        <f ca="1"/>
        <v>3.0348840811796136</v>
      </c>
      <c r="L38" s="113">
        <f ca="1"/>
        <v>2.8461082445028101</v>
      </c>
      <c r="M38" s="113">
        <f ca="1"/>
        <v>2.6547507673204289</v>
      </c>
      <c r="N38" s="4" t="s">
        <v>43</v>
      </c>
      <c r="Y38"/>
      <c r="Z38" s="124" t="s">
        <v>845</v>
      </c>
    </row>
    <row r="39" spans="1:26" s="4" customFormat="1" ht="13" x14ac:dyDescent="0.3">
      <c r="A39" s="103" t="s">
        <v>755</v>
      </c>
      <c r="B39" s="86"/>
      <c r="C39" s="86"/>
      <c r="D39" s="113">
        <f t="array" ref="D39:M39" ca="1" xml:space="preserve"> IF(1 + PERM_SIB_SENS_SLOPE_VS_T_CO2 * (perm_sib_temp_b - 0.5*PERM_SIB_LIMIT_T) /PERM_SIB_LIMIT_T &lt;= 0, 0.000001, 1 + PERM_SIB_SENS_SLOPE_VS_T_CO2 * (perm_sib_temp_b - 0.5*PERM_SIB_LIMIT_T) /PERM_SIB_LIMIT_T)</f>
        <v>0.43172498153669558</v>
      </c>
      <c r="E39" s="113">
        <f ca="1"/>
        <v>0.48088759398151459</v>
      </c>
      <c r="F39" s="113">
        <f ca="1"/>
        <v>0.51239226711283381</v>
      </c>
      <c r="G39" s="113">
        <f ca="1"/>
        <v>0.53202297817672828</v>
      </c>
      <c r="H39" s="113">
        <f ca="1"/>
        <v>0.54975882513654994</v>
      </c>
      <c r="I39" s="113">
        <f ca="1"/>
        <v>0.54585618327381868</v>
      </c>
      <c r="J39" s="113">
        <f ca="1"/>
        <v>0.5128723060155389</v>
      </c>
      <c r="K39" s="113">
        <f ca="1"/>
        <v>0.49302061836213151</v>
      </c>
      <c r="L39" s="113">
        <f ca="1"/>
        <v>0.48115888235823423</v>
      </c>
      <c r="M39" s="113">
        <f ca="1"/>
        <v>0.46913492888692598</v>
      </c>
      <c r="N39" s="4" t="s">
        <v>509</v>
      </c>
      <c r="Y39"/>
      <c r="Z39" s="124" t="s">
        <v>849</v>
      </c>
    </row>
    <row r="40" spans="1:26" s="4" customFormat="1" ht="13" x14ac:dyDescent="0.3">
      <c r="A40" s="103" t="s">
        <v>754</v>
      </c>
      <c r="B40" s="86"/>
      <c r="C40" s="86"/>
      <c r="D40" s="113">
        <f t="array" ref="D40:M40" ca="1" xml:space="preserve"> IF(1 + PERM_SIB_LAG_SLOPE_VS_T_CO2 * (perm_sib_temp_b - 0.5*PERM_SIB_LIMIT_T) /PERM_SIB_LIMIT_T &lt;= 0, 0.000001, 1 + PERM_SIB_LAG_SLOPE_VS_T_CO2 * (perm_sib_temp_b - 0.5*PERM_SIB_LIMIT_T) /PERM_SIB_LIMIT_T)</f>
        <v>0.66229256591673658</v>
      </c>
      <c r="E40" s="113">
        <f ca="1"/>
        <v>0.69150831385945888</v>
      </c>
      <c r="F40" s="113">
        <f ca="1"/>
        <v>0.71023052050084889</v>
      </c>
      <c r="G40" s="113">
        <f ca="1"/>
        <v>0.72189641614508238</v>
      </c>
      <c r="H40" s="113">
        <f ca="1"/>
        <v>0.73243625543678892</v>
      </c>
      <c r="I40" s="113">
        <f ca="1"/>
        <v>0.73011704180467674</v>
      </c>
      <c r="J40" s="113">
        <f ca="1"/>
        <v>0.71051579206976467</v>
      </c>
      <c r="K40" s="113">
        <f ca="1"/>
        <v>0.69871857719696717</v>
      </c>
      <c r="L40" s="113">
        <f ca="1"/>
        <v>0.69166953175329904</v>
      </c>
      <c r="M40" s="113">
        <f ca="1"/>
        <v>0.68452408572381762</v>
      </c>
      <c r="N40" s="4" t="s">
        <v>509</v>
      </c>
      <c r="Y40"/>
      <c r="Z40" s="124" t="s">
        <v>849</v>
      </c>
    </row>
    <row r="41" spans="1:26" s="4" customFormat="1" ht="13" x14ac:dyDescent="0.3">
      <c r="A41" s="103" t="s">
        <v>756</v>
      </c>
      <c r="B41" s="86"/>
      <c r="C41" s="86"/>
      <c r="D41" s="113">
        <f t="array" ref="D41:M41" ca="1" xml:space="preserve"> IF(1 + PERM_SIB_POW_SLOPE_VS_T_CO2 * (perm_sib_temp_b - 0.5*PERM_SIB_LIMIT_T) /PERM_SIB_LIMIT_T &lt;= 0, 0.000001, 1 + PERM_SIB_POW_SLOPE_VS_T_CO2 * (perm_sib_temp_b - 0.5*PERM_SIB_LIMIT_T) /PERM_SIB_LIMIT_T)</f>
        <v>1.0135810253572592</v>
      </c>
      <c r="E41" s="113">
        <f ca="1"/>
        <v>1.0124061035948215</v>
      </c>
      <c r="F41" s="113">
        <f ca="1"/>
        <v>1.011653183352391</v>
      </c>
      <c r="G41" s="113">
        <f ca="1"/>
        <v>1.0111840351827941</v>
      </c>
      <c r="H41" s="113">
        <f ca="1"/>
        <v>1.0107601717725299</v>
      </c>
      <c r="I41" s="113">
        <f ca="1"/>
        <v>1.0108534397789986</v>
      </c>
      <c r="J41" s="113">
        <f ca="1"/>
        <v>1.0116417110541229</v>
      </c>
      <c r="K41" s="113">
        <f ca="1"/>
        <v>1.0121161402735075</v>
      </c>
      <c r="L41" s="113">
        <f ca="1"/>
        <v>1.0123996201595065</v>
      </c>
      <c r="M41" s="113">
        <f ca="1"/>
        <v>1.0126869768295743</v>
      </c>
      <c r="N41" s="4" t="s">
        <v>509</v>
      </c>
      <c r="Y41"/>
      <c r="Z41" s="124" t="s">
        <v>849</v>
      </c>
    </row>
    <row r="42" spans="1:26" s="4" customFormat="1" ht="13" x14ac:dyDescent="0.3">
      <c r="A42" s="118" t="s">
        <v>757</v>
      </c>
      <c r="B42" s="116"/>
      <c r="C42" s="116"/>
      <c r="D42" s="104">
        <f t="array" ref="D42:M42" ca="1" xml:space="preserve"> IF((PERM_SIB_SENS_C_CO2 * perm_sib_sens_c_co2_correct_b) * perm_sib_temp_b &lt; PERM_SIB_LIMIT_C, (PERM_SIB_SENS_C_CO2 * perm_sib_sens_c_co2_correct_b) * perm_sib_temp_b, PERM_SIB_LIMIT_C)</f>
        <v>28397.212171135583</v>
      </c>
      <c r="E42" s="104">
        <f ca="1"/>
        <v>43648.272078057111</v>
      </c>
      <c r="F42" s="104">
        <f ca="1"/>
        <v>54713.365425667056</v>
      </c>
      <c r="G42" s="104">
        <f ca="1"/>
        <v>62118.332290653052</v>
      </c>
      <c r="H42" s="104">
        <f ca="1"/>
        <v>69145.402787711369</v>
      </c>
      <c r="I42" s="104">
        <f ca="1"/>
        <v>67571.70622909721</v>
      </c>
      <c r="J42" s="104">
        <f ca="1"/>
        <v>54889.769584840724</v>
      </c>
      <c r="K42" s="104">
        <f ca="1"/>
        <v>47790.169653196863</v>
      </c>
      <c r="L42" s="104">
        <f ca="1"/>
        <v>43739.247123025481</v>
      </c>
      <c r="M42" s="104">
        <f ca="1"/>
        <v>39778.912557690783</v>
      </c>
      <c r="N42" s="58" t="s">
        <v>503</v>
      </c>
      <c r="Y42"/>
      <c r="Z42" s="124" t="s">
        <v>844</v>
      </c>
    </row>
    <row r="43" spans="1:26" s="4" customFormat="1" ht="13" x14ac:dyDescent="0.3">
      <c r="A43" s="113" t="s">
        <v>758</v>
      </c>
      <c r="B43" s="116"/>
      <c r="C43" s="115">
        <f ca="1">PERM_SIB_CE_C_CO2_0</f>
        <v>3764.0529347349998</v>
      </c>
      <c r="D43" s="104">
        <f ca="1" xml:space="preserve"> IF(perm_sib_equilib_c_co2_1_b &lt;  PERM_SIB_CE_C_CO2_0, PERM_SIB_CE_C_CO2_0, IF( ((perm_sib_equilib_c_co2_1_b - PERM_SIB_CE_C_CO2_0)/PERM_SIB_LIMIT_C)^(1-(1+PERM_SIB_POW_C_CO2)*perm_sib_pow_c_co2_correct_1_b) &lt; (1-(1+PERM_SIB_POW_C_CO2)*perm_sib_pow_c_co2_correct_1_b) * YP_1 / (PERM_SIB_LAG_C_CO2*perm_sib_lag_c_co2_correct_1_b), perm_sib_equilib_c_co2_1_b, ( perm_sib_equilib_c_co2_1_b - PERM_SIB_LIMIT_C * ( ( ((perm_sib_equilib_c_co2_1_b - PERM_SIB_CE_C_CO2_0)/PERM_SIB_LIMIT_C)^(1-(1+PERM_SIB_POW_C_CO2)*perm_sib_pow_c_co2_correct_1_b) - (1-(1+PERM_SIB_POW_C_CO2)*perm_sib_pow_c_co2_correct_1_b) * YP_1 / (PERM_SIB_LAG_C_CO2*perm_sib_lag_c_co2_correct_1_b) )^( 1/(1-(1+PERM_SIB_POW_C_CO2)*perm_sib_pow_c_co2_correct_1_b) ) ) ) ) )</f>
        <v>4995.6508577082095</v>
      </c>
      <c r="E43" s="104">
        <f t="array" ref="E43:M43" ca="1" xml:space="preserve"> IF(perm_sib_equilib_c_co2_not_1_b &lt;  perm_sib_ce_c_co2_b, perm_sib_ce_c_co2_b, IF( ((perm_sib_equilib_c_co2_not_1_b - perm_sib_ce_c_co2_b)/PERM_SIB_LIMIT_C)^(1-(1+PERM_SIB_POW_C_CO2)*perm_sib_pow_c_co2_correct_not_1_b) &lt; (1-(1+PERM_SIB_POW_C_CO2)*perm_sib_pow_c_co2_correct_not_1_b) * YP_NOT_1 / (PERM_SIB_LAG_C_CO2*perm_sib_lag_c_co2_correct_not_1_b), perm_sib_equilib_c_co2_not_1_b, ( perm_sib_equilib_c_co2_not_1_b - PERM_SIB_LIMIT_C * ( ( ((perm_sib_equilib_c_co2_not_1_b - perm_sib_ce_c_co2_b)/PERM_SIB_LIMIT_C)^(1-(1+PERM_SIB_POW_C_CO2)*perm_sib_pow_c_co2_correct_not_1_b) - (1-(1+PERM_SIB_POW_C_CO2)*perm_sib_pow_c_co2_correct_not_1_b) * YP_NOT_1 / (PERM_SIB_LAG_C_CO2*perm_sib_lag_c_co2_correct_not_1_b) )^( 1/(1-(1+PERM_SIB_POW_C_CO2)*perm_sib_pow_c_co2_correct_not_1_b) ) ) ) ) )</f>
        <v>9049.3898420214391</v>
      </c>
      <c r="F43" s="104">
        <f ca="1"/>
        <v>13935.207122978245</v>
      </c>
      <c r="G43" s="104">
        <f ca="1"/>
        <v>19090.013160707989</v>
      </c>
      <c r="H43" s="104">
        <f ca="1"/>
        <v>31157.215894579254</v>
      </c>
      <c r="I43" s="104">
        <f ca="1"/>
        <v>39336.928611477815</v>
      </c>
      <c r="J43" s="104">
        <f ca="1"/>
        <v>44511.924364244689</v>
      </c>
      <c r="K43" s="104">
        <f ca="1"/>
        <v>45294.577424665287</v>
      </c>
      <c r="L43" s="104">
        <f ca="1"/>
        <v>45294.577424665287</v>
      </c>
      <c r="M43" s="104">
        <f ca="1"/>
        <v>45294.577424665287</v>
      </c>
      <c r="N43" s="58" t="s">
        <v>503</v>
      </c>
      <c r="Y43" s="124"/>
      <c r="Z43" s="124" t="s">
        <v>852</v>
      </c>
    </row>
    <row r="44" spans="1:26" s="4" customFormat="1" ht="13" x14ac:dyDescent="0.3">
      <c r="A44" s="113" t="s">
        <v>759</v>
      </c>
      <c r="B44" s="115"/>
      <c r="C44" s="115">
        <f ca="1">PERM_SIB_CE_C_CO2_0 * (44/12)</f>
        <v>13801.527427361665</v>
      </c>
      <c r="D44" s="104">
        <f t="array" ref="D44:M44" ca="1" xml:space="preserve"> perm_sib_ce_c_co2_b * (44/12)</f>
        <v>18317.386478263434</v>
      </c>
      <c r="E44" s="104">
        <f ca="1"/>
        <v>33181.096087411941</v>
      </c>
      <c r="F44" s="104">
        <f ca="1"/>
        <v>51095.759450920232</v>
      </c>
      <c r="G44" s="104">
        <f ca="1"/>
        <v>69996.714922595958</v>
      </c>
      <c r="H44" s="104">
        <f ca="1"/>
        <v>114243.1249467906</v>
      </c>
      <c r="I44" s="104">
        <f ca="1"/>
        <v>144235.40490875198</v>
      </c>
      <c r="J44" s="104">
        <f ca="1"/>
        <v>163210.38933556384</v>
      </c>
      <c r="K44" s="104">
        <f ca="1"/>
        <v>166080.11722377272</v>
      </c>
      <c r="L44" s="104">
        <f ca="1"/>
        <v>166080.11722377272</v>
      </c>
      <c r="M44" s="104">
        <f ca="1"/>
        <v>166080.11722377272</v>
      </c>
      <c r="N44" s="3" t="s">
        <v>457</v>
      </c>
      <c r="Z44" s="173"/>
    </row>
    <row r="45" spans="1:26" s="4" customFormat="1" ht="13" x14ac:dyDescent="0.3">
      <c r="A45" s="113" t="s">
        <v>612</v>
      </c>
      <c r="B45" s="86"/>
      <c r="C45" s="115">
        <f ca="1" xml:space="preserve"> (44/12) * (PERM_SIB_LIMIT_C / (PERM_SIB_LAG_C_CO2 * PERM_SIB_LAG_C_CO2_CORRECT_0)) * ( IF(PERM_SIB_EQUILIB_C_CO2_0 &gt;PERM_SIB_CE_C_CO2_0, ((PERM_SIB_EQUILIB_C_CO2_0 - PERM_SIB_CE_C_CO2_0)/PERM_SIB_LIMIT_C)^((1 + PERM_SIB_POW_C_CO2)*PERM_SIB_POW_C_CO2_CORRECT_0), 0) )</f>
        <v>711.39602792144001</v>
      </c>
      <c r="D45" s="115">
        <f t="array" ref="D45:M45" ca="1" xml:space="preserve"> (44/12) * (PERM_SIB_LIMIT_C / (PERM_SIB_LAG_C_CO2 * perm_sib_lag_c_co2_correct_b)) * ( IF(perm_sib_equilib_c_co2_b &gt; perm_sib_ce_c_co2_b, ((perm_sib_equilib_c_co2_b - perm_sib_ce_c_co2_b)/PERM_SIB_LIMIT_C)^((1 + PERM_SIB_POW_C_CO2)*perm_sib_pow_c_co2_correct_b), 0) )</f>
        <v>874.00471897149237</v>
      </c>
      <c r="E45" s="115">
        <f ca="1"/>
        <v>1384.3845131246458</v>
      </c>
      <c r="F45" s="115">
        <f ca="1"/>
        <v>1666.0826194304329</v>
      </c>
      <c r="G45" s="115">
        <f ca="1"/>
        <v>1757.8817089865115</v>
      </c>
      <c r="H45" s="115">
        <f ca="1"/>
        <v>1480.5999074459569</v>
      </c>
      <c r="I45" s="115">
        <f ca="1"/>
        <v>1017.8368688269347</v>
      </c>
      <c r="J45" s="115">
        <f ca="1"/>
        <v>291.46327115185676</v>
      </c>
      <c r="K45" s="115">
        <f ca="1"/>
        <v>48.100303077104762</v>
      </c>
      <c r="L45" s="115">
        <f ca="1"/>
        <v>0</v>
      </c>
      <c r="M45" s="115">
        <f ca="1"/>
        <v>0</v>
      </c>
      <c r="N45" s="58" t="s">
        <v>591</v>
      </c>
      <c r="Z45" s="124" t="s">
        <v>850</v>
      </c>
    </row>
    <row r="46" spans="1:26" s="4" customFormat="1" ht="13" x14ac:dyDescent="0.3">
      <c r="A46" s="57"/>
      <c r="B46" s="59"/>
      <c r="C46" s="59"/>
      <c r="D46" s="1"/>
      <c r="E46" s="1"/>
      <c r="F46" s="1"/>
      <c r="G46" s="1"/>
      <c r="H46" s="1"/>
      <c r="I46" s="1"/>
      <c r="J46" s="1"/>
      <c r="K46" s="1"/>
      <c r="L46" s="1"/>
      <c r="M46" s="1"/>
      <c r="N46" s="3"/>
      <c r="Z46" s="173"/>
    </row>
    <row r="47" spans="1:26" s="4" customFormat="1" ht="13" x14ac:dyDescent="0.3">
      <c r="A47" s="103" t="s">
        <v>761</v>
      </c>
      <c r="B47" s="103" t="s">
        <v>841</v>
      </c>
      <c r="C47" s="115"/>
      <c r="D47" s="113">
        <f t="array" ref="D47:M47" ca="1" xml:space="preserve"> (perm_sib_temp_b/(0.5*PERM_SIB_LIMIT_T))^PERM_SIB_SENS_SLOPE_VS_T_CH4</f>
        <v>1.1094265263113394</v>
      </c>
      <c r="E47" s="113">
        <f ca="1"/>
        <v>1.0876238474378626</v>
      </c>
      <c r="F47" s="113">
        <f ca="1"/>
        <v>1.0767859237826682</v>
      </c>
      <c r="G47" s="113">
        <f ca="1"/>
        <v>1.0708732239705747</v>
      </c>
      <c r="H47" s="113">
        <f ca="1"/>
        <v>1.0659753832226762</v>
      </c>
      <c r="I47" s="113">
        <f ca="1"/>
        <v>1.0670204048913658</v>
      </c>
      <c r="J47" s="113">
        <f ca="1"/>
        <v>1.0766344495609297</v>
      </c>
      <c r="K47" s="113">
        <f ca="1"/>
        <v>1.0832259848401191</v>
      </c>
      <c r="L47" s="113">
        <f ca="1"/>
        <v>1.0875220852375702</v>
      </c>
      <c r="M47" s="113">
        <f ca="1"/>
        <v>1.0921973981727462</v>
      </c>
      <c r="N47" s="4" t="s">
        <v>509</v>
      </c>
      <c r="Z47" s="124" t="s">
        <v>764</v>
      </c>
    </row>
    <row r="48" spans="1:26" s="4" customFormat="1" ht="13" x14ac:dyDescent="0.3">
      <c r="A48" s="103" t="s">
        <v>857</v>
      </c>
      <c r="B48" s="103" t="s">
        <v>841</v>
      </c>
      <c r="C48" s="115"/>
      <c r="D48" s="113">
        <f t="array" ref="D48:M48" ca="1" xml:space="preserve"> (perm_sib_temp_b/(0.5*PERM_SIB_LIMIT_T))^PERM_SIB_LAG_SLOPE_VS_T_CH4</f>
        <v>76.61737869345113</v>
      </c>
      <c r="E48" s="113">
        <f ca="1"/>
        <v>33.432588304420761</v>
      </c>
      <c r="F48" s="113">
        <f ca="1"/>
        <v>22.001053041736323</v>
      </c>
      <c r="G48" s="113">
        <f ca="1"/>
        <v>17.479487749164257</v>
      </c>
      <c r="H48" s="113">
        <f ca="1"/>
        <v>14.432604343187974</v>
      </c>
      <c r="I48" s="113">
        <f ca="1"/>
        <v>15.035753056261504</v>
      </c>
      <c r="J48" s="113">
        <f ca="1"/>
        <v>21.872108964220843</v>
      </c>
      <c r="K48" s="113">
        <f ca="1"/>
        <v>28.225877202942186</v>
      </c>
      <c r="L48" s="113">
        <f ca="1"/>
        <v>33.302138562315072</v>
      </c>
      <c r="M48" s="113">
        <f ca="1"/>
        <v>39.839602434986105</v>
      </c>
      <c r="N48" s="4" t="s">
        <v>509</v>
      </c>
      <c r="Z48" s="124"/>
    </row>
    <row r="49" spans="1:39" s="4" customFormat="1" ht="13" x14ac:dyDescent="0.3">
      <c r="A49" s="103" t="s">
        <v>858</v>
      </c>
      <c r="B49" s="103" t="s">
        <v>839</v>
      </c>
      <c r="C49" s="115"/>
      <c r="D49" s="113">
        <f t="array" ref="D49:M49" ca="1" xml:space="preserve"> IF(1 + PERM_SIB_POW_SLOPE_VS_T_CH4 * (perm_sib_temp_b - 0.5*PERM_SIB_LIMIT_T) /PERM_SIB_LIMIT_T &lt;= 0, 0.000001, 1 + PERM_SIB_POW_SLOPE_VS_T_CH4 * (perm_sib_temp_b - 0.5*PERM_SIB_LIMIT_T) /PERM_SIB_LIMIT_T)</f>
        <v>0.4301528949073633</v>
      </c>
      <c r="E49" s="113">
        <f ca="1"/>
        <v>0.47945151172185618</v>
      </c>
      <c r="F49" s="113">
        <f ca="1"/>
        <v>0.51104333996959284</v>
      </c>
      <c r="G49" s="113">
        <f ca="1"/>
        <v>0.53072835779937566</v>
      </c>
      <c r="H49" s="113">
        <f ca="1"/>
        <v>0.54851326953762225</v>
      </c>
      <c r="I49" s="113">
        <f ca="1"/>
        <v>0.54459983133352097</v>
      </c>
      <c r="J49" s="113">
        <f ca="1"/>
        <v>0.5115247068608878</v>
      </c>
      <c r="K49" s="113">
        <f ca="1"/>
        <v>0.49161810112782611</v>
      </c>
      <c r="L49" s="113">
        <f ca="1"/>
        <v>0.47972355059581029</v>
      </c>
      <c r="M49" s="113">
        <f ca="1"/>
        <v>0.4676663338349506</v>
      </c>
      <c r="N49" s="4" t="s">
        <v>509</v>
      </c>
      <c r="Z49" s="124"/>
    </row>
    <row r="50" spans="1:39" s="4" customFormat="1" ht="13" x14ac:dyDescent="0.3">
      <c r="A50" s="118" t="s">
        <v>760</v>
      </c>
      <c r="B50" s="115"/>
      <c r="C50" s="115"/>
      <c r="D50" s="104">
        <f t="array" ref="D50:M50" ca="1" xml:space="preserve"> IF((PERM_SIB_SENS_C_CH4 * perm_sib_sens_c_ch4_correct_b) * perm_sib_temp_b &lt; PERM_SIB_LIMIT_C, (PERM_SIB_SENS_C_CH4 * perm_sib_sens_c_ch4_correct_b) * perm_sib_temp_b, PERM_SIB_LIMIT_C)</f>
        <v>5241.7232886791453</v>
      </c>
      <c r="E50" s="104">
        <f ca="1"/>
        <v>7091.0283621298749</v>
      </c>
      <c r="F50" s="104">
        <f ca="1"/>
        <v>8258.9958956976589</v>
      </c>
      <c r="G50" s="104">
        <f ca="1"/>
        <v>8981.2022332058023</v>
      </c>
      <c r="H50" s="104">
        <f ca="1"/>
        <v>9630.421490256902</v>
      </c>
      <c r="I50" s="104">
        <f ca="1"/>
        <v>9487.8190675222868</v>
      </c>
      <c r="J50" s="104">
        <f ca="1"/>
        <v>8276.7044882419141</v>
      </c>
      <c r="K50" s="104">
        <f ca="1"/>
        <v>7542.2266314806675</v>
      </c>
      <c r="L50" s="104">
        <f ca="1"/>
        <v>7101.1371337929913</v>
      </c>
      <c r="M50" s="104">
        <f ca="1"/>
        <v>6652.169299361085</v>
      </c>
      <c r="N50" s="58" t="s">
        <v>503</v>
      </c>
      <c r="Z50" s="124" t="s">
        <v>764</v>
      </c>
    </row>
    <row r="51" spans="1:39" s="4" customFormat="1" ht="13" x14ac:dyDescent="0.3">
      <c r="A51" s="113" t="s">
        <v>762</v>
      </c>
      <c r="B51" s="86"/>
      <c r="C51" s="115">
        <f ca="1">PERM_SIB_CE_C_CH4_0</f>
        <v>175.56164558499998</v>
      </c>
      <c r="D51" s="104">
        <f ca="1" xml:space="preserve"> IF(perm_sib_equilib_c_ch4_1_b &lt;  PERM_SIB_CE_C_CH4_0, PERM_SIB_CE_C_CH4_0, IF( ((perm_sib_equilib_c_ch4_1_b - PERM_SIB_CE_C_CH4_0)/PERM_SIB_LIMIT_C)^(1-(1+PERM_SIB_POW_C_CH4)*perm_sib_pow_c_ch4_correct_1_b) &lt; (1-(1+PERM_SIB_POW_C_CH4)*perm_sib_pow_c_ch4_correct_1_b) * YP_1 / (PERM_SIB_LAG_C_CH4*perm_sib_lag_c_ch4_correct_1_b), perm_sib_equilib_c_ch4_1_b, ( perm_sib_equilib_c_ch4_1_b - PERM_SIB_LIMIT_C * ( ( ((perm_sib_equilib_c_ch4_1_b - PERM_SIB_CE_C_CH4_0)/PERM_SIB_LIMIT_C)^(1-(1+PERM_SIB_POW_C_CH4)*perm_sib_pow_c_ch4_correct_1_b) - (1-(1+PERM_SIB_POW_C_CH4)*perm_sib_pow_c_ch4_correct_1_b) * YP_1 / (PERM_SIB_LAG_C_CH4*perm_sib_lag_c_ch4_correct_1_b) )^( 1/(1-(1+PERM_SIB_POW_C_CH4)*perm_sib_pow_c_ch4_correct_1_b) ) ) ) ) )</f>
        <v>189.63271555132906</v>
      </c>
      <c r="E51" s="104">
        <f t="array" ref="E51:M51" ca="1" xml:space="preserve"> IF(perm_sib_equilib_c_ch4_not_1_b &lt;  perm_sib_ce_c_ch4_b, perm_sib_ce_c_ch4_b, IF( ((perm_sib_equilib_c_ch4_not_1_b - perm_sib_ce_c_ch4_b)/PERM_SIB_LIMIT_C)^(1-(1+PERM_SIB_POW_C_CH4)*perm_sib_pow_c_ch4_correct_not_1_b) &lt; (1-(1+PERM_SIB_POW_C_CH4)*perm_sib_pow_c_ch4_correct_not_1_b) * YP_NOT_1 / (PERM_SIB_LAG_C_CH4*perm_sib_lag_c_ch4_correct_not_1_b), perm_sib_equilib_c_ch4_not_1_b, ( perm_sib_equilib_c_ch4_not_1_b - PERM_SIB_LIMIT_C * ( ( ((perm_sib_equilib_c_ch4_not_1_b - perm_sib_ce_c_ch4_b)/PERM_SIB_LIMIT_C)^(1-(1+PERM_SIB_POW_C_CH4)*perm_sib_pow_c_ch4_correct_not_1_b) - (1-(1+PERM_SIB_POW_C_CH4)*perm_sib_pow_c_ch4_correct_not_1_b) * YP_NOT_1 / (PERM_SIB_LAG_C_CH4*perm_sib_lag_c_ch4_correct_not_1_b) )^( 1/(1-(1+PERM_SIB_POW_C_CH4)*perm_sib_pow_c_ch4_correct_not_1_b) ) ) ) ) )</f>
        <v>247.6073781607156</v>
      </c>
      <c r="F51" s="104">
        <f ca="1"/>
        <v>329.00236138669788</v>
      </c>
      <c r="G51" s="104">
        <f ca="1"/>
        <v>426.06874866842918</v>
      </c>
      <c r="H51" s="104">
        <f ca="1"/>
        <v>703.66278637239157</v>
      </c>
      <c r="I51" s="104">
        <f ca="1"/>
        <v>967.05178151137989</v>
      </c>
      <c r="J51" s="104">
        <f ca="1"/>
        <v>1346.8724941757982</v>
      </c>
      <c r="K51" s="104">
        <f ca="1"/>
        <v>1643.6434848794333</v>
      </c>
      <c r="L51" s="104">
        <f ca="1"/>
        <v>1893.1637153503643</v>
      </c>
      <c r="M51" s="104">
        <f ca="1"/>
        <v>2099.8237136008911</v>
      </c>
      <c r="N51" s="58" t="s">
        <v>503</v>
      </c>
      <c r="Y51" s="124"/>
      <c r="Z51" s="124" t="s">
        <v>764</v>
      </c>
    </row>
    <row r="52" spans="1:39" s="4" customFormat="1" x14ac:dyDescent="0.25">
      <c r="A52" s="113" t="s">
        <v>763</v>
      </c>
      <c r="B52" s="115"/>
      <c r="C52" s="115">
        <f ca="1">PERM_SIB_CE_C_CH4_0 * (16/12)</f>
        <v>234.08219411333329</v>
      </c>
      <c r="D52" s="104">
        <f t="array" ref="D52:M52" ca="1" xml:space="preserve"> perm_sib_ce_c_ch4_b * (16/12)</f>
        <v>252.84362073510539</v>
      </c>
      <c r="E52" s="104">
        <f ca="1"/>
        <v>330.14317088095413</v>
      </c>
      <c r="F52" s="104">
        <f ca="1"/>
        <v>438.66981518226385</v>
      </c>
      <c r="G52" s="104">
        <f ca="1"/>
        <v>568.09166489123891</v>
      </c>
      <c r="H52" s="104">
        <f ca="1"/>
        <v>938.21704849652201</v>
      </c>
      <c r="I52" s="104">
        <f ca="1"/>
        <v>1289.4023753485064</v>
      </c>
      <c r="J52" s="104">
        <f ca="1"/>
        <v>1795.8299922343977</v>
      </c>
      <c r="K52" s="104">
        <f ca="1"/>
        <v>2191.5246465059108</v>
      </c>
      <c r="L52" s="104">
        <f ca="1"/>
        <v>2524.2182871338191</v>
      </c>
      <c r="M52" s="104">
        <f ca="1"/>
        <v>2799.7649514678546</v>
      </c>
      <c r="N52" s="3" t="s">
        <v>458</v>
      </c>
    </row>
    <row r="53" spans="1:39" s="4" customFormat="1" x14ac:dyDescent="0.25">
      <c r="A53"/>
      <c r="B53"/>
      <c r="C53"/>
    </row>
    <row r="54" spans="1:39" s="4" customFormat="1" x14ac:dyDescent="0.25">
      <c r="A54" s="3" t="s">
        <v>837</v>
      </c>
      <c r="B54"/>
      <c r="C54"/>
      <c r="D54"/>
      <c r="E54"/>
      <c r="F54"/>
      <c r="G54"/>
      <c r="H54" s="1"/>
      <c r="I54" s="1"/>
      <c r="J54" s="1"/>
      <c r="K54" s="1"/>
      <c r="L54" s="1"/>
      <c r="M54" s="1"/>
      <c r="N54"/>
    </row>
    <row r="55" spans="1:39" s="4" customFormat="1" ht="13" x14ac:dyDescent="0.3">
      <c r="A55" s="116" t="s">
        <v>511</v>
      </c>
      <c r="B55" s="116"/>
      <c r="C55" s="113">
        <f ca="1">PERM_JUL_TEMP_0</f>
        <v>1.8316914979517342</v>
      </c>
      <c r="D55" s="113">
        <f t="array" ref="D55:M55" ca="1" xml:space="preserve"> rt_g_b * PERM_JUL_AF</f>
        <v>2.1256348940919407</v>
      </c>
      <c r="E55" s="113">
        <f ca="1"/>
        <v>2.9332131723299146</v>
      </c>
      <c r="F55" s="113">
        <f ca="1"/>
        <v>3.4507302125888724</v>
      </c>
      <c r="G55" s="113">
        <f ca="1"/>
        <v>3.7731975318217783</v>
      </c>
      <c r="H55" s="113">
        <f ca="1"/>
        <v>4.0645385334209383</v>
      </c>
      <c r="I55" s="113">
        <f ca="1"/>
        <v>4.0004311021972327</v>
      </c>
      <c r="J55" s="113">
        <f ca="1"/>
        <v>3.4586156558404673</v>
      </c>
      <c r="K55" s="113">
        <f ca="1"/>
        <v>3.1325184258925849</v>
      </c>
      <c r="L55" s="113">
        <f ca="1"/>
        <v>2.9376695384439646</v>
      </c>
      <c r="M55" s="113">
        <f ca="1"/>
        <v>2.7401559573080623</v>
      </c>
      <c r="N55" s="4" t="s">
        <v>43</v>
      </c>
      <c r="Z55" s="124" t="s">
        <v>846</v>
      </c>
    </row>
    <row r="56" spans="1:39" s="4" customFormat="1" ht="13" x14ac:dyDescent="0.3">
      <c r="A56" s="103" t="s">
        <v>755</v>
      </c>
      <c r="B56" s="103" t="s">
        <v>841</v>
      </c>
      <c r="C56" s="113">
        <f ca="1">PERM_JUL_SENS_C_CO2_CORRECT_0</f>
        <v>1.2210729337170785</v>
      </c>
      <c r="D56" s="113">
        <f t="array" ref="D56:M56" ca="1" xml:space="preserve"> (perm_jul_temp_b/(0.5*PERM_JUL_LIMIT_T))^PERM_JUL_SENS_SLOPE_VS_T_CO2</f>
        <v>1.1991249987567696</v>
      </c>
      <c r="E56" s="113">
        <f ca="1"/>
        <v>1.1529766536472896</v>
      </c>
      <c r="F56" s="113">
        <f ca="1"/>
        <v>1.1303698304163128</v>
      </c>
      <c r="G56" s="113">
        <f ca="1"/>
        <v>1.1181298200338736</v>
      </c>
      <c r="H56" s="113">
        <f ca="1"/>
        <v>1.1080405725385434</v>
      </c>
      <c r="I56" s="113">
        <f ca="1"/>
        <v>1.1101894589400969</v>
      </c>
      <c r="J56" s="113">
        <f ca="1"/>
        <v>1.1300554382299814</v>
      </c>
      <c r="K56" s="113">
        <f ca="1"/>
        <v>1.1437764774924182</v>
      </c>
      <c r="L56" s="113">
        <f ca="1"/>
        <v>1.1527633589274133</v>
      </c>
      <c r="M56" s="113">
        <f ca="1"/>
        <v>1.1625830039725591</v>
      </c>
      <c r="N56" s="4" t="s">
        <v>509</v>
      </c>
      <c r="Z56" s="173" t="s">
        <v>851</v>
      </c>
    </row>
    <row r="57" spans="1:39" s="4" customFormat="1" ht="13" x14ac:dyDescent="0.3">
      <c r="A57" s="103" t="s">
        <v>754</v>
      </c>
      <c r="B57" s="103" t="s">
        <v>841</v>
      </c>
      <c r="C57" s="113">
        <f ca="1">PERM_JUL_LAG_C_CO2_CORRECT_0</f>
        <v>2.9255854348257828</v>
      </c>
      <c r="D57" s="113">
        <f t="array" ref="D57:M57" ca="1" xml:space="preserve"> (perm_jul_temp_b/(0.5*PERM_JUL_LIMIT_T))^PERM_JUL_LAG_SLOPE_VS_T_CO2</f>
        <v>2.6538430545787954</v>
      </c>
      <c r="E57" s="113">
        <f ca="1"/>
        <v>2.1491593872408314</v>
      </c>
      <c r="F57" s="113">
        <f ca="1"/>
        <v>1.9321737465398776</v>
      </c>
      <c r="G57" s="113">
        <f ca="1"/>
        <v>1.8223537646403849</v>
      </c>
      <c r="H57" s="113">
        <f ca="1"/>
        <v>1.7357001444924753</v>
      </c>
      <c r="I57" s="113">
        <f ca="1"/>
        <v>1.7538691703981377</v>
      </c>
      <c r="J57" s="113">
        <f ca="1"/>
        <v>1.9292871248054444</v>
      </c>
      <c r="K57" s="113">
        <f ca="1"/>
        <v>2.0585813814449856</v>
      </c>
      <c r="L57" s="113">
        <f ca="1"/>
        <v>2.1470233481023309</v>
      </c>
      <c r="M57" s="113">
        <f ca="1"/>
        <v>2.2471715732928135</v>
      </c>
      <c r="N57" s="4" t="s">
        <v>509</v>
      </c>
      <c r="Z57" s="173" t="s">
        <v>851</v>
      </c>
    </row>
    <row r="58" spans="1:39" s="4" customFormat="1" ht="13" x14ac:dyDescent="0.3">
      <c r="A58" s="103" t="s">
        <v>756</v>
      </c>
      <c r="B58" s="103" t="s">
        <v>839</v>
      </c>
      <c r="C58" s="113">
        <f ca="1">PERM_JUL_POW_C_CO2_CORRECT_0</f>
        <v>0.34775040297797954</v>
      </c>
      <c r="D58" s="113">
        <f t="array" ref="D58:M58" ca="1" xml:space="preserve"> IF(1 + PERM_JUL_POW_SLOPE_VS_T_CO2 * (perm_jul_temp_b - 0.5*PERM_JUL_LIMIT_T) /PERM_JUL_LIMIT_T &lt;= 0, 0.000001, 1 + PERM_JUL_POW_SLOPE_VS_T_CO2 * (perm_jul_temp_b - 0.5*PERM_JUL_LIMIT_T) /PERM_JUL_LIMIT_T)</f>
        <v>0.37297547177201162</v>
      </c>
      <c r="E58" s="113">
        <f ca="1"/>
        <v>0.44227867059401227</v>
      </c>
      <c r="F58" s="113">
        <f ca="1"/>
        <v>0.48668995220140499</v>
      </c>
      <c r="G58" s="113">
        <f ca="1"/>
        <v>0.51436283214458023</v>
      </c>
      <c r="H58" s="113">
        <f ca="1"/>
        <v>0.5393645736511512</v>
      </c>
      <c r="I58" s="113">
        <f ca="1"/>
        <v>0.53386312546738135</v>
      </c>
      <c r="J58" s="113">
        <f ca="1"/>
        <v>0.48736664999800394</v>
      </c>
      <c r="K58" s="113">
        <f ca="1"/>
        <v>0.45938226536139515</v>
      </c>
      <c r="L58" s="113">
        <f ca="1"/>
        <v>0.44266109844670232</v>
      </c>
      <c r="M58" s="113">
        <f ca="1"/>
        <v>0.42571125797628639</v>
      </c>
      <c r="N58" s="4" t="s">
        <v>509</v>
      </c>
      <c r="Z58" s="124" t="s">
        <v>849</v>
      </c>
    </row>
    <row r="59" spans="1:39" s="4" customFormat="1" ht="13" x14ac:dyDescent="0.3">
      <c r="A59" s="118" t="s">
        <v>757</v>
      </c>
      <c r="B59" s="116"/>
      <c r="C59" s="115"/>
      <c r="D59" s="115">
        <f t="array" ref="D59:M59" ca="1" xml:space="preserve"> IF((PERM_JUL_SENS_C_CO2 * perm_jul_sens_c_co2_correct_b) * perm_jul_temp_b &lt; PERM_JUL_LIMIT_C, (PERM_JUL_SENS_C_CO2 * perm_jul_sens_c_co2_correct_b) * perm_jul_temp_b, PERM_JUL_LIMIT_C)</f>
        <v>157694.90307182391</v>
      </c>
      <c r="E59" s="115">
        <f ca="1"/>
        <v>209232.27096391455</v>
      </c>
      <c r="F59" s="115">
        <f ca="1"/>
        <v>241321.54254852026</v>
      </c>
      <c r="G59" s="115">
        <f ca="1"/>
        <v>261015.50148639418</v>
      </c>
      <c r="H59" s="115">
        <f ca="1"/>
        <v>278632.28527052398</v>
      </c>
      <c r="I59" s="115">
        <f ca="1"/>
        <v>274769.43665225134</v>
      </c>
      <c r="J59" s="115">
        <f ca="1"/>
        <v>241805.72631226096</v>
      </c>
      <c r="K59" s="115">
        <f ca="1"/>
        <v>221666.12214074255</v>
      </c>
      <c r="L59" s="115">
        <f ca="1"/>
        <v>209511.38724606007</v>
      </c>
      <c r="M59" s="115">
        <f ca="1"/>
        <v>197089.63261990715</v>
      </c>
      <c r="N59" s="58" t="s">
        <v>503</v>
      </c>
      <c r="Z59" s="124" t="s">
        <v>846</v>
      </c>
    </row>
    <row r="60" spans="1:39" s="4" customFormat="1" ht="13" x14ac:dyDescent="0.3">
      <c r="A60" s="113" t="s">
        <v>758</v>
      </c>
      <c r="B60" s="116"/>
      <c r="C60" s="115"/>
      <c r="D60" s="115">
        <f ca="1" xml:space="preserve"> IF(perm_jul_equilib_c_co2_1_b &lt;  PERM_JUL_CE_C_CO2_0, PERM_JUL_CE_C_CO2_0, IF( ((perm_jul_equilib_c_co2_1_b - PERM_JUL_CE_C_CO2_0)/PERM_JUL_LIMIT_C)^(1-(1+PERM_JUL_POW_C_CO2)*perm_jul_pow_c_co2_correct_1_b) &lt; (1-(1+PERM_JUL_POW_C_CO2)*perm_jul_pow_c_co2_correct_1_b) * YP_1 / (PERM_JUL_LAG_C_CO2*perm_jul_lag_c_co2_correct_1_b), perm_jul_equilib_c_co2_1_b, ( perm_jul_equilib_c_co2_1_b - PERM_JUL_LIMIT_C * ( ( ((perm_jul_equilib_c_co2_1_b - PERM_JUL_CE_C_CO2_0)/PERM_JUL_LIMIT_C)^(1-(1+PERM_JUL_POW_C_CO2)*perm_jul_pow_c_co2_correct_1_b) - (1-(1+PERM_JUL_POW_C_CO2)*perm_jul_pow_c_co2_correct_1_b) * YP_1 / (PERM_JUL_LAG_C_CO2*perm_jul_lag_c_co2_correct_1_b) )^( 1/(1-(1+PERM_JUL_POW_C_CO2)*perm_jul_pow_c_co2_correct_1_b) ) ) ) ) )</f>
        <v>21065.953725082887</v>
      </c>
      <c r="E60" s="115">
        <f t="array" ref="E60:M60" ca="1" xml:space="preserve"> IF(perm_jul_equilib_c_co2_not_1_b &lt;  perm_jul_ce_c_co2_b, perm_jul_ce_c_co2_b, IF( ((perm_jul_equilib_c_co2_not_1_b - perm_jul_ce_c_co2_b)/PERM_JUL_LIMIT_C)^(1-(1+PERM_JUL_POW_C_CO2)*perm_jul_pow_c_co2_correct_not_1_b) &lt; (1-(1+PERM_JUL_POW_C_CO2)*perm_jul_pow_c_co2_correct_not_1_b) * YP_NOT_1 / (PERM_JUL_LAG_C_CO2*perm_jul_lag_c_co2_correct_not_1_b), perm_jul_equilib_c_co2_not_1_b, ( perm_jul_equilib_c_co2_not_1_b - PERM_JUL_LIMIT_C * ( ( ((perm_jul_equilib_c_co2_not_1_b - perm_jul_ce_c_co2_b)/PERM_JUL_LIMIT_C)^(1-(1+PERM_JUL_POW_C_CO2)*perm_jul_pow_c_co2_correct_not_1_b) - (1-(1+PERM_JUL_POW_C_CO2)*perm_jul_pow_c_co2_correct_not_1_b) * YP_NOT_1 / (PERM_JUL_LAG_C_CO2*perm_jul_lag_c_co2_correct_not_1_b) )^( 1/(1-(1+PERM_JUL_POW_C_CO2)*perm_jul_pow_c_co2_correct_not_1_b) ) ) ) ) )</f>
        <v>23672.753956165427</v>
      </c>
      <c r="F60" s="115">
        <f ca="1"/>
        <v>26614.482442953391</v>
      </c>
      <c r="G60" s="115">
        <f ca="1"/>
        <v>29752.586143583612</v>
      </c>
      <c r="H60" s="115">
        <f ca="1"/>
        <v>37966.614193400339</v>
      </c>
      <c r="I60" s="115">
        <f ca="1"/>
        <v>45855.563315305248</v>
      </c>
      <c r="J60" s="115">
        <f ca="1"/>
        <v>59239.284271107492</v>
      </c>
      <c r="K60" s="115">
        <f ca="1"/>
        <v>70918.636596013006</v>
      </c>
      <c r="L60" s="115">
        <f ca="1"/>
        <v>81403.320966644722</v>
      </c>
      <c r="M60" s="115">
        <f ca="1"/>
        <v>90730.207488201209</v>
      </c>
      <c r="N60" s="58" t="s">
        <v>503</v>
      </c>
      <c r="Z60" s="124" t="s">
        <v>852</v>
      </c>
    </row>
    <row r="61" spans="1:39" s="4" customFormat="1" ht="13" x14ac:dyDescent="0.3">
      <c r="A61" s="113" t="s">
        <v>759</v>
      </c>
      <c r="B61" s="115"/>
      <c r="C61" s="115"/>
      <c r="D61" s="115">
        <f t="array" ref="D61:M61" ca="1" xml:space="preserve"> perm_jul_ce_c_co2_b * (44/12)</f>
        <v>77241.830325303919</v>
      </c>
      <c r="E61" s="115">
        <f ca="1"/>
        <v>86800.097839273221</v>
      </c>
      <c r="F61" s="115">
        <f ca="1"/>
        <v>97586.435624162434</v>
      </c>
      <c r="G61" s="115">
        <f ca="1"/>
        <v>109092.81585980658</v>
      </c>
      <c r="H61" s="115">
        <f ca="1"/>
        <v>139210.91870913457</v>
      </c>
      <c r="I61" s="115">
        <f ca="1"/>
        <v>168137.06548945257</v>
      </c>
      <c r="J61" s="115">
        <f ca="1"/>
        <v>217210.70899406078</v>
      </c>
      <c r="K61" s="115">
        <f ca="1"/>
        <v>260035.00085204767</v>
      </c>
      <c r="L61" s="115">
        <f ca="1"/>
        <v>298478.84354436398</v>
      </c>
      <c r="M61" s="115">
        <f ca="1"/>
        <v>332677.42745673773</v>
      </c>
      <c r="N61" s="3" t="s">
        <v>457</v>
      </c>
      <c r="Z61" s="124" t="s">
        <v>846</v>
      </c>
    </row>
    <row r="62" spans="1:39" s="4" customFormat="1" ht="13" x14ac:dyDescent="0.3">
      <c r="A62" s="113" t="s">
        <v>612</v>
      </c>
      <c r="B62" s="115"/>
      <c r="C62" s="115"/>
      <c r="D62" s="115">
        <f t="array" ref="D62:M62" ca="1" xml:space="preserve"> (44/12) * (PERM_JUL_LIMIT_C / (PERM_JUL_LAG_C_CO2 * perm_jul_lag_c_co2_correct_b)) * ( IF(perm_jul_equilib_c_co2_b &gt; perm_jul_ce_c_co2_b, ((perm_jul_equilib_c_co2_b - perm_jul_ce_c_co2_b)/PERM_JUL_LIMIT_C)^((1 + PERM_JUL_POW_C_CO2)*perm_jul_pow_c_co2_correct_b), 0) )</f>
        <v>750.10881280941112</v>
      </c>
      <c r="E62" s="115">
        <f ca="1"/>
        <v>951.53324406941954</v>
      </c>
      <c r="F62" s="115">
        <f ca="1"/>
        <v>1073.4344228679331</v>
      </c>
      <c r="G62" s="115">
        <f ca="1"/>
        <v>1144.8331859944187</v>
      </c>
      <c r="H62" s="115">
        <f ca="1"/>
        <v>1188.8881399357542</v>
      </c>
      <c r="I62" s="115">
        <f ca="1"/>
        <v>1141.8468384305779</v>
      </c>
      <c r="J62" s="115">
        <f ca="1"/>
        <v>956.94377736207082</v>
      </c>
      <c r="K62" s="115">
        <f ca="1"/>
        <v>835.18878022139018</v>
      </c>
      <c r="L62" s="115">
        <f ca="1"/>
        <v>749.44803057715478</v>
      </c>
      <c r="M62" s="115">
        <f ca="1"/>
        <v>666.20338727696139</v>
      </c>
      <c r="N62" s="58" t="s">
        <v>591</v>
      </c>
      <c r="Z62" s="124" t="s">
        <v>846</v>
      </c>
    </row>
    <row r="63" spans="1:39" s="4" customFormat="1" x14ac:dyDescent="0.25">
      <c r="A63"/>
      <c r="B63"/>
      <c r="C63"/>
      <c r="D63"/>
      <c r="E63"/>
      <c r="F63"/>
      <c r="G63"/>
      <c r="H63" s="1"/>
      <c r="I63" s="1"/>
      <c r="J63" s="1"/>
      <c r="K63" s="1"/>
      <c r="L63" s="1"/>
      <c r="M63" s="1"/>
      <c r="N63"/>
    </row>
    <row r="64" spans="1:39" s="4" customFormat="1" x14ac:dyDescent="0.25">
      <c r="A64" s="113" t="s">
        <v>763</v>
      </c>
      <c r="B64" s="86"/>
      <c r="C64" s="86"/>
      <c r="D64" s="104">
        <f t="array" ref="D64:M64" ca="1" xml:space="preserve"> perm_jul_ce_c_co2_b * (PERM_JUL_CH4_CO2_C_RATIO/100) * (16/12)</f>
        <v>1717.9038853633031</v>
      </c>
      <c r="E64" s="104">
        <f ca="1"/>
        <v>1930.4853950250513</v>
      </c>
      <c r="F64" s="104">
        <f ca="1"/>
        <v>2170.3799121728653</v>
      </c>
      <c r="G64" s="104">
        <f ca="1"/>
        <v>2426.2885983087644</v>
      </c>
      <c r="H64" s="104">
        <f ca="1"/>
        <v>3096.1329777949722</v>
      </c>
      <c r="I64" s="104">
        <f ca="1"/>
        <v>3739.4675509558911</v>
      </c>
      <c r="J64" s="104">
        <f ca="1"/>
        <v>4830.894339917968</v>
      </c>
      <c r="K64" s="104">
        <f ca="1"/>
        <v>5783.3318606361609</v>
      </c>
      <c r="L64" s="104">
        <f ca="1"/>
        <v>6638.3456070904649</v>
      </c>
      <c r="M64" s="104">
        <f ca="1"/>
        <v>7398.942293232737</v>
      </c>
      <c r="N64" s="3" t="s">
        <v>458</v>
      </c>
      <c r="X64" s="1"/>
      <c r="AM64"/>
    </row>
    <row r="65" spans="1:26" s="4" customFormat="1" x14ac:dyDescent="0.25">
      <c r="A65"/>
      <c r="B65"/>
      <c r="C65"/>
      <c r="D65"/>
      <c r="E65"/>
      <c r="F65"/>
      <c r="G65"/>
      <c r="H65" s="1"/>
      <c r="I65" s="1"/>
      <c r="J65" s="1"/>
      <c r="K65" s="1"/>
      <c r="L65" s="1"/>
      <c r="M65" s="1"/>
      <c r="N65"/>
    </row>
    <row r="66" spans="1:26" s="4" customFormat="1" x14ac:dyDescent="0.25">
      <c r="A66" s="57" t="s">
        <v>908</v>
      </c>
      <c r="B66"/>
      <c r="C66"/>
      <c r="D66"/>
      <c r="E66"/>
      <c r="F66"/>
      <c r="G66"/>
      <c r="H66"/>
      <c r="I66"/>
      <c r="J66"/>
      <c r="K66"/>
      <c r="L66"/>
      <c r="M66"/>
      <c r="N66"/>
      <c r="Z66"/>
    </row>
    <row r="67" spans="1:26" s="4" customFormat="1" ht="13" x14ac:dyDescent="0.3">
      <c r="A67" s="113" t="s">
        <v>854</v>
      </c>
      <c r="B67" s="115" t="s">
        <v>853</v>
      </c>
      <c r="C67" s="115">
        <f ca="1" xml:space="preserve"> IF(switch_perm_b = 1, 1, 0) * 0.5 *(PERM_SIB_CE_CO2_0 + PERM_JUL_CE_CO2_0) * (1 + PERM_INITIAL_C_STOCK_UNCERTAINTY/100)</f>
        <v>0</v>
      </c>
      <c r="D67" s="115">
        <f t="array" ref="D67:M67" ca="1" xml:space="preserve"> IF(switch_perm_b = 1, 1, 0) * 0.5 *(perm_sib_ce_co2_b + perm_jul_ce_co2_b) * (1 + PERM_INITIAL_C_STOCK_UNCERTAINTY/100)</f>
        <v>0</v>
      </c>
      <c r="E67" s="115">
        <f ca="1"/>
        <v>0</v>
      </c>
      <c r="F67" s="115">
        <f ca="1"/>
        <v>0</v>
      </c>
      <c r="G67" s="115">
        <f ca="1"/>
        <v>0</v>
      </c>
      <c r="H67" s="115">
        <f ca="1"/>
        <v>0</v>
      </c>
      <c r="I67" s="115">
        <f ca="1"/>
        <v>0</v>
      </c>
      <c r="J67" s="115">
        <f ca="1"/>
        <v>0</v>
      </c>
      <c r="K67" s="115">
        <f ca="1"/>
        <v>0</v>
      </c>
      <c r="L67" s="115">
        <f ca="1"/>
        <v>0</v>
      </c>
      <c r="M67" s="115">
        <f ca="1"/>
        <v>0</v>
      </c>
      <c r="N67" s="3" t="s">
        <v>457</v>
      </c>
      <c r="Z67" s="124" t="s">
        <v>846</v>
      </c>
    </row>
    <row r="68" spans="1:26" s="4" customFormat="1" ht="13" x14ac:dyDescent="0.3">
      <c r="A68" s="113" t="s">
        <v>612</v>
      </c>
      <c r="B68" s="115" t="s">
        <v>853</v>
      </c>
      <c r="C68" s="115">
        <f ca="1" xml:space="preserve"> IF(switch_perm_b = 1, 1, 0) * 0.5 *(PERM_SIB_E_CO2_0 + PERM_JUL_E_CO2_0) * (1 + PERM_INITIAL_C_STOCK_UNCERTAINTY/100)</f>
        <v>0</v>
      </c>
      <c r="D68" s="115">
        <f t="array" ref="D68:M68" ca="1" xml:space="preserve"> IF(switch_perm_b = 1, 1, 0) * 0.5 *(perm_sib_e_co2_b + perm_jul_e_co2_b) * (1 + PERM_INITIAL_C_STOCK_UNCERTAINTY/100)</f>
        <v>0</v>
      </c>
      <c r="E68" s="115">
        <f ca="1"/>
        <v>0</v>
      </c>
      <c r="F68" s="115">
        <f ca="1"/>
        <v>0</v>
      </c>
      <c r="G68" s="115">
        <f ca="1"/>
        <v>0</v>
      </c>
      <c r="H68" s="115">
        <f ca="1"/>
        <v>0</v>
      </c>
      <c r="I68" s="115">
        <f ca="1"/>
        <v>0</v>
      </c>
      <c r="J68" s="115">
        <f ca="1"/>
        <v>0</v>
      </c>
      <c r="K68" s="115">
        <f ca="1"/>
        <v>0</v>
      </c>
      <c r="L68" s="115">
        <f ca="1"/>
        <v>0</v>
      </c>
      <c r="M68" s="115">
        <f ca="1"/>
        <v>0</v>
      </c>
      <c r="N68" s="58" t="s">
        <v>591</v>
      </c>
      <c r="Z68" s="124" t="s">
        <v>846</v>
      </c>
    </row>
    <row r="69" spans="1:26" s="4" customFormat="1" x14ac:dyDescent="0.25">
      <c r="A69"/>
      <c r="B69"/>
      <c r="C69"/>
      <c r="Z69"/>
    </row>
    <row r="70" spans="1:26" x14ac:dyDescent="0.25">
      <c r="A70" s="113" t="s">
        <v>874</v>
      </c>
      <c r="B70" s="115" t="s">
        <v>853</v>
      </c>
      <c r="C70" s="115">
        <f ca="1" xml:space="preserve"> IF(switch_perm_b = 1, 1, 0) * 0.5 *(PERM_SIB_CE_CH4_0 + PERM_JUL_CE_CH4_0) * (1 + PERM_INITIAL_C_STOCK_UNCERTAINTY/100)</f>
        <v>0</v>
      </c>
      <c r="D70" s="115">
        <f t="array" ref="D70:M70" ca="1" xml:space="preserve"> IF(switch_perm_b = 1, 1, 0) * 0.5 *(perm_sib_ce_ch4_b + perm_jul_ce_ch4_b) * (1 + PERM_INITIAL_C_STOCK_UNCERTAINTY/100)</f>
        <v>0</v>
      </c>
      <c r="E70" s="115">
        <f ca="1"/>
        <v>0</v>
      </c>
      <c r="F70" s="115">
        <f ca="1"/>
        <v>0</v>
      </c>
      <c r="G70" s="115">
        <f ca="1"/>
        <v>0</v>
      </c>
      <c r="H70" s="115">
        <f ca="1"/>
        <v>0</v>
      </c>
      <c r="I70" s="115">
        <f ca="1"/>
        <v>0</v>
      </c>
      <c r="J70" s="115">
        <f ca="1"/>
        <v>0</v>
      </c>
      <c r="K70" s="115">
        <f ca="1"/>
        <v>0</v>
      </c>
      <c r="L70" s="115">
        <f ca="1"/>
        <v>0</v>
      </c>
      <c r="M70" s="115">
        <f ca="1"/>
        <v>0</v>
      </c>
      <c r="N70" s="3" t="s">
        <v>458</v>
      </c>
      <c r="X70" s="1"/>
    </row>
    <row r="71" spans="1:26" s="4" customFormat="1" x14ac:dyDescent="0.25">
      <c r="A71"/>
      <c r="B71"/>
      <c r="C71"/>
      <c r="Z71"/>
    </row>
    <row r="72" spans="1:26" s="4" customFormat="1" x14ac:dyDescent="0.25">
      <c r="A72" s="57" t="s">
        <v>767</v>
      </c>
      <c r="B72"/>
      <c r="C72"/>
      <c r="Z72"/>
    </row>
    <row r="73" spans="1:26" s="4" customFormat="1" ht="13" x14ac:dyDescent="0.3">
      <c r="A73" s="86" t="s">
        <v>608</v>
      </c>
      <c r="B73" s="86"/>
      <c r="C73" s="115">
        <f ca="1">ANTHR_CE_CO2_0</f>
        <v>2035000</v>
      </c>
      <c r="D73" s="115">
        <f ca="1" xml:space="preserve"> ANTHR_CE_CO2_0 + 0.5*(E_CO2_G_0 + e_co2_g_b)*YP_1</f>
        <v>2212162.1827390832</v>
      </c>
      <c r="E73" s="115">
        <f t="array" ref="E73:M73" ca="1" xml:space="preserve"> anthr_ce_co2_b + 0.5*(e_co2_g_b + e_co2_g_not_1_b)*YP_NOT_1</f>
        <v>2559497.9510716554</v>
      </c>
      <c r="F73" s="115">
        <f ca="1"/>
        <v>2798944.5436511701</v>
      </c>
      <c r="G73" s="115">
        <f ca="1"/>
        <v>2950285.767112873</v>
      </c>
      <c r="H73" s="115">
        <f ca="1"/>
        <v>3106797.2785435189</v>
      </c>
      <c r="I73" s="115">
        <f ca="1"/>
        <v>3087422.9582000519</v>
      </c>
      <c r="J73" s="115">
        <f ca="1"/>
        <v>2984876.6104182173</v>
      </c>
      <c r="K73" s="115">
        <f ca="1"/>
        <v>2882330.2626363826</v>
      </c>
      <c r="L73" s="115">
        <f ca="1"/>
        <v>2779783.9148545479</v>
      </c>
      <c r="M73" s="115">
        <f ca="1"/>
        <v>2677237.5670727133</v>
      </c>
      <c r="N73" s="3" t="s">
        <v>457</v>
      </c>
      <c r="Z73" s="173" t="s">
        <v>633</v>
      </c>
    </row>
    <row r="74" spans="1:26" x14ac:dyDescent="0.25">
      <c r="Z74" s="4"/>
    </row>
    <row r="75" spans="1:26" s="4" customFormat="1" ht="13" x14ac:dyDescent="0.3">
      <c r="A75" s="86" t="s">
        <v>609</v>
      </c>
      <c r="B75" s="86"/>
      <c r="C75" s="115">
        <f ca="1" xml:space="preserve"> ANTHR_CE_CO2_0 + PERM_TOT_CE_CO2_0_b</f>
        <v>2035000</v>
      </c>
      <c r="D75" s="115">
        <f t="array" ref="D75:M75" ca="1" xml:space="preserve"> anthr_ce_co2_b + perm_tot_ce_co2_b</f>
        <v>2212162.1827390832</v>
      </c>
      <c r="E75" s="115">
        <f ca="1"/>
        <v>2559497.9510716554</v>
      </c>
      <c r="F75" s="115">
        <f ca="1"/>
        <v>2798944.5436511701</v>
      </c>
      <c r="G75" s="115">
        <f ca="1"/>
        <v>2950285.767112873</v>
      </c>
      <c r="H75" s="115">
        <f ca="1"/>
        <v>3106797.2785435189</v>
      </c>
      <c r="I75" s="115">
        <f ca="1"/>
        <v>3087422.9582000519</v>
      </c>
      <c r="J75" s="115">
        <f ca="1"/>
        <v>2984876.6104182173</v>
      </c>
      <c r="K75" s="115">
        <f ca="1"/>
        <v>2882330.2626363826</v>
      </c>
      <c r="L75" s="115">
        <f ca="1"/>
        <v>2779783.9148545479</v>
      </c>
      <c r="M75" s="115">
        <f ca="1"/>
        <v>2677237.5670727133</v>
      </c>
      <c r="N75" s="3" t="s">
        <v>457</v>
      </c>
      <c r="Z75" s="124" t="s">
        <v>846</v>
      </c>
    </row>
    <row r="76" spans="1:26" s="4" customFormat="1" ht="13" x14ac:dyDescent="0.3">
      <c r="A76" s="86" t="s">
        <v>613</v>
      </c>
      <c r="B76" s="86"/>
      <c r="C76" s="115">
        <f ca="1" xml:space="preserve"> E_CO2_G_0 + PERM_TOT_E_CO2_0_b</f>
        <v>41223.85968577856</v>
      </c>
      <c r="D76" s="115">
        <f t="array" ref="D76:M76" ca="1" xml:space="preserve"> e_co2_g_b + perm_tot_e_co2_b</f>
        <v>39826.140256659754</v>
      </c>
      <c r="E76" s="115">
        <f ca="1"/>
        <v>29641.013409854695</v>
      </c>
      <c r="F76" s="115">
        <f ca="1"/>
        <v>18248.305106048247</v>
      </c>
      <c r="G76" s="115">
        <f ca="1"/>
        <v>12019.939586292334</v>
      </c>
      <c r="H76" s="115">
        <f ca="1"/>
        <v>500.98132815934298</v>
      </c>
      <c r="I76" s="115">
        <f ca="1"/>
        <v>-2050.9269556366935</v>
      </c>
      <c r="J76" s="115">
        <f ca="1"/>
        <v>-2050.9269556366935</v>
      </c>
      <c r="K76" s="115">
        <f ca="1"/>
        <v>-2050.9269556366935</v>
      </c>
      <c r="L76" s="115">
        <f ca="1"/>
        <v>-2050.9269556366935</v>
      </c>
      <c r="M76" s="115">
        <f ca="1"/>
        <v>-2050.9269556366935</v>
      </c>
      <c r="N76" s="4" t="s">
        <v>572</v>
      </c>
      <c r="Z76" s="124" t="s">
        <v>880</v>
      </c>
    </row>
    <row r="77" spans="1:26" s="4" customFormat="1" x14ac:dyDescent="0.25">
      <c r="A77"/>
      <c r="B77"/>
      <c r="C77"/>
      <c r="N77"/>
    </row>
    <row r="78" spans="1:26" s="4" customFormat="1" ht="13" x14ac:dyDescent="0.3">
      <c r="A78" s="86" t="s">
        <v>617</v>
      </c>
      <c r="B78" s="86"/>
      <c r="C78" s="115">
        <f ca="1" xml:space="preserve"> CORRECT_RE_CO2_0_b * TOTAL_E_CO2_0_b * TIME_CO2_HIST_b * (PERCENT_CO2_STAY/100)</f>
        <v>397693.71024731768</v>
      </c>
      <c r="D78" s="115">
        <f t="array" aca="1" ref="D78:M78" ca="1" xml:space="preserve"> CORRECT_RE_CO2_0_b * TOTAL_E_CO2_0_b * TIME_CO2_HIST_b * (PERCENT_CO2_STAY/100)</f>
        <v>397693.71024731768</v>
      </c>
      <c r="E78" s="115">
        <f ca="1"/>
        <v>397693.71024731768</v>
      </c>
      <c r="F78" s="115">
        <f ca="1"/>
        <v>397693.71024731768</v>
      </c>
      <c r="G78" s="115">
        <f ca="1"/>
        <v>397693.71024731768</v>
      </c>
      <c r="H78" s="115">
        <f ca="1"/>
        <v>397693.71024731768</v>
      </c>
      <c r="I78" s="115">
        <f ca="1"/>
        <v>397693.71024731768</v>
      </c>
      <c r="J78" s="115">
        <f ca="1"/>
        <v>397693.71024731768</v>
      </c>
      <c r="K78" s="115">
        <f ca="1"/>
        <v>397693.71024731768</v>
      </c>
      <c r="L78" s="115">
        <f ca="1"/>
        <v>397693.71024731768</v>
      </c>
      <c r="M78" s="115">
        <f ca="1"/>
        <v>397693.71024731768</v>
      </c>
      <c r="N78" s="3" t="s">
        <v>457</v>
      </c>
      <c r="Z78" s="173" t="s">
        <v>634</v>
      </c>
    </row>
    <row r="79" spans="1:26" s="4" customFormat="1" ht="13" x14ac:dyDescent="0.3">
      <c r="A79" s="86" t="s">
        <v>625</v>
      </c>
      <c r="B79" s="86"/>
      <c r="C79" s="115">
        <f ca="1" xml:space="preserve"> CORRECT_RE_CO2_0_b * TOTAL_E_CO2_0_b * (TIME_CO2_HIST_b / (1 + TIME_CO2_HIST_b/TIME_CO2_OCEAN_LONG)) * (PERCENT_CO2_OCEAN_LONG/100)</f>
        <v>336928.08770417131</v>
      </c>
      <c r="D79" s="115">
        <f t="array" aca="1" ref="D79:M79" ca="1" xml:space="preserve"> CORRECT_RE_CO2_0_b * TOTAL_E_CO2_0_b * (TIME_CO2_HIST_b / (1 + TIME_CO2_HIST_b/TIME_CO2_OCEAN_LONG)) * (PERCENT_CO2_OCEAN_LONG/100)* EXP(-(Y-Y_0)/TIME_CO2_OCEAN_LONG)</f>
        <v>331580.85007356777</v>
      </c>
      <c r="E79" s="115">
        <f ca="1"/>
        <v>321139.61895494908</v>
      </c>
      <c r="F79" s="115">
        <f ca="1"/>
        <v>311027.17433666118</v>
      </c>
      <c r="G79" s="115">
        <f ca="1"/>
        <v>301233.1629795534</v>
      </c>
      <c r="H79" s="115">
        <f ca="1"/>
        <v>278076.25103754591</v>
      </c>
      <c r="I79" s="115">
        <f ca="1"/>
        <v>256699.49691543391</v>
      </c>
      <c r="J79" s="115">
        <f ca="1"/>
        <v>218749.59272365886</v>
      </c>
      <c r="K79" s="115">
        <f ca="1"/>
        <v>186410.12114071497</v>
      </c>
      <c r="L79" s="115">
        <f ca="1"/>
        <v>158851.64781812089</v>
      </c>
      <c r="M79" s="115">
        <f ca="1"/>
        <v>135367.36020617728</v>
      </c>
      <c r="N79" s="3" t="s">
        <v>457</v>
      </c>
      <c r="Z79" s="173" t="s">
        <v>634</v>
      </c>
    </row>
    <row r="80" spans="1:26" s="4" customFormat="1" ht="13" x14ac:dyDescent="0.3">
      <c r="A80" s="86" t="s">
        <v>623</v>
      </c>
      <c r="B80" s="86"/>
      <c r="C80" s="115">
        <f ca="1" xml:space="preserve"> CORRECT_RE_CO2_0_b * TOTAL_E_CO2_0_b * (TIME_CO2_HIST_b / (1 + TIME_CO2_HIST_b/TIME_CO2_OCEAN_SHORT)) * (PERCENT_CO2_OCEAN_SHORT/100)</f>
        <v>187323.97297624414</v>
      </c>
      <c r="D80" s="115">
        <f t="array" aca="1" ref="D80:M80" ca="1" xml:space="preserve"> CORRECT_RE_CO2_0_b * TOTAL_E_CO2_0_b * (TIME_CO2_HIST_b / (1 + TIME_CO2_HIST_b/TIME_CO2_OCEAN_SHORT)) * (PERCENT_CO2_OCEAN_SHORT/100) * EXP(-(Y-Y_0)/TIME_CO2_OCEAN_SHORT)</f>
        <v>162302.85150065299</v>
      </c>
      <c r="E80" s="115">
        <f ca="1"/>
        <v>121840.51601244428</v>
      </c>
      <c r="F80" s="115">
        <f ca="1"/>
        <v>91465.499249832719</v>
      </c>
      <c r="G80" s="115">
        <f ca="1"/>
        <v>68663.018073287618</v>
      </c>
      <c r="H80" s="115">
        <f ca="1"/>
        <v>33526.393489796355</v>
      </c>
      <c r="I80" s="115">
        <f ca="1"/>
        <v>16370.079439749288</v>
      </c>
      <c r="J80" s="115">
        <f ca="1"/>
        <v>3902.8214661009188</v>
      </c>
      <c r="K80" s="115">
        <f ca="1"/>
        <v>930.47901522531731</v>
      </c>
      <c r="L80" s="115">
        <f ca="1"/>
        <v>221.83725422614262</v>
      </c>
      <c r="M80" s="115">
        <f ca="1"/>
        <v>52.888637526852243</v>
      </c>
      <c r="N80" s="3" t="s">
        <v>457</v>
      </c>
      <c r="Z80" s="173" t="s">
        <v>634</v>
      </c>
    </row>
    <row r="81" spans="1:26" s="4" customFormat="1" ht="13" x14ac:dyDescent="0.3">
      <c r="A81" s="86" t="s">
        <v>614</v>
      </c>
      <c r="B81" s="86"/>
      <c r="C81" s="115">
        <f ca="1" xml:space="preserve"> CORRECT_RE_CO2_0_b * TOTAL_E_CO2_0_b * (TIME_CO2_HIST_b / (1 + TIME_CO2_HIST_b/TIME_CO2_LAND)) * (PERCENT_CO2_LAND/100)</f>
        <v>36358.979072267182</v>
      </c>
      <c r="D81" s="115">
        <f t="array" aca="1" ref="D81:M81" ca="1" xml:space="preserve"> CORRECT_RE_CO2_0_b * TOTAL_E_CO2_0_b * (TIME_CO2_HIST_b / (1 + TIME_CO2_HIST_b/TIME_CO2_LAND)) * (PERCENT_CO2_LAND/100) * EXP(-(Y-Y_0)/TIME_CO2_LAND)</f>
        <v>11235.727519527551</v>
      </c>
      <c r="E81" s="115">
        <f ca="1"/>
        <v>1072.9518555818854</v>
      </c>
      <c r="F81" s="115">
        <f ca="1"/>
        <v>102.46116082788545</v>
      </c>
      <c r="G81" s="115">
        <f ca="1"/>
        <v>9.784492587977633</v>
      </c>
      <c r="H81" s="115">
        <f ca="1"/>
        <v>2.7573119329984446E-2</v>
      </c>
      <c r="I81" s="115">
        <f ca="1"/>
        <v>7.7702231643542424E-5</v>
      </c>
      <c r="J81" s="115">
        <f ca="1"/>
        <v>6.1706181982346712E-10</v>
      </c>
      <c r="K81" s="115">
        <f ca="1"/>
        <v>4.9003134328316867E-15</v>
      </c>
      <c r="L81" s="115">
        <f ca="1"/>
        <v>3.8915179919672367E-20</v>
      </c>
      <c r="M81" s="115">
        <f ca="1"/>
        <v>3.0903966632709199E-25</v>
      </c>
      <c r="N81" s="3" t="s">
        <v>457</v>
      </c>
      <c r="Z81" s="173" t="s">
        <v>634</v>
      </c>
    </row>
    <row r="82" spans="1:26" s="4" customFormat="1" ht="13" x14ac:dyDescent="0.3">
      <c r="A82" s="86" t="s">
        <v>615</v>
      </c>
      <c r="B82" s="86"/>
      <c r="C82" s="208">
        <v>0</v>
      </c>
      <c r="D82" s="115">
        <f ca="1" xml:space="preserve"> 0.5*(TOTAL_E_CO2_0_b + total_e_co2_1_b) * YP_1 * (PERCENT_CO2_STAY/100)</f>
        <v>47450.766407807147</v>
      </c>
      <c r="E82" s="115">
        <f t="array" ref="E82:M82" ca="1" xml:space="preserve"> asymp_comp_co2_proj_b + 0.5*(total_e_co2_b + total_e_co2_not_1_b) * YP_NOT_1 * (PERCENT_CO2_STAY/100)</f>
        <v>128789.93195959076</v>
      </c>
      <c r="F82" s="115">
        <f ca="1"/>
        <v>184863.58693654402</v>
      </c>
      <c r="G82" s="115">
        <f ca="1"/>
        <v>220304.70746684942</v>
      </c>
      <c r="H82" s="115">
        <f ca="1"/>
        <v>256956.60715495693</v>
      </c>
      <c r="I82" s="115">
        <f ca="1"/>
        <v>252419.52461538493</v>
      </c>
      <c r="J82" s="115">
        <f ca="1"/>
        <v>228405.1986535078</v>
      </c>
      <c r="K82" s="115">
        <f ca="1"/>
        <v>204390.87269163068</v>
      </c>
      <c r="L82" s="115">
        <f ca="1"/>
        <v>180376.54672975355</v>
      </c>
      <c r="M82" s="115">
        <f ca="1"/>
        <v>156362.22076787642</v>
      </c>
      <c r="N82" s="3" t="s">
        <v>457</v>
      </c>
      <c r="Z82" s="173" t="s">
        <v>635</v>
      </c>
    </row>
    <row r="83" spans="1:26" s="4" customFormat="1" ht="13" x14ac:dyDescent="0.3">
      <c r="A83" s="86" t="s">
        <v>626</v>
      </c>
      <c r="B83" s="86"/>
      <c r="C83" s="208">
        <v>0</v>
      </c>
      <c r="D83" s="115">
        <f ca="1" xml:space="preserve"> 0.5 * (TOTAL_E_CO2_0_b + total_e_co2_1_b) * TIME_CO2_OCEAN_LONG * (1 - EXP(-YP_1/TIME_CO2_OCEAN_LONG)) * (PERCENT_CO2_OCEAN_LONG/100)</f>
        <v>46179.645190602758</v>
      </c>
      <c r="E83" s="115">
        <f t="array" ref="E83:M83" ca="1" xml:space="preserve"> ocean_long_comp_co2_proj_b * EXP(-YP_NOT_1/TIME_CO2_OCEAN_LONG) + 0.5*(total_e_co2_b + total_e_co2_not_1_b) * TIME_CO2_OCEAN_LONG * (1 - EXP(-YP_NOT_1/TIME_CO2_OCEAN_LONG)) * (PERCENT_CO2_OCEAN_LONG/100)</f>
        <v>123257.55900453706</v>
      </c>
      <c r="F83" s="115">
        <f ca="1"/>
        <v>173514.7728535104</v>
      </c>
      <c r="G83" s="115">
        <f ca="1"/>
        <v>202268.93822522773</v>
      </c>
      <c r="H83" s="115">
        <f ca="1"/>
        <v>221275.45349026189</v>
      </c>
      <c r="I83" s="115">
        <f ca="1"/>
        <v>199987.59293961251</v>
      </c>
      <c r="J83" s="115">
        <f ca="1"/>
        <v>148651.21704322766</v>
      </c>
      <c r="K83" s="115">
        <f ca="1"/>
        <v>104904.30108046537</v>
      </c>
      <c r="L83" s="115">
        <f ca="1"/>
        <v>67624.835539000123</v>
      </c>
      <c r="M83" s="115">
        <f ca="1"/>
        <v>35856.686391291791</v>
      </c>
      <c r="N83" s="3" t="s">
        <v>457</v>
      </c>
      <c r="Z83" s="173" t="s">
        <v>635</v>
      </c>
    </row>
    <row r="84" spans="1:26" s="4" customFormat="1" ht="13" x14ac:dyDescent="0.3">
      <c r="A84" s="86" t="s">
        <v>624</v>
      </c>
      <c r="B84" s="86"/>
      <c r="C84" s="208">
        <v>0</v>
      </c>
      <c r="D84" s="115">
        <f ca="1" xml:space="preserve"> 0.5 * (TOTAL_E_CO2_0_b + total_e_co2_1_b) * TIME_CO2_OCEAN_SHORT * (1 - EXP(-YP_1/TIME_CO2_OCEAN_SHORT)) * (PERCENT_CO2_OCEAN_SHORT/100)</f>
        <v>50296.719542092629</v>
      </c>
      <c r="E84" s="115">
        <f t="array" ref="E84:M84" ca="1" xml:space="preserve"> ocean_short_comp_co2_proj_b * EXP(-YP_NOT_1/TIME_CO2_OCEAN_SHORT) + 0.5*(total_e_co2_b + total_e_co2_not_1_b) * TIME_CO2_OCEAN_SHORT * (1 - EXP(-YP_NOT_1/TIME_CO2_OCEAN_SHORT)) * (PERCENT_CO2_OCEAN_SHORT/100)</f>
        <v>118217.21210173835</v>
      </c>
      <c r="F84" s="115">
        <f ca="1"/>
        <v>144212.74653461497</v>
      </c>
      <c r="G84" s="115">
        <f ca="1"/>
        <v>143318.14912666663</v>
      </c>
      <c r="H84" s="115">
        <f ca="1"/>
        <v>99746.376361614792</v>
      </c>
      <c r="I84" s="115">
        <f ca="1"/>
        <v>45018.691754689724</v>
      </c>
      <c r="J84" s="115">
        <f ca="1"/>
        <v>-3780.5564094762649</v>
      </c>
      <c r="K84" s="115">
        <f ca="1"/>
        <v>-15414.877059273294</v>
      </c>
      <c r="L84" s="115">
        <f ca="1"/>
        <v>-18188.63735424621</v>
      </c>
      <c r="M84" s="115">
        <f ca="1"/>
        <v>-18849.934769502033</v>
      </c>
      <c r="N84" s="3" t="s">
        <v>457</v>
      </c>
      <c r="Z84" s="173" t="s">
        <v>635</v>
      </c>
    </row>
    <row r="85" spans="1:26" s="4" customFormat="1" ht="13" x14ac:dyDescent="0.3">
      <c r="A85" s="118" t="s">
        <v>616</v>
      </c>
      <c r="B85" s="116"/>
      <c r="C85" s="208">
        <v>0</v>
      </c>
      <c r="D85" s="115">
        <f ca="1" xml:space="preserve"> 0.5 * (TOTAL_E_CO2_0_b + total_e_co2_1_b) * TIME_CO2_LAND * (1 - EXP(-YP_1/TIME_CO2_LAND)) * (PERCENT_CO2_LAND/100)</f>
        <v>32147.405686809263</v>
      </c>
      <c r="E85" s="115">
        <f t="array" ref="E85:M85" ca="1" xml:space="preserve"> land_comp_co2_proj_b * EXP(-YP_NOT_1/TIME_CO2_LAND) + 0.5*(total_e_co2_b + total_e_co2_not_1_b) * TIME_CO2_LAND * (1 - EXP(-YP_NOT_1/TIME_CO2_LAND)) * (PERCENT_CO2_LAND/100)</f>
        <v>39137.683419862034</v>
      </c>
      <c r="F85" s="115">
        <f ca="1"/>
        <v>28601.871336131775</v>
      </c>
      <c r="G85" s="115">
        <f ca="1"/>
        <v>18446.786545241594</v>
      </c>
      <c r="H85" s="115">
        <f ca="1"/>
        <v>7219.0172540565354</v>
      </c>
      <c r="I85" s="115">
        <f ca="1"/>
        <v>-866.85259260278679</v>
      </c>
      <c r="J85" s="115">
        <f ca="1"/>
        <v>-2354.5436978145863</v>
      </c>
      <c r="K85" s="115">
        <f ca="1"/>
        <v>-2354.5555121133689</v>
      </c>
      <c r="L85" s="115">
        <f ca="1"/>
        <v>-2354.5555122071905</v>
      </c>
      <c r="M85" s="115">
        <f ca="1"/>
        <v>-2354.555512207191</v>
      </c>
      <c r="N85" s="3" t="s">
        <v>457</v>
      </c>
      <c r="Z85" s="173" t="s">
        <v>635</v>
      </c>
    </row>
    <row r="86" spans="1:26" s="4" customFormat="1" x14ac:dyDescent="0.25">
      <c r="A86" s="58"/>
      <c r="D86" s="1"/>
      <c r="E86" s="1"/>
      <c r="F86" s="1"/>
      <c r="G86" s="1"/>
      <c r="H86" s="1"/>
      <c r="I86" s="1"/>
      <c r="J86" s="1"/>
      <c r="K86" s="1"/>
      <c r="L86" s="1"/>
      <c r="M86" s="1"/>
    </row>
    <row r="87" spans="1:26" s="4" customFormat="1" x14ac:dyDescent="0.25">
      <c r="A87" s="58" t="s">
        <v>167</v>
      </c>
      <c r="C87" s="104">
        <f ca="1">RE_CO2_NO_CCF_0</f>
        <v>958304.75000000023</v>
      </c>
      <c r="D87" s="104">
        <f ca="1">SUM(D78:D85)</f>
        <v>1078887.6761683777</v>
      </c>
      <c r="E87" s="104">
        <f t="shared" ref="E87:M87" ca="1" si="0">SUM(E78:E85)</f>
        <v>1251149.1835560212</v>
      </c>
      <c r="F87" s="104">
        <f t="shared" ca="1" si="0"/>
        <v>1331481.8226554408</v>
      </c>
      <c r="G87" s="104">
        <f t="shared" ca="1" si="0"/>
        <v>1351938.2571567318</v>
      </c>
      <c r="H87" s="104">
        <f t="shared" ca="1" si="0"/>
        <v>1294493.8366086695</v>
      </c>
      <c r="I87" s="104">
        <f t="shared" ca="1" si="0"/>
        <v>1167322.2433972873</v>
      </c>
      <c r="J87" s="104">
        <f t="shared" ca="1" si="0"/>
        <v>991267.44002652273</v>
      </c>
      <c r="K87" s="104">
        <f t="shared" ca="1" si="0"/>
        <v>876560.05160396732</v>
      </c>
      <c r="L87" s="104">
        <f t="shared" ca="1" si="0"/>
        <v>784225.38472196483</v>
      </c>
      <c r="M87" s="104">
        <f t="shared" ca="1" si="0"/>
        <v>704128.37596848083</v>
      </c>
      <c r="N87" s="4" t="str">
        <f>'Base data'!$F$35</f>
        <v>Mtonne</v>
      </c>
    </row>
    <row r="88" spans="1:26" s="4" customFormat="1" x14ac:dyDescent="0.25">
      <c r="A88" s="58" t="s">
        <v>166</v>
      </c>
      <c r="C88" s="1"/>
      <c r="D88" s="28">
        <f t="array" ref="D88:M88" ca="1">PIC_CO2+EXC_CO2*(re_co2_no_ccff_b/RE_CO2_0)</f>
        <v>416318.93284209969</v>
      </c>
      <c r="E88" s="28">
        <f ca="1"/>
        <v>438403.74148154119</v>
      </c>
      <c r="F88" s="28">
        <f ca="1"/>
        <v>448702.79777633859</v>
      </c>
      <c r="G88" s="28">
        <f ca="1"/>
        <v>451325.41758419643</v>
      </c>
      <c r="H88" s="28">
        <f ca="1"/>
        <v>443960.74828316271</v>
      </c>
      <c r="I88" s="28">
        <f ca="1"/>
        <v>427656.69787144708</v>
      </c>
      <c r="J88" s="28">
        <f ca="1"/>
        <v>405085.56923416961</v>
      </c>
      <c r="K88" s="28">
        <f ca="1"/>
        <v>390379.49379538046</v>
      </c>
      <c r="L88" s="28">
        <f ca="1"/>
        <v>378541.71598999551</v>
      </c>
      <c r="M88" s="28">
        <f ca="1"/>
        <v>368272.86871390778</v>
      </c>
      <c r="N88" s="4" t="str">
        <f>'Base data'!$F$13</f>
        <v>ppb</v>
      </c>
    </row>
    <row r="89" spans="1:26" s="4" customFormat="1" x14ac:dyDescent="0.25">
      <c r="A89" s="58" t="s">
        <v>420</v>
      </c>
      <c r="B89" s="58" t="s">
        <v>421</v>
      </c>
      <c r="C89" s="51"/>
      <c r="D89" s="26">
        <f t="array" ref="D89:M89" ca="1">IF(CCF*(rt_g_b)&lt;CCFFMAX,CCF*(rt_g_b),CCFFMAX)</f>
        <v>0</v>
      </c>
      <c r="E89" s="26">
        <f ca="1"/>
        <v>0</v>
      </c>
      <c r="F89" s="26">
        <f ca="1"/>
        <v>0</v>
      </c>
      <c r="G89" s="26">
        <f ca="1"/>
        <v>0</v>
      </c>
      <c r="H89" s="26">
        <f ca="1"/>
        <v>0</v>
      </c>
      <c r="I89" s="26">
        <f ca="1"/>
        <v>0</v>
      </c>
      <c r="J89" s="26">
        <f ca="1"/>
        <v>0</v>
      </c>
      <c r="K89" s="26">
        <f ca="1"/>
        <v>0</v>
      </c>
      <c r="L89" s="26">
        <f ca="1"/>
        <v>0</v>
      </c>
      <c r="M89" s="26">
        <f ca="1"/>
        <v>0</v>
      </c>
      <c r="N89" s="58" t="s">
        <v>40</v>
      </c>
    </row>
    <row r="90" spans="1:26" s="4" customFormat="1" x14ac:dyDescent="0.25">
      <c r="A90" s="58" t="s">
        <v>164</v>
      </c>
      <c r="B90" s="58" t="s">
        <v>165</v>
      </c>
      <c r="C90" s="51"/>
      <c r="D90" s="28">
        <f t="array" ref="D90:M90" ca="1">(c_co2_no_ccff_b-PIC_CO2)*gain_b/100</f>
        <v>0</v>
      </c>
      <c r="E90" s="28">
        <f ca="1"/>
        <v>0</v>
      </c>
      <c r="F90" s="28">
        <f ca="1"/>
        <v>0</v>
      </c>
      <c r="G90" s="28">
        <f ca="1"/>
        <v>0</v>
      </c>
      <c r="H90" s="28">
        <f ca="1"/>
        <v>0</v>
      </c>
      <c r="I90" s="28">
        <f ca="1"/>
        <v>0</v>
      </c>
      <c r="J90" s="28">
        <f ca="1"/>
        <v>0</v>
      </c>
      <c r="K90" s="28">
        <f ca="1"/>
        <v>0</v>
      </c>
      <c r="L90" s="28">
        <f ca="1"/>
        <v>0</v>
      </c>
      <c r="M90" s="28">
        <f ca="1"/>
        <v>0</v>
      </c>
      <c r="N90" s="4" t="s">
        <v>50</v>
      </c>
    </row>
    <row r="91" spans="1:26" s="4" customFormat="1" ht="15.5" x14ac:dyDescent="0.4">
      <c r="A91" s="58" t="s">
        <v>64</v>
      </c>
      <c r="B91" s="4" t="s">
        <v>65</v>
      </c>
      <c r="C91" s="28">
        <f>C_CO2_0</f>
        <v>400859.58333333337</v>
      </c>
      <c r="D91" s="28">
        <f t="array" ref="D91:M91" ca="1">c_co2_no_ccff_b+ccff_b</f>
        <v>416318.93284209969</v>
      </c>
      <c r="E91" s="28">
        <f ca="1"/>
        <v>438403.74148154119</v>
      </c>
      <c r="F91" s="28">
        <f ca="1"/>
        <v>448702.79777633859</v>
      </c>
      <c r="G91" s="28">
        <f ca="1"/>
        <v>451325.41758419643</v>
      </c>
      <c r="H91" s="28">
        <f ca="1"/>
        <v>443960.74828316271</v>
      </c>
      <c r="I91" s="28">
        <f ca="1"/>
        <v>427656.69787144708</v>
      </c>
      <c r="J91" s="28">
        <f ca="1"/>
        <v>405085.56923416961</v>
      </c>
      <c r="K91" s="28">
        <f ca="1"/>
        <v>390379.49379538046</v>
      </c>
      <c r="L91" s="28">
        <f ca="1"/>
        <v>378541.71598999551</v>
      </c>
      <c r="M91" s="28">
        <f ca="1"/>
        <v>368272.86871390778</v>
      </c>
      <c r="N91" s="4" t="str">
        <f>'Base data'!$F$13</f>
        <v>ppb</v>
      </c>
      <c r="Y91" s="4" t="str">
        <f>'Base data'!$F$13</f>
        <v>ppb</v>
      </c>
    </row>
    <row r="92" spans="1:26" s="4" customFormat="1" ht="16" thickBot="1" x14ac:dyDescent="0.45">
      <c r="A92" s="6" t="s">
        <v>66</v>
      </c>
      <c r="B92" s="6" t="s">
        <v>67</v>
      </c>
      <c r="C92" s="35">
        <f>F_CO2_0</f>
        <v>1.68</v>
      </c>
      <c r="D92" s="35">
        <f t="array" ref="D92:M92" ca="1">F_CO2_0+FSLOPE_CO2*LN(c_co2_b/C_CO2_0)</f>
        <v>1.8881223775191356</v>
      </c>
      <c r="E92" s="35">
        <f ca="1"/>
        <v>2.172409886461355</v>
      </c>
      <c r="F92" s="35">
        <f ca="1"/>
        <v>2.3001225168781998</v>
      </c>
      <c r="G92" s="35">
        <f ca="1"/>
        <v>2.3321758448141336</v>
      </c>
      <c r="H92" s="35">
        <f ca="1"/>
        <v>2.241687247129958</v>
      </c>
      <c r="I92" s="35">
        <f ca="1"/>
        <v>2.0359026141617407</v>
      </c>
      <c r="J92" s="35">
        <f ca="1"/>
        <v>1.7376791991396148</v>
      </c>
      <c r="K92" s="35">
        <f ca="1"/>
        <v>1.5342947000812324</v>
      </c>
      <c r="L92" s="35">
        <f ca="1"/>
        <v>1.3649329457617267</v>
      </c>
      <c r="M92" s="35">
        <f ca="1"/>
        <v>1.2136712510569834</v>
      </c>
      <c r="N92" s="6" t="str">
        <f>'Base data'!$F$21</f>
        <v>W/m2</v>
      </c>
      <c r="O92" s="6"/>
      <c r="P92" s="6"/>
      <c r="Q92" s="6"/>
      <c r="R92" s="6"/>
      <c r="S92" s="6"/>
      <c r="T92" s="6"/>
      <c r="U92" s="6"/>
      <c r="V92" s="6"/>
      <c r="W92" s="6"/>
      <c r="X92" s="6"/>
    </row>
    <row r="93" spans="1:26" s="4" customFormat="1" ht="13" thickTop="1" x14ac:dyDescent="0.25">
      <c r="A93" s="6"/>
      <c r="B93" s="6"/>
      <c r="C93" s="6"/>
      <c r="D93" s="6"/>
      <c r="E93" s="6"/>
      <c r="F93" s="6"/>
      <c r="G93" s="6"/>
      <c r="H93" s="6"/>
      <c r="I93" s="6"/>
      <c r="J93" s="6"/>
      <c r="K93" s="6"/>
      <c r="L93" s="6"/>
      <c r="M93" s="6"/>
      <c r="N93" s="6"/>
      <c r="O93" s="6"/>
      <c r="P93" s="6"/>
      <c r="Q93" s="6"/>
      <c r="R93" s="6"/>
      <c r="S93" s="6"/>
      <c r="T93" s="6"/>
      <c r="U93" s="6"/>
      <c r="V93" s="6"/>
      <c r="W93" s="6"/>
      <c r="X93" s="6"/>
    </row>
    <row r="94" spans="1:26" s="6" customFormat="1" ht="15.5" x14ac:dyDescent="0.4">
      <c r="A94" s="4" t="s">
        <v>63</v>
      </c>
      <c r="B94" s="58" t="s">
        <v>172</v>
      </c>
      <c r="C94" s="27">
        <f ca="1">STIM_CH4*RT_G_0</f>
        <v>0</v>
      </c>
      <c r="D94" s="27">
        <f t="array" ref="D94:M94" ca="1">STIM_CH4*rt_g_b</f>
        <v>0</v>
      </c>
      <c r="E94" s="27">
        <f ca="1"/>
        <v>0</v>
      </c>
      <c r="F94" s="27">
        <f ca="1"/>
        <v>0</v>
      </c>
      <c r="G94" s="27">
        <f ca="1"/>
        <v>0</v>
      </c>
      <c r="H94" s="27">
        <f ca="1"/>
        <v>0</v>
      </c>
      <c r="I94" s="27">
        <f ca="1"/>
        <v>0</v>
      </c>
      <c r="J94" s="27">
        <f ca="1"/>
        <v>0</v>
      </c>
      <c r="K94" s="27">
        <f ca="1"/>
        <v>0</v>
      </c>
      <c r="L94" s="27">
        <f ca="1"/>
        <v>0</v>
      </c>
      <c r="M94" s="27">
        <f ca="1"/>
        <v>0</v>
      </c>
      <c r="N94" s="4" t="s">
        <v>572</v>
      </c>
      <c r="O94" s="4"/>
      <c r="P94" s="4"/>
      <c r="Q94" s="4"/>
      <c r="R94" s="4"/>
      <c r="S94" s="4"/>
      <c r="T94" s="4"/>
      <c r="U94" s="4"/>
      <c r="V94" s="4"/>
      <c r="W94" s="4"/>
      <c r="X94" s="4"/>
    </row>
    <row r="95" spans="1:26" s="6" customFormat="1" ht="15.5" x14ac:dyDescent="0.4">
      <c r="A95" s="58" t="s">
        <v>449</v>
      </c>
      <c r="B95" s="4" t="s">
        <v>58</v>
      </c>
      <c r="C95" s="28">
        <f>(E_CH4_G_0)*AIR_CH4/100</f>
        <v>371.13927589582107</v>
      </c>
      <c r="D95" s="28">
        <f t="array" ref="D95:M95">(e_ch4_g_b)*AIR_CH4/100</f>
        <v>258.7080019027718</v>
      </c>
      <c r="E95" s="28">
        <v>232.97260578540738</v>
      </c>
      <c r="F95" s="28">
        <v>218.54623253562468</v>
      </c>
      <c r="G95" s="28">
        <v>180.5315699033402</v>
      </c>
      <c r="H95" s="28">
        <v>141.947317389067</v>
      </c>
      <c r="I95" s="28">
        <v>119.99719132163072</v>
      </c>
      <c r="J95" s="28">
        <v>119.99719132163072</v>
      </c>
      <c r="K95" s="28">
        <v>119.99719132163072</v>
      </c>
      <c r="L95" s="28">
        <v>119.99719132163072</v>
      </c>
      <c r="M95" s="28">
        <v>119.99719132163072</v>
      </c>
      <c r="N95" s="4" t="s">
        <v>572</v>
      </c>
      <c r="O95" s="4"/>
      <c r="P95" s="4"/>
      <c r="Q95" s="4"/>
      <c r="R95" s="4"/>
      <c r="S95" s="4"/>
      <c r="T95" s="4"/>
      <c r="U95" s="4"/>
      <c r="V95" s="4"/>
      <c r="W95" s="4"/>
      <c r="X95" s="4"/>
    </row>
    <row r="96" spans="1:26" s="6" customFormat="1" x14ac:dyDescent="0.25">
      <c r="A96" s="118" t="s">
        <v>448</v>
      </c>
      <c r="B96" s="116"/>
      <c r="C96" s="104"/>
      <c r="D96" s="104">
        <f ca="1">(NTE_CH4_0+nte_ch4_b)*(AIR_CH4/100)*YP_1/2</f>
        <v>0</v>
      </c>
      <c r="E96" s="104">
        <f t="array" ref="E96:M96" ca="1">(nte_ch4_b+nte_ch4_not_1_b)*(AIR_CH4/100)*YP_NOT_1/2</f>
        <v>0</v>
      </c>
      <c r="F96" s="104">
        <f ca="1"/>
        <v>0</v>
      </c>
      <c r="G96" s="104">
        <f ca="1"/>
        <v>0</v>
      </c>
      <c r="H96" s="104">
        <f ca="1"/>
        <v>0</v>
      </c>
      <c r="I96" s="104">
        <f ca="1"/>
        <v>0</v>
      </c>
      <c r="J96" s="104">
        <f ca="1"/>
        <v>0</v>
      </c>
      <c r="K96" s="104">
        <f ca="1"/>
        <v>0</v>
      </c>
      <c r="L96" s="104">
        <f ca="1"/>
        <v>0</v>
      </c>
      <c r="M96" s="104">
        <f ca="1"/>
        <v>0</v>
      </c>
      <c r="N96" s="4" t="str">
        <f>'Base data'!$G$35</f>
        <v>Mtonne</v>
      </c>
      <c r="O96" s="4"/>
      <c r="P96" s="4"/>
      <c r="Q96" s="4"/>
      <c r="R96" s="4"/>
      <c r="S96" s="4"/>
      <c r="T96" s="4"/>
      <c r="U96" s="4"/>
      <c r="V96" s="4"/>
      <c r="W96" s="4"/>
      <c r="X96" s="4"/>
    </row>
    <row r="97" spans="1:26" s="4" customFormat="1" x14ac:dyDescent="0.25">
      <c r="A97" s="118" t="s">
        <v>446</v>
      </c>
      <c r="B97" s="116"/>
      <c r="C97" s="116"/>
      <c r="D97" s="104">
        <f>(TEA_CH4_0+tea_ch4_b)*YP_1/2</f>
        <v>1574.6181944964819</v>
      </c>
      <c r="E97" s="104">
        <f t="array" ref="E97:M97">(tea_ch4_b+tea_ch4_not_1_b)*YP_NOT_1/2</f>
        <v>2458.4030384408961</v>
      </c>
      <c r="F97" s="104">
        <v>2257.5941916051602</v>
      </c>
      <c r="G97" s="104">
        <v>1995.3890121948245</v>
      </c>
      <c r="H97" s="104">
        <v>4030.98609115509</v>
      </c>
      <c r="I97" s="104">
        <v>3274.3063588837217</v>
      </c>
      <c r="J97" s="104">
        <v>5999.8595660815363</v>
      </c>
      <c r="K97" s="104">
        <v>5999.8595660815363</v>
      </c>
      <c r="L97" s="104">
        <v>5999.8595660815363</v>
      </c>
      <c r="M97" s="104">
        <v>5999.8595660815363</v>
      </c>
      <c r="N97" s="4" t="s">
        <v>266</v>
      </c>
    </row>
    <row r="98" spans="1:26" s="4" customFormat="1" ht="13" x14ac:dyDescent="0.3">
      <c r="A98" s="118" t="s">
        <v>447</v>
      </c>
      <c r="B98" s="118"/>
      <c r="C98" s="116"/>
      <c r="D98" s="104">
        <f ca="1" xml:space="preserve"> (perm_tot_ce_ch4_1_b - PERM_TOT_CE_CH4_0_b) * (AIR_CH4/100)</f>
        <v>0</v>
      </c>
      <c r="E98" s="104">
        <f t="array" ref="E98:M98" ca="1" xml:space="preserve"> (perm_tot_ce_ch4_not_1_b - perm_tot_ce_ch4_b) * (AIR_CH4/100)</f>
        <v>0</v>
      </c>
      <c r="F98" s="104">
        <f ca="1"/>
        <v>0</v>
      </c>
      <c r="G98" s="104">
        <f ca="1"/>
        <v>0</v>
      </c>
      <c r="H98" s="104">
        <f ca="1"/>
        <v>0</v>
      </c>
      <c r="I98" s="104">
        <f ca="1"/>
        <v>0</v>
      </c>
      <c r="J98" s="104">
        <f ca="1"/>
        <v>0</v>
      </c>
      <c r="K98" s="104">
        <f ca="1"/>
        <v>0</v>
      </c>
      <c r="L98" s="104">
        <f ca="1"/>
        <v>0</v>
      </c>
      <c r="M98" s="104">
        <f ca="1"/>
        <v>0</v>
      </c>
      <c r="N98" s="4" t="s">
        <v>266</v>
      </c>
      <c r="Y98" s="173"/>
      <c r="Z98" s="173" t="s">
        <v>575</v>
      </c>
    </row>
    <row r="99" spans="1:26" s="4" customFormat="1" ht="15.5" x14ac:dyDescent="0.4">
      <c r="A99" s="113" t="s">
        <v>450</v>
      </c>
      <c r="B99" s="116" t="s">
        <v>60</v>
      </c>
      <c r="C99" s="115"/>
      <c r="D99" s="104">
        <f t="array" ref="D99:M99" ca="1">natur_teay_ch4_b+anthr_teay_ch4_b+perm_teay_ch4_b</f>
        <v>1574.6181944964819</v>
      </c>
      <c r="E99" s="104">
        <f ca="1"/>
        <v>2458.4030384408961</v>
      </c>
      <c r="F99" s="104">
        <f ca="1"/>
        <v>2257.5941916051602</v>
      </c>
      <c r="G99" s="104">
        <f ca="1"/>
        <v>1995.3890121948245</v>
      </c>
      <c r="H99" s="104">
        <f ca="1"/>
        <v>4030.98609115509</v>
      </c>
      <c r="I99" s="104">
        <f ca="1"/>
        <v>3274.3063588837217</v>
      </c>
      <c r="J99" s="104">
        <f ca="1"/>
        <v>5999.8595660815363</v>
      </c>
      <c r="K99" s="104">
        <f ca="1"/>
        <v>5999.8595660815363</v>
      </c>
      <c r="L99" s="104">
        <f ca="1"/>
        <v>5999.8595660815363</v>
      </c>
      <c r="M99" s="104">
        <f ca="1"/>
        <v>5999.8595660815363</v>
      </c>
      <c r="N99" s="4" t="str">
        <f>'Base data'!$G$35</f>
        <v>Mtonne</v>
      </c>
    </row>
    <row r="100" spans="1:26" s="4" customFormat="1" x14ac:dyDescent="0.25">
      <c r="A100" s="6" t="s">
        <v>68</v>
      </c>
      <c r="B100" s="6"/>
      <c r="C100" s="6"/>
      <c r="D100" s="26">
        <f t="array" ref="D100:M100">EXP(-(YP/RES_CH4))</f>
        <v>0.62114515761545153</v>
      </c>
      <c r="E100" s="26">
        <v>0.38582130682912413</v>
      </c>
      <c r="F100" s="26">
        <v>0.38582130682912413</v>
      </c>
      <c r="G100" s="26">
        <v>0.38582130682912413</v>
      </c>
      <c r="H100" s="26">
        <v>9.246247606291999E-2</v>
      </c>
      <c r="I100" s="26">
        <v>9.246247606291999E-2</v>
      </c>
      <c r="J100" s="26">
        <v>8.5493094796860528E-3</v>
      </c>
      <c r="K100" s="26">
        <v>8.5493094796860528E-3</v>
      </c>
      <c r="L100" s="26">
        <v>8.5493094796860528E-3</v>
      </c>
      <c r="M100" s="26">
        <v>8.5493094796860528E-3</v>
      </c>
      <c r="N100" s="6"/>
      <c r="O100" s="6"/>
      <c r="P100" s="6"/>
      <c r="Q100" s="6"/>
      <c r="R100" s="6"/>
      <c r="S100" s="6"/>
      <c r="T100" s="6"/>
      <c r="U100" s="6"/>
      <c r="V100" s="6"/>
      <c r="W100" s="6"/>
      <c r="X100" s="6"/>
    </row>
    <row r="101" spans="1:26" s="4" customFormat="1" x14ac:dyDescent="0.25">
      <c r="A101" s="4" t="s">
        <v>69</v>
      </c>
      <c r="D101" s="28">
        <f>RE_CH4_0*EXPF_CH4</f>
        <v>1904.6422426025633</v>
      </c>
      <c r="E101" s="28">
        <f t="array" ref="E101:M101" ca="1">re_ch4_b*EXPF_CH4_NOT_1</f>
        <v>1218.1925303002915</v>
      </c>
      <c r="F101" s="28">
        <f ca="1"/>
        <v>1081.6833046135255</v>
      </c>
      <c r="G101" s="28">
        <f ca="1"/>
        <v>979.05160899607472</v>
      </c>
      <c r="H101" s="28">
        <f ca="1"/>
        <v>209.50640611272465</v>
      </c>
      <c r="I101" s="28">
        <f ca="1"/>
        <v>161.43766015218054</v>
      </c>
      <c r="J101" s="28">
        <f ca="1"/>
        <v>12.050175897062104</v>
      </c>
      <c r="K101" s="28">
        <f ca="1"/>
        <v>10.782806381573174</v>
      </c>
      <c r="L101" s="28">
        <f ca="1"/>
        <v>10.771971247360138</v>
      </c>
      <c r="M101" s="28">
        <f ca="1"/>
        <v>10.771878614444496</v>
      </c>
      <c r="N101" s="4" t="str">
        <f>'Base data'!$G$35</f>
        <v>Mtonne</v>
      </c>
    </row>
    <row r="102" spans="1:26" s="6" customFormat="1" x14ac:dyDescent="0.25">
      <c r="A102" s="4" t="s">
        <v>70</v>
      </c>
      <c r="B102" s="4"/>
      <c r="C102" s="4"/>
      <c r="D102" s="14">
        <f t="array" ref="D102:M102" ca="1">teay_ch4_b*RES_CH4*(1-EXPF_CH4)/YP</f>
        <v>1252.7586285727946</v>
      </c>
      <c r="E102" s="14">
        <f ca="1"/>
        <v>1585.3937037087874</v>
      </c>
      <c r="F102" s="14">
        <f ca="1"/>
        <v>1455.8945628257281</v>
      </c>
      <c r="G102" s="14">
        <f ca="1"/>
        <v>1286.8016866712094</v>
      </c>
      <c r="H102" s="14">
        <f ca="1"/>
        <v>1536.4738772005135</v>
      </c>
      <c r="I102" s="14">
        <f ca="1"/>
        <v>1248.0534719321629</v>
      </c>
      <c r="J102" s="14">
        <f ca="1"/>
        <v>1249.1986310614548</v>
      </c>
      <c r="K102" s="14">
        <f ca="1"/>
        <v>1249.1986310614548</v>
      </c>
      <c r="L102" s="14">
        <f ca="1"/>
        <v>1249.1986310614548</v>
      </c>
      <c r="M102" s="14">
        <f ca="1"/>
        <v>1249.1986310614548</v>
      </c>
      <c r="N102" s="4" t="str">
        <f>'Base data'!$G$35</f>
        <v>Mtonne</v>
      </c>
      <c r="O102" s="4"/>
      <c r="P102" s="4"/>
      <c r="Q102" s="4"/>
      <c r="R102" s="4"/>
      <c r="S102" s="4"/>
      <c r="T102" s="4"/>
      <c r="U102" s="4"/>
      <c r="V102" s="4"/>
      <c r="W102" s="4"/>
      <c r="X102" s="4"/>
    </row>
    <row r="103" spans="1:26" s="4" customFormat="1" ht="15.5" x14ac:dyDescent="0.4">
      <c r="A103" s="4" t="s">
        <v>54</v>
      </c>
      <c r="B103" s="4" t="s">
        <v>55</v>
      </c>
      <c r="C103" s="14">
        <f>RE_CH4_0</f>
        <v>3066.3399999999997</v>
      </c>
      <c r="D103" s="14">
        <f t="shared" ref="D103:M103" ca="1" si="1">SUM(D101:D102)</f>
        <v>3157.4008711753577</v>
      </c>
      <c r="E103" s="14">
        <f t="shared" ca="1" si="1"/>
        <v>2803.5862340090789</v>
      </c>
      <c r="F103" s="14">
        <f t="shared" ca="1" si="1"/>
        <v>2537.5778674392536</v>
      </c>
      <c r="G103" s="14">
        <f t="shared" ca="1" si="1"/>
        <v>2265.8532956672843</v>
      </c>
      <c r="H103" s="14">
        <f t="shared" ca="1" si="1"/>
        <v>1745.980283313238</v>
      </c>
      <c r="I103" s="14">
        <f t="shared" ca="1" si="1"/>
        <v>1409.4911320843435</v>
      </c>
      <c r="J103" s="14">
        <f t="shared" ca="1" si="1"/>
        <v>1261.248806958517</v>
      </c>
      <c r="K103" s="14">
        <f t="shared" ca="1" si="1"/>
        <v>1259.981437443028</v>
      </c>
      <c r="L103" s="14">
        <f t="shared" ca="1" si="1"/>
        <v>1259.9706023088149</v>
      </c>
      <c r="M103" s="14">
        <f t="shared" ca="1" si="1"/>
        <v>1259.9705096758992</v>
      </c>
      <c r="N103" s="4" t="str">
        <f>'Base data'!$G$35</f>
        <v>Mtonne</v>
      </c>
    </row>
    <row r="104" spans="1:26" s="4" customFormat="1" ht="15.5" x14ac:dyDescent="0.4">
      <c r="A104" s="4" t="s">
        <v>71</v>
      </c>
      <c r="B104" s="4" t="s">
        <v>72</v>
      </c>
      <c r="C104" s="14">
        <f>C_CH4_0</f>
        <v>1803</v>
      </c>
      <c r="D104" s="14">
        <f t="array" ref="D104:M104" ca="1">PIC_CH4+EXC_CH4*(re_ch4_b/RE_CH4_0)</f>
        <v>1835.7557090558842</v>
      </c>
      <c r="E104" s="14">
        <f ca="1"/>
        <v>1708.4842568377983</v>
      </c>
      <c r="F104" s="14">
        <f ca="1"/>
        <v>1612.7977940428973</v>
      </c>
      <c r="G104" s="14">
        <f ca="1"/>
        <v>1515.0551423263614</v>
      </c>
      <c r="H104" s="14">
        <f ca="1"/>
        <v>1328.0504616234671</v>
      </c>
      <c r="I104" s="14">
        <f ca="1"/>
        <v>1207.0111985914905</v>
      </c>
      <c r="J104" s="14">
        <f ca="1"/>
        <v>1153.6866212080997</v>
      </c>
      <c r="K104" s="14">
        <f ca="1"/>
        <v>1153.2307328931756</v>
      </c>
      <c r="L104" s="14">
        <f ca="1"/>
        <v>1153.2268353628831</v>
      </c>
      <c r="M104" s="14">
        <f ca="1"/>
        <v>1153.2268020416905</v>
      </c>
      <c r="N104" s="4" t="str">
        <f>'Base data'!$F$19</f>
        <v>ppb</v>
      </c>
    </row>
    <row r="105" spans="1:26" s="4" customFormat="1" ht="13" thickBot="1" x14ac:dyDescent="0.3">
      <c r="A105" s="6" t="s">
        <v>159</v>
      </c>
      <c r="B105" s="6"/>
      <c r="C105" s="35">
        <f>F_CH4_0</f>
        <v>0.48</v>
      </c>
      <c r="D105" s="35">
        <f t="array" ref="D105:M105" ca="1">F_CH4_0+FSLOPE_CH4*(SQRT(c_ch4_b)-SQRT(C_CH4_0))</f>
        <v>0.49382300474778373</v>
      </c>
      <c r="E105" s="35">
        <f ca="1"/>
        <v>0.4393944278736906</v>
      </c>
      <c r="F105" s="35">
        <f ca="1"/>
        <v>0.3971246274364299</v>
      </c>
      <c r="G105" s="35">
        <f ca="1"/>
        <v>0.35263062357286373</v>
      </c>
      <c r="H105" s="35">
        <f ca="1"/>
        <v>0.26330445045194267</v>
      </c>
      <c r="I105" s="35">
        <f ca="1"/>
        <v>0.20209149152172312</v>
      </c>
      <c r="J105" s="35">
        <f ca="1"/>
        <v>0.17415174702684255</v>
      </c>
      <c r="K105" s="35">
        <f ca="1"/>
        <v>0.1739101286581855</v>
      </c>
      <c r="L105" s="35">
        <f ca="1"/>
        <v>0.17390806278210347</v>
      </c>
      <c r="M105" s="35">
        <f ca="1"/>
        <v>0.17390804512027447</v>
      </c>
      <c r="N105" s="6" t="str">
        <f>'Base data'!$F$21</f>
        <v>W/m2</v>
      </c>
      <c r="O105" s="6"/>
      <c r="P105" s="6"/>
      <c r="Q105" s="6"/>
      <c r="R105" s="6"/>
      <c r="S105" s="6"/>
      <c r="T105" s="6"/>
      <c r="U105" s="6"/>
      <c r="V105" s="6"/>
      <c r="W105" s="6"/>
      <c r="X105" s="6"/>
    </row>
    <row r="106" spans="1:26" s="4" customFormat="1" ht="13" thickTop="1"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26" s="6" customFormat="1" ht="15.5" x14ac:dyDescent="0.4">
      <c r="A107" s="4" t="s">
        <v>148</v>
      </c>
      <c r="B107" s="58" t="s">
        <v>173</v>
      </c>
      <c r="C107" s="27">
        <f ca="1">STIM_N2O*RT_G_0</f>
        <v>0</v>
      </c>
      <c r="D107" s="27">
        <f t="array" ref="D107:M107" ca="1">STIM_N2O*rt_g_b</f>
        <v>0</v>
      </c>
      <c r="E107" s="27">
        <f ca="1"/>
        <v>0</v>
      </c>
      <c r="F107" s="27">
        <f ca="1"/>
        <v>0</v>
      </c>
      <c r="G107" s="27">
        <f ca="1"/>
        <v>0</v>
      </c>
      <c r="H107" s="27">
        <f ca="1"/>
        <v>0</v>
      </c>
      <c r="I107" s="27">
        <f ca="1"/>
        <v>0</v>
      </c>
      <c r="J107" s="27">
        <f ca="1"/>
        <v>0</v>
      </c>
      <c r="K107" s="27">
        <f ca="1"/>
        <v>0</v>
      </c>
      <c r="L107" s="27">
        <f ca="1"/>
        <v>0</v>
      </c>
      <c r="M107" s="27">
        <f ca="1"/>
        <v>0</v>
      </c>
      <c r="N107" s="4" t="s">
        <v>572</v>
      </c>
      <c r="O107" s="4"/>
      <c r="P107" s="4"/>
      <c r="Q107" s="4"/>
      <c r="R107" s="4"/>
      <c r="S107" s="4"/>
      <c r="T107" s="4"/>
      <c r="U107" s="4"/>
      <c r="V107" s="4"/>
      <c r="W107" s="4"/>
      <c r="X107" s="4"/>
    </row>
    <row r="108" spans="1:26" s="6" customFormat="1" ht="15.5" x14ac:dyDescent="0.4">
      <c r="A108" s="4" t="s">
        <v>149</v>
      </c>
      <c r="B108" s="58" t="s">
        <v>120</v>
      </c>
      <c r="C108" s="28">
        <f ca="1">(E_N2O_G_0+NTE_N2O_0)*AIR_N2O/100</f>
        <v>11.222813480654541</v>
      </c>
      <c r="D108" s="28">
        <f t="array" ref="D108:M108" ca="1">(e_n2o_g_b+nte_n2o_b)*AIR_N2O/100</f>
        <v>11.774684666742722</v>
      </c>
      <c r="E108" s="28">
        <f ca="1"/>
        <v>11.402518939038805</v>
      </c>
      <c r="F108" s="28">
        <f ca="1"/>
        <v>10.935717872286888</v>
      </c>
      <c r="G108" s="28">
        <f ca="1"/>
        <v>9.2875690960042796</v>
      </c>
      <c r="H108" s="28">
        <f ca="1"/>
        <v>7.9465635269472834</v>
      </c>
      <c r="I108" s="28">
        <f ca="1"/>
        <v>6.9610162732484469</v>
      </c>
      <c r="J108" s="28">
        <f ca="1"/>
        <v>6.9610162732484469</v>
      </c>
      <c r="K108" s="28">
        <f ca="1"/>
        <v>6.9610162732484469</v>
      </c>
      <c r="L108" s="28">
        <f ca="1"/>
        <v>6.9610162732484469</v>
      </c>
      <c r="M108" s="28">
        <f ca="1"/>
        <v>6.9610162732484469</v>
      </c>
      <c r="N108" s="4" t="s">
        <v>572</v>
      </c>
      <c r="O108" s="4"/>
      <c r="P108" s="4"/>
      <c r="Q108" s="4"/>
      <c r="R108" s="4"/>
      <c r="S108" s="4"/>
      <c r="T108" s="4"/>
      <c r="U108" s="4"/>
      <c r="V108" s="4"/>
      <c r="W108" s="4"/>
      <c r="X108" s="4"/>
    </row>
    <row r="109" spans="1:26" s="4" customFormat="1" ht="15.5" x14ac:dyDescent="0.4">
      <c r="A109" s="4" t="s">
        <v>150</v>
      </c>
      <c r="B109" s="58" t="s">
        <v>121</v>
      </c>
      <c r="D109" s="28">
        <f ca="1">(TEA_N2O_0+tea_n2o_b)*YP_1/2</f>
        <v>57.493745368493158</v>
      </c>
      <c r="E109" s="28">
        <f t="array" ref="E109:M109" ca="1">(tea_n2o_b+tea_n2o_not_1_b)*YP_NOT_1/2</f>
        <v>115.88601802890764</v>
      </c>
      <c r="F109" s="28">
        <f ca="1"/>
        <v>111.69118405662846</v>
      </c>
      <c r="G109" s="28">
        <f ca="1"/>
        <v>101.11643484145586</v>
      </c>
      <c r="H109" s="28">
        <f ca="1"/>
        <v>215.42665778689454</v>
      </c>
      <c r="I109" s="28">
        <f ca="1"/>
        <v>186.34474750244664</v>
      </c>
      <c r="J109" s="28">
        <f ca="1"/>
        <v>348.05081366242234</v>
      </c>
      <c r="K109" s="28">
        <f ca="1"/>
        <v>348.05081366242234</v>
      </c>
      <c r="L109" s="28">
        <f ca="1"/>
        <v>348.05081366242234</v>
      </c>
      <c r="M109" s="28">
        <f ca="1"/>
        <v>348.05081366242234</v>
      </c>
      <c r="N109" s="4" t="str">
        <f>'Base data'!$G$35</f>
        <v>Mtonne</v>
      </c>
    </row>
    <row r="110" spans="1:26" s="4" customFormat="1" x14ac:dyDescent="0.25">
      <c r="A110" s="6" t="s">
        <v>151</v>
      </c>
      <c r="B110" s="6"/>
      <c r="C110" s="6"/>
      <c r="D110" s="26">
        <f t="array" ref="D110:M110">EXP(-(YP/RES_N2O))</f>
        <v>0.95708827622606829</v>
      </c>
      <c r="E110" s="26">
        <v>0.91601796848938666</v>
      </c>
      <c r="F110" s="26">
        <v>0.91601796848938666</v>
      </c>
      <c r="G110" s="26">
        <v>0.91601796848938666</v>
      </c>
      <c r="H110" s="26">
        <v>0.8030821666988891</v>
      </c>
      <c r="I110" s="26">
        <v>0.8030821666988891</v>
      </c>
      <c r="J110" s="26">
        <v>0.64494096646978238</v>
      </c>
      <c r="K110" s="26">
        <v>0.64494096646978238</v>
      </c>
      <c r="L110" s="26">
        <v>0.64494096646978238</v>
      </c>
      <c r="M110" s="26">
        <v>0.64494096646978238</v>
      </c>
      <c r="N110" s="6"/>
      <c r="O110" s="6"/>
      <c r="P110" s="6"/>
      <c r="Q110" s="6"/>
      <c r="R110" s="6"/>
      <c r="S110" s="6"/>
      <c r="T110" s="6"/>
      <c r="U110" s="6"/>
      <c r="V110" s="6"/>
      <c r="W110" s="6"/>
      <c r="X110" s="6"/>
    </row>
    <row r="111" spans="1:26" s="4" customFormat="1" x14ac:dyDescent="0.25">
      <c r="A111" s="4" t="s">
        <v>152</v>
      </c>
      <c r="D111" s="28">
        <f>RE_N2O_0*EXPF_N2O</f>
        <v>403.12558194641997</v>
      </c>
      <c r="E111" s="28">
        <f t="array" ref="E111:M111" ca="1">re_n2o_b*EXPF_N2O_NOT_1</f>
        <v>420.79734114953118</v>
      </c>
      <c r="F111" s="28">
        <f ca="1"/>
        <v>487.08893998325709</v>
      </c>
      <c r="G111" s="28">
        <f ca="1"/>
        <v>544.13440332660605</v>
      </c>
      <c r="H111" s="28">
        <f ca="1"/>
        <v>514.72972336799796</v>
      </c>
      <c r="I111" s="28">
        <f ca="1"/>
        <v>568.71956732705803</v>
      </c>
      <c r="J111" s="28">
        <f ca="1"/>
        <v>474.70683854029522</v>
      </c>
      <c r="K111" s="28">
        <f ca="1"/>
        <v>487.8759218625604</v>
      </c>
      <c r="L111" s="28">
        <f ca="1"/>
        <v>496.36920318794313</v>
      </c>
      <c r="M111" s="28">
        <f ca="1"/>
        <v>501.84686825443521</v>
      </c>
      <c r="N111" s="4" t="str">
        <f>'Base data'!$G$35</f>
        <v>Mtonne</v>
      </c>
    </row>
    <row r="112" spans="1:26" s="6" customFormat="1" x14ac:dyDescent="0.25">
      <c r="A112" s="4" t="s">
        <v>153</v>
      </c>
      <c r="B112" s="4"/>
      <c r="C112" s="4"/>
      <c r="D112" s="14">
        <f t="array" ref="D112:M112" ca="1">teay_n2o_b*RES_N2O*(1-EXPF_N2O)/YP</f>
        <v>56.251150415579197</v>
      </c>
      <c r="E112" s="14">
        <f ca="1"/>
        <v>110.9487126822728</v>
      </c>
      <c r="F112" s="14">
        <f ca="1"/>
        <v>106.93259894347693</v>
      </c>
      <c r="G112" s="14">
        <f ca="1"/>
        <v>96.8083852348947</v>
      </c>
      <c r="H112" s="14">
        <f ca="1"/>
        <v>193.44135913132996</v>
      </c>
      <c r="I112" s="14">
        <f ca="1"/>
        <v>167.32739389902318</v>
      </c>
      <c r="J112" s="14">
        <f ca="1"/>
        <v>281.75917498191905</v>
      </c>
      <c r="K112" s="14">
        <f ca="1"/>
        <v>281.75917498191905</v>
      </c>
      <c r="L112" s="14">
        <f ca="1"/>
        <v>281.75917498191905</v>
      </c>
      <c r="M112" s="14">
        <f ca="1"/>
        <v>281.75917498191905</v>
      </c>
      <c r="N112" s="4" t="str">
        <f>'Base data'!$G$35</f>
        <v>Mtonne</v>
      </c>
      <c r="O112" s="4"/>
      <c r="P112" s="4"/>
      <c r="Q112" s="4"/>
      <c r="R112" s="4"/>
      <c r="S112" s="4"/>
      <c r="T112" s="4"/>
      <c r="U112" s="4"/>
      <c r="V112" s="4"/>
      <c r="W112" s="4"/>
      <c r="X112" s="4"/>
    </row>
    <row r="113" spans="1:24" s="4" customFormat="1" ht="15.5" x14ac:dyDescent="0.4">
      <c r="A113" s="4" t="s">
        <v>154</v>
      </c>
      <c r="B113" s="58" t="s">
        <v>122</v>
      </c>
      <c r="C113" s="14">
        <f>RE_N2O_0</f>
        <v>421.2</v>
      </c>
      <c r="D113" s="14">
        <f t="shared" ref="D113:M113" ca="1" si="2">SUM(D111:D112)</f>
        <v>459.37673236199919</v>
      </c>
      <c r="E113" s="14">
        <f t="shared" ca="1" si="2"/>
        <v>531.74605383180392</v>
      </c>
      <c r="F113" s="14">
        <f t="shared" ca="1" si="2"/>
        <v>594.02153892673402</v>
      </c>
      <c r="G113" s="14">
        <f t="shared" ca="1" si="2"/>
        <v>640.94278856150072</v>
      </c>
      <c r="H113" s="14">
        <f t="shared" ca="1" si="2"/>
        <v>708.17108249932789</v>
      </c>
      <c r="I113" s="14">
        <f t="shared" ca="1" si="2"/>
        <v>736.04696122608118</v>
      </c>
      <c r="J113" s="14">
        <f t="shared" ca="1" si="2"/>
        <v>756.46601352221433</v>
      </c>
      <c r="K113" s="14">
        <f t="shared" ca="1" si="2"/>
        <v>769.63509684447945</v>
      </c>
      <c r="L113" s="14">
        <f t="shared" ca="1" si="2"/>
        <v>778.12837816986212</v>
      </c>
      <c r="M113" s="14">
        <f t="shared" ca="1" si="2"/>
        <v>783.60604323635425</v>
      </c>
      <c r="N113" s="4" t="str">
        <f>'Base data'!$G$35</f>
        <v>Mtonne</v>
      </c>
    </row>
    <row r="114" spans="1:24" s="4" customFormat="1" ht="15.5" x14ac:dyDescent="0.4">
      <c r="A114" s="4" t="s">
        <v>155</v>
      </c>
      <c r="B114" s="58" t="s">
        <v>123</v>
      </c>
      <c r="C114" s="14">
        <f>C_N2O_0</f>
        <v>324</v>
      </c>
      <c r="D114" s="14">
        <f t="array" ref="D114:M114" ca="1">PIC_N2O+EXC_N2O*(re_n2o_b/RE_N2O_0)</f>
        <v>328.89445286692296</v>
      </c>
      <c r="E114" s="14">
        <f ca="1"/>
        <v>338.17257100407744</v>
      </c>
      <c r="F114" s="14">
        <f ca="1"/>
        <v>346.15660755470947</v>
      </c>
      <c r="G114" s="14">
        <f ca="1"/>
        <v>352.17215237967957</v>
      </c>
      <c r="H114" s="14">
        <f ca="1"/>
        <v>360.79116442299073</v>
      </c>
      <c r="I114" s="14">
        <f ca="1"/>
        <v>364.36499502898477</v>
      </c>
      <c r="J114" s="14">
        <f ca="1"/>
        <v>366.98282224643776</v>
      </c>
      <c r="K114" s="14">
        <f ca="1"/>
        <v>368.67116626211276</v>
      </c>
      <c r="L114" s="14">
        <f ca="1"/>
        <v>369.76004848331564</v>
      </c>
      <c r="M114" s="14">
        <f ca="1"/>
        <v>370.46231323543003</v>
      </c>
      <c r="N114" s="4" t="str">
        <f>'Base data'!$F$19</f>
        <v>ppb</v>
      </c>
    </row>
    <row r="115" spans="1:24" s="4" customFormat="1" x14ac:dyDescent="0.25">
      <c r="A115" s="6" t="s">
        <v>160</v>
      </c>
      <c r="B115" s="6"/>
      <c r="C115" s="26">
        <f>F_N2O_0</f>
        <v>0.17</v>
      </c>
      <c r="D115" s="26">
        <f t="array" ref="D115:M115" ca="1">F_N2O_0+FSLOPE_N2O*(SQRT(c_n2o_b)-SQRT(C_N2O_0))</f>
        <v>0.18625368955085081</v>
      </c>
      <c r="E115" s="26">
        <f ca="1"/>
        <v>0.21673628294336866</v>
      </c>
      <c r="F115" s="26">
        <f ca="1"/>
        <v>0.24263412783819477</v>
      </c>
      <c r="G115" s="26">
        <f ca="1"/>
        <v>0.26195004257807331</v>
      </c>
      <c r="H115" s="26">
        <f ca="1"/>
        <v>0.28934042382682862</v>
      </c>
      <c r="I115" s="26">
        <f ca="1"/>
        <v>0.30060165205942813</v>
      </c>
      <c r="J115" s="26">
        <f ca="1"/>
        <v>0.30881548636438072</v>
      </c>
      <c r="K115" s="26">
        <f ca="1"/>
        <v>0.31409739251066027</v>
      </c>
      <c r="L115" s="26">
        <f ca="1"/>
        <v>0.31749749689132811</v>
      </c>
      <c r="M115" s="26">
        <f ca="1"/>
        <v>0.31968770845545091</v>
      </c>
      <c r="N115" s="6" t="str">
        <f>'Base data'!$F$21</f>
        <v>W/m2</v>
      </c>
      <c r="O115" s="6"/>
      <c r="P115" s="6"/>
      <c r="Q115" s="6"/>
      <c r="R115" s="6"/>
      <c r="S115" s="6"/>
      <c r="T115" s="6"/>
      <c r="U115" s="6"/>
      <c r="V115" s="6"/>
      <c r="W115" s="6"/>
      <c r="X115" s="6"/>
    </row>
    <row r="116" spans="1:24" s="4" customFormat="1" x14ac:dyDescent="0.25">
      <c r="A116" s="6" t="s">
        <v>157</v>
      </c>
      <c r="B116" s="6"/>
      <c r="C116" s="26">
        <v>0</v>
      </c>
      <c r="D116" s="26">
        <f t="array" ref="D116:M116" ca="1">-(0.47*LN(1+0.00002*(c_ch4_b*C_N2O_0)^0.75+0.0000000000000053*c_ch4_b*(c_ch4_b*C_N2O_0)^1.52)-0.47*LN(1+0.00002*(C_CH4_0*C_N2O_0)^0.75+0.0000000000000053*C_CH4_0*(C_CH4_0*C_N2O_0)^1.52))</f>
        <v>-1.9715694956790042E-3</v>
      </c>
      <c r="E116" s="26">
        <f ca="1"/>
        <v>5.7722220305220506E-3</v>
      </c>
      <c r="F116" s="26">
        <f ca="1"/>
        <v>1.1749621085432843E-2</v>
      </c>
      <c r="G116" s="26">
        <f ca="1"/>
        <v>1.8005680256527268E-2</v>
      </c>
      <c r="H116" s="26">
        <f ca="1"/>
        <v>3.0447686442555855E-2</v>
      </c>
      <c r="I116" s="26">
        <f ca="1"/>
        <v>3.8876337773492586E-2</v>
      </c>
      <c r="J116" s="26">
        <f ca="1"/>
        <v>4.2695114331640888E-2</v>
      </c>
      <c r="K116" s="26">
        <f ca="1"/>
        <v>4.2728057904631869E-2</v>
      </c>
      <c r="L116" s="26">
        <f ca="1"/>
        <v>4.2728339571468724E-2</v>
      </c>
      <c r="M116" s="26">
        <f ca="1"/>
        <v>4.2728341979527198E-2</v>
      </c>
      <c r="N116" s="6" t="str">
        <f>'Base data'!$F$21</f>
        <v>W/m2</v>
      </c>
      <c r="O116" s="6"/>
      <c r="P116" s="6"/>
      <c r="Q116" s="6"/>
      <c r="R116" s="6"/>
      <c r="S116" s="6"/>
      <c r="T116" s="6"/>
      <c r="U116" s="6"/>
      <c r="V116" s="6"/>
      <c r="W116" s="6"/>
      <c r="X116" s="6"/>
    </row>
    <row r="117" spans="1:24" s="6" customFormat="1" x14ac:dyDescent="0.25">
      <c r="A117" s="6" t="s">
        <v>158</v>
      </c>
      <c r="C117" s="26">
        <v>0</v>
      </c>
      <c r="D117" s="26">
        <f t="array" ref="D117:M117" ca="1">-(0.47*LN(1+0.00002*(C_CH4_0*c_n2o_b)^0.75+0.0000000000000053*C_CH4_0*(C_CH4_0*c_n2o_b)^1.52)-0.47*LN(1+0.00002*(C_CH4_0*C_N2O_0)^0.75+0.0000000000000053*C_CH4_0*(C_CH4_0*C_N2O_0)^1.52))</f>
        <v>-1.6121877167725451E-3</v>
      </c>
      <c r="E117" s="26">
        <f ca="1"/>
        <v>-4.6383234301945186E-3</v>
      </c>
      <c r="F117" s="26">
        <f ca="1"/>
        <v>-7.2117875388282571E-3</v>
      </c>
      <c r="G117" s="26">
        <f ca="1"/>
        <v>-9.1325740564895119E-3</v>
      </c>
      <c r="H117" s="26">
        <f ca="1"/>
        <v>-1.1858138789975409E-2</v>
      </c>
      <c r="I117" s="26">
        <f ca="1"/>
        <v>-1.2979309785028315E-2</v>
      </c>
      <c r="J117" s="26">
        <f ca="1"/>
        <v>-1.3797285289546213E-2</v>
      </c>
      <c r="K117" s="26">
        <f ca="1"/>
        <v>-1.4323372493051517E-2</v>
      </c>
      <c r="L117" s="26">
        <f ca="1"/>
        <v>-1.4662064588241985E-2</v>
      </c>
      <c r="M117" s="26">
        <f ca="1"/>
        <v>-1.4880251110628268E-2</v>
      </c>
      <c r="N117" s="6" t="str">
        <f>'Base data'!$F$21</f>
        <v>W/m2</v>
      </c>
    </row>
    <row r="118" spans="1:24" s="6" customFormat="1" ht="15.5" x14ac:dyDescent="0.4">
      <c r="A118" s="6" t="s">
        <v>73</v>
      </c>
      <c r="B118" s="6" t="s">
        <v>74</v>
      </c>
      <c r="C118" s="26">
        <f>F_CH4_0</f>
        <v>0.48</v>
      </c>
      <c r="D118" s="26">
        <f t="array" ref="D118:M118" ca="1">f_ch4_no_over_b+over_ch4_b</f>
        <v>0.49185143525210473</v>
      </c>
      <c r="E118" s="26">
        <f ca="1"/>
        <v>0.44516664990421262</v>
      </c>
      <c r="F118" s="26">
        <f ca="1"/>
        <v>0.40887424852186272</v>
      </c>
      <c r="G118" s="26">
        <f ca="1"/>
        <v>0.370636303829391</v>
      </c>
      <c r="H118" s="26">
        <f ca="1"/>
        <v>0.29375213689449853</v>
      </c>
      <c r="I118" s="26">
        <f ca="1"/>
        <v>0.24096782929521571</v>
      </c>
      <c r="J118" s="26">
        <f ca="1"/>
        <v>0.21684686135848344</v>
      </c>
      <c r="K118" s="26">
        <f ca="1"/>
        <v>0.21663818656281736</v>
      </c>
      <c r="L118" s="26">
        <f ca="1"/>
        <v>0.21663640235357218</v>
      </c>
      <c r="M118" s="26">
        <f ca="1"/>
        <v>0.21663638709980165</v>
      </c>
      <c r="N118" s="6" t="str">
        <f>'Base data'!$F$21</f>
        <v>W/m2</v>
      </c>
    </row>
    <row r="119" spans="1:24" s="6" customFormat="1" ht="16" thickBot="1" x14ac:dyDescent="0.45">
      <c r="A119" s="6" t="s">
        <v>156</v>
      </c>
      <c r="B119" s="57" t="s">
        <v>124</v>
      </c>
      <c r="C119" s="35">
        <f>F_N2O_0</f>
        <v>0.17</v>
      </c>
      <c r="D119" s="35">
        <f t="array" ref="D119:M119" ca="1">f_n2o_no_over_b+over_n2o_b</f>
        <v>0.18464150183407826</v>
      </c>
      <c r="E119" s="35">
        <f ca="1"/>
        <v>0.21209795951317414</v>
      </c>
      <c r="F119" s="35">
        <f ca="1"/>
        <v>0.23542234029936651</v>
      </c>
      <c r="G119" s="35">
        <f ca="1"/>
        <v>0.25281746852158382</v>
      </c>
      <c r="H119" s="35">
        <f ca="1"/>
        <v>0.27748228503685324</v>
      </c>
      <c r="I119" s="35">
        <f ca="1"/>
        <v>0.28762234227439981</v>
      </c>
      <c r="J119" s="35">
        <f ca="1"/>
        <v>0.29501820107483451</v>
      </c>
      <c r="K119" s="35">
        <f ca="1"/>
        <v>0.29977402001760878</v>
      </c>
      <c r="L119" s="35">
        <f ca="1"/>
        <v>0.30283543230308613</v>
      </c>
      <c r="M119" s="35">
        <f ca="1"/>
        <v>0.30480745734482262</v>
      </c>
    </row>
    <row r="120" spans="1:24" s="6" customFormat="1" ht="13" thickTop="1" x14ac:dyDescent="0.25"/>
    <row r="121" spans="1:24" s="6" customFormat="1" ht="15.5" x14ac:dyDescent="0.4">
      <c r="A121" s="4" t="str">
        <f>"Natural emissions of "&amp;GLIN_NAME</f>
        <v>Natural emissions of Lin</v>
      </c>
      <c r="B121" s="58" t="s">
        <v>174</v>
      </c>
      <c r="C121" s="27">
        <f ca="1">STIM_GLIN*RT_G_0</f>
        <v>0</v>
      </c>
      <c r="D121" s="27">
        <f t="array" ref="D121:M121" ca="1">STIM_GLIN*rt_g_b</f>
        <v>0</v>
      </c>
      <c r="E121" s="27">
        <f ca="1"/>
        <v>0</v>
      </c>
      <c r="F121" s="27">
        <f ca="1"/>
        <v>0</v>
      </c>
      <c r="G121" s="27">
        <f ca="1"/>
        <v>0</v>
      </c>
      <c r="H121" s="27">
        <f ca="1"/>
        <v>0</v>
      </c>
      <c r="I121" s="27">
        <f ca="1"/>
        <v>0</v>
      </c>
      <c r="J121" s="27">
        <f ca="1"/>
        <v>0</v>
      </c>
      <c r="K121" s="27">
        <f ca="1"/>
        <v>0</v>
      </c>
      <c r="L121" s="27">
        <f ca="1"/>
        <v>0</v>
      </c>
      <c r="M121" s="27">
        <f ca="1"/>
        <v>0</v>
      </c>
      <c r="N121" s="4" t="s">
        <v>572</v>
      </c>
      <c r="O121" s="4"/>
      <c r="P121" s="4"/>
      <c r="Q121" s="4"/>
      <c r="R121" s="4"/>
      <c r="S121" s="4"/>
      <c r="T121" s="4"/>
      <c r="U121" s="4"/>
      <c r="V121" s="4"/>
      <c r="W121" s="4"/>
      <c r="X121" s="4"/>
    </row>
    <row r="122" spans="1:24" s="6" customFormat="1" ht="15.5" x14ac:dyDescent="0.4">
      <c r="A122" s="4" t="str">
        <f>"Total emissions to air of "&amp;GLIN_NAME</f>
        <v>Total emissions to air of Lin</v>
      </c>
      <c r="B122" s="58" t="s">
        <v>175</v>
      </c>
      <c r="C122" s="28">
        <f ca="1">(E_GLIN_G_0+NTE_GLIN_0)*AIR_GLIN/100</f>
        <v>631.21629832267081</v>
      </c>
      <c r="D122" s="28">
        <f t="array" ref="D122:M122" ca="1">(e_glin_g_b+nte_glin_b)*AIR_GLIN/100</f>
        <v>568.09466849040359</v>
      </c>
      <c r="E122" s="28">
        <f ca="1"/>
        <v>400.47620595317676</v>
      </c>
      <c r="F122" s="28">
        <f ca="1"/>
        <v>270.62071187851728</v>
      </c>
      <c r="G122" s="28">
        <f ca="1"/>
        <v>117.39880362756787</v>
      </c>
      <c r="H122" s="28">
        <f ca="1"/>
        <v>110.50363494106246</v>
      </c>
      <c r="I122" s="28">
        <f ca="1"/>
        <v>104.01343930152429</v>
      </c>
      <c r="J122" s="28">
        <f ca="1"/>
        <v>104.01343930152429</v>
      </c>
      <c r="K122" s="28">
        <f ca="1"/>
        <v>104.01343930152429</v>
      </c>
      <c r="L122" s="28">
        <f ca="1"/>
        <v>104.01343930152429</v>
      </c>
      <c r="M122" s="28">
        <f ca="1"/>
        <v>104.01343930152429</v>
      </c>
      <c r="N122" s="4" t="s">
        <v>572</v>
      </c>
      <c r="O122" s="4"/>
      <c r="P122" s="4"/>
      <c r="Q122" s="4"/>
      <c r="R122" s="4"/>
      <c r="S122" s="4"/>
      <c r="T122" s="4"/>
      <c r="U122" s="4"/>
      <c r="V122" s="4"/>
      <c r="W122" s="4"/>
      <c r="X122" s="4"/>
    </row>
    <row r="123" spans="1:24" s="4" customFormat="1" ht="15.5" x14ac:dyDescent="0.4">
      <c r="A123" s="4" t="str">
        <f>"Total this period of "&amp;GLIN_NAME</f>
        <v>Total this period of Lin</v>
      </c>
      <c r="B123" s="58" t="s">
        <v>176</v>
      </c>
      <c r="D123" s="28">
        <f ca="1">(TEA_GLIN_0+tea_glin_b)*YP_1/2</f>
        <v>2998.2774170326861</v>
      </c>
      <c r="E123" s="28">
        <f t="array" ref="E123:M123" ca="1">(tea_glin_b+tea_glin_not_1_b)*YP_NOT_1/2</f>
        <v>4842.854372217902</v>
      </c>
      <c r="F123" s="28">
        <f ca="1"/>
        <v>3355.4845891584705</v>
      </c>
      <c r="G123" s="28">
        <f ca="1"/>
        <v>1940.0975775304257</v>
      </c>
      <c r="H123" s="28">
        <f ca="1"/>
        <v>2848.7804821078789</v>
      </c>
      <c r="I123" s="28">
        <f ca="1"/>
        <v>2681.4634280323344</v>
      </c>
      <c r="J123" s="28">
        <f ca="1"/>
        <v>5200.6719650762143</v>
      </c>
      <c r="K123" s="28">
        <f ca="1"/>
        <v>5200.6719650762143</v>
      </c>
      <c r="L123" s="28">
        <f ca="1"/>
        <v>5200.6719650762143</v>
      </c>
      <c r="M123" s="28">
        <f ca="1"/>
        <v>5200.6719650762143</v>
      </c>
      <c r="N123" s="4" t="str">
        <f>'Base data'!$G$35</f>
        <v>Mtonne</v>
      </c>
    </row>
    <row r="124" spans="1:24" s="4" customFormat="1" x14ac:dyDescent="0.25">
      <c r="A124" s="6" t="str">
        <f>"Exponential factor for "&amp;GLIN_NAME</f>
        <v>Exponential factor for Lin</v>
      </c>
      <c r="B124" s="6"/>
      <c r="C124" s="6"/>
      <c r="D124" s="26">
        <f t="array" ref="D124:M124">EXP(-(YP/RES_GLIN))</f>
        <v>0.99501247919268232</v>
      </c>
      <c r="E124" s="26">
        <v>0.99004983374916811</v>
      </c>
      <c r="F124" s="26">
        <v>0.99004983374916811</v>
      </c>
      <c r="G124" s="26">
        <v>0.99004983374916811</v>
      </c>
      <c r="H124" s="26">
        <v>0.97530991202833262</v>
      </c>
      <c r="I124" s="26">
        <v>0.97530991202833262</v>
      </c>
      <c r="J124" s="26">
        <v>0.95122942450071402</v>
      </c>
      <c r="K124" s="26">
        <v>0.95122942450071402</v>
      </c>
      <c r="L124" s="26">
        <v>0.95122942450071402</v>
      </c>
      <c r="M124" s="26">
        <v>0.95122942450071402</v>
      </c>
      <c r="N124" s="6"/>
      <c r="O124" s="6"/>
      <c r="P124" s="6"/>
      <c r="Q124" s="6"/>
      <c r="R124" s="6"/>
      <c r="S124" s="6"/>
      <c r="T124" s="6"/>
      <c r="U124" s="6"/>
      <c r="V124" s="6"/>
      <c r="W124" s="6"/>
      <c r="X124" s="6"/>
    </row>
    <row r="125" spans="1:24" s="4" customFormat="1" x14ac:dyDescent="0.25">
      <c r="A125" s="4" t="str">
        <f>"Remaining emissions factor for "&amp;GLIN_NAME</f>
        <v>Remaining emissions factor for Lin</v>
      </c>
      <c r="D125" s="28">
        <f>RE_GLIN_0*EXPF_GLIN</f>
        <v>10945.137271119505</v>
      </c>
      <c r="E125" s="28">
        <f t="array" ref="E125:M125" ca="1">re_glin_b*EXPF_GLIN_NOT_1</f>
        <v>13797.266636826824</v>
      </c>
      <c r="F125" s="28">
        <f ca="1"/>
        <v>18430.75508197918</v>
      </c>
      <c r="G125" s="28">
        <f ca="1"/>
        <v>21552.907709769457</v>
      </c>
      <c r="H125" s="28">
        <f ca="1"/>
        <v>22903.531395971786</v>
      </c>
      <c r="I125" s="28">
        <f ca="1"/>
        <v>25082.04210567629</v>
      </c>
      <c r="J125" s="28">
        <f ca="1"/>
        <v>26377.843848752284</v>
      </c>
      <c r="K125" s="28">
        <f ca="1"/>
        <v>29916.773372315991</v>
      </c>
      <c r="L125" s="28">
        <f ca="1"/>
        <v>33283.107266364088</v>
      </c>
      <c r="M125" s="28">
        <f ca="1"/>
        <v>36485.263119076706</v>
      </c>
      <c r="N125" s="4" t="str">
        <f>'Base data'!$G$35</f>
        <v>Mtonne</v>
      </c>
    </row>
    <row r="126" spans="1:24" s="6" customFormat="1" x14ac:dyDescent="0.25">
      <c r="A126" s="4" t="str">
        <f>"Total this period factor for "&amp;GLIN_NAME</f>
        <v>Total this period factor for Lin</v>
      </c>
      <c r="B126" s="4"/>
      <c r="C126" s="4"/>
      <c r="D126" s="28">
        <f t="array" ref="D126:M126" ca="1">teay_glin_b*RES_GLIN*(1-EXPF_GLIN)/YP</f>
        <v>2990.7942007122465</v>
      </c>
      <c r="E126" s="28">
        <f ca="1"/>
        <v>4818.7206132136243</v>
      </c>
      <c r="F126" s="28">
        <f ca="1"/>
        <v>3338.7629514231135</v>
      </c>
      <c r="G126" s="28">
        <f ca="1"/>
        <v>1930.4293439263954</v>
      </c>
      <c r="H126" s="28">
        <f ca="1"/>
        <v>2813.4656286085024</v>
      </c>
      <c r="I126" s="28">
        <f ca="1"/>
        <v>2648.2227172370854</v>
      </c>
      <c r="J126" s="28">
        <f ca="1"/>
        <v>5072.7952943953906</v>
      </c>
      <c r="K126" s="28">
        <f ca="1"/>
        <v>5072.7952943953906</v>
      </c>
      <c r="L126" s="28">
        <f ca="1"/>
        <v>5072.7952943953906</v>
      </c>
      <c r="M126" s="28">
        <f ca="1"/>
        <v>5072.7952943953906</v>
      </c>
      <c r="N126" s="4" t="str">
        <f>'Base data'!$G$35</f>
        <v>Mtonne</v>
      </c>
      <c r="O126" s="4"/>
      <c r="P126" s="4"/>
      <c r="Q126" s="4"/>
      <c r="R126" s="4"/>
      <c r="S126" s="4"/>
      <c r="T126" s="4"/>
      <c r="U126" s="4"/>
      <c r="V126" s="4"/>
      <c r="W126" s="4"/>
      <c r="X126" s="4"/>
    </row>
    <row r="127" spans="1:24" s="4" customFormat="1" ht="15.5" x14ac:dyDescent="0.4">
      <c r="A127" s="4" t="str">
        <f>"Remaining emissions of "&amp;GLIN_NAME</f>
        <v>Remaining emissions of Lin</v>
      </c>
      <c r="B127" s="58" t="s">
        <v>177</v>
      </c>
      <c r="C127" s="28">
        <f>RE_GLIN_0</f>
        <v>11000</v>
      </c>
      <c r="D127" s="28">
        <f t="shared" ref="D127:M127" ca="1" si="3">SUM(D125:D126)</f>
        <v>13935.931471831751</v>
      </c>
      <c r="E127" s="28">
        <f t="shared" ca="1" si="3"/>
        <v>18615.987250040449</v>
      </c>
      <c r="F127" s="28">
        <f t="shared" ca="1" si="3"/>
        <v>21769.518033402292</v>
      </c>
      <c r="G127" s="28">
        <f t="shared" ca="1" si="3"/>
        <v>23483.337053695854</v>
      </c>
      <c r="H127" s="28">
        <f t="shared" ca="1" si="3"/>
        <v>25716.997024580287</v>
      </c>
      <c r="I127" s="28">
        <f t="shared" ca="1" si="3"/>
        <v>27730.264822913374</v>
      </c>
      <c r="J127" s="28">
        <f t="shared" ca="1" si="3"/>
        <v>31450.639143147673</v>
      </c>
      <c r="K127" s="28">
        <f t="shared" ca="1" si="3"/>
        <v>34989.568666711384</v>
      </c>
      <c r="L127" s="28">
        <f t="shared" ca="1" si="3"/>
        <v>38355.902560759481</v>
      </c>
      <c r="M127" s="28">
        <f t="shared" ca="1" si="3"/>
        <v>41558.058413472099</v>
      </c>
      <c r="N127" s="4" t="str">
        <f>'Base data'!$G$35</f>
        <v>Mtonne</v>
      </c>
    </row>
    <row r="128" spans="1:24" s="4" customFormat="1" ht="15.5" x14ac:dyDescent="0.4">
      <c r="A128" s="4" t="str">
        <f>"Concentration of "&amp;GLIN_NAME</f>
        <v>Concentration of Lin</v>
      </c>
      <c r="B128" s="58" t="s">
        <v>178</v>
      </c>
      <c r="C128" s="28">
        <f>C_GLIN_0</f>
        <v>0.11</v>
      </c>
      <c r="D128" s="28">
        <f t="array" ref="D128:M128" ca="1">PIC_GLIN+EXC_GLIN*(re_glin_b/RE_GLIN_0)</f>
        <v>0.1393593147183175</v>
      </c>
      <c r="E128" s="28">
        <f ca="1"/>
        <v>0.1861598725004045</v>
      </c>
      <c r="F128" s="28">
        <f ca="1"/>
        <v>0.21769518033402291</v>
      </c>
      <c r="G128" s="28">
        <f ca="1"/>
        <v>0.23483337053695855</v>
      </c>
      <c r="H128" s="28">
        <f ca="1"/>
        <v>0.25716997024580285</v>
      </c>
      <c r="I128" s="28">
        <f ca="1"/>
        <v>0.27730264822913375</v>
      </c>
      <c r="J128" s="28">
        <f ca="1"/>
        <v>0.31450639143147674</v>
      </c>
      <c r="K128" s="28">
        <f ca="1"/>
        <v>0.34989568666711385</v>
      </c>
      <c r="L128" s="28">
        <f ca="1"/>
        <v>0.38355902560759481</v>
      </c>
      <c r="M128" s="28">
        <f ca="1"/>
        <v>0.41558058413472099</v>
      </c>
      <c r="N128" s="4" t="str">
        <f>'Base data'!$F$19</f>
        <v>ppb</v>
      </c>
    </row>
    <row r="129" spans="1:24" s="4" customFormat="1" ht="15.5" x14ac:dyDescent="0.4">
      <c r="A129" s="6" t="str">
        <f>"Forcing from "&amp;GLIN_NAME</f>
        <v>Forcing from Lin</v>
      </c>
      <c r="B129" s="57" t="s">
        <v>179</v>
      </c>
      <c r="C129" s="28">
        <f>F_GLIN_0</f>
        <v>2.1999999999999999E-2</v>
      </c>
      <c r="D129" s="28">
        <f t="array" ref="D129:M129" ca="1">F_GLIN_0+FSLOPE_GLIN*(c_glin_b-C_GLIN_0)</f>
        <v>2.7871862943663499E-2</v>
      </c>
      <c r="E129" s="28">
        <f ca="1"/>
        <v>3.7231974500080901E-2</v>
      </c>
      <c r="F129" s="28">
        <f ca="1"/>
        <v>4.3539036066804579E-2</v>
      </c>
      <c r="G129" s="28">
        <f ca="1"/>
        <v>4.6966674107391707E-2</v>
      </c>
      <c r="H129" s="28">
        <f ca="1"/>
        <v>5.1433994049160575E-2</v>
      </c>
      <c r="I129" s="28">
        <f ca="1"/>
        <v>5.5460529645826755E-2</v>
      </c>
      <c r="J129" s="28">
        <f ca="1"/>
        <v>6.2901278286295353E-2</v>
      </c>
      <c r="K129" s="28">
        <f ca="1"/>
        <v>6.9979137333422772E-2</v>
      </c>
      <c r="L129" s="28">
        <f ca="1"/>
        <v>7.6711805121518956E-2</v>
      </c>
      <c r="M129" s="28">
        <f ca="1"/>
        <v>8.3116116826944197E-2</v>
      </c>
      <c r="N129" s="6" t="str">
        <f>'Base data'!$F$21</f>
        <v>W/m2</v>
      </c>
      <c r="O129" s="6"/>
      <c r="P129" s="6"/>
      <c r="Q129" s="6"/>
      <c r="R129" s="6"/>
      <c r="S129" s="6"/>
      <c r="T129" s="6"/>
      <c r="U129" s="6"/>
      <c r="V129" s="6"/>
      <c r="W129" s="6"/>
      <c r="X129" s="6"/>
    </row>
    <row r="130" spans="1:24" s="4" customFormat="1" x14ac:dyDescent="0.25">
      <c r="A130" s="6"/>
      <c r="B130" s="57"/>
      <c r="C130" s="1"/>
      <c r="D130" s="1"/>
      <c r="E130" s="1"/>
      <c r="F130" s="1"/>
      <c r="G130" s="1"/>
      <c r="H130" s="1"/>
      <c r="I130" s="1"/>
      <c r="J130" s="1"/>
      <c r="K130" s="1"/>
      <c r="L130" s="1"/>
      <c r="M130" s="1"/>
      <c r="N130" s="6"/>
      <c r="O130" s="6"/>
      <c r="P130" s="6"/>
      <c r="Q130" s="6"/>
      <c r="R130" s="6"/>
      <c r="S130" s="6"/>
      <c r="T130" s="6"/>
      <c r="U130" s="6"/>
      <c r="V130" s="6"/>
      <c r="W130" s="6"/>
      <c r="X130" s="6"/>
    </row>
    <row r="131" spans="1:24" s="6" customFormat="1" ht="13" thickBot="1" x14ac:dyDescent="0.3">
      <c r="A131" s="4" t="s">
        <v>125</v>
      </c>
      <c r="B131" s="4" t="s">
        <v>75</v>
      </c>
      <c r="C131" s="35">
        <f>F_CO2_0+F_CH4_0+F_N2O_0+F_GLIN_0+EXF_0</f>
        <v>3.202</v>
      </c>
      <c r="D131" s="35">
        <f t="array" ref="D131:M131" ca="1">f_co2_b+f_ch4_b+f_n2o_b+f_glin_b+exf_b</f>
        <v>3.3308575002152812</v>
      </c>
      <c r="E131" s="35">
        <f ca="1"/>
        <v>3.4289275647162758</v>
      </c>
      <c r="F131" s="35">
        <f ca="1"/>
        <v>3.365327188970741</v>
      </c>
      <c r="G131" s="35">
        <f ca="1"/>
        <v>3.2575457615552046</v>
      </c>
      <c r="H131" s="35">
        <f ca="1"/>
        <v>3.0006320452979129</v>
      </c>
      <c r="I131" s="35">
        <f ca="1"/>
        <v>2.7200246366502356</v>
      </c>
      <c r="J131" s="35">
        <f ca="1"/>
        <v>2.4125168611322811</v>
      </c>
      <c r="K131" s="35">
        <f ca="1"/>
        <v>2.2207573652681343</v>
      </c>
      <c r="L131" s="35">
        <f ca="1"/>
        <v>2.061187906812957</v>
      </c>
      <c r="M131" s="35">
        <f ca="1"/>
        <v>1.9183025336016046</v>
      </c>
      <c r="N131" s="6" t="str">
        <f>'Base data'!$F$21</f>
        <v>W/m2</v>
      </c>
    </row>
    <row r="132" spans="1:24" s="6" customFormat="1" ht="13" thickTop="1" x14ac:dyDescent="0.25">
      <c r="A132" s="4"/>
      <c r="B132" s="4"/>
      <c r="O132"/>
      <c r="P132"/>
      <c r="Q132"/>
      <c r="R132"/>
      <c r="S132"/>
      <c r="T132"/>
      <c r="U132"/>
      <c r="V132"/>
      <c r="W132"/>
      <c r="X132"/>
    </row>
    <row r="133" spans="1:24" s="1" customFormat="1" x14ac:dyDescent="0.25">
      <c r="A133" s="57" t="s">
        <v>193</v>
      </c>
      <c r="B133" s="1" t="str">
        <f t="array" ref="B133:B140">R_CODE</f>
        <v>EU</v>
      </c>
      <c r="C133" s="26">
        <f t="array" aca="1" ref="C133:C140" ca="1">D*SFX_0/SFX_G_0</f>
        <v>-2.3910297514986536</v>
      </c>
      <c r="D133" s="26">
        <f t="array" aca="1" ref="D133:M140" ca="1">FSD_0*sfx_b/SFX_0</f>
        <v>-1.2104415428798694</v>
      </c>
      <c r="E133" s="26">
        <f ca="1"/>
        <v>-0.55603473848423168</v>
      </c>
      <c r="F133" s="26">
        <f ca="1"/>
        <v>-0.27099310781378483</v>
      </c>
      <c r="G133" s="26">
        <f ca="1"/>
        <v>-0.19385895739015402</v>
      </c>
      <c r="H133" s="26">
        <f ca="1"/>
        <v>-0.12656790894215811</v>
      </c>
      <c r="I133" s="26">
        <f ca="1"/>
        <v>-0.10260936633449454</v>
      </c>
      <c r="J133" s="26">
        <f ca="1"/>
        <v>-0.10260936633449454</v>
      </c>
      <c r="K133" s="26">
        <f ca="1"/>
        <v>-0.10260936633449454</v>
      </c>
      <c r="L133" s="26">
        <f ca="1"/>
        <v>-0.10260936633449454</v>
      </c>
      <c r="M133" s="26">
        <f ca="1"/>
        <v>-0.10260936633449454</v>
      </c>
      <c r="N133" s="6" t="str">
        <f>'Base data'!$F$21</f>
        <v>W/m2</v>
      </c>
      <c r="O133" s="6"/>
      <c r="P133" s="6"/>
      <c r="Q133" s="6"/>
      <c r="R133" s="6"/>
      <c r="S133" s="6"/>
      <c r="T133" s="6"/>
      <c r="U133" s="6"/>
      <c r="V133" s="6"/>
      <c r="W133" s="6"/>
      <c r="X133" s="6"/>
    </row>
    <row r="134" spans="1:24" s="1" customFormat="1" x14ac:dyDescent="0.25">
      <c r="A134" s="6"/>
      <c r="B134" s="1" t="str">
        <v>US</v>
      </c>
      <c r="C134" s="26">
        <f ca="1"/>
        <v>-1.5636182395385172</v>
      </c>
      <c r="D134" s="26">
        <f ca="1"/>
        <v>-0.79157044079264094</v>
      </c>
      <c r="E134" s="26">
        <f ca="1"/>
        <v>-0.36361992499927431</v>
      </c>
      <c r="F134" s="26">
        <f ca="1"/>
        <v>-0.17721643400768047</v>
      </c>
      <c r="G134" s="26">
        <f ca="1"/>
        <v>-0.1267744165388047</v>
      </c>
      <c r="H134" s="26">
        <f ca="1"/>
        <v>-8.2769313446713094E-2</v>
      </c>
      <c r="I134" s="26">
        <f ca="1"/>
        <v>-6.7101581085531534E-2</v>
      </c>
      <c r="J134" s="26">
        <f ca="1"/>
        <v>-6.7101581085531534E-2</v>
      </c>
      <c r="K134" s="26">
        <f ca="1"/>
        <v>-6.7101581085531534E-2</v>
      </c>
      <c r="L134" s="26">
        <f ca="1"/>
        <v>-6.7101581085531534E-2</v>
      </c>
      <c r="M134" s="26">
        <f ca="1"/>
        <v>-6.7101581085531534E-2</v>
      </c>
      <c r="N134" s="6" t="str">
        <f>'Base data'!$F$21</f>
        <v>W/m2</v>
      </c>
      <c r="O134" s="6"/>
      <c r="P134" s="6"/>
      <c r="Q134" s="6"/>
      <c r="R134" s="6"/>
      <c r="S134" s="6"/>
      <c r="T134" s="6"/>
      <c r="U134" s="6"/>
      <c r="V134" s="6"/>
      <c r="W134" s="6"/>
      <c r="X134" s="6"/>
    </row>
    <row r="135" spans="1:24" s="6" customFormat="1" x14ac:dyDescent="0.25">
      <c r="B135" s="1" t="str">
        <v>OT</v>
      </c>
      <c r="C135" s="26">
        <f ca="1"/>
        <v>-0.32280379093351869</v>
      </c>
      <c r="D135" s="26">
        <f ca="1"/>
        <v>-0.16341708776318384</v>
      </c>
      <c r="E135" s="26">
        <f ca="1"/>
        <v>-7.5068125505730957E-2</v>
      </c>
      <c r="F135" s="26">
        <f ca="1"/>
        <v>-3.6585744056223522E-2</v>
      </c>
      <c r="G135" s="26">
        <f ca="1"/>
        <v>-2.6172157127170075E-2</v>
      </c>
      <c r="H135" s="26">
        <f ca="1"/>
        <v>-1.7087449786623889E-2</v>
      </c>
      <c r="I135" s="26">
        <f ca="1"/>
        <v>-1.3852898491664654E-2</v>
      </c>
      <c r="J135" s="26">
        <f ca="1"/>
        <v>-1.3852898491664654E-2</v>
      </c>
      <c r="K135" s="26">
        <f ca="1"/>
        <v>-1.3852898491664654E-2</v>
      </c>
      <c r="L135" s="26">
        <f ca="1"/>
        <v>-1.3852898491664654E-2</v>
      </c>
      <c r="M135" s="26">
        <f ca="1"/>
        <v>-1.3852898491664654E-2</v>
      </c>
      <c r="N135" s="6" t="str">
        <f>'Base data'!$F$21</f>
        <v>W/m2</v>
      </c>
    </row>
    <row r="136" spans="1:24" s="6" customFormat="1" x14ac:dyDescent="0.25">
      <c r="B136" s="1" t="str">
        <v>EE</v>
      </c>
      <c r="C136" s="26">
        <f ca="1"/>
        <v>-1.4824346914119941</v>
      </c>
      <c r="D136" s="26">
        <f ca="1"/>
        <v>-0.48622938435310076</v>
      </c>
      <c r="E136" s="26">
        <f ca="1"/>
        <v>-0.24074107629933481</v>
      </c>
      <c r="F136" s="26">
        <f ca="1"/>
        <v>-0.16752950590181215</v>
      </c>
      <c r="G136" s="26">
        <f ca="1"/>
        <v>-0.11260979046585269</v>
      </c>
      <c r="H136" s="26">
        <f ca="1"/>
        <v>-4.538456448890546E-2</v>
      </c>
      <c r="I136" s="26">
        <f ca="1"/>
        <v>-3.7708734751062352E-2</v>
      </c>
      <c r="J136" s="26">
        <f ca="1"/>
        <v>-3.7708734751062352E-2</v>
      </c>
      <c r="K136" s="26">
        <f ca="1"/>
        <v>-3.7708734751062352E-2</v>
      </c>
      <c r="L136" s="26">
        <f ca="1"/>
        <v>-3.7708734751062352E-2</v>
      </c>
      <c r="M136" s="26">
        <f ca="1"/>
        <v>-3.7708734751062352E-2</v>
      </c>
      <c r="N136" s="6" t="str">
        <f>'Base data'!$F$21</f>
        <v>W/m2</v>
      </c>
    </row>
    <row r="137" spans="1:24" s="6" customFormat="1" x14ac:dyDescent="0.25">
      <c r="B137" s="1" t="str">
        <v>CA</v>
      </c>
      <c r="C137" s="26">
        <f ca="1"/>
        <v>-8.3877430858348809</v>
      </c>
      <c r="D137" s="26">
        <f ca="1"/>
        <v>-4.7624535566431803</v>
      </c>
      <c r="E137" s="26">
        <f ca="1"/>
        <v>-3.1735439030226531</v>
      </c>
      <c r="F137" s="26">
        <f ca="1"/>
        <v>-1.8046789301412445</v>
      </c>
      <c r="G137" s="26">
        <f ca="1"/>
        <v>-1.2596262334961272</v>
      </c>
      <c r="H137" s="26">
        <f ca="1"/>
        <v>-0.71084923528990684</v>
      </c>
      <c r="I137" s="26">
        <f ca="1"/>
        <v>-0.31573353028306939</v>
      </c>
      <c r="J137" s="26">
        <f ca="1"/>
        <v>-0.31573353028306939</v>
      </c>
      <c r="K137" s="26">
        <f ca="1"/>
        <v>-0.31573353028306939</v>
      </c>
      <c r="L137" s="26">
        <f ca="1"/>
        <v>-0.31573353028306939</v>
      </c>
      <c r="M137" s="26">
        <f ca="1"/>
        <v>-0.31573353028306939</v>
      </c>
      <c r="N137" s="6" t="str">
        <f>'Base data'!$F$21</f>
        <v>W/m2</v>
      </c>
    </row>
    <row r="138" spans="1:24" s="6" customFormat="1" x14ac:dyDescent="0.25">
      <c r="B138" s="1" t="str">
        <v>IA</v>
      </c>
      <c r="C138" s="26">
        <f ca="1"/>
        <v>-2.2636749244760317</v>
      </c>
      <c r="D138" s="26">
        <f ca="1"/>
        <v>-1.2852857538473115</v>
      </c>
      <c r="E138" s="26">
        <f ca="1"/>
        <v>-0.85647255542771816</v>
      </c>
      <c r="F138" s="26">
        <f ca="1"/>
        <v>-0.48704477462954415</v>
      </c>
      <c r="G138" s="26">
        <f ca="1"/>
        <v>-0.33994654936352992</v>
      </c>
      <c r="H138" s="26">
        <f ca="1"/>
        <v>-0.19184321366807322</v>
      </c>
      <c r="I138" s="26">
        <f ca="1"/>
        <v>-8.5209819614657151E-2</v>
      </c>
      <c r="J138" s="26">
        <f ca="1"/>
        <v>-8.5209819614657151E-2</v>
      </c>
      <c r="K138" s="26">
        <f ca="1"/>
        <v>-8.5209819614657151E-2</v>
      </c>
      <c r="L138" s="26">
        <f ca="1"/>
        <v>-8.5209819614657151E-2</v>
      </c>
      <c r="M138" s="26">
        <f ca="1"/>
        <v>-8.5209819614657151E-2</v>
      </c>
      <c r="N138" s="6" t="str">
        <f>'Base data'!$F$21</f>
        <v>W/m2</v>
      </c>
    </row>
    <row r="139" spans="1:24" s="6" customFormat="1" x14ac:dyDescent="0.25">
      <c r="B139" s="1" t="str">
        <v>AF</v>
      </c>
      <c r="C139" s="26">
        <f ca="1"/>
        <v>-0.93993229485783591</v>
      </c>
      <c r="D139" s="26">
        <f ca="1"/>
        <v>-0.55108892380615571</v>
      </c>
      <c r="E139" s="26">
        <f ca="1"/>
        <v>-0.42886765629457391</v>
      </c>
      <c r="F139" s="26">
        <f ca="1"/>
        <v>-0.3668236768982322</v>
      </c>
      <c r="G139" s="26">
        <f ca="1"/>
        <v>-0.35503081088275357</v>
      </c>
      <c r="H139" s="26">
        <f ca="1"/>
        <v>-0.3598130234914359</v>
      </c>
      <c r="I139" s="26">
        <f ca="1"/>
        <v>-0.2122286751501293</v>
      </c>
      <c r="J139" s="26">
        <f ca="1"/>
        <v>-0.2122286751501293</v>
      </c>
      <c r="K139" s="26">
        <f ca="1"/>
        <v>-0.2122286751501293</v>
      </c>
      <c r="L139" s="26">
        <f ca="1"/>
        <v>-0.2122286751501293</v>
      </c>
      <c r="M139" s="26">
        <f ca="1"/>
        <v>-0.2122286751501293</v>
      </c>
      <c r="N139" s="6" t="str">
        <f>'Base data'!$F$21</f>
        <v>W/m2</v>
      </c>
    </row>
    <row r="140" spans="1:24" s="6" customFormat="1" x14ac:dyDescent="0.25">
      <c r="B140" s="1" t="str">
        <v>LA</v>
      </c>
      <c r="C140" s="26">
        <f ca="1"/>
        <v>-0.61552879515961301</v>
      </c>
      <c r="D140" s="26">
        <f ca="1"/>
        <v>-0.26404603585625608</v>
      </c>
      <c r="E140" s="26">
        <f ca="1"/>
        <v>-0.23834510082628566</v>
      </c>
      <c r="F140" s="26">
        <f ca="1"/>
        <v>-0.22594634489953194</v>
      </c>
      <c r="G140" s="26">
        <f ca="1"/>
        <v>-0.19185872865093118</v>
      </c>
      <c r="H140" s="26">
        <f ca="1"/>
        <v>-5.8927781484863287E-2</v>
      </c>
      <c r="I140" s="26">
        <f ca="1"/>
        <v>-3.2649185005437953E-2</v>
      </c>
      <c r="J140" s="26">
        <f ca="1"/>
        <v>-3.2649185005437953E-2</v>
      </c>
      <c r="K140" s="26">
        <f ca="1"/>
        <v>-3.2649185005437953E-2</v>
      </c>
      <c r="L140" s="26">
        <f ca="1"/>
        <v>-3.2649185005437953E-2</v>
      </c>
      <c r="M140" s="26">
        <f ca="1"/>
        <v>-3.2649185005437953E-2</v>
      </c>
      <c r="N140" s="6" t="str">
        <f>'Base data'!$F$21</f>
        <v>W/m2</v>
      </c>
    </row>
    <row r="141" spans="1:24" s="6" customFormat="1" x14ac:dyDescent="0.25">
      <c r="B141" s="6" t="s">
        <v>138</v>
      </c>
      <c r="C141" s="258">
        <f t="array" aca="1" ref="C141" ca="1">SUM(AREA*C133:C140)/AREA_E</f>
        <v>-0.46666666666666673</v>
      </c>
      <c r="D141" s="258">
        <f t="array" aca="1" ref="D141" ca="1">SUM(AREA*D133:D140)/AREA_E</f>
        <v>-0.24080604307693171</v>
      </c>
      <c r="E141" s="258">
        <f t="array" aca="1" ref="E141" ca="1">SUM(AREA*E133:E140)/AREA_E</f>
        <v>-0.15920780419951525</v>
      </c>
      <c r="F141" s="258">
        <f t="array" aca="1" ref="F141" ca="1">SUM(AREA*F133:F140)/AREA_E</f>
        <v>-0.10571856082836133</v>
      </c>
      <c r="G141" s="258">
        <f t="array" aca="1" ref="G141" ca="1">SUM(AREA*G133:G140)/AREA_E</f>
        <v>-8.3091287182793933E-2</v>
      </c>
      <c r="H141" s="258">
        <f t="array" aca="1" ref="H141" ca="1">SUM(AREA*H133:H140)/AREA_E</f>
        <v>-5.4496951950914002E-2</v>
      </c>
      <c r="I141" s="258">
        <f t="array" aca="1" ref="I141" ca="1">SUM(AREA*I133:I140)/AREA_E</f>
        <v>-3.0309976016930629E-2</v>
      </c>
      <c r="J141" s="258">
        <f t="array" aca="1" ref="J141" ca="1">SUM(AREA*J133:J140)/AREA_E</f>
        <v>-3.0309976016930629E-2</v>
      </c>
      <c r="K141" s="258">
        <f t="array" aca="1" ref="K141" ca="1">SUM(AREA*K133:K140)/AREA_E</f>
        <v>-3.0309976016930629E-2</v>
      </c>
      <c r="L141" s="258">
        <f t="array" aca="1" ref="L141" ca="1">SUM(AREA*L133:L140)/AREA_E</f>
        <v>-3.0309976016930629E-2</v>
      </c>
      <c r="M141" s="258">
        <f t="array" aca="1" ref="M141" ca="1">SUM(AREA*M133:M140)/AREA_E</f>
        <v>-3.0309976016930629E-2</v>
      </c>
      <c r="N141" s="6" t="s">
        <v>44</v>
      </c>
    </row>
    <row r="142" spans="1:24" s="6" customFormat="1" x14ac:dyDescent="0.25">
      <c r="A142" s="57" t="s">
        <v>194</v>
      </c>
      <c r="B142" s="1" t="str">
        <f t="array" ref="B142:B149">R_CODE</f>
        <v>EU</v>
      </c>
      <c r="C142" s="26"/>
      <c r="D142" s="26">
        <f t="array" aca="1" ref="D142:M149" ca="1">IF(sfx_b &gt; 0, (IND/LN(2))*LN((NF_0+sfx_b)/NF_0), 0)</f>
        <v>-0.63958983666298075</v>
      </c>
      <c r="E142" s="26">
        <f ca="1"/>
        <v>-0.43230616417920931</v>
      </c>
      <c r="F142" s="26">
        <f ca="1"/>
        <v>-0.27639626462919753</v>
      </c>
      <c r="G142" s="26">
        <f ca="1"/>
        <v>-0.21794143992786788</v>
      </c>
      <c r="H142" s="26">
        <f ca="1"/>
        <v>-0.15706316777468918</v>
      </c>
      <c r="I142" s="26">
        <f ca="1"/>
        <v>-0.1324240967595251</v>
      </c>
      <c r="J142" s="26">
        <f ca="1"/>
        <v>-0.1324240967595251</v>
      </c>
      <c r="K142" s="26">
        <f ca="1"/>
        <v>-0.1324240967595251</v>
      </c>
      <c r="L142" s="26">
        <f ca="1"/>
        <v>-0.1324240967595251</v>
      </c>
      <c r="M142" s="26">
        <f ca="1"/>
        <v>-0.1324240967595251</v>
      </c>
      <c r="N142" s="6" t="str">
        <f>'Base data'!$F$21</f>
        <v>W/m2</v>
      </c>
    </row>
    <row r="143" spans="1:24" s="6" customFormat="1" x14ac:dyDescent="0.25">
      <c r="B143" s="1" t="str">
        <v>US</v>
      </c>
      <c r="C143" s="26"/>
      <c r="D143" s="26">
        <f ca="1"/>
        <v>-0.52225780423824542</v>
      </c>
      <c r="E143" s="26">
        <f ca="1"/>
        <v>-0.33535668212102465</v>
      </c>
      <c r="F143" s="26">
        <f ca="1"/>
        <v>-0.20387819364954457</v>
      </c>
      <c r="G143" s="26">
        <f ca="1"/>
        <v>-0.15726789285604273</v>
      </c>
      <c r="H143" s="26">
        <f ca="1"/>
        <v>-0.11056034562838589</v>
      </c>
      <c r="I143" s="26">
        <f ca="1"/>
        <v>-9.2231396968850146E-2</v>
      </c>
      <c r="J143" s="26">
        <f ca="1"/>
        <v>-9.2231396968850146E-2</v>
      </c>
      <c r="K143" s="26">
        <f ca="1"/>
        <v>-9.2231396968850146E-2</v>
      </c>
      <c r="L143" s="26">
        <f ca="1"/>
        <v>-9.2231396968850146E-2</v>
      </c>
      <c r="M143" s="26">
        <f ca="1"/>
        <v>-9.2231396968850146E-2</v>
      </c>
      <c r="N143" s="6" t="str">
        <f>'Base data'!$F$21</f>
        <v>W/m2</v>
      </c>
    </row>
    <row r="144" spans="1:24" s="6" customFormat="1" x14ac:dyDescent="0.25">
      <c r="B144" s="1" t="str">
        <v>OT</v>
      </c>
      <c r="C144" s="26"/>
      <c r="D144" s="26">
        <f ca="1"/>
        <v>-0.19175477473598276</v>
      </c>
      <c r="E144" s="26">
        <f ca="1"/>
        <v>-0.10167574394035887</v>
      </c>
      <c r="F144" s="26">
        <f ca="1"/>
        <v>-5.3384959809189385E-2</v>
      </c>
      <c r="G144" s="26">
        <f ca="1"/>
        <v>-3.9031666841996236E-2</v>
      </c>
      <c r="H144" s="26">
        <f ca="1"/>
        <v>-2.5989807408446079E-2</v>
      </c>
      <c r="I144" s="26">
        <f ca="1"/>
        <v>-2.1221603908775227E-2</v>
      </c>
      <c r="J144" s="26">
        <f ca="1"/>
        <v>-2.1221603908775227E-2</v>
      </c>
      <c r="K144" s="26">
        <f ca="1"/>
        <v>-2.1221603908775227E-2</v>
      </c>
      <c r="L144" s="26">
        <f ca="1"/>
        <v>-2.1221603908775227E-2</v>
      </c>
      <c r="M144" s="26">
        <f ca="1"/>
        <v>-2.1221603908775227E-2</v>
      </c>
      <c r="N144" s="6" t="str">
        <f>'Base data'!$F$21</f>
        <v>W/m2</v>
      </c>
    </row>
    <row r="145" spans="1:26" s="6" customFormat="1" x14ac:dyDescent="0.25">
      <c r="B145" s="1" t="str">
        <v>EE</v>
      </c>
      <c r="C145" s="26"/>
      <c r="D145" s="26">
        <f ca="1"/>
        <v>-0.40026860921364787</v>
      </c>
      <c r="E145" s="26">
        <f ca="1"/>
        <v>-0.25466374657531954</v>
      </c>
      <c r="F145" s="26">
        <f ca="1"/>
        <v>-0.19541363130842077</v>
      </c>
      <c r="G145" s="26">
        <f ca="1"/>
        <v>-0.14292869183476337</v>
      </c>
      <c r="H145" s="26">
        <f ca="1"/>
        <v>-6.5053091529672161E-2</v>
      </c>
      <c r="I145" s="26">
        <f ca="1"/>
        <v>-5.489686938519326E-2</v>
      </c>
      <c r="J145" s="26">
        <f ca="1"/>
        <v>-5.489686938519326E-2</v>
      </c>
      <c r="K145" s="26">
        <f ca="1"/>
        <v>-5.489686938519326E-2</v>
      </c>
      <c r="L145" s="26">
        <f ca="1"/>
        <v>-5.489686938519326E-2</v>
      </c>
      <c r="M145" s="26">
        <f ca="1"/>
        <v>-5.489686938519326E-2</v>
      </c>
      <c r="N145" s="6" t="str">
        <f>'Base data'!$F$21</f>
        <v>W/m2</v>
      </c>
    </row>
    <row r="146" spans="1:26" s="6" customFormat="1" x14ac:dyDescent="0.25">
      <c r="B146" s="1" t="str">
        <v>CA</v>
      </c>
      <c r="C146" s="26"/>
      <c r="D146" s="26">
        <f ca="1"/>
        <v>-1.0608790859779869</v>
      </c>
      <c r="E146" s="26">
        <f ca="1"/>
        <v>-0.93137220432017476</v>
      </c>
      <c r="F146" s="26">
        <f ca="1"/>
        <v>-0.75703737786200442</v>
      </c>
      <c r="G146" s="26">
        <f ca="1"/>
        <v>-0.65102593019419763</v>
      </c>
      <c r="H146" s="26">
        <f ca="1"/>
        <v>-0.49405635336762466</v>
      </c>
      <c r="I146" s="26">
        <f ca="1"/>
        <v>-0.30616549184473252</v>
      </c>
      <c r="J146" s="26">
        <f ca="1"/>
        <v>-0.30616549184473252</v>
      </c>
      <c r="K146" s="26">
        <f ca="1"/>
        <v>-0.30616549184473252</v>
      </c>
      <c r="L146" s="26">
        <f ca="1"/>
        <v>-0.30616549184473252</v>
      </c>
      <c r="M146" s="26">
        <f ca="1"/>
        <v>-0.30616549184473252</v>
      </c>
      <c r="N146" s="6" t="str">
        <f>'Base data'!$F$21</f>
        <v>W/m2</v>
      </c>
    </row>
    <row r="147" spans="1:26" s="6" customFormat="1" x14ac:dyDescent="0.25">
      <c r="B147" s="1" t="str">
        <v>IA</v>
      </c>
      <c r="C147" s="26"/>
      <c r="D147" s="26">
        <f ca="1"/>
        <v>-0.65684138141470405</v>
      </c>
      <c r="E147" s="26">
        <f ca="1"/>
        <v>-0.54333490558951103</v>
      </c>
      <c r="F147" s="26">
        <f ca="1"/>
        <v>-0.40066099493281288</v>
      </c>
      <c r="G147" s="26">
        <f ca="1"/>
        <v>-0.32124174490668694</v>
      </c>
      <c r="H147" s="26">
        <f ca="1"/>
        <v>-0.2162690406758277</v>
      </c>
      <c r="I147" s="26">
        <f ca="1"/>
        <v>-0.11332763968506357</v>
      </c>
      <c r="J147" s="26">
        <f ca="1"/>
        <v>-0.11332763968506357</v>
      </c>
      <c r="K147" s="26">
        <f ca="1"/>
        <v>-0.11332763968506357</v>
      </c>
      <c r="L147" s="26">
        <f ca="1"/>
        <v>-0.11332763968506357</v>
      </c>
      <c r="M147" s="26">
        <f ca="1"/>
        <v>-0.11332763968506357</v>
      </c>
      <c r="N147" s="6" t="str">
        <f>'Base data'!$F$21</f>
        <v>W/m2</v>
      </c>
    </row>
    <row r="148" spans="1:26" s="6" customFormat="1" x14ac:dyDescent="0.25">
      <c r="B148" s="1" t="str">
        <v>AF</v>
      </c>
      <c r="C148" s="26"/>
      <c r="D148" s="26">
        <f ca="1"/>
        <v>-0.43013393043994075</v>
      </c>
      <c r="E148" s="26">
        <f ca="1"/>
        <v>-0.37144949751924405</v>
      </c>
      <c r="F148" s="26">
        <f ca="1"/>
        <v>-0.33722220454141583</v>
      </c>
      <c r="G148" s="26">
        <f ca="1"/>
        <v>-0.33030368163956203</v>
      </c>
      <c r="H148" s="26">
        <f ca="1"/>
        <v>-0.33312642445914853</v>
      </c>
      <c r="I148" s="26">
        <f ca="1"/>
        <v>-0.23281111807691987</v>
      </c>
      <c r="J148" s="26">
        <f ca="1"/>
        <v>-0.23281111807691987</v>
      </c>
      <c r="K148" s="26">
        <f ca="1"/>
        <v>-0.23281111807691987</v>
      </c>
      <c r="L148" s="26">
        <f ca="1"/>
        <v>-0.23281111807691987</v>
      </c>
      <c r="M148" s="26">
        <f ca="1"/>
        <v>-0.23281111807691987</v>
      </c>
      <c r="N148" s="6" t="str">
        <f>'Base data'!$F$21</f>
        <v>W/m2</v>
      </c>
    </row>
    <row r="149" spans="1:26" s="6" customFormat="1" x14ac:dyDescent="0.25">
      <c r="B149" s="1" t="str">
        <v>LA</v>
      </c>
      <c r="C149" s="26"/>
      <c r="D149" s="26">
        <f ca="1"/>
        <v>-0.27152826837252764</v>
      </c>
      <c r="E149" s="26">
        <f ca="1"/>
        <v>-0.25288103280352731</v>
      </c>
      <c r="F149" s="26">
        <f ca="1"/>
        <v>-0.24350187271746729</v>
      </c>
      <c r="G149" s="26">
        <f ca="1"/>
        <v>-0.21628194475076654</v>
      </c>
      <c r="H149" s="26">
        <f ca="1"/>
        <v>-8.225783952684923E-2</v>
      </c>
      <c r="I149" s="26">
        <f ca="1"/>
        <v>-4.8030800693521156E-2</v>
      </c>
      <c r="J149" s="26">
        <f ca="1"/>
        <v>-4.8030800693521156E-2</v>
      </c>
      <c r="K149" s="26">
        <f ca="1"/>
        <v>-4.8030800693521156E-2</v>
      </c>
      <c r="L149" s="26">
        <f ca="1"/>
        <v>-4.8030800693521156E-2</v>
      </c>
      <c r="M149" s="26">
        <f ca="1"/>
        <v>-4.8030800693521156E-2</v>
      </c>
      <c r="N149" s="6" t="str">
        <f>'Base data'!$F$21</f>
        <v>W/m2</v>
      </c>
    </row>
    <row r="150" spans="1:26" s="6" customFormat="1" x14ac:dyDescent="0.25">
      <c r="B150" s="6" t="s">
        <v>138</v>
      </c>
      <c r="C150" s="258"/>
      <c r="D150" s="258">
        <f t="array" aca="1" ref="D150" ca="1">SUM(AREA*D142:D149)/AREA_E</f>
        <v>-0.12355160185473402</v>
      </c>
      <c r="E150" s="258">
        <f t="array" aca="1" ref="E150" ca="1">SUM(AREA*E142:E149)/AREA_E</f>
        <v>-9.883342939555767E-2</v>
      </c>
      <c r="F150" s="258">
        <f t="array" aca="1" ref="F150" ca="1">SUM(AREA*F142:F149)/AREA_E</f>
        <v>-8.1461732187313479E-2</v>
      </c>
      <c r="G150" s="258">
        <f t="array" aca="1" ref="G150" ca="1">SUM(AREA*G142:G149)/AREA_E</f>
        <v>-7.1162417120570309E-2</v>
      </c>
      <c r="H150" s="258">
        <f t="array" aca="1" ref="H150" ca="1">SUM(AREA*H142:H149)/AREA_E</f>
        <v>-5.1535895996510858E-2</v>
      </c>
      <c r="I150" s="258">
        <f t="array" aca="1" ref="I150" ca="1">SUM(AREA*I142:I149)/AREA_E</f>
        <v>-3.4796482724614053E-2</v>
      </c>
      <c r="J150" s="258">
        <f t="array" aca="1" ref="J150" ca="1">SUM(AREA*J142:J149)/AREA_E</f>
        <v>-3.4796482724614053E-2</v>
      </c>
      <c r="K150" s="258">
        <f t="array" aca="1" ref="K150" ca="1">SUM(AREA*K142:K149)/AREA_E</f>
        <v>-3.4796482724614053E-2</v>
      </c>
      <c r="L150" s="258">
        <f t="array" aca="1" ref="L150" ca="1">SUM(AREA*L142:L149)/AREA_E</f>
        <v>-3.4796482724614053E-2</v>
      </c>
      <c r="M150" s="258">
        <f t="array" aca="1" ref="M150" ca="1">SUM(AREA*M142:M149)/AREA_E</f>
        <v>-3.4796482724614053E-2</v>
      </c>
      <c r="N150" s="6" t="s">
        <v>44</v>
      </c>
    </row>
    <row r="151" spans="1:26" s="6" customFormat="1" x14ac:dyDescent="0.25">
      <c r="A151" t="s">
        <v>76</v>
      </c>
      <c r="B151" t="s">
        <v>77</v>
      </c>
      <c r="C151" s="1" t="str">
        <f t="array" ref="C151:C158">R_CODE</f>
        <v>EU</v>
      </c>
      <c r="D151" s="26">
        <f t="array" aca="1" ref="D151:M158" ca="1">fsd_b+fsi_b</f>
        <v>-1.85003137954285</v>
      </c>
      <c r="E151" s="26">
        <f ca="1"/>
        <v>-0.98834090266344099</v>
      </c>
      <c r="F151" s="26">
        <f ca="1"/>
        <v>-0.54738937244298236</v>
      </c>
      <c r="G151" s="26">
        <f ca="1"/>
        <v>-0.41180039731802187</v>
      </c>
      <c r="H151" s="26">
        <f ca="1"/>
        <v>-0.28363107671684729</v>
      </c>
      <c r="I151" s="26">
        <f ca="1"/>
        <v>-0.23503346309401962</v>
      </c>
      <c r="J151" s="26">
        <f ca="1"/>
        <v>-0.23503346309401962</v>
      </c>
      <c r="K151" s="26">
        <f ca="1"/>
        <v>-0.23503346309401962</v>
      </c>
      <c r="L151" s="26">
        <f ca="1"/>
        <v>-0.23503346309401962</v>
      </c>
      <c r="M151" s="26">
        <f ca="1"/>
        <v>-0.23503346309401962</v>
      </c>
      <c r="N151" s="6" t="str">
        <f>'Base data'!$F$21</f>
        <v>W/m2</v>
      </c>
      <c r="O151"/>
      <c r="P151"/>
      <c r="Q151"/>
      <c r="R151"/>
      <c r="S151"/>
      <c r="T151"/>
      <c r="U151"/>
      <c r="V151"/>
      <c r="W151"/>
      <c r="X151"/>
    </row>
    <row r="152" spans="1:26" s="6" customFormat="1" x14ac:dyDescent="0.25">
      <c r="A152"/>
      <c r="B152"/>
      <c r="C152" s="1" t="str">
        <v>US</v>
      </c>
      <c r="D152" s="26">
        <f ca="1"/>
        <v>-1.3138282450308862</v>
      </c>
      <c r="E152" s="26">
        <f ca="1"/>
        <v>-0.69897660712029897</v>
      </c>
      <c r="F152" s="26">
        <f ca="1"/>
        <v>-0.38109462765722502</v>
      </c>
      <c r="G152" s="26">
        <f ca="1"/>
        <v>-0.28404230939484743</v>
      </c>
      <c r="H152" s="26">
        <f ca="1"/>
        <v>-0.19332965907509897</v>
      </c>
      <c r="I152" s="26">
        <f ca="1"/>
        <v>-0.15933297805438168</v>
      </c>
      <c r="J152" s="26">
        <f ca="1"/>
        <v>-0.15933297805438168</v>
      </c>
      <c r="K152" s="26">
        <f ca="1"/>
        <v>-0.15933297805438168</v>
      </c>
      <c r="L152" s="26">
        <f ca="1"/>
        <v>-0.15933297805438168</v>
      </c>
      <c r="M152" s="26">
        <f ca="1"/>
        <v>-0.15933297805438168</v>
      </c>
      <c r="N152" s="6" t="str">
        <f>'Base data'!$F$21</f>
        <v>W/m2</v>
      </c>
      <c r="O152"/>
      <c r="P152"/>
      <c r="Q152"/>
      <c r="R152"/>
      <c r="S152"/>
      <c r="T152"/>
      <c r="U152"/>
      <c r="V152"/>
      <c r="W152"/>
      <c r="X152"/>
    </row>
    <row r="153" spans="1:26" x14ac:dyDescent="0.25">
      <c r="C153" s="1" t="str">
        <v>OT</v>
      </c>
      <c r="D153" s="26">
        <f ca="1"/>
        <v>-0.3551718624991666</v>
      </c>
      <c r="E153" s="26">
        <f ca="1"/>
        <v>-0.17674386944608983</v>
      </c>
      <c r="F153" s="26">
        <f ca="1"/>
        <v>-8.9970703865412907E-2</v>
      </c>
      <c r="G153" s="26">
        <f ca="1"/>
        <v>-6.5203823969166311E-2</v>
      </c>
      <c r="H153" s="26">
        <f ca="1"/>
        <v>-4.3077257195069968E-2</v>
      </c>
      <c r="I153" s="26">
        <f ca="1"/>
        <v>-3.5074502400439883E-2</v>
      </c>
      <c r="J153" s="26">
        <f ca="1"/>
        <v>-3.5074502400439883E-2</v>
      </c>
      <c r="K153" s="26">
        <f ca="1"/>
        <v>-3.5074502400439883E-2</v>
      </c>
      <c r="L153" s="26">
        <f ca="1"/>
        <v>-3.5074502400439883E-2</v>
      </c>
      <c r="M153" s="26">
        <f ca="1"/>
        <v>-3.5074502400439883E-2</v>
      </c>
      <c r="N153" s="6" t="str">
        <f>'Base data'!$F$21</f>
        <v>W/m2</v>
      </c>
    </row>
    <row r="154" spans="1:26" x14ac:dyDescent="0.25">
      <c r="C154" s="1" t="str">
        <v>EE</v>
      </c>
      <c r="D154" s="26">
        <f ca="1"/>
        <v>-0.88649799356674863</v>
      </c>
      <c r="E154" s="26">
        <f ca="1"/>
        <v>-0.49540482287465437</v>
      </c>
      <c r="F154" s="26">
        <f ca="1"/>
        <v>-0.36294313721023291</v>
      </c>
      <c r="G154" s="26">
        <f ca="1"/>
        <v>-0.25553848230061604</v>
      </c>
      <c r="H154" s="26">
        <f ca="1"/>
        <v>-0.11043765601857762</v>
      </c>
      <c r="I154" s="26">
        <f ca="1"/>
        <v>-9.2605604136255612E-2</v>
      </c>
      <c r="J154" s="26">
        <f ca="1"/>
        <v>-9.2605604136255612E-2</v>
      </c>
      <c r="K154" s="26">
        <f ca="1"/>
        <v>-9.2605604136255612E-2</v>
      </c>
      <c r="L154" s="26">
        <f ca="1"/>
        <v>-9.2605604136255612E-2</v>
      </c>
      <c r="M154" s="26">
        <f ca="1"/>
        <v>-9.2605604136255612E-2</v>
      </c>
      <c r="N154" s="6" t="str">
        <f>'Base data'!$F$21</f>
        <v>W/m2</v>
      </c>
    </row>
    <row r="155" spans="1:26" x14ac:dyDescent="0.25">
      <c r="C155" s="1" t="str">
        <v>CA</v>
      </c>
      <c r="D155" s="26">
        <f ca="1"/>
        <v>-5.8233326426211676</v>
      </c>
      <c r="E155" s="26">
        <f ca="1"/>
        <v>-4.1049161073428282</v>
      </c>
      <c r="F155" s="26">
        <f ca="1"/>
        <v>-2.5617163080032488</v>
      </c>
      <c r="G155" s="26">
        <f ca="1"/>
        <v>-1.9106521636903249</v>
      </c>
      <c r="H155" s="26">
        <f ca="1"/>
        <v>-1.2049055886575315</v>
      </c>
      <c r="I155" s="26">
        <f ca="1"/>
        <v>-0.6218990221278019</v>
      </c>
      <c r="J155" s="26">
        <f ca="1"/>
        <v>-0.6218990221278019</v>
      </c>
      <c r="K155" s="26">
        <f ca="1"/>
        <v>-0.6218990221278019</v>
      </c>
      <c r="L155" s="26">
        <f ca="1"/>
        <v>-0.6218990221278019</v>
      </c>
      <c r="M155" s="26">
        <f ca="1"/>
        <v>-0.6218990221278019</v>
      </c>
      <c r="N155" s="6" t="str">
        <f>'Base data'!$F$21</f>
        <v>W/m2</v>
      </c>
    </row>
    <row r="156" spans="1:26" x14ac:dyDescent="0.25">
      <c r="C156" s="1" t="str">
        <v>IA</v>
      </c>
      <c r="D156" s="26">
        <f ca="1"/>
        <v>-1.9421271352620155</v>
      </c>
      <c r="E156" s="26">
        <f ca="1"/>
        <v>-1.3998074610172293</v>
      </c>
      <c r="F156" s="26">
        <f ca="1"/>
        <v>-0.88770576956235703</v>
      </c>
      <c r="G156" s="26">
        <f ca="1"/>
        <v>-0.66118829427021686</v>
      </c>
      <c r="H156" s="26">
        <f ca="1"/>
        <v>-0.40811225434390092</v>
      </c>
      <c r="I156" s="26">
        <f ca="1"/>
        <v>-0.19853745929972072</v>
      </c>
      <c r="J156" s="26">
        <f ca="1"/>
        <v>-0.19853745929972072</v>
      </c>
      <c r="K156" s="26">
        <f ca="1"/>
        <v>-0.19853745929972072</v>
      </c>
      <c r="L156" s="26">
        <f ca="1"/>
        <v>-0.19853745929972072</v>
      </c>
      <c r="M156" s="26">
        <f ca="1"/>
        <v>-0.19853745929972072</v>
      </c>
      <c r="N156" s="6" t="str">
        <f>'Base data'!$F$21</f>
        <v>W/m2</v>
      </c>
    </row>
    <row r="157" spans="1:26" x14ac:dyDescent="0.25">
      <c r="C157" s="1" t="str">
        <v>AF</v>
      </c>
      <c r="D157" s="26">
        <f ca="1"/>
        <v>-0.98122285424609645</v>
      </c>
      <c r="E157" s="26">
        <f ca="1"/>
        <v>-0.80031715381381796</v>
      </c>
      <c r="F157" s="26">
        <f ca="1"/>
        <v>-0.70404588143964797</v>
      </c>
      <c r="G157" s="26">
        <f ca="1"/>
        <v>-0.6853344925223156</v>
      </c>
      <c r="H157" s="26">
        <f ca="1"/>
        <v>-0.69293944795058438</v>
      </c>
      <c r="I157" s="26">
        <f ca="1"/>
        <v>-0.44503979322704917</v>
      </c>
      <c r="J157" s="26">
        <f ca="1"/>
        <v>-0.44503979322704917</v>
      </c>
      <c r="K157" s="26">
        <f ca="1"/>
        <v>-0.44503979322704917</v>
      </c>
      <c r="L157" s="26">
        <f ca="1"/>
        <v>-0.44503979322704917</v>
      </c>
      <c r="M157" s="26">
        <f ca="1"/>
        <v>-0.44503979322704917</v>
      </c>
      <c r="N157" s="6" t="str">
        <f>'Base data'!$F$21</f>
        <v>W/m2</v>
      </c>
    </row>
    <row r="158" spans="1:26" x14ac:dyDescent="0.25">
      <c r="C158" s="1" t="str">
        <v>LA</v>
      </c>
      <c r="D158" s="26">
        <f ca="1"/>
        <v>-0.53557430422878372</v>
      </c>
      <c r="E158" s="26">
        <f ca="1"/>
        <v>-0.49122613362981293</v>
      </c>
      <c r="F158" s="26">
        <f ca="1"/>
        <v>-0.46944821761699923</v>
      </c>
      <c r="G158" s="26">
        <f ca="1"/>
        <v>-0.40814067340169768</v>
      </c>
      <c r="H158" s="26">
        <f ca="1"/>
        <v>-0.1411856210117125</v>
      </c>
      <c r="I158" s="26">
        <f ca="1"/>
        <v>-8.0679985698959109E-2</v>
      </c>
      <c r="J158" s="26">
        <f ca="1"/>
        <v>-8.0679985698959109E-2</v>
      </c>
      <c r="K158" s="26">
        <f ca="1"/>
        <v>-8.0679985698959109E-2</v>
      </c>
      <c r="L158" s="26">
        <f ca="1"/>
        <v>-8.0679985698959109E-2</v>
      </c>
      <c r="M158" s="26">
        <f ca="1"/>
        <v>-8.0679985698959109E-2</v>
      </c>
      <c r="N158" s="6" t="str">
        <f>'Base data'!$F$21</f>
        <v>W/m2</v>
      </c>
    </row>
    <row r="159" spans="1:26" ht="13.5" thickBot="1" x14ac:dyDescent="0.35">
      <c r="C159" t="s">
        <v>138</v>
      </c>
      <c r="D159" s="259">
        <f t="array" aca="1" ref="D159" ca="1">SUM(AREA*D151:D158)/AREA_E</f>
        <v>-0.36435764493166573</v>
      </c>
      <c r="E159" s="259">
        <f t="array" aca="1" ref="E159" ca="1">SUM(AREA*E151:E158)/AREA_E</f>
        <v>-0.25804123359507292</v>
      </c>
      <c r="F159" s="259">
        <f t="array" aca="1" ref="F159" ca="1">SUM(AREA*F151:F158)/AREA_E</f>
        <v>-0.18718029301567482</v>
      </c>
      <c r="G159" s="259">
        <f t="array" aca="1" ref="G159" ca="1">SUM(AREA*G151:G158)/AREA_E</f>
        <v>-0.15425370430336421</v>
      </c>
      <c r="H159" s="259">
        <f t="array" aca="1" ref="H159" ca="1">SUM(AREA*H151:H158)/AREA_E</f>
        <v>-0.10603284794742485</v>
      </c>
      <c r="I159" s="259">
        <f t="array" aca="1" ref="I159" ca="1">SUM(AREA*I151:I158)/AREA_E</f>
        <v>-6.5106458741544679E-2</v>
      </c>
      <c r="J159" s="259">
        <f t="array" aca="1" ref="J159" ca="1">SUM(AREA*J151:J158)/AREA_E</f>
        <v>-6.5106458741544679E-2</v>
      </c>
      <c r="K159" s="259">
        <f t="array" aca="1" ref="K159" ca="1">SUM(AREA*K151:K158)/AREA_E</f>
        <v>-6.5106458741544679E-2</v>
      </c>
      <c r="L159" s="259">
        <f t="array" aca="1" ref="L159" ca="1">SUM(AREA*L151:L158)/AREA_E</f>
        <v>-6.5106458741544679E-2</v>
      </c>
      <c r="M159" s="259">
        <f t="array" aca="1" ref="M159" ca="1">SUM(AREA*M151:M158)/AREA_E</f>
        <v>-6.5106458741544679E-2</v>
      </c>
      <c r="N159" s="6" t="s">
        <v>44</v>
      </c>
      <c r="O159" s="6"/>
      <c r="P159" s="6"/>
      <c r="Q159" s="6"/>
      <c r="R159" s="6"/>
      <c r="S159" s="6"/>
      <c r="T159" s="6"/>
      <c r="U159" s="6"/>
      <c r="V159" s="6"/>
      <c r="W159" s="6"/>
      <c r="X159" s="6"/>
      <c r="Y159" s="124"/>
      <c r="Z159" s="124" t="s">
        <v>559</v>
      </c>
    </row>
    <row r="160" spans="1:26" ht="13.5" thickTop="1" x14ac:dyDescent="0.3">
      <c r="D160" s="6"/>
      <c r="E160" s="6"/>
      <c r="F160" s="6"/>
      <c r="G160" s="6"/>
      <c r="H160" s="6"/>
      <c r="I160" s="6"/>
      <c r="J160" s="6"/>
      <c r="K160" s="6"/>
      <c r="L160" s="6"/>
      <c r="M160" s="6"/>
      <c r="N160" s="6"/>
      <c r="Y160" s="124"/>
      <c r="Z160" s="124"/>
    </row>
    <row r="161" spans="1:26" ht="13" x14ac:dyDescent="0.3">
      <c r="A161" s="3" t="s">
        <v>566</v>
      </c>
      <c r="B161" t="s">
        <v>563</v>
      </c>
      <c r="C161" s="215">
        <f ca="1" xml:space="preserve"> FGT_0</f>
        <v>2.5600418463227186</v>
      </c>
      <c r="D161" s="215">
        <f t="array" ref="D161:M161" ca="1" xml:space="preserve"> ft_b+fs_g_b</f>
        <v>2.9664998552836153</v>
      </c>
      <c r="E161" s="215">
        <f ca="1"/>
        <v>3.1708863311212028</v>
      </c>
      <c r="F161" s="215">
        <f ca="1"/>
        <v>3.1781468959550661</v>
      </c>
      <c r="G161" s="215">
        <f ca="1"/>
        <v>3.1032920572518403</v>
      </c>
      <c r="H161" s="215">
        <f ca="1"/>
        <v>2.8945991973504883</v>
      </c>
      <c r="I161" s="215">
        <f ca="1"/>
        <v>2.6549181779086908</v>
      </c>
      <c r="J161" s="215">
        <f ca="1"/>
        <v>2.3474104023907363</v>
      </c>
      <c r="K161" s="215">
        <f ca="1"/>
        <v>2.1556509065265894</v>
      </c>
      <c r="L161" s="215">
        <f ca="1"/>
        <v>1.9960814480714124</v>
      </c>
      <c r="M161" s="215">
        <f ca="1"/>
        <v>1.85319607486006</v>
      </c>
      <c r="N161" s="57" t="s">
        <v>44</v>
      </c>
      <c r="O161" s="6"/>
      <c r="P161" s="6"/>
      <c r="Q161" s="6"/>
      <c r="R161" s="6"/>
      <c r="S161" s="6"/>
      <c r="T161" s="6"/>
      <c r="U161" s="6"/>
      <c r="V161" s="6"/>
      <c r="W161" s="6"/>
      <c r="X161" s="6"/>
      <c r="Y161" s="124"/>
      <c r="Z161" s="124" t="s">
        <v>567</v>
      </c>
    </row>
    <row r="162" spans="1:26" ht="13" x14ac:dyDescent="0.3">
      <c r="A162" t="s">
        <v>564</v>
      </c>
      <c r="B162" s="3"/>
      <c r="D162" s="224">
        <f ca="1" xml:space="preserve"> (fgt_1_b - FGT_0) / YP_1</f>
        <v>8.1291601792179341E-2</v>
      </c>
      <c r="E162" s="224">
        <f t="array" ref="E162:M162" ca="1" xml:space="preserve"> (fgt_not_1_b - fgt_b) / YP_NOT_1</f>
        <v>2.043864758375875E-2</v>
      </c>
      <c r="F162" s="224">
        <f ca="1"/>
        <v>7.2605648338632813E-4</v>
      </c>
      <c r="G162" s="224">
        <f ca="1"/>
        <v>-7.4854838703225738E-3</v>
      </c>
      <c r="H162" s="224">
        <f ca="1"/>
        <v>-8.3477143960540793E-3</v>
      </c>
      <c r="I162" s="224">
        <f ca="1"/>
        <v>-9.5872407776719012E-3</v>
      </c>
      <c r="J162" s="224">
        <f ca="1"/>
        <v>-6.1501555103590901E-3</v>
      </c>
      <c r="K162" s="224">
        <f ca="1"/>
        <v>-3.8351899172829372E-3</v>
      </c>
      <c r="L162" s="224">
        <f ca="1"/>
        <v>-3.19138916910354E-3</v>
      </c>
      <c r="M162" s="224">
        <f ca="1"/>
        <v>-2.8577074642270484E-3</v>
      </c>
      <c r="N162" s="57" t="s">
        <v>565</v>
      </c>
      <c r="Y162" s="124"/>
      <c r="Z162" s="124" t="s">
        <v>567</v>
      </c>
    </row>
    <row r="163" spans="1:26" x14ac:dyDescent="0.25">
      <c r="D163" s="6"/>
      <c r="E163" s="6"/>
      <c r="F163" s="6"/>
      <c r="G163" s="6"/>
      <c r="H163" s="6"/>
      <c r="I163" s="6"/>
      <c r="J163" s="6"/>
      <c r="K163" s="6"/>
      <c r="L163" s="6"/>
      <c r="M163" s="6"/>
      <c r="N163" s="6"/>
    </row>
    <row r="164" spans="1:26" ht="14.5" x14ac:dyDescent="0.35">
      <c r="A164" s="3" t="s">
        <v>924</v>
      </c>
      <c r="B164" s="3" t="s">
        <v>445</v>
      </c>
      <c r="C164" s="215">
        <f ca="1" xml:space="preserve"> RT_G_0</f>
        <v>0.94616666666666671</v>
      </c>
      <c r="D164" s="260">
        <f ca="1" xml:space="preserve"> RT_G_0 + (ECS * FGT_0 / (LN(2) * FSLOPE_CO2) - RT_G_0) * (1 - EXP(-YP_1/FRT))</f>
        <v>1.0980041587474358</v>
      </c>
      <c r="E164" s="215">
        <f t="array" ref="E164:M164" ca="1" xml:space="preserve"> pt_g_b + (ECS * (fgt_b - rate_fgt_b*FRT) / (LN(2)*FSLOPE_CO2) - pt_g_b) * ( 1 - EXP( - (YP_NOT_1)/FRT) ) + ECS * (rate_fgt_b*YP_NOT_1) / (LN(2)*FSLOPE_CO2)</f>
        <v>1.5151615503973281</v>
      </c>
      <c r="F164" s="215">
        <f ca="1"/>
        <v>1.7824867923786174</v>
      </c>
      <c r="G164" s="215">
        <f ca="1"/>
        <v>1.9490584169609868</v>
      </c>
      <c r="H164" s="215">
        <f ca="1"/>
        <v>2.0995516330154671</v>
      </c>
      <c r="I164" s="215">
        <f ca="1"/>
        <v>2.0664367146040843</v>
      </c>
      <c r="J164" s="215">
        <f ca="1"/>
        <v>1.7865600457430042</v>
      </c>
      <c r="K164" s="215">
        <f ca="1"/>
        <v>1.6181133780513952</v>
      </c>
      <c r="L164" s="215">
        <f ca="1"/>
        <v>1.5174635019411837</v>
      </c>
      <c r="M164" s="215">
        <f ca="1"/>
        <v>1.415437168962224</v>
      </c>
      <c r="N164" s="57" t="s">
        <v>43</v>
      </c>
    </row>
    <row r="165" spans="1:26" ht="14.5" x14ac:dyDescent="0.35">
      <c r="A165" s="3"/>
      <c r="B165" s="3"/>
      <c r="C165" s="6"/>
      <c r="D165" s="112"/>
      <c r="E165" s="6"/>
      <c r="F165" s="6"/>
      <c r="G165" s="6"/>
      <c r="H165" s="6"/>
      <c r="I165" s="6"/>
      <c r="J165" s="6"/>
      <c r="K165" s="6"/>
      <c r="L165" s="6"/>
      <c r="M165" s="6"/>
      <c r="N165" s="57"/>
    </row>
    <row r="166" spans="1:26" ht="14.5" x14ac:dyDescent="0.35">
      <c r="A166" s="103" t="s">
        <v>917</v>
      </c>
      <c r="B166" s="103"/>
      <c r="C166" s="251"/>
      <c r="D166" s="252">
        <f ca="1" xml:space="preserve"> ( ((ALB_SAF_QUADR_MEAN_T2_COEFF*(pt_g_1_b^3)/3 + ALB_SAF_QUADR_MEAN_T1_COEFF*(pt_g_1_b^2)/2 + ALB_SAF_QUADR_MEAN_T0_COEFF*pt_g_1_b) + (ALB_SAF_QUADR_STD*pt_g_1_b) * ALB_EMULATOR_RAND) - ALB_FSAF_Y0 ) / (pt_g_1_b - RT_G_0)</f>
        <v>0.35511839664972566</v>
      </c>
      <c r="E166" s="251">
        <f t="array" ref="E166:M166" ca="1" xml:space="preserve"> IF( pt_g_not_1_b &lt;= ALB_T_SWITCH, ( ((ALB_SAF_QUADR_MEAN_T2_COEFF*(pt_g_not_1_b^3)/3 + ALB_SAF_QUADR_MEAN_T1_COEFF*(pt_g_not_1_b^2)/2 + ALB_SAF_QUADR_MEAN_T0_COEFF*pt_g_not_1_b) + (ALB_SAF_QUADR_STD*pt_g_not_1_b) * ALB_EMULATOR_RAND) - ((ALB_SAF_QUADR_MEAN_T2_COEFF*(rt_g_b^3)/3 + ALB_SAF_QUADR_MEAN_T1_COEFF*(rt_g_b^2)/2 + ALB_SAF_QUADR_MEAN_T0_COEFF*rt_g_b) + (ALB_SAF_QUADR_STD*rt_g_b) * ALB_EMULATOR_RAND) ) / (pt_g_not_1_b - rt_g_b), 0 ) + IF(  pt_g_not_1_b &gt; ALB_T_SWITCH, (ALB_SAF_LIN_MEAN + ALB_SAF_LIN_STD*ALB_EMULATOR_RAND) )</f>
        <v>0.35197912682108762</v>
      </c>
      <c r="F166" s="251">
        <f ca="1"/>
        <v>0.34782897779380395</v>
      </c>
      <c r="G166" s="251">
        <f ca="1"/>
        <v>0.34495710933473889</v>
      </c>
      <c r="H166" s="251">
        <f ca="1"/>
        <v>0.34273756470791999</v>
      </c>
      <c r="I166" s="251">
        <f ca="1"/>
        <v>0.34189412463628438</v>
      </c>
      <c r="J166" s="251">
        <f ca="1"/>
        <v>0.34410997139503741</v>
      </c>
      <c r="K166" s="251">
        <f ca="1"/>
        <v>0.34714300321856995</v>
      </c>
      <c r="L166" s="251">
        <f ca="1"/>
        <v>0.34886707617710527</v>
      </c>
      <c r="M166" s="251">
        <f ca="1"/>
        <v>0.35011649700526731</v>
      </c>
      <c r="N166" s="57" t="s">
        <v>544</v>
      </c>
      <c r="Z166" s="124" t="s">
        <v>952</v>
      </c>
    </row>
    <row r="167" spans="1:26" ht="14.5" x14ac:dyDescent="0.35">
      <c r="A167" s="103" t="s">
        <v>919</v>
      </c>
      <c r="B167" s="103"/>
      <c r="C167" s="251"/>
      <c r="D167" s="252">
        <f t="array" ref="D167:M167" ca="1" xml:space="preserve"> alb_saf_approx_b - ALB_SAF_ECS</f>
        <v>5.5279251557724951E-3</v>
      </c>
      <c r="E167" s="251">
        <f ca="1"/>
        <v>2.3886553271344479E-3</v>
      </c>
      <c r="F167" s="251">
        <f ca="1"/>
        <v>-1.7614937001492192E-3</v>
      </c>
      <c r="G167" s="251">
        <f ca="1"/>
        <v>-4.6333621592142826E-3</v>
      </c>
      <c r="H167" s="251">
        <f ca="1"/>
        <v>-6.8529067860331749E-3</v>
      </c>
      <c r="I167" s="251">
        <f ca="1"/>
        <v>-7.6963468576687899E-3</v>
      </c>
      <c r="J167" s="251">
        <f ca="1"/>
        <v>-5.4805000989157637E-3</v>
      </c>
      <c r="K167" s="251">
        <f ca="1"/>
        <v>-2.4474682753832244E-3</v>
      </c>
      <c r="L167" s="251">
        <f ca="1"/>
        <v>-7.2339531684789682E-4</v>
      </c>
      <c r="M167" s="251">
        <f ca="1"/>
        <v>5.2602551131414321E-4</v>
      </c>
      <c r="N167" s="57" t="s">
        <v>544</v>
      </c>
      <c r="Z167" s="124" t="s">
        <v>952</v>
      </c>
    </row>
    <row r="168" spans="1:26" ht="14.5" x14ac:dyDescent="0.35">
      <c r="A168" s="103" t="s">
        <v>927</v>
      </c>
      <c r="B168" s="103"/>
      <c r="C168" s="208"/>
      <c r="D168" s="252">
        <f ca="1" xml:space="preserve"> ((ALB_SAF_QUADR_MEAN_T2_COEFF*(RT_G_0^3)/3 + ALB_SAF_QUADR_MEAN_T1_COEFF*(RT_G_0^2)/2 + ALB_SAF_QUADR_MEAN_T0_COEFF*RT_G_0) + (ALB_SAF_QUADR_STD*RT_G_0) * ALB_EMULATOR_RAND) - alb_saf_approx_1_b*RT_G_0</f>
        <v>4.7042027631892802E-3</v>
      </c>
      <c r="E168" s="251">
        <f t="array" ref="E168:M168" ca="1" xml:space="preserve"> IF( rt_g_b &lt;= ALB_T_SWITCH, ((ALB_SAF_QUADR_MEAN_T2_COEFF*(rt_g_b^3)/3 + ALB_SAF_QUADR_MEAN_T1_COEFF*(rt_g_b^2)/2 + ALB_SAF_QUADR_MEAN_T0_COEFF*rt_g_b) + (ALB_SAF_QUADR_STD*rt_g_b) * ALB_EMULATOR_RAND), 0 ) + IF( rt_g_b &gt; ALB_T_SWITCH, ALB_FSAF_T_SWITCH + ALB_SAF_LIN_MEAN*(rt_g_b - ALB_T_SWITCH) + (ALB_SAF_LIN_STD*(rt_g_b - ALB_T_SWITCH)) * ALB_EMULATOR_RAND, 0 ) - alb_saf_approx_not_1_b * rt_g_b</f>
        <v>8.151134090464196E-3</v>
      </c>
      <c r="F168" s="251">
        <f ca="1"/>
        <v>1.4439280325023285E-2</v>
      </c>
      <c r="G168" s="251">
        <f ca="1"/>
        <v>1.9558347922755459E-2</v>
      </c>
      <c r="H168" s="251">
        <f ca="1"/>
        <v>2.3884370059477411E-2</v>
      </c>
      <c r="I168" s="251">
        <f ca="1"/>
        <v>2.5655216039230599E-2</v>
      </c>
      <c r="J168" s="251">
        <f ca="1"/>
        <v>2.1076308943006938E-2</v>
      </c>
      <c r="K168" s="251">
        <f ca="1"/>
        <v>1.5657615469616637E-2</v>
      </c>
      <c r="L168" s="251">
        <f ca="1"/>
        <v>1.2867869950674016E-2</v>
      </c>
      <c r="M168" s="251">
        <f ca="1"/>
        <v>1.0971919445373013E-2</v>
      </c>
      <c r="N168" s="3" t="s">
        <v>44</v>
      </c>
      <c r="Z168" s="124" t="s">
        <v>952</v>
      </c>
    </row>
    <row r="169" spans="1:26" ht="14.5" x14ac:dyDescent="0.35">
      <c r="A169" s="103" t="s">
        <v>928</v>
      </c>
      <c r="B169" s="103"/>
      <c r="C169" s="252"/>
      <c r="D169" s="252">
        <f t="array" ref="D169:M169" ca="1" xml:space="preserve"> ECS / ( 1 - ECS * alb_saf_adjust_b / (LN(2)*FSLOPE_CO2) )</f>
        <v>2.8181311629235757</v>
      </c>
      <c r="E169" s="251">
        <f ca="1"/>
        <v>2.8116065276319286</v>
      </c>
      <c r="F169" s="251">
        <f ca="1"/>
        <v>2.8030271184000282</v>
      </c>
      <c r="G169" s="251">
        <f ca="1"/>
        <v>2.7971208263249232</v>
      </c>
      <c r="H169" s="251">
        <f ca="1"/>
        <v>2.7925731294140737</v>
      </c>
      <c r="I169" s="251">
        <f ca="1"/>
        <v>2.7908488527474771</v>
      </c>
      <c r="J169" s="251">
        <f ca="1"/>
        <v>2.7953833512505688</v>
      </c>
      <c r="K169" s="251">
        <f ca="1"/>
        <v>2.8016140750714897</v>
      </c>
      <c r="L169" s="251">
        <f ca="1"/>
        <v>2.8051682165348453</v>
      </c>
      <c r="M169" s="251">
        <f ca="1"/>
        <v>2.8077495128476988</v>
      </c>
      <c r="N169" s="57" t="s">
        <v>43</v>
      </c>
      <c r="Z169" s="124" t="s">
        <v>558</v>
      </c>
    </row>
    <row r="170" spans="1:26" ht="14.5" x14ac:dyDescent="0.35">
      <c r="A170" s="103" t="s">
        <v>929</v>
      </c>
      <c r="B170" s="103"/>
      <c r="C170" s="253"/>
      <c r="D170" s="253">
        <f t="array" ref="D170:M170" ca="1" xml:space="preserve"> FRT / ( 1 - ECS * alb_saf_adjust_b / (LN(2)*FSLOPE_CO2) )</f>
        <v>28.449113155246707</v>
      </c>
      <c r="E170" s="204">
        <f ca="1"/>
        <v>28.383246778922253</v>
      </c>
      <c r="F170" s="204">
        <f ca="1"/>
        <v>28.296637402022178</v>
      </c>
      <c r="G170" s="204">
        <f ca="1"/>
        <v>28.237013217816965</v>
      </c>
      <c r="H170" s="204">
        <f ca="1"/>
        <v>28.191104089911683</v>
      </c>
      <c r="I170" s="204">
        <f ca="1"/>
        <v>28.173697468586056</v>
      </c>
      <c r="J170" s="204">
        <f ca="1"/>
        <v>28.219473358194733</v>
      </c>
      <c r="K170" s="204">
        <f ca="1"/>
        <v>28.282372689976214</v>
      </c>
      <c r="L170" s="204">
        <f ca="1"/>
        <v>28.318251847763836</v>
      </c>
      <c r="M170" s="204">
        <f ca="1"/>
        <v>28.344310106462988</v>
      </c>
      <c r="N170" s="57" t="s">
        <v>459</v>
      </c>
      <c r="Z170" s="124" t="s">
        <v>558</v>
      </c>
    </row>
    <row r="171" spans="1:26" ht="14.5" x14ac:dyDescent="0.35">
      <c r="A171" s="3"/>
      <c r="B171" s="103" t="s">
        <v>925</v>
      </c>
      <c r="C171" s="204"/>
      <c r="D171" s="112"/>
      <c r="E171" s="6"/>
      <c r="F171" s="6"/>
      <c r="G171" s="6"/>
      <c r="H171" s="6"/>
      <c r="I171" s="6"/>
      <c r="J171" s="6"/>
      <c r="K171" s="6"/>
      <c r="L171" s="6"/>
      <c r="M171" s="6"/>
      <c r="N171" s="57"/>
    </row>
    <row r="172" spans="1:26" ht="13" x14ac:dyDescent="0.3">
      <c r="A172" s="113" t="s">
        <v>582</v>
      </c>
      <c r="B172" s="113" t="s">
        <v>181</v>
      </c>
      <c r="C172" s="254">
        <f ca="1" xml:space="preserve"> RT_G_0</f>
        <v>0.94616666666666671</v>
      </c>
      <c r="D172" s="254">
        <f ca="1" xml:space="preserve"> IF(switch_seaice_b = 0,  pt_g_1_b, 0) +  IF(switch_seaice_b = 1, RT_G_0 + (ecs_alb_adj_1_b * (FGT_0 + alb_fsaf_adjust_1_b) / (LN(2) * FSLOPE_CO2) - RT_G_0) * (1 - EXP(-YP_1/frt_alb_adj_1_b)), 0)</f>
        <v>1.0980041587474358</v>
      </c>
      <c r="E172" s="254">
        <f t="array" ref="E172:M172" ca="1" xml:space="preserve"> IF(switch_seaice_b = 0,  pt_g_not_1_b, 0) +  IF(switch_seaice_b = 1, rt_g_b + (ecs_alb_adj_not_1_b * (fgt_b - rate_fgt_b*frt_alb_adj_not_1_b + alb_fsaf_adjust_not_1_b) / (LN(2)*FSLOPE_CO2) - rt_g_b) * (1 - EXP( - (YP_NOT_1)/frt_alb_adj_not_1_b)) + ecs_alb_adj_not_1_b * (rate_fgt_b*YP_NOT_1) / (LN(2)*FSLOPE_CO2), 0)</f>
        <v>1.5151615503973281</v>
      </c>
      <c r="F172" s="254">
        <f ca="1"/>
        <v>1.7824867923786174</v>
      </c>
      <c r="G172" s="254">
        <f ca="1"/>
        <v>1.9490584169609868</v>
      </c>
      <c r="H172" s="254">
        <f ca="1"/>
        <v>2.0995516330154671</v>
      </c>
      <c r="I172" s="254">
        <f ca="1"/>
        <v>2.0664367146040843</v>
      </c>
      <c r="J172" s="254">
        <f ca="1"/>
        <v>1.7865600457430042</v>
      </c>
      <c r="K172" s="254">
        <f ca="1"/>
        <v>1.6181133780513952</v>
      </c>
      <c r="L172" s="254">
        <f ca="1"/>
        <v>1.5174635019411837</v>
      </c>
      <c r="M172" s="254">
        <f ca="1"/>
        <v>1.415437168962224</v>
      </c>
      <c r="N172" t="str">
        <f>'Base data'!$L$35</f>
        <v>degC</v>
      </c>
      <c r="O172" s="6"/>
      <c r="P172" s="6"/>
      <c r="Q172" s="6"/>
      <c r="R172" s="6"/>
      <c r="S172" s="6"/>
      <c r="T172" s="6"/>
      <c r="U172" s="6"/>
      <c r="V172" s="6"/>
      <c r="W172" s="6"/>
      <c r="X172" s="6"/>
      <c r="Y172" s="124"/>
      <c r="Z172" s="124" t="s">
        <v>926</v>
      </c>
    </row>
    <row r="173" spans="1:26" x14ac:dyDescent="0.25">
      <c r="A173" s="3"/>
      <c r="N173" s="57"/>
    </row>
    <row r="174" spans="1:26" ht="14.5" x14ac:dyDescent="0.35">
      <c r="A174" s="103" t="s">
        <v>921</v>
      </c>
      <c r="B174" s="103"/>
      <c r="C174" s="253"/>
      <c r="D174" s="253">
        <f t="array" ref="D174:M174" ca="1" xml:space="preserve"> IF( rt_g_b &lt;= ALB_T_SWITCH, (ALB_SAF_QUADR_MEAN_T2_COEFF*(rt_g_b^3)/3 + ALB_SAF_QUADR_MEAN_T1_COEFF*(rt_g_b^2)/2 + ALB_SAF_QUADR_MEAN_T0_COEFF*rt_g_b) + (ALB_SAF_QUADR_STD*rt_g_b) * ALB_EMULATOR_RAND, 0 ) + IF( rt_g_b &gt; ALB_T_SWITCH, ALB_FSAF_T_SWITCH + ALB_SAF_LIN_MEAN*(rt_g_b - ALB_T_SWITCH) + (ALB_SAF_LIN_STD*(rt_g_b - ALB_T_SWITCH)) * ALB_EMULATOR_RAND, 0 )</f>
        <v>0.39462567913230956</v>
      </c>
      <c r="E174" s="204">
        <f ca="1"/>
        <v>0.54145637359220111</v>
      </c>
      <c r="F174" s="204">
        <f ca="1"/>
        <v>0.63443983924903424</v>
      </c>
      <c r="G174" s="204">
        <f ca="1"/>
        <v>0.69189990536215973</v>
      </c>
      <c r="H174" s="204">
        <f ca="1"/>
        <v>0.74347958373773515</v>
      </c>
      <c r="I174" s="204">
        <f ca="1"/>
        <v>0.73215778769507345</v>
      </c>
      <c r="J174" s="204">
        <f ca="1"/>
        <v>0.63584943517914883</v>
      </c>
      <c r="K174" s="204">
        <f ca="1"/>
        <v>0.57737435307452323</v>
      </c>
      <c r="L174" s="204">
        <f ca="1"/>
        <v>0.54226092507836587</v>
      </c>
      <c r="M174" s="204">
        <f ca="1"/>
        <v>0.50653982277347953</v>
      </c>
      <c r="N174" t="s">
        <v>44</v>
      </c>
      <c r="Y174" s="124"/>
      <c r="Z174" s="124" t="s">
        <v>952</v>
      </c>
    </row>
    <row r="175" spans="1:26" ht="14.5" x14ac:dyDescent="0.35">
      <c r="A175" s="103" t="s">
        <v>922</v>
      </c>
      <c r="B175" s="103"/>
      <c r="C175" s="253"/>
      <c r="D175" s="253">
        <f t="array" ref="D175:M175" ca="1" xml:space="preserve"> IF( rt_g_b &lt;= ALB_T_SWITCH, (ALB_SAF_QUADR_MEAN_T2_COEFF*(rt_g_b^2)/2 + ALB_SAF_QUADR_MEAN_T1_COEFF*rt_g_b + ALB_SAF_QUADR_MEAN_T0_COEFF) + ALB_SAF_QUADR_STD * ALB_EMULATOR_RAND, 0 ) + IF( rt_g_b &gt; ALB_T_SWITCH, ALB_SAF_LIN_MEAN + ALB_SAF_LIN_STD * ALB_EMULATOR_RAND, 0 )</f>
        <v>0.35550260890859148</v>
      </c>
      <c r="E175" s="204">
        <f ca="1"/>
        <v>0.35177067524586864</v>
      </c>
      <c r="F175" s="204">
        <f ca="1"/>
        <v>0.3491999750788683</v>
      </c>
      <c r="G175" s="204">
        <f ca="1"/>
        <v>0.347527385244638</v>
      </c>
      <c r="H175" s="204">
        <f ca="1"/>
        <v>0.34596951751441707</v>
      </c>
      <c r="I175" s="204">
        <f ca="1"/>
        <v>0.34631612105290116</v>
      </c>
      <c r="J175" s="204">
        <f ca="1"/>
        <v>0.34915972261734762</v>
      </c>
      <c r="K175" s="204">
        <f ca="1"/>
        <v>0.35079722292174936</v>
      </c>
      <c r="L175" s="204">
        <f ca="1"/>
        <v>0.35174913621809872</v>
      </c>
      <c r="M175" s="204">
        <f ca="1"/>
        <v>0.35269381858783766</v>
      </c>
      <c r="N175" s="57" t="s">
        <v>544</v>
      </c>
      <c r="Y175" s="124"/>
      <c r="Z175" s="124" t="s">
        <v>952</v>
      </c>
    </row>
    <row r="177" spans="1:26" ht="13" x14ac:dyDescent="0.3">
      <c r="A177" s="57" t="s">
        <v>427</v>
      </c>
      <c r="B177" s="57" t="s">
        <v>170</v>
      </c>
      <c r="C177" s="1" t="str">
        <f t="array" ref="C177:C184">R_CODE</f>
        <v>EU</v>
      </c>
      <c r="D177" s="215">
        <f t="array" ref="D177:M184" ca="1" xml:space="preserve"> rt_g_b * AMPF</f>
        <v>1.3944652816092438</v>
      </c>
      <c r="E177" s="215">
        <f ca="1"/>
        <v>1.924255169004607</v>
      </c>
      <c r="F177" s="215">
        <f ca="1"/>
        <v>2.2637582263208444</v>
      </c>
      <c r="G177" s="215">
        <f ca="1"/>
        <v>2.4753041895404535</v>
      </c>
      <c r="H177" s="215">
        <f ca="1"/>
        <v>2.6664305739296439</v>
      </c>
      <c r="I177" s="215">
        <f ca="1"/>
        <v>2.6243746275471875</v>
      </c>
      <c r="J177" s="215">
        <f ca="1"/>
        <v>2.2689312580936156</v>
      </c>
      <c r="K177" s="215">
        <f ca="1"/>
        <v>2.0550039901252721</v>
      </c>
      <c r="L177" s="215">
        <f ca="1"/>
        <v>1.9271786474653037</v>
      </c>
      <c r="M177" s="215">
        <f ca="1"/>
        <v>1.7976052045820248</v>
      </c>
      <c r="N177" s="3" t="s">
        <v>43</v>
      </c>
      <c r="O177" s="6"/>
      <c r="P177" s="6"/>
      <c r="Q177" s="6"/>
      <c r="R177" s="6"/>
      <c r="S177" s="6"/>
      <c r="T177" s="6"/>
      <c r="U177" s="6"/>
      <c r="V177" s="6"/>
      <c r="W177" s="6"/>
      <c r="X177" s="6"/>
      <c r="Y177" s="124"/>
      <c r="Z177" s="124" t="s">
        <v>559</v>
      </c>
    </row>
    <row r="178" spans="1:26" x14ac:dyDescent="0.25">
      <c r="A178" s="6"/>
      <c r="B178" s="6"/>
      <c r="C178" s="1" t="str">
        <v>US</v>
      </c>
      <c r="D178" s="215">
        <f ca="1"/>
        <v>1.4713255727215642</v>
      </c>
      <c r="E178" s="215">
        <f ca="1"/>
        <v>2.0303164775324198</v>
      </c>
      <c r="F178" s="215">
        <f ca="1"/>
        <v>2.3885323017873477</v>
      </c>
      <c r="G178" s="215">
        <f ca="1"/>
        <v>2.6117382787277226</v>
      </c>
      <c r="H178" s="215">
        <f ca="1"/>
        <v>2.8133991882407261</v>
      </c>
      <c r="I178" s="215">
        <f ca="1"/>
        <v>2.7690251975694733</v>
      </c>
      <c r="J178" s="215">
        <f ca="1"/>
        <v>2.3939904612956258</v>
      </c>
      <c r="K178" s="215">
        <f ca="1"/>
        <v>2.1682719265888699</v>
      </c>
      <c r="L178" s="215">
        <f ca="1"/>
        <v>2.0334010926011863</v>
      </c>
      <c r="M178" s="215">
        <f ca="1"/>
        <v>1.8966858064093803</v>
      </c>
      <c r="N178" t="str">
        <f>'Base data'!$L$35</f>
        <v>degC</v>
      </c>
      <c r="O178" s="6"/>
      <c r="P178" s="6"/>
      <c r="Q178" s="6"/>
      <c r="R178" s="6"/>
      <c r="S178" s="6"/>
      <c r="T178" s="6"/>
      <c r="U178" s="6"/>
      <c r="V178" s="6"/>
      <c r="W178" s="6"/>
      <c r="X178" s="6"/>
    </row>
    <row r="179" spans="1:26" x14ac:dyDescent="0.25">
      <c r="A179" s="6"/>
      <c r="B179" s="6"/>
      <c r="C179" s="1" t="str">
        <v>OT</v>
      </c>
      <c r="D179" s="215">
        <f ca="1"/>
        <v>1.3395650736718716</v>
      </c>
      <c r="E179" s="215">
        <f ca="1"/>
        <v>1.8484970914847403</v>
      </c>
      <c r="F179" s="215">
        <f ca="1"/>
        <v>2.1746338867019133</v>
      </c>
      <c r="G179" s="215">
        <f ca="1"/>
        <v>2.377851268692404</v>
      </c>
      <c r="H179" s="215">
        <f ca="1"/>
        <v>2.5614529922788698</v>
      </c>
      <c r="I179" s="215">
        <f ca="1"/>
        <v>2.5210527918169827</v>
      </c>
      <c r="J179" s="215">
        <f ca="1"/>
        <v>2.1796032558064651</v>
      </c>
      <c r="K179" s="215">
        <f ca="1"/>
        <v>1.9740983212227021</v>
      </c>
      <c r="L179" s="215">
        <f ca="1"/>
        <v>1.8513054723682441</v>
      </c>
      <c r="M179" s="215">
        <f ca="1"/>
        <v>1.7268333461339134</v>
      </c>
      <c r="N179" t="str">
        <f>'Base data'!$L$35</f>
        <v>degC</v>
      </c>
      <c r="O179" s="6"/>
      <c r="P179" s="6"/>
      <c r="Q179" s="6"/>
      <c r="R179" s="6"/>
      <c r="S179" s="6"/>
      <c r="T179" s="6"/>
      <c r="U179" s="6"/>
      <c r="V179" s="6"/>
      <c r="W179" s="6"/>
      <c r="X179" s="6"/>
    </row>
    <row r="180" spans="1:26" x14ac:dyDescent="0.25">
      <c r="A180" s="6"/>
      <c r="B180" s="6"/>
      <c r="C180" s="1" t="str">
        <v>EE</v>
      </c>
      <c r="D180" s="215">
        <f ca="1"/>
        <v>1.8117068619332688</v>
      </c>
      <c r="E180" s="215">
        <f ca="1"/>
        <v>2.5000165581555911</v>
      </c>
      <c r="F180" s="215">
        <f ca="1"/>
        <v>2.9411032074247183</v>
      </c>
      <c r="G180" s="215">
        <f ca="1"/>
        <v>3.2159463879856278</v>
      </c>
      <c r="H180" s="215">
        <f ca="1"/>
        <v>3.46426019447552</v>
      </c>
      <c r="I180" s="215">
        <f ca="1"/>
        <v>3.4096205790967384</v>
      </c>
      <c r="J180" s="215">
        <f ca="1"/>
        <v>2.9478240754759564</v>
      </c>
      <c r="K180" s="215">
        <f ca="1"/>
        <v>2.6698870737848015</v>
      </c>
      <c r="L180" s="215">
        <f ca="1"/>
        <v>2.5038147782029525</v>
      </c>
      <c r="M180" s="215">
        <f ca="1"/>
        <v>2.3354713287876692</v>
      </c>
      <c r="N180" t="str">
        <f>'Base data'!$L$35</f>
        <v>degC</v>
      </c>
      <c r="O180" s="6"/>
      <c r="P180" s="6"/>
      <c r="Q180" s="6"/>
      <c r="R180" s="6"/>
      <c r="S180" s="6"/>
      <c r="T180" s="6"/>
      <c r="U180" s="6"/>
      <c r="V180" s="6"/>
      <c r="W180" s="6"/>
      <c r="X180" s="6"/>
    </row>
    <row r="181" spans="1:26" x14ac:dyDescent="0.25">
      <c r="A181" s="6"/>
      <c r="B181" s="6"/>
      <c r="C181" s="1" t="str">
        <v>CA</v>
      </c>
      <c r="D181" s="215">
        <f ca="1"/>
        <v>1.2846648657344999</v>
      </c>
      <c r="E181" s="215">
        <f ca="1"/>
        <v>1.7727390139648738</v>
      </c>
      <c r="F181" s="215">
        <f ca="1"/>
        <v>2.0855095470829821</v>
      </c>
      <c r="G181" s="215">
        <f ca="1"/>
        <v>2.2803983478443546</v>
      </c>
      <c r="H181" s="215">
        <f ca="1"/>
        <v>2.4564754106280962</v>
      </c>
      <c r="I181" s="215">
        <f ca="1"/>
        <v>2.4177309560867783</v>
      </c>
      <c r="J181" s="215">
        <f ca="1"/>
        <v>2.090275253519315</v>
      </c>
      <c r="K181" s="215">
        <f ca="1"/>
        <v>1.8931926523201323</v>
      </c>
      <c r="L181" s="215">
        <f ca="1"/>
        <v>1.7754322972711849</v>
      </c>
      <c r="M181" s="215">
        <f ca="1"/>
        <v>1.656061487685802</v>
      </c>
      <c r="N181" t="str">
        <f>'Base data'!$L$35</f>
        <v>degC</v>
      </c>
      <c r="O181" s="6"/>
      <c r="P181" s="6"/>
      <c r="Q181" s="6"/>
      <c r="R181" s="6"/>
      <c r="S181" s="6"/>
      <c r="T181" s="6"/>
      <c r="U181" s="6"/>
      <c r="V181" s="6"/>
      <c r="W181" s="6"/>
      <c r="X181" s="6"/>
    </row>
    <row r="182" spans="1:26" x14ac:dyDescent="0.25">
      <c r="A182" s="6"/>
      <c r="B182" s="6"/>
      <c r="C182" s="1" t="str">
        <v>IA</v>
      </c>
      <c r="D182" s="215">
        <f ca="1"/>
        <v>1.1089842003349102</v>
      </c>
      <c r="E182" s="215">
        <f ca="1"/>
        <v>1.5303131659013014</v>
      </c>
      <c r="F182" s="215">
        <f ca="1"/>
        <v>1.8003116603024036</v>
      </c>
      <c r="G182" s="215">
        <f ca="1"/>
        <v>1.9685490011305966</v>
      </c>
      <c r="H182" s="215">
        <f ca="1"/>
        <v>2.1205471493456218</v>
      </c>
      <c r="I182" s="215">
        <f ca="1"/>
        <v>2.087101081750125</v>
      </c>
      <c r="J182" s="215">
        <f ca="1"/>
        <v>1.8044256462004342</v>
      </c>
      <c r="K182" s="215">
        <f ca="1"/>
        <v>1.6342945118319092</v>
      </c>
      <c r="L182" s="215">
        <f ca="1"/>
        <v>1.5326381369605955</v>
      </c>
      <c r="M182" s="215">
        <f ca="1"/>
        <v>1.4295915406518462</v>
      </c>
      <c r="N182" t="str">
        <f>'Base data'!$L$35</f>
        <v>degC</v>
      </c>
      <c r="O182" s="6"/>
      <c r="P182" s="6"/>
      <c r="Q182" s="6"/>
      <c r="R182" s="6"/>
      <c r="S182" s="6"/>
      <c r="T182" s="6"/>
      <c r="U182" s="6"/>
      <c r="V182" s="6"/>
      <c r="W182" s="6"/>
      <c r="X182" s="6"/>
    </row>
    <row r="183" spans="1:26" x14ac:dyDescent="0.25">
      <c r="A183" s="6"/>
      <c r="B183" s="6"/>
      <c r="C183" s="1" t="str">
        <v>AF</v>
      </c>
      <c r="D183" s="215">
        <f ca="1"/>
        <v>1.3285850320843973</v>
      </c>
      <c r="E183" s="215">
        <f ca="1"/>
        <v>1.833345475980767</v>
      </c>
      <c r="F183" s="215">
        <f ca="1"/>
        <v>2.156809018778127</v>
      </c>
      <c r="G183" s="215">
        <f ca="1"/>
        <v>2.3583606845227938</v>
      </c>
      <c r="H183" s="215">
        <f ca="1"/>
        <v>2.5404574759487151</v>
      </c>
      <c r="I183" s="215">
        <f ca="1"/>
        <v>2.500388424670942</v>
      </c>
      <c r="J183" s="215">
        <f ca="1"/>
        <v>2.1617376553490351</v>
      </c>
      <c r="K183" s="215">
        <f ca="1"/>
        <v>1.9579171874421881</v>
      </c>
      <c r="L183" s="215">
        <f ca="1"/>
        <v>1.8361308373488323</v>
      </c>
      <c r="M183" s="215">
        <f ca="1"/>
        <v>1.712678974444291</v>
      </c>
      <c r="N183" t="str">
        <f>'Base data'!$L$35</f>
        <v>degC</v>
      </c>
      <c r="O183" s="6"/>
      <c r="P183" s="6"/>
      <c r="Q183" s="6"/>
      <c r="R183" s="6"/>
      <c r="S183" s="6"/>
      <c r="T183" s="6"/>
      <c r="U183" s="6"/>
      <c r="V183" s="6"/>
      <c r="W183" s="6"/>
      <c r="X183" s="6"/>
    </row>
    <row r="184" spans="1:26" x14ac:dyDescent="0.25">
      <c r="A184" s="6"/>
      <c r="B184" s="6"/>
      <c r="C184" s="1" t="str">
        <v>LA</v>
      </c>
      <c r="D184" s="215">
        <f ca="1"/>
        <v>1.1419243250973332</v>
      </c>
      <c r="E184" s="215">
        <f ca="1"/>
        <v>1.5757680124132214</v>
      </c>
      <c r="F184" s="215">
        <f ca="1"/>
        <v>1.8537862640737621</v>
      </c>
      <c r="G184" s="215">
        <f ca="1"/>
        <v>2.0270207536394262</v>
      </c>
      <c r="H184" s="215">
        <f ca="1"/>
        <v>2.183533698336086</v>
      </c>
      <c r="I184" s="215">
        <f ca="1"/>
        <v>2.1490941831882475</v>
      </c>
      <c r="J184" s="215">
        <f ca="1"/>
        <v>1.8580224475727245</v>
      </c>
      <c r="K184" s="215">
        <f ca="1"/>
        <v>1.682837913173451</v>
      </c>
      <c r="L184" s="215">
        <f ca="1"/>
        <v>1.5781620420188311</v>
      </c>
      <c r="M184" s="215">
        <f ca="1"/>
        <v>1.472054655720713</v>
      </c>
      <c r="N184" t="str">
        <f>'Base data'!$L$35</f>
        <v>degC</v>
      </c>
      <c r="O184" s="6"/>
      <c r="P184" s="6"/>
      <c r="Q184" s="6"/>
      <c r="R184" s="6"/>
      <c r="S184" s="6"/>
      <c r="T184" s="6"/>
      <c r="U184" s="6"/>
      <c r="V184" s="6"/>
      <c r="W184" s="6"/>
      <c r="X184" s="6"/>
    </row>
    <row r="185" spans="1:26" x14ac:dyDescent="0.25">
      <c r="A185" s="57" t="s">
        <v>171</v>
      </c>
      <c r="B185" s="57" t="s">
        <v>180</v>
      </c>
      <c r="C185" s="258">
        <f ca="1">RTL_G_0</f>
        <v>1.1683981941310047</v>
      </c>
      <c r="D185" s="258">
        <f t="array" aca="1" ref="D185" ca="1">SUM(AREA*D177:D184)/AREA_L</f>
        <v>1.3558986185261619</v>
      </c>
      <c r="E185" s="258">
        <f t="array" aca="1" ref="E185" ca="1">SUM(AREA*E177:E184)/AREA_L</f>
        <v>1.8710361310209316</v>
      </c>
      <c r="F185" s="258">
        <f t="array" aca="1" ref="F185" ca="1">SUM(AREA*F177:F184)/AREA_L</f>
        <v>2.2011495676704707</v>
      </c>
      <c r="G185" s="258">
        <f t="array" aca="1" ref="G185" ca="1">SUM(AREA*G177:G184)/AREA_L</f>
        <v>2.4068448137745837</v>
      </c>
      <c r="H185" s="258">
        <f t="array" aca="1" ref="H185" ca="1">SUM(AREA*H177:H184)/AREA_L</f>
        <v>2.5926852244143812</v>
      </c>
      <c r="I185" s="258">
        <f t="array" aca="1" ref="I185" ca="1">SUM(AREA*I177:I184)/AREA_L</f>
        <v>2.5517924174346502</v>
      </c>
      <c r="J185" s="258">
        <f t="array" aca="1" ref="J185" ca="1">SUM(AREA*J177:J184)/AREA_L</f>
        <v>2.2061795291379926</v>
      </c>
      <c r="K185" s="258">
        <f t="array" aca="1" ref="K185" ca="1">SUM(AREA*K177:K184)/AREA_L</f>
        <v>1.9981688379226383</v>
      </c>
      <c r="L185" s="258">
        <f t="array" aca="1" ref="L185" ca="1">SUM(AREA*L177:L184)/AREA_L</f>
        <v>1.8738787549703602</v>
      </c>
      <c r="M185" s="258">
        <f t="array" aca="1" ref="M185" ca="1">SUM(AREA*M177:M184)/AREA_L</f>
        <v>1.7478889189234075</v>
      </c>
      <c r="N185" t="str">
        <f>'Base data'!$L$35</f>
        <v>degC</v>
      </c>
      <c r="O185" s="6"/>
      <c r="P185" s="6"/>
      <c r="Q185" s="6"/>
      <c r="R185" s="6"/>
      <c r="S185" s="6"/>
      <c r="T185" s="6"/>
      <c r="U185" s="6"/>
      <c r="V185" s="6"/>
      <c r="W185" s="6"/>
      <c r="X185" s="6"/>
    </row>
    <row r="186" spans="1:26"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row>
    <row r="187" spans="1:26" x14ac:dyDescent="0.25">
      <c r="A187" s="57" t="s">
        <v>444</v>
      </c>
      <c r="B187" s="57" t="s">
        <v>443</v>
      </c>
      <c r="C187" s="215">
        <f ca="1" xml:space="preserve"> (RT_G_0 * AREA_E - RTL_G_0 * AREA_L) / (AREA_E - AREA_L)</f>
        <v>0.8598424494987994</v>
      </c>
      <c r="D187" s="215">
        <f t="array" ref="D187:M187" ca="1" xml:space="preserve"> (rt_g_b * AREA_E - rtl_g_b * AREA_L) / (AREA_E - AREA_L)</f>
        <v>0.99782693544188528</v>
      </c>
      <c r="E187" s="215">
        <f ca="1"/>
        <v>1.3769246632517567</v>
      </c>
      <c r="F187" s="215">
        <f ca="1"/>
        <v>1.619860288629299</v>
      </c>
      <c r="G187" s="215">
        <f ca="1"/>
        <v>1.7712346275737052</v>
      </c>
      <c r="H187" s="215">
        <f ca="1"/>
        <v>1.9079974835101887</v>
      </c>
      <c r="I187" s="215">
        <f ca="1"/>
        <v>1.877903829226099</v>
      </c>
      <c r="J187" s="215">
        <f ca="1"/>
        <v>1.6235619157037366</v>
      </c>
      <c r="K187" s="215">
        <f ca="1"/>
        <v>1.4704836045980152</v>
      </c>
      <c r="L187" s="215">
        <f ca="1"/>
        <v>1.3790165945402151</v>
      </c>
      <c r="M187" s="215">
        <f ca="1"/>
        <v>1.2862987096763694</v>
      </c>
      <c r="N187" s="3" t="s">
        <v>43</v>
      </c>
      <c r="O187" s="6"/>
      <c r="P187" s="6"/>
      <c r="Q187" s="6"/>
      <c r="R187" s="6"/>
      <c r="S187" s="6"/>
      <c r="T187" s="6"/>
      <c r="U187" s="6"/>
      <c r="V187" s="6"/>
      <c r="W187" s="6"/>
      <c r="X187" s="6"/>
    </row>
    <row r="188" spans="1:26" x14ac:dyDescent="0.25">
      <c r="A188" s="57"/>
      <c r="B188" s="6"/>
      <c r="C188" s="6"/>
      <c r="D188" s="6"/>
      <c r="E188" s="6"/>
      <c r="F188" s="6"/>
      <c r="G188" s="6"/>
      <c r="H188" s="6"/>
      <c r="I188" s="6"/>
      <c r="J188" s="6"/>
      <c r="K188" s="6"/>
      <c r="L188" s="6"/>
      <c r="M188" s="6"/>
      <c r="N188" s="6"/>
    </row>
    <row r="189" spans="1:26" x14ac:dyDescent="0.25">
      <c r="A189" s="57" t="s">
        <v>186</v>
      </c>
      <c r="B189" s="1" t="s">
        <v>187</v>
      </c>
      <c r="C189" s="26">
        <f ca="1">SLA+SLTEMP*RT_G_0</f>
        <v>2.640022222222222</v>
      </c>
      <c r="D189" s="26">
        <f t="array" ref="D189:M189" ca="1">SLA+SLTEMP*rt_g_b</f>
        <v>2.9032072084955556</v>
      </c>
      <c r="E189" s="26">
        <f ca="1"/>
        <v>3.6262800206887023</v>
      </c>
      <c r="F189" s="26">
        <f ca="1"/>
        <v>4.0896437734562703</v>
      </c>
      <c r="G189" s="26">
        <f ca="1"/>
        <v>4.3783679227323766</v>
      </c>
      <c r="H189" s="26">
        <f ca="1"/>
        <v>4.6392228305601435</v>
      </c>
      <c r="I189" s="26">
        <f ca="1"/>
        <v>4.5818236386470801</v>
      </c>
      <c r="J189" s="26">
        <f ca="1"/>
        <v>4.0967040792878739</v>
      </c>
      <c r="K189" s="26">
        <f ca="1"/>
        <v>3.8047298552890849</v>
      </c>
      <c r="L189" s="26">
        <f ca="1"/>
        <v>3.630270070031385</v>
      </c>
      <c r="M189" s="26">
        <f ca="1"/>
        <v>3.4534244262011886</v>
      </c>
      <c r="N189" s="3" t="s">
        <v>182</v>
      </c>
      <c r="O189" s="6"/>
      <c r="P189" s="6"/>
      <c r="Q189" s="6"/>
      <c r="R189" s="6"/>
      <c r="S189" s="6"/>
      <c r="T189" s="6"/>
      <c r="U189" s="6"/>
      <c r="V189" s="6"/>
      <c r="W189" s="6"/>
      <c r="X189" s="6"/>
    </row>
    <row r="190" spans="1:26" x14ac:dyDescent="0.25">
      <c r="A190" s="57" t="s">
        <v>188</v>
      </c>
      <c r="B190" s="1" t="s">
        <v>189</v>
      </c>
      <c r="C190" s="6"/>
      <c r="D190" s="26">
        <f t="array" aca="1" ref="D190:M190" ca="1">EXP(-(YP/SLTAU))</f>
        <v>0.98713016592366909</v>
      </c>
      <c r="E190" s="26">
        <f ca="1"/>
        <v>0.97442596447649055</v>
      </c>
      <c r="F190" s="26">
        <f ca="1"/>
        <v>0.97442596447649055</v>
      </c>
      <c r="G190" s="26">
        <f ca="1"/>
        <v>0.97442596447649055</v>
      </c>
      <c r="H190" s="26">
        <f ca="1"/>
        <v>0.93728597608308639</v>
      </c>
      <c r="I190" s="26">
        <f ca="1"/>
        <v>0.93728597608308639</v>
      </c>
      <c r="J190" s="26">
        <f ca="1"/>
        <v>0.87850500096202389</v>
      </c>
      <c r="K190" s="26">
        <f ca="1"/>
        <v>0.87850500096202389</v>
      </c>
      <c r="L190" s="26">
        <f ca="1"/>
        <v>0.87850500096202389</v>
      </c>
      <c r="M190" s="26">
        <f ca="1"/>
        <v>0.87850500096202389</v>
      </c>
      <c r="O190" s="6"/>
      <c r="P190" s="6"/>
      <c r="Q190" s="6"/>
      <c r="R190" s="6"/>
      <c r="S190" s="6"/>
      <c r="T190" s="6"/>
      <c r="U190" s="6"/>
      <c r="V190" s="6"/>
      <c r="W190" s="6"/>
      <c r="X190" s="6"/>
    </row>
    <row r="191" spans="1:26" s="6" customFormat="1" ht="13" thickBot="1" x14ac:dyDescent="0.3">
      <c r="A191" s="57" t="s">
        <v>190</v>
      </c>
      <c r="B191" s="1" t="s">
        <v>191</v>
      </c>
      <c r="C191" s="35">
        <f ca="1">S_0</f>
        <v>0.18999999999999997</v>
      </c>
      <c r="D191" s="35">
        <f ca="1">S_0+(es_1_b-S_0)*(1-EXPFS_1)</f>
        <v>0.22491852658804273</v>
      </c>
      <c r="E191" s="35">
        <f t="array" ref="E191:M191" ca="1">s_b+(es_not_1_b-s_b)*(1-EXPFS_NOT_1)</f>
        <v>0.31190506626647019</v>
      </c>
      <c r="F191" s="35">
        <f ca="1"/>
        <v>0.40851709016267879</v>
      </c>
      <c r="G191" s="35">
        <f ca="1"/>
        <v>0.51004219637784987</v>
      </c>
      <c r="H191" s="35">
        <f ca="1"/>
        <v>0.76899972942721484</v>
      </c>
      <c r="I191" s="35">
        <f ca="1"/>
        <v>1.0081172592610095</v>
      </c>
      <c r="J191" s="35">
        <f ca="1"/>
        <v>1.383365111988879</v>
      </c>
      <c r="K191" s="35">
        <f ca="1"/>
        <v>1.6775488191467267</v>
      </c>
      <c r="L191" s="35">
        <f ca="1"/>
        <v>1.9147946856443938</v>
      </c>
      <c r="M191" s="35">
        <f ca="1"/>
        <v>2.1017305044931431</v>
      </c>
      <c r="N191" s="3" t="s">
        <v>182</v>
      </c>
    </row>
    <row r="192" spans="1:26" s="6" customFormat="1" ht="13" thickTop="1" x14ac:dyDescent="0.25">
      <c r="A192" s="57"/>
      <c r="B192" s="57"/>
      <c r="N192" s="3"/>
    </row>
    <row r="193" spans="1:23" s="6" customFormat="1" x14ac:dyDescent="0.25">
      <c r="A193" s="57"/>
      <c r="B193" s="57"/>
      <c r="N193" s="3"/>
    </row>
    <row r="194" spans="1:23" s="6" customFormat="1" x14ac:dyDescent="0.25">
      <c r="A194" s="57"/>
      <c r="B194" s="57"/>
      <c r="N194" s="3"/>
    </row>
    <row r="195" spans="1:23" s="6" customFormat="1" ht="13" x14ac:dyDescent="0.3">
      <c r="A195" s="2" t="s">
        <v>589</v>
      </c>
      <c r="B195" s="57"/>
      <c r="N195" s="3"/>
    </row>
    <row r="196" spans="1:23" s="6" customFormat="1" x14ac:dyDescent="0.25">
      <c r="A196" s="57"/>
      <c r="B196"/>
      <c r="C196"/>
      <c r="N196" s="3"/>
    </row>
    <row r="197" spans="1:23" s="6" customFormat="1" x14ac:dyDescent="0.25">
      <c r="A197" s="57"/>
      <c r="B197"/>
      <c r="C197"/>
      <c r="N197" s="3"/>
    </row>
    <row r="198" spans="1:23" s="6" customFormat="1" ht="13" x14ac:dyDescent="0.3">
      <c r="A198" s="2" t="s">
        <v>904</v>
      </c>
      <c r="B198"/>
      <c r="C198"/>
      <c r="D198"/>
      <c r="E198"/>
      <c r="F198"/>
      <c r="G198"/>
      <c r="H198"/>
      <c r="I198"/>
      <c r="J198"/>
      <c r="K198"/>
      <c r="L198"/>
      <c r="M198"/>
      <c r="N198"/>
    </row>
    <row r="199" spans="1:23" s="6" customFormat="1" x14ac:dyDescent="0.25">
      <c r="A199" s="3" t="s">
        <v>934</v>
      </c>
      <c r="B199"/>
      <c r="C199"/>
      <c r="D199" s="6">
        <f t="array" ref="D199:M199" ca="1" xml:space="preserve">  ALB_SAF_ECS * rt_g_b</f>
        <v>0.38385179155883747</v>
      </c>
      <c r="E199" s="6">
        <f ca="1"/>
        <v>0.52968604079291104</v>
      </c>
      <c r="F199" s="6">
        <f ca="1"/>
        <v>0.62314039817938505</v>
      </c>
      <c r="G199" s="6">
        <f ca="1"/>
        <v>0.68137225095464937</v>
      </c>
      <c r="H199" s="6">
        <f ca="1"/>
        <v>0.7339832453117765</v>
      </c>
      <c r="I199" s="6">
        <f ca="1"/>
        <v>0.72240658537085733</v>
      </c>
      <c r="J199" s="6">
        <f ca="1"/>
        <v>0.62456436874355536</v>
      </c>
      <c r="K199" s="6">
        <f ca="1"/>
        <v>0.5656770187636605</v>
      </c>
      <c r="L199" s="6">
        <f ca="1"/>
        <v>0.53049078111848369</v>
      </c>
      <c r="M199" s="6">
        <f ca="1"/>
        <v>0.49482334726757016</v>
      </c>
      <c r="N199" s="3" t="s">
        <v>44</v>
      </c>
      <c r="O199"/>
      <c r="P199"/>
      <c r="Q199"/>
      <c r="R199"/>
      <c r="S199"/>
      <c r="T199"/>
      <c r="U199"/>
      <c r="V199"/>
      <c r="W199"/>
    </row>
    <row r="200" spans="1:23" s="6" customFormat="1" x14ac:dyDescent="0.25">
      <c r="A200" s="3" t="s">
        <v>935</v>
      </c>
      <c r="B200"/>
      <c r="C200"/>
      <c r="D200" s="6">
        <f t="array" ref="D200:M200" ca="1" xml:space="preserve"> alb_fsaf_b - ALB_SAF_ECS * rt_g_b</f>
        <v>1.0773887573472085E-2</v>
      </c>
      <c r="E200" s="6">
        <f ca="1"/>
        <v>1.1770332799290073E-2</v>
      </c>
      <c r="F200" s="6">
        <f ca="1"/>
        <v>1.1299441069649196E-2</v>
      </c>
      <c r="G200" s="6">
        <f ca="1"/>
        <v>1.0527654407510356E-2</v>
      </c>
      <c r="H200" s="6">
        <f ca="1"/>
        <v>9.4963384259586503E-3</v>
      </c>
      <c r="I200" s="6">
        <f ca="1"/>
        <v>9.7512023242161128E-3</v>
      </c>
      <c r="J200" s="6">
        <f ca="1"/>
        <v>1.128506643559346E-2</v>
      </c>
      <c r="K200" s="6">
        <f ca="1"/>
        <v>1.1697334310862728E-2</v>
      </c>
      <c r="L200" s="6">
        <f ca="1"/>
        <v>1.1770143959882184E-2</v>
      </c>
      <c r="M200" s="6">
        <f ca="1"/>
        <v>1.1716475505909374E-2</v>
      </c>
      <c r="N200" s="3" t="s">
        <v>44</v>
      </c>
    </row>
    <row r="201" spans="1:23" s="6" customFormat="1" x14ac:dyDescent="0.25">
      <c r="A201" s="3" t="s">
        <v>562</v>
      </c>
      <c r="B201"/>
      <c r="C201"/>
      <c r="N201" s="3" t="s">
        <v>44</v>
      </c>
    </row>
    <row r="202" spans="1:23" s="6" customFormat="1" x14ac:dyDescent="0.25">
      <c r="A202" s="3" t="s">
        <v>556</v>
      </c>
      <c r="B202"/>
      <c r="C202"/>
      <c r="D202"/>
      <c r="E202"/>
      <c r="F202"/>
      <c r="G202"/>
      <c r="H202"/>
      <c r="I202"/>
      <c r="J202"/>
      <c r="K202"/>
      <c r="L202"/>
      <c r="M202"/>
      <c r="N202"/>
    </row>
    <row r="203" spans="1:23" s="6" customFormat="1" x14ac:dyDescent="0.25">
      <c r="A203" s="3"/>
      <c r="B203"/>
      <c r="C203"/>
      <c r="D203"/>
      <c r="E203"/>
      <c r="F203"/>
      <c r="G203"/>
      <c r="H203"/>
      <c r="I203"/>
      <c r="J203"/>
      <c r="K203"/>
      <c r="L203"/>
      <c r="M203"/>
      <c r="N203"/>
    </row>
    <row r="204" spans="1:23" s="6" customFormat="1" x14ac:dyDescent="0.25">
      <c r="A204" s="3"/>
      <c r="B204"/>
      <c r="C204"/>
      <c r="D204"/>
      <c r="E204"/>
      <c r="F204"/>
      <c r="G204"/>
      <c r="H204"/>
      <c r="I204"/>
      <c r="J204"/>
      <c r="K204"/>
      <c r="L204"/>
      <c r="M204"/>
      <c r="N204"/>
    </row>
    <row r="205" spans="1:23" s="6" customFormat="1" ht="13" x14ac:dyDescent="0.3">
      <c r="A205" s="2" t="s">
        <v>786</v>
      </c>
      <c r="B205"/>
      <c r="C205"/>
      <c r="D205"/>
      <c r="E205"/>
      <c r="F205"/>
      <c r="G205"/>
      <c r="H205"/>
      <c r="I205"/>
      <c r="J205"/>
      <c r="K205"/>
      <c r="L205"/>
      <c r="M205"/>
      <c r="N205"/>
    </row>
    <row r="206" spans="1:23" s="6" customFormat="1" x14ac:dyDescent="0.25">
      <c r="A206" s="3" t="s">
        <v>557</v>
      </c>
      <c r="B206"/>
      <c r="C206"/>
      <c r="D206"/>
      <c r="E206"/>
      <c r="F206"/>
      <c r="G206"/>
      <c r="H206"/>
      <c r="I206"/>
      <c r="J206"/>
      <c r="K206"/>
      <c r="L206"/>
      <c r="M206"/>
      <c r="N206"/>
    </row>
    <row r="207" spans="1:23" s="6" customFormat="1" x14ac:dyDescent="0.25">
      <c r="A207" s="3"/>
      <c r="B207"/>
      <c r="C207"/>
      <c r="D207" s="1"/>
      <c r="E207" s="1"/>
      <c r="F207" s="1"/>
      <c r="G207" s="1"/>
      <c r="H207" s="1"/>
      <c r="I207" s="1"/>
      <c r="J207" s="1"/>
      <c r="K207" s="1"/>
      <c r="L207" s="1"/>
      <c r="M207" s="1"/>
      <c r="N207" s="3"/>
    </row>
    <row r="208" spans="1:23" s="6" customFormat="1" x14ac:dyDescent="0.25">
      <c r="A208"/>
      <c r="B208"/>
      <c r="C208"/>
      <c r="D208"/>
      <c r="E208"/>
      <c r="F208"/>
      <c r="G208"/>
      <c r="H208"/>
      <c r="I208"/>
      <c r="J208"/>
      <c r="K208"/>
      <c r="L208"/>
      <c r="M208"/>
      <c r="N208"/>
    </row>
    <row r="209" spans="1:24" s="6" customFormat="1" ht="13" x14ac:dyDescent="0.3">
      <c r="A209" s="2" t="s">
        <v>779</v>
      </c>
      <c r="B209"/>
      <c r="C209"/>
      <c r="D209"/>
      <c r="E209"/>
      <c r="F209"/>
      <c r="G209"/>
      <c r="H209"/>
      <c r="I209"/>
      <c r="J209"/>
      <c r="K209"/>
      <c r="L209"/>
      <c r="M209"/>
      <c r="N209"/>
      <c r="O209"/>
      <c r="P209"/>
      <c r="Q209"/>
      <c r="R209"/>
      <c r="S209"/>
      <c r="T209"/>
      <c r="U209"/>
      <c r="V209"/>
      <c r="W209"/>
      <c r="X209"/>
    </row>
    <row r="210" spans="1:24" s="6" customFormat="1" x14ac:dyDescent="0.25">
      <c r="A210" s="3" t="s">
        <v>780</v>
      </c>
      <c r="B210"/>
      <c r="C210"/>
      <c r="D210" s="1">
        <f t="shared" ref="D210:M210" ca="1" si="4">D75-C75</f>
        <v>177162.18273908319</v>
      </c>
      <c r="E210" s="1">
        <f t="shared" ca="1" si="4"/>
        <v>347335.76833257219</v>
      </c>
      <c r="F210" s="1">
        <f t="shared" ca="1" si="4"/>
        <v>239446.59257951472</v>
      </c>
      <c r="G210" s="1">
        <f t="shared" ca="1" si="4"/>
        <v>151341.22346170293</v>
      </c>
      <c r="H210" s="1">
        <f t="shared" ca="1" si="4"/>
        <v>156511.51143064583</v>
      </c>
      <c r="I210" s="1">
        <f t="shared" ca="1" si="4"/>
        <v>-19374.320343466941</v>
      </c>
      <c r="J210" s="1">
        <f t="shared" ca="1" si="4"/>
        <v>-102546.34778183466</v>
      </c>
      <c r="K210" s="1">
        <f t="shared" ca="1" si="4"/>
        <v>-102546.34778183466</v>
      </c>
      <c r="L210" s="1">
        <f t="shared" ca="1" si="4"/>
        <v>-102546.34778183466</v>
      </c>
      <c r="M210" s="1">
        <f t="shared" ca="1" si="4"/>
        <v>-102546.34778183466</v>
      </c>
      <c r="N210" s="3" t="s">
        <v>501</v>
      </c>
      <c r="O210"/>
      <c r="P210"/>
      <c r="Q210"/>
      <c r="R210"/>
      <c r="S210"/>
      <c r="T210"/>
      <c r="U210"/>
      <c r="V210"/>
      <c r="W210"/>
      <c r="X210"/>
    </row>
    <row r="211" spans="1:24" x14ac:dyDescent="0.25">
      <c r="A211" s="3" t="s">
        <v>781</v>
      </c>
      <c r="D211" s="1">
        <f t="shared" ref="D211:M211" ca="1" si="5">D210 * (1 - PERCENT_CO2_LAND/100)</f>
        <v>129392.25883915114</v>
      </c>
      <c r="E211" s="1">
        <f t="shared" ca="1" si="5"/>
        <v>253680.32243299394</v>
      </c>
      <c r="F211" s="1">
        <f t="shared" ca="1" si="5"/>
        <v>174882.33101548019</v>
      </c>
      <c r="G211" s="1">
        <f t="shared" ca="1" si="5"/>
        <v>110533.65033343807</v>
      </c>
      <c r="H211" s="1">
        <f t="shared" ca="1" si="5"/>
        <v>114309.82439500783</v>
      </c>
      <c r="I211" s="1">
        <f t="shared" ca="1" si="5"/>
        <v>-14150.23812619503</v>
      </c>
      <c r="J211" s="1">
        <f t="shared" ca="1" si="5"/>
        <v>-74895.800955096245</v>
      </c>
      <c r="K211" s="1">
        <f t="shared" ca="1" si="5"/>
        <v>-74895.800955096245</v>
      </c>
      <c r="L211" s="1">
        <f t="shared" ca="1" si="5"/>
        <v>-74895.800955096245</v>
      </c>
      <c r="M211" s="1">
        <f t="shared" ca="1" si="5"/>
        <v>-74895.800955096245</v>
      </c>
      <c r="N211" s="3" t="s">
        <v>501</v>
      </c>
    </row>
    <row r="212" spans="1:24" x14ac:dyDescent="0.25">
      <c r="A212" s="57" t="s">
        <v>782</v>
      </c>
      <c r="D212" s="1">
        <f ca="1">D87</f>
        <v>1078887.6761683777</v>
      </c>
      <c r="E212" s="1">
        <f t="shared" ref="E212:M212" ca="1" si="6">E87</f>
        <v>1251149.1835560212</v>
      </c>
      <c r="F212" s="1">
        <f t="shared" ca="1" si="6"/>
        <v>1331481.8226554408</v>
      </c>
      <c r="G212" s="1">
        <f t="shared" ca="1" si="6"/>
        <v>1351938.2571567318</v>
      </c>
      <c r="H212" s="1">
        <f t="shared" ca="1" si="6"/>
        <v>1294493.8366086695</v>
      </c>
      <c r="I212" s="1">
        <f t="shared" ca="1" si="6"/>
        <v>1167322.2433972873</v>
      </c>
      <c r="J212" s="1">
        <f t="shared" ca="1" si="6"/>
        <v>991267.44002652273</v>
      </c>
      <c r="K212" s="1">
        <f t="shared" ca="1" si="6"/>
        <v>876560.05160396732</v>
      </c>
      <c r="L212" s="1">
        <f t="shared" ca="1" si="6"/>
        <v>784225.38472196483</v>
      </c>
      <c r="M212" s="1">
        <f t="shared" ca="1" si="6"/>
        <v>704128.37596848083</v>
      </c>
      <c r="N212" s="3" t="s">
        <v>501</v>
      </c>
    </row>
    <row r="213" spans="1:24" x14ac:dyDescent="0.25">
      <c r="A213" s="3" t="s">
        <v>949</v>
      </c>
      <c r="C213" s="1"/>
      <c r="D213" s="203">
        <f ca="1">E213</f>
        <v>-8141.8815045350493</v>
      </c>
      <c r="E213" s="104">
        <f t="array" ref="E213:M213" ca="1" xml:space="preserve"> (re_co2_not_1_b - re_co2_b - teay_perm_anthr_co2_not_1_b) / YP_NOT_1</f>
        <v>-8141.8815045350493</v>
      </c>
      <c r="F213" s="104">
        <f ca="1"/>
        <v>-9454.9691916060601</v>
      </c>
      <c r="G213" s="104">
        <f ca="1"/>
        <v>-9007.7215832147049</v>
      </c>
      <c r="H213" s="104">
        <f ca="1"/>
        <v>-6870.1697977228059</v>
      </c>
      <c r="I213" s="104">
        <f ca="1"/>
        <v>-4520.8542034074853</v>
      </c>
      <c r="J213" s="104">
        <f ca="1"/>
        <v>-2023.180048313367</v>
      </c>
      <c r="K213" s="104">
        <f ca="1"/>
        <v>-796.23174934918325</v>
      </c>
      <c r="L213" s="104">
        <f ca="1"/>
        <v>-348.77731853812497</v>
      </c>
      <c r="M213" s="104">
        <f ca="1"/>
        <v>-104.02415596775506</v>
      </c>
      <c r="N213" s="3" t="s">
        <v>592</v>
      </c>
    </row>
    <row r="214" spans="1:24" x14ac:dyDescent="0.25">
      <c r="A214" s="3"/>
      <c r="C214" s="1"/>
      <c r="D214" s="1"/>
      <c r="E214" s="1"/>
      <c r="F214" s="1"/>
      <c r="G214" s="1"/>
      <c r="H214" s="1"/>
      <c r="I214" s="1"/>
      <c r="J214" s="1"/>
      <c r="K214" s="1"/>
      <c r="L214" s="1"/>
      <c r="M214" s="1"/>
      <c r="N214" s="3"/>
    </row>
    <row r="215" spans="1:24" x14ac:dyDescent="0.25">
      <c r="A215" s="3"/>
      <c r="C215" s="1"/>
      <c r="D215" s="1"/>
      <c r="E215" s="1"/>
      <c r="F215" s="1"/>
      <c r="G215" s="1"/>
      <c r="H215" s="1"/>
      <c r="I215" s="1"/>
      <c r="J215" s="1"/>
      <c r="K215" s="1"/>
      <c r="L215" s="1"/>
      <c r="M215" s="1"/>
      <c r="N215" s="3"/>
    </row>
    <row r="217" spans="1:24" ht="14.5" x14ac:dyDescent="0.35">
      <c r="A217" s="3"/>
      <c r="B217" s="131"/>
      <c r="C217" s="1"/>
      <c r="D217" s="1"/>
      <c r="E217" s="1"/>
      <c r="F217" s="1"/>
      <c r="G217" s="1"/>
      <c r="H217" s="1"/>
      <c r="I217" s="1"/>
      <c r="J217" s="1"/>
      <c r="K217" s="1"/>
      <c r="L217" s="1"/>
      <c r="M217" s="1"/>
      <c r="N217" s="3"/>
    </row>
    <row r="218" spans="1:24" ht="13" x14ac:dyDescent="0.3">
      <c r="A218" s="2" t="s">
        <v>589</v>
      </c>
      <c r="C218" s="1"/>
      <c r="D218" s="1"/>
      <c r="E218" s="1"/>
      <c r="F218" s="1"/>
      <c r="G218" s="1"/>
      <c r="H218" s="1"/>
      <c r="I218" s="1"/>
      <c r="J218" s="1"/>
      <c r="K218" s="1"/>
      <c r="L218" s="1"/>
      <c r="M218" s="1"/>
      <c r="N218" s="3"/>
    </row>
    <row r="219" spans="1:24" x14ac:dyDescent="0.25">
      <c r="A219" s="3"/>
      <c r="C219" s="1"/>
      <c r="D219" s="1"/>
      <c r="E219" s="1"/>
      <c r="F219" s="1"/>
      <c r="G219" s="1"/>
      <c r="H219" s="1"/>
      <c r="I219" s="1"/>
      <c r="J219" s="1"/>
      <c r="K219" s="1"/>
      <c r="L219" s="1"/>
      <c r="M219" s="1"/>
      <c r="N219" s="3"/>
    </row>
    <row r="220" spans="1:24" x14ac:dyDescent="0.25">
      <c r="C220" s="1"/>
      <c r="D220" s="1"/>
      <c r="E220" s="1"/>
      <c r="F220" s="1"/>
      <c r="G220" s="1"/>
      <c r="H220" s="1"/>
      <c r="I220" s="1"/>
      <c r="J220" s="1"/>
      <c r="K220" s="1"/>
      <c r="L220" s="1"/>
      <c r="M220" s="1"/>
    </row>
    <row r="221" spans="1:24" ht="13" x14ac:dyDescent="0.3">
      <c r="A221" s="2" t="s">
        <v>816</v>
      </c>
      <c r="C221" s="1"/>
      <c r="D221" s="1">
        <f t="array" ref="D221:M221" ca="1">fgt_b+alb_fsaf_diff_b</f>
        <v>2.9772737428570872</v>
      </c>
      <c r="E221" s="1">
        <f ca="1"/>
        <v>3.182656663920493</v>
      </c>
      <c r="F221" s="1">
        <f ca="1"/>
        <v>3.189446337024715</v>
      </c>
      <c r="G221" s="1">
        <f ca="1"/>
        <v>3.1138197116593505</v>
      </c>
      <c r="H221" s="1">
        <f ca="1"/>
        <v>2.9040955357764471</v>
      </c>
      <c r="I221" s="1">
        <f ca="1"/>
        <v>2.6646693802329069</v>
      </c>
      <c r="J221" s="1">
        <f ca="1"/>
        <v>2.3586954688263297</v>
      </c>
      <c r="K221" s="1">
        <f ca="1"/>
        <v>2.1673482408374523</v>
      </c>
      <c r="L221" s="1">
        <f ca="1"/>
        <v>2.0078515920312947</v>
      </c>
      <c r="M221" s="1">
        <f ca="1"/>
        <v>1.8649125503659694</v>
      </c>
      <c r="N221" s="3" t="s">
        <v>44</v>
      </c>
    </row>
    <row r="222" spans="1:24" x14ac:dyDescent="0.25">
      <c r="A222" s="3"/>
      <c r="C222" s="1"/>
      <c r="D222" s="1"/>
      <c r="E222" s="1"/>
      <c r="F222" s="1"/>
      <c r="G222" s="1"/>
      <c r="H222" s="1"/>
      <c r="I222" s="1"/>
      <c r="J222" s="1"/>
      <c r="K222" s="1"/>
      <c r="L222" s="1"/>
      <c r="M222" s="1"/>
      <c r="N222" s="3"/>
    </row>
    <row r="223" spans="1:24" x14ac:dyDescent="0.25">
      <c r="A223" s="3"/>
      <c r="C223" s="1"/>
      <c r="D223" s="1"/>
      <c r="E223" s="1"/>
      <c r="F223" s="1"/>
      <c r="G223" s="1"/>
      <c r="H223" s="1"/>
      <c r="I223" s="1"/>
      <c r="J223" s="1"/>
      <c r="K223" s="1"/>
      <c r="L223" s="1"/>
      <c r="M223" s="1"/>
      <c r="N223" s="3"/>
    </row>
    <row r="224" spans="1:24" x14ac:dyDescent="0.25">
      <c r="C224" s="1"/>
      <c r="D224" s="1"/>
      <c r="E224" s="1"/>
      <c r="F224" s="1"/>
      <c r="G224" s="1"/>
      <c r="H224" s="1"/>
      <c r="I224" s="1"/>
      <c r="J224" s="1"/>
      <c r="K224" s="1"/>
      <c r="L224" s="1"/>
      <c r="M224" s="1"/>
    </row>
    <row r="225" spans="1:14" ht="14.5" x14ac:dyDescent="0.35">
      <c r="A225" s="3"/>
      <c r="B225" s="131"/>
      <c r="C225" s="1"/>
      <c r="D225" s="1"/>
      <c r="E225" s="1"/>
      <c r="F225" s="1"/>
      <c r="G225" s="1"/>
      <c r="H225" s="1"/>
      <c r="I225" s="1"/>
      <c r="J225" s="1"/>
      <c r="K225" s="1"/>
      <c r="L225" s="1"/>
      <c r="M225" s="1"/>
    </row>
    <row r="226" spans="1:14" x14ac:dyDescent="0.25">
      <c r="A226" s="3"/>
      <c r="C226" s="1"/>
      <c r="D226" s="1"/>
      <c r="E226" s="1"/>
      <c r="F226" s="1"/>
      <c r="G226" s="1"/>
      <c r="H226" s="1"/>
      <c r="I226" s="1"/>
      <c r="J226" s="1"/>
      <c r="K226" s="1"/>
      <c r="L226" s="1"/>
      <c r="M226" s="1"/>
      <c r="N226" s="3"/>
    </row>
    <row r="227" spans="1:14" x14ac:dyDescent="0.25">
      <c r="A227" s="3"/>
      <c r="C227" s="1"/>
      <c r="D227" s="1"/>
      <c r="E227" s="1"/>
      <c r="F227" s="1"/>
      <c r="G227" s="1"/>
      <c r="H227" s="1"/>
      <c r="I227" s="1"/>
      <c r="J227" s="1"/>
      <c r="K227" s="1"/>
      <c r="L227" s="1"/>
      <c r="M227" s="1"/>
      <c r="N227" s="3"/>
    </row>
    <row r="228" spans="1:14" x14ac:dyDescent="0.25">
      <c r="C228" s="1"/>
      <c r="D228" s="1"/>
      <c r="E228" s="1"/>
      <c r="F228" s="1"/>
      <c r="G228" s="1"/>
      <c r="H228" s="1"/>
      <c r="I228" s="1"/>
      <c r="J228" s="1"/>
      <c r="K228" s="1"/>
      <c r="L228" s="1"/>
    </row>
    <row r="230" spans="1:14" ht="13" x14ac:dyDescent="0.3">
      <c r="A230" s="2"/>
    </row>
    <row r="231" spans="1:14" x14ac:dyDescent="0.25">
      <c r="A231" s="3"/>
      <c r="C231" s="3"/>
    </row>
    <row r="232" spans="1:14" ht="14.5" x14ac:dyDescent="0.35">
      <c r="A232" s="57"/>
      <c r="C232" s="131"/>
    </row>
    <row r="233" spans="1:14" x14ac:dyDescent="0.25">
      <c r="A233" s="3"/>
    </row>
    <row r="234" spans="1:14" x14ac:dyDescent="0.25">
      <c r="A234" s="3"/>
    </row>
    <row r="235" spans="1:14" x14ac:dyDescent="0.25">
      <c r="A235" s="3"/>
    </row>
    <row r="236" spans="1:14" x14ac:dyDescent="0.25">
      <c r="A236" s="3"/>
      <c r="B236" s="1"/>
      <c r="C236" s="3"/>
    </row>
    <row r="237" spans="1:14" x14ac:dyDescent="0.25">
      <c r="A237" s="3"/>
      <c r="B237" s="1"/>
    </row>
    <row r="238" spans="1:14" x14ac:dyDescent="0.25">
      <c r="A238" s="3"/>
      <c r="B238" s="1"/>
    </row>
    <row r="239" spans="1:14" x14ac:dyDescent="0.25">
      <c r="B239" s="1"/>
    </row>
    <row r="240" spans="1:14" x14ac:dyDescent="0.25">
      <c r="A240" s="3"/>
      <c r="B240" s="1"/>
      <c r="C240" s="3"/>
    </row>
    <row r="241" spans="1:3" x14ac:dyDescent="0.25">
      <c r="A241" s="3"/>
      <c r="B241" s="1"/>
    </row>
    <row r="242" spans="1:3" x14ac:dyDescent="0.25">
      <c r="A242" s="3"/>
      <c r="B242" s="1"/>
    </row>
    <row r="243" spans="1:3" x14ac:dyDescent="0.25">
      <c r="B243" s="1"/>
    </row>
    <row r="244" spans="1:3" x14ac:dyDescent="0.25">
      <c r="A244" s="3"/>
      <c r="B244" s="1"/>
      <c r="C244" s="3"/>
    </row>
    <row r="245" spans="1:3" x14ac:dyDescent="0.25">
      <c r="A245" s="3"/>
    </row>
    <row r="246" spans="1:3" x14ac:dyDescent="0.25">
      <c r="A246" s="3"/>
    </row>
  </sheetData>
  <pageMargins left="0.75" right="0.75" top="1" bottom="1" header="0.5" footer="0.5"/>
  <pageSetup paperSize="9" orientation="portrait" horizontalDpi="4294967293" verticalDpi="4294967293"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Z249"/>
  <sheetViews>
    <sheetView zoomScaleNormal="100" workbookViewId="0">
      <selection activeCell="A26" sqref="A26:A31"/>
    </sheetView>
  </sheetViews>
  <sheetFormatPr defaultRowHeight="12.5" x14ac:dyDescent="0.25"/>
  <cols>
    <col min="1" max="1" width="33.54296875" customWidth="1"/>
    <col min="2" max="2" width="8.54296875" bestFit="1" customWidth="1"/>
    <col min="3" max="3" width="9.453125" bestFit="1" customWidth="1"/>
    <col min="4" max="4" width="9.81640625" bestFit="1" customWidth="1"/>
    <col min="5" max="5" width="10.1796875" bestFit="1" customWidth="1"/>
    <col min="6" max="6" width="9.81640625" bestFit="1" customWidth="1"/>
    <col min="7" max="13" width="10.54296875" bestFit="1" customWidth="1"/>
    <col min="14" max="14" width="11.54296875" bestFit="1" customWidth="1"/>
    <col min="15" max="24" width="2.1796875" customWidth="1"/>
  </cols>
  <sheetData>
    <row r="1" spans="1:8" ht="13" x14ac:dyDescent="0.3">
      <c r="A1" s="2" t="str">
        <f>MODEL_NAME</f>
        <v>PAGE-ICE Nonlinear Arctic Feedbacks</v>
      </c>
      <c r="B1" t="s">
        <v>39</v>
      </c>
      <c r="C1" s="51" t="str">
        <f>VERSION</f>
        <v>6.22</v>
      </c>
    </row>
    <row r="2" spans="1:8" ht="13" x14ac:dyDescent="0.3">
      <c r="A2" s="2"/>
      <c r="C2" s="51"/>
    </row>
    <row r="3" spans="1:8" x14ac:dyDescent="0.25">
      <c r="A3" s="3" t="s">
        <v>555</v>
      </c>
      <c r="D3" s="1"/>
      <c r="E3" s="3"/>
    </row>
    <row r="4" spans="1:8" s="3" customFormat="1" x14ac:dyDescent="0.25">
      <c r="A4" s="3" t="s">
        <v>554</v>
      </c>
      <c r="D4" s="59"/>
    </row>
    <row r="5" spans="1:8" s="3" customFormat="1" x14ac:dyDescent="0.25">
      <c r="D5" s="59"/>
    </row>
    <row r="6" spans="1:8" s="3" customFormat="1" x14ac:dyDescent="0.25"/>
    <row r="7" spans="1:8" s="3" customFormat="1" x14ac:dyDescent="0.25">
      <c r="A7" s="3" t="s">
        <v>61</v>
      </c>
    </row>
    <row r="8" spans="1:8" s="3" customFormat="1" x14ac:dyDescent="0.25">
      <c r="A8" s="3" t="s">
        <v>62</v>
      </c>
    </row>
    <row r="9" spans="1:8" s="3" customFormat="1" x14ac:dyDescent="0.25">
      <c r="A9" s="3" t="s">
        <v>630</v>
      </c>
    </row>
    <row r="10" spans="1:8" x14ac:dyDescent="0.25">
      <c r="A10" s="3"/>
      <c r="D10" s="3"/>
      <c r="E10" s="3"/>
      <c r="F10" s="3"/>
      <c r="G10" s="3"/>
      <c r="H10" s="3"/>
    </row>
    <row r="11" spans="1:8" ht="13" x14ac:dyDescent="0.3">
      <c r="A11" s="2" t="s">
        <v>767</v>
      </c>
      <c r="D11" s="3"/>
      <c r="E11" s="3"/>
      <c r="F11" s="3"/>
      <c r="G11" s="3"/>
      <c r="H11" s="3"/>
    </row>
    <row r="12" spans="1:8" x14ac:dyDescent="0.25">
      <c r="A12" t="s">
        <v>607</v>
      </c>
      <c r="B12" s="3"/>
      <c r="D12" s="3"/>
      <c r="E12" s="3"/>
      <c r="F12" s="3"/>
      <c r="G12" s="3"/>
      <c r="H12" s="3"/>
    </row>
    <row r="13" spans="1:8" x14ac:dyDescent="0.25">
      <c r="A13" t="s">
        <v>631</v>
      </c>
      <c r="B13" s="3"/>
      <c r="D13" s="3"/>
      <c r="E13" s="3"/>
      <c r="F13" s="3"/>
      <c r="G13" s="3"/>
      <c r="H13" s="3"/>
    </row>
    <row r="14" spans="1:8" x14ac:dyDescent="0.25">
      <c r="A14" t="s">
        <v>632</v>
      </c>
      <c r="B14" s="3"/>
      <c r="D14" s="3"/>
      <c r="E14" s="3"/>
      <c r="F14" s="3"/>
      <c r="G14" s="3"/>
      <c r="H14" s="3"/>
    </row>
    <row r="15" spans="1:8" x14ac:dyDescent="0.25">
      <c r="B15" s="3"/>
      <c r="D15" s="3"/>
      <c r="E15" s="3"/>
      <c r="F15" s="3"/>
      <c r="G15" s="3"/>
      <c r="H15" s="3"/>
    </row>
    <row r="16" spans="1:8" x14ac:dyDescent="0.25">
      <c r="A16" t="s">
        <v>833</v>
      </c>
      <c r="B16" s="3"/>
      <c r="D16" s="3"/>
      <c r="E16" s="3"/>
      <c r="F16" s="3"/>
      <c r="G16" s="3"/>
      <c r="H16" s="3"/>
    </row>
    <row r="17" spans="1:8" x14ac:dyDescent="0.25">
      <c r="A17" t="s">
        <v>627</v>
      </c>
      <c r="B17" s="3"/>
      <c r="D17" s="3"/>
      <c r="E17" s="3"/>
      <c r="F17" s="3"/>
      <c r="G17" s="3"/>
      <c r="H17" s="3"/>
    </row>
    <row r="18" spans="1:8" x14ac:dyDescent="0.25">
      <c r="A18" t="s">
        <v>628</v>
      </c>
      <c r="B18" s="3"/>
      <c r="D18" s="3"/>
      <c r="E18" s="3"/>
      <c r="F18" s="3"/>
      <c r="G18" s="3"/>
      <c r="H18" s="3"/>
    </row>
    <row r="19" spans="1:8" x14ac:dyDescent="0.25">
      <c r="A19" t="s">
        <v>629</v>
      </c>
      <c r="B19" s="3"/>
      <c r="D19" s="3"/>
      <c r="E19" s="3"/>
      <c r="F19" s="3"/>
      <c r="G19" s="3"/>
      <c r="H19" s="3"/>
    </row>
    <row r="20" spans="1:8" x14ac:dyDescent="0.25">
      <c r="B20" s="3"/>
      <c r="D20" s="3"/>
      <c r="E20" s="3"/>
      <c r="F20" s="3"/>
      <c r="G20" s="3"/>
      <c r="H20" s="3"/>
    </row>
    <row r="21" spans="1:8" x14ac:dyDescent="0.25">
      <c r="A21" t="s">
        <v>834</v>
      </c>
      <c r="B21" s="3"/>
      <c r="D21" s="3"/>
      <c r="E21" s="3"/>
      <c r="F21" s="3"/>
      <c r="G21" s="3"/>
      <c r="H21" s="3"/>
    </row>
    <row r="22" spans="1:8" x14ac:dyDescent="0.25">
      <c r="A22" s="3" t="s">
        <v>627</v>
      </c>
      <c r="B22" s="3"/>
      <c r="D22" s="3"/>
      <c r="E22" s="3"/>
      <c r="F22" s="3"/>
      <c r="G22" s="3"/>
      <c r="H22" s="3"/>
    </row>
    <row r="23" spans="1:8" x14ac:dyDescent="0.25">
      <c r="A23" s="3" t="s">
        <v>628</v>
      </c>
      <c r="B23" s="3"/>
      <c r="D23" s="3"/>
      <c r="E23" s="3"/>
      <c r="F23" s="3"/>
      <c r="G23" s="3"/>
      <c r="H23" s="3"/>
    </row>
    <row r="24" spans="1:8" x14ac:dyDescent="0.25">
      <c r="A24" s="3" t="s">
        <v>629</v>
      </c>
      <c r="B24" s="3"/>
      <c r="D24" s="3"/>
      <c r="E24" s="3"/>
      <c r="F24" s="3"/>
      <c r="G24" s="3"/>
      <c r="H24" s="3"/>
    </row>
    <row r="25" spans="1:8" x14ac:dyDescent="0.25">
      <c r="A25" s="3"/>
      <c r="B25" s="3"/>
      <c r="D25" s="3"/>
      <c r="E25" s="3"/>
      <c r="F25" s="3"/>
      <c r="G25" s="3"/>
      <c r="H25" s="3"/>
    </row>
    <row r="26" spans="1:8" x14ac:dyDescent="0.25">
      <c r="A26" t="s">
        <v>835</v>
      </c>
      <c r="B26" s="3"/>
      <c r="D26" s="3"/>
      <c r="E26" s="3"/>
      <c r="F26" s="3"/>
      <c r="G26" s="3"/>
      <c r="H26" s="3"/>
    </row>
    <row r="27" spans="1:8" x14ac:dyDescent="0.25">
      <c r="A27" s="3" t="s">
        <v>940</v>
      </c>
      <c r="B27" s="3"/>
      <c r="D27" s="3"/>
      <c r="E27" s="3"/>
      <c r="F27" s="3"/>
      <c r="G27" s="3"/>
      <c r="H27" s="3"/>
    </row>
    <row r="28" spans="1:8" x14ac:dyDescent="0.25">
      <c r="A28" s="3" t="s">
        <v>918</v>
      </c>
      <c r="B28" s="3"/>
      <c r="D28" s="3"/>
      <c r="E28" s="3"/>
      <c r="F28" s="3"/>
      <c r="G28" s="3"/>
      <c r="H28" s="3"/>
    </row>
    <row r="29" spans="1:8" x14ac:dyDescent="0.25">
      <c r="A29" s="3" t="s">
        <v>943</v>
      </c>
      <c r="B29" s="3"/>
      <c r="D29" s="3"/>
      <c r="E29" s="3"/>
      <c r="F29" s="3"/>
      <c r="G29" s="3"/>
      <c r="H29" s="3"/>
    </row>
    <row r="30" spans="1:8" x14ac:dyDescent="0.25">
      <c r="A30" s="3" t="s">
        <v>916</v>
      </c>
      <c r="B30" s="3"/>
      <c r="D30" s="3"/>
      <c r="E30" s="3"/>
      <c r="F30" s="3"/>
      <c r="G30" s="3"/>
      <c r="H30" s="3"/>
    </row>
    <row r="31" spans="1:8" x14ac:dyDescent="0.25">
      <c r="A31" s="3" t="s">
        <v>950</v>
      </c>
      <c r="B31" s="3"/>
    </row>
    <row r="32" spans="1:8" x14ac:dyDescent="0.25">
      <c r="A32" s="3"/>
      <c r="B32" s="3"/>
    </row>
    <row r="33" spans="1:14" x14ac:dyDescent="0.25">
      <c r="A33" s="3"/>
      <c r="B33" s="3"/>
    </row>
    <row r="34" spans="1:14" x14ac:dyDescent="0.25">
      <c r="C34">
        <f>Y_0</f>
        <v>2015</v>
      </c>
      <c r="D34">
        <f t="array" ref="D34:M34">Y</f>
        <v>2020</v>
      </c>
      <c r="E34">
        <v>2030</v>
      </c>
      <c r="F34">
        <v>2040</v>
      </c>
      <c r="G34">
        <v>2050</v>
      </c>
      <c r="H34">
        <v>2075</v>
      </c>
      <c r="I34">
        <v>2100</v>
      </c>
      <c r="J34">
        <v>2150</v>
      </c>
      <c r="K34">
        <v>2200</v>
      </c>
      <c r="L34">
        <v>2250</v>
      </c>
      <c r="M34">
        <v>2300</v>
      </c>
    </row>
    <row r="35" spans="1:14" s="4" customFormat="1" x14ac:dyDescent="0.25">
      <c r="A35" s="4" t="s">
        <v>59</v>
      </c>
      <c r="D35" s="14">
        <f>Y_1-Y_0</f>
        <v>5</v>
      </c>
      <c r="E35" s="14">
        <f t="array" ref="E35:M35">Y_NOT_1-Y</f>
        <v>10</v>
      </c>
      <c r="F35" s="14">
        <v>10</v>
      </c>
      <c r="G35" s="14">
        <v>10</v>
      </c>
      <c r="H35" s="14">
        <v>25</v>
      </c>
      <c r="I35" s="14">
        <v>25</v>
      </c>
      <c r="J35" s="14">
        <v>50</v>
      </c>
      <c r="K35" s="14">
        <v>50</v>
      </c>
      <c r="L35" s="14">
        <v>50</v>
      </c>
      <c r="M35" s="14">
        <v>50</v>
      </c>
      <c r="N35" s="4" t="s">
        <v>41</v>
      </c>
    </row>
    <row r="36" spans="1:14" s="4" customFormat="1" x14ac:dyDescent="0.25">
      <c r="A36" s="57"/>
      <c r="B36"/>
      <c r="C36"/>
      <c r="D36" s="110"/>
      <c r="E36" s="110"/>
      <c r="F36" s="110"/>
      <c r="G36" s="110"/>
      <c r="H36" s="110"/>
      <c r="I36" s="110"/>
      <c r="J36" s="110"/>
      <c r="K36" s="110"/>
      <c r="L36" s="110"/>
      <c r="M36" s="110"/>
      <c r="N36" s="58"/>
    </row>
    <row r="37" spans="1:14" s="4" customFormat="1" x14ac:dyDescent="0.25">
      <c r="A37" s="3" t="s">
        <v>836</v>
      </c>
      <c r="B37"/>
      <c r="C37"/>
      <c r="D37" s="110"/>
      <c r="E37" s="110"/>
      <c r="F37" s="110"/>
      <c r="G37" s="110"/>
      <c r="H37" s="110"/>
      <c r="I37" s="110"/>
      <c r="J37" s="110"/>
      <c r="K37" s="110"/>
      <c r="L37" s="110"/>
      <c r="M37" s="110"/>
      <c r="N37" s="58"/>
    </row>
    <row r="38" spans="1:14" s="4" customFormat="1" x14ac:dyDescent="0.25">
      <c r="A38" s="4" t="s">
        <v>511</v>
      </c>
      <c r="C38" s="57"/>
      <c r="D38" s="113">
        <f ca="1">'Climate A'!D38-'Climate B'!D38</f>
        <v>2.3192648668306504E-3</v>
      </c>
      <c r="E38" s="113">
        <f ca="1">'Climate A'!E38-'Climate B'!E38</f>
        <v>1.5582646339815653E-2</v>
      </c>
      <c r="F38" s="113">
        <f ca="1">'Climate A'!F38-'Climate B'!F38</f>
        <v>3.3190713831219743E-2</v>
      </c>
      <c r="G38" s="113">
        <f ca="1">'Climate A'!G38-'Climate B'!G38</f>
        <v>5.3039893605270283E-2</v>
      </c>
      <c r="H38" s="113">
        <f ca="1">'Climate A'!H38-'Climate B'!H38</f>
        <v>0.10706299182899315</v>
      </c>
      <c r="I38" s="113">
        <f ca="1">'Climate A'!I38-'Climate B'!I38</f>
        <v>0.15550063922977886</v>
      </c>
      <c r="J38" s="113">
        <f ca="1">'Climate A'!J38-'Climate B'!J38</f>
        <v>0.22919628760193067</v>
      </c>
      <c r="K38" s="113">
        <f ca="1">'Climate A'!K38-'Climate B'!K38</f>
        <v>0.25263567654170815</v>
      </c>
      <c r="L38" s="113">
        <f ca="1">'Climate A'!L38-'Climate B'!L38</f>
        <v>0.25862219370718398</v>
      </c>
      <c r="M38" s="113">
        <f ca="1">'Climate A'!M38-'Climate B'!M38</f>
        <v>0.26716672181633383</v>
      </c>
      <c r="N38" s="4" t="s">
        <v>43</v>
      </c>
    </row>
    <row r="39" spans="1:14" s="4" customFormat="1" x14ac:dyDescent="0.25">
      <c r="A39" s="3" t="s">
        <v>755</v>
      </c>
      <c r="C39" s="57"/>
      <c r="D39" s="113">
        <f ca="1">'Climate A'!D39-'Climate B'!D39</f>
        <v>1.4573108538540325E-4</v>
      </c>
      <c r="E39" s="113">
        <f ca="1">'Climate A'!E39-'Climate B'!E39</f>
        <v>9.7913610332145407E-4</v>
      </c>
      <c r="F39" s="113">
        <f ca="1">'Climate A'!F39-'Climate B'!F39</f>
        <v>2.0855396123651282E-3</v>
      </c>
      <c r="G39" s="113">
        <f ca="1">'Climate A'!G39-'Climate B'!G39</f>
        <v>3.3327634865560896E-3</v>
      </c>
      <c r="H39" s="113">
        <f ca="1">'Climate A'!H39-'Climate B'!H39</f>
        <v>6.7273066681576843E-3</v>
      </c>
      <c r="I39" s="113">
        <f ca="1">'Climate A'!I39-'Climate B'!I39</f>
        <v>9.7708878607107863E-3</v>
      </c>
      <c r="J39" s="113">
        <f ca="1">'Climate A'!J39-'Climate B'!J39</f>
        <v>1.4401556388077053E-2</v>
      </c>
      <c r="K39" s="113">
        <f ca="1">'Climate A'!K39-'Climate B'!K39</f>
        <v>1.5874371175132129E-2</v>
      </c>
      <c r="L39" s="113">
        <f ca="1">'Climate A'!L39-'Climate B'!L39</f>
        <v>1.6250534181212584E-2</v>
      </c>
      <c r="M39" s="113">
        <f ca="1">'Climate A'!M39-'Climate B'!M39</f>
        <v>1.678742989039228E-2</v>
      </c>
      <c r="N39" s="4" t="s">
        <v>509</v>
      </c>
    </row>
    <row r="40" spans="1:14" s="4" customFormat="1" x14ac:dyDescent="0.25">
      <c r="A40" s="3" t="s">
        <v>754</v>
      </c>
      <c r="C40" s="57"/>
      <c r="D40" s="113">
        <f ca="1">'Climate A'!D40-'Climate B'!D40</f>
        <v>8.6603263055207158E-5</v>
      </c>
      <c r="E40" s="113">
        <f ca="1">'Climate A'!E40-'Climate B'!E40</f>
        <v>5.8186886688260664E-4</v>
      </c>
      <c r="F40" s="113">
        <f ca="1">'Climate A'!F40-'Climate B'!F40</f>
        <v>1.239368630131521E-3</v>
      </c>
      <c r="G40" s="113">
        <f ca="1">'Climate A'!G40-'Climate B'!G40</f>
        <v>1.9805533744817749E-3</v>
      </c>
      <c r="H40" s="113">
        <f ca="1">'Climate A'!H40-'Climate B'!H40</f>
        <v>3.9978204203630074E-3</v>
      </c>
      <c r="I40" s="113">
        <f ca="1">'Climate A'!I40-'Climate B'!I40</f>
        <v>5.8065221256404786E-3</v>
      </c>
      <c r="J40" s="113">
        <f ca="1">'Climate A'!J40-'Climate B'!J40</f>
        <v>8.5583784199674273E-3</v>
      </c>
      <c r="K40" s="113">
        <f ca="1">'Climate A'!K40-'Climate B'!K40</f>
        <v>9.4336245357675708E-3</v>
      </c>
      <c r="L40" s="113">
        <f ca="1">'Climate A'!L40-'Climate B'!L40</f>
        <v>9.6571660244009205E-3</v>
      </c>
      <c r="M40" s="113">
        <f ca="1">'Climate A'!M40-'Climate B'!M40</f>
        <v>9.9762257515163544E-3</v>
      </c>
      <c r="N40" s="4" t="s">
        <v>509</v>
      </c>
    </row>
    <row r="41" spans="1:14" s="4" customFormat="1" x14ac:dyDescent="0.25">
      <c r="A41" s="3" t="s">
        <v>756</v>
      </c>
      <c r="C41" s="57"/>
      <c r="D41" s="113">
        <f ca="1">'Climate A'!D41-'Climate B'!D41</f>
        <v>-3.4827812267490543E-6</v>
      </c>
      <c r="E41" s="113">
        <f ca="1">'Climate A'!E41-'Climate B'!E41</f>
        <v>-2.3400064784295793E-5</v>
      </c>
      <c r="F41" s="113">
        <f ca="1">'Climate A'!F41-'Climate B'!F41</f>
        <v>-4.9841653141147191E-5</v>
      </c>
      <c r="G41" s="113">
        <f ca="1">'Climate A'!G41-'Climate B'!G41</f>
        <v>-7.9648662971498752E-5</v>
      </c>
      <c r="H41" s="113">
        <f ca="1">'Climate A'!H41-'Climate B'!H41</f>
        <v>-1.607737793813957E-4</v>
      </c>
      <c r="I41" s="113">
        <f ca="1">'Climate A'!I41-'Climate B'!I41</f>
        <v>-2.3351136595461952E-4</v>
      </c>
      <c r="J41" s="113">
        <f ca="1">'Climate A'!J41-'Climate B'!J41</f>
        <v>-3.4417825196575436E-4</v>
      </c>
      <c r="K41" s="113">
        <f ca="1">'Climate A'!K41-'Climate B'!K41</f>
        <v>-3.7937658784126249E-4</v>
      </c>
      <c r="L41" s="113">
        <f ca="1">'Climate A'!L41-'Climate B'!L41</f>
        <v>-3.8836638883199548E-4</v>
      </c>
      <c r="M41" s="113">
        <f ca="1">'Climate A'!M41-'Climate B'!M41</f>
        <v>-4.0119748997780036E-4</v>
      </c>
      <c r="N41" s="4" t="s">
        <v>509</v>
      </c>
    </row>
    <row r="42" spans="1:14" s="4" customFormat="1" x14ac:dyDescent="0.25">
      <c r="A42" s="58" t="s">
        <v>757</v>
      </c>
      <c r="B42"/>
      <c r="C42" s="57"/>
      <c r="D42" s="113">
        <f ca="1">'Climate A'!D42-'Climate B'!D42</f>
        <v>41.577196361999086</v>
      </c>
      <c r="E42" s="113">
        <f ca="1">'Climate A'!E42-'Climate B'!E42</f>
        <v>328.70013436656882</v>
      </c>
      <c r="F42" s="113">
        <f ca="1">'Climate A'!F42-'Climate B'!F42</f>
        <v>768.0937604189894</v>
      </c>
      <c r="G42" s="113">
        <f ca="1">'Climate A'!G42-'Climate B'!G42</f>
        <v>1296.0649512298769</v>
      </c>
      <c r="H42" s="113">
        <f ca="1">'Climate A'!H42-'Climate B'!H42</f>
        <v>2749.0607507252862</v>
      </c>
      <c r="I42" s="113">
        <f ca="1">'Climate A'!I42-'Climate B'!I42</f>
        <v>3969.1464626117959</v>
      </c>
      <c r="J42" s="113">
        <f ca="1">'Climate A'!J42-'Climate B'!J42</f>
        <v>5401.2081082172008</v>
      </c>
      <c r="K42" s="113">
        <f ca="1">'Climate A'!K42-'Climate B'!K42</f>
        <v>5645.0906141873202</v>
      </c>
      <c r="L42" s="113">
        <f ca="1">'Climate A'!L42-'Climate B'!L42</f>
        <v>5586.0016931466598</v>
      </c>
      <c r="M42" s="113">
        <f ca="1">'Climate A'!M42-'Climate B'!M42</f>
        <v>5569.9306457448474</v>
      </c>
      <c r="N42" s="58" t="s">
        <v>503</v>
      </c>
    </row>
    <row r="43" spans="1:14" s="4" customFormat="1" x14ac:dyDescent="0.25">
      <c r="A43" s="57" t="s">
        <v>758</v>
      </c>
      <c r="C43" s="57"/>
      <c r="D43" s="113">
        <f ca="1">'Climate A'!D43-'Climate B'!D43</f>
        <v>2.4950620490853908</v>
      </c>
      <c r="E43" s="113">
        <f ca="1">'Climate A'!E43-'Climate B'!E43</f>
        <v>42.599791884873412</v>
      </c>
      <c r="F43" s="113">
        <f ca="1">'Climate A'!F43-'Climate B'!F43</f>
        <v>132.840853239235</v>
      </c>
      <c r="G43" s="113">
        <f ca="1">'Climate A'!G43-'Climate B'!G43</f>
        <v>277.07674583949847</v>
      </c>
      <c r="H43" s="113">
        <f ca="1">'Climate A'!H43-'Climate B'!H43</f>
        <v>960.13503490611038</v>
      </c>
      <c r="I43" s="113">
        <f ca="1">'Climate A'!I43-'Climate B'!I43</f>
        <v>1745.8673516317067</v>
      </c>
      <c r="J43" s="113">
        <f ca="1">'Climate A'!J43-'Climate B'!J43</f>
        <v>3197.3403417841691</v>
      </c>
      <c r="K43" s="113">
        <f ca="1">'Climate A'!K43-'Climate B'!K43</f>
        <v>3951.8973680600757</v>
      </c>
      <c r="L43" s="113">
        <f ca="1">'Climate A'!L43-'Climate B'!L43</f>
        <v>3959.4101303122516</v>
      </c>
      <c r="M43" s="113">
        <f ca="1">'Climate A'!M43-'Climate B'!M43</f>
        <v>3959.4101303122516</v>
      </c>
      <c r="N43" s="58" t="s">
        <v>503</v>
      </c>
    </row>
    <row r="44" spans="1:14" s="4" customFormat="1" x14ac:dyDescent="0.25">
      <c r="A44" s="57" t="s">
        <v>759</v>
      </c>
      <c r="C44" s="57"/>
      <c r="D44" s="113">
        <f ca="1">'Climate A'!D44-'Climate B'!D44</f>
        <v>9.1485608466464328</v>
      </c>
      <c r="E44" s="113">
        <f ca="1">'Climate A'!E44-'Climate B'!E44</f>
        <v>156.19923691120493</v>
      </c>
      <c r="F44" s="113">
        <f ca="1">'Climate A'!F44-'Climate B'!F44</f>
        <v>487.08312854386168</v>
      </c>
      <c r="G44" s="113">
        <f ca="1">'Climate A'!G44-'Climate B'!G44</f>
        <v>1015.9480680781562</v>
      </c>
      <c r="H44" s="113">
        <f ca="1">'Climate A'!H44-'Climate B'!H44</f>
        <v>3520.4951279890665</v>
      </c>
      <c r="I44" s="113">
        <f ca="1">'Climate A'!I44-'Climate B'!I44</f>
        <v>6401.5136226495961</v>
      </c>
      <c r="J44" s="113">
        <f ca="1">'Climate A'!J44-'Climate B'!J44</f>
        <v>11723.581253208627</v>
      </c>
      <c r="K44" s="113">
        <f ca="1">'Climate A'!K44-'Climate B'!K44</f>
        <v>14490.290349553601</v>
      </c>
      <c r="L44" s="113">
        <f ca="1">'Climate A'!L44-'Climate B'!L44</f>
        <v>14517.837144478253</v>
      </c>
      <c r="M44" s="113">
        <f ca="1">'Climate A'!M44-'Climate B'!M44</f>
        <v>14517.837144478253</v>
      </c>
      <c r="N44" s="3" t="s">
        <v>457</v>
      </c>
    </row>
    <row r="45" spans="1:14" s="4" customFormat="1" x14ac:dyDescent="0.25">
      <c r="A45" s="4" t="s">
        <v>612</v>
      </c>
      <c r="C45" s="115">
        <f ca="1">'Climate A'!C45-'Climate B'!C45</f>
        <v>0</v>
      </c>
      <c r="D45" s="115">
        <f ca="1">'Climate A'!D45-'Climate B'!D45</f>
        <v>1.760736383266476</v>
      </c>
      <c r="E45" s="115">
        <f ca="1">'Climate A'!E45-'Climate B'!E45</f>
        <v>13.545836118734314</v>
      </c>
      <c r="F45" s="115">
        <f ca="1">'Climate A'!F45-'Climate B'!F45</f>
        <v>30.444914679651902</v>
      </c>
      <c r="G45" s="115">
        <f ca="1">'Climate A'!G45-'Climate B'!G45</f>
        <v>48.67357007186115</v>
      </c>
      <c r="H45" s="115">
        <f ca="1">'Climate A'!H45-'Climate B'!H45</f>
        <v>81.6029481565688</v>
      </c>
      <c r="I45" s="115">
        <f ca="1">'Climate A'!I45-'Climate B'!I45</f>
        <v>95.182520731170143</v>
      </c>
      <c r="J45" s="115">
        <f ca="1">'Climate A'!J45-'Climate B'!J45</f>
        <v>77.188747420652305</v>
      </c>
      <c r="K45" s="115">
        <f ca="1">'Climate A'!K45-'Climate B'!K45</f>
        <v>43.930903565406403</v>
      </c>
      <c r="L45" s="115">
        <f ca="1">'Climate A'!L45-'Climate B'!L45</f>
        <v>0.51665685266799544</v>
      </c>
      <c r="M45" s="115">
        <f ca="1">'Climate A'!M45-'Climate B'!M45</f>
        <v>0</v>
      </c>
      <c r="N45" s="58" t="s">
        <v>591</v>
      </c>
    </row>
    <row r="46" spans="1:14" s="4" customFormat="1" x14ac:dyDescent="0.25">
      <c r="A46" s="57"/>
      <c r="C46" s="57"/>
      <c r="D46" s="57"/>
      <c r="E46" s="57"/>
      <c r="F46" s="57"/>
      <c r="G46" s="57"/>
      <c r="H46" s="57"/>
      <c r="I46" s="57"/>
      <c r="J46" s="57"/>
      <c r="K46" s="57"/>
      <c r="L46" s="57"/>
      <c r="M46" s="57"/>
      <c r="N46" s="58"/>
    </row>
    <row r="47" spans="1:14" s="4" customFormat="1" x14ac:dyDescent="0.25">
      <c r="A47" s="3" t="s">
        <v>761</v>
      </c>
      <c r="B47" s="59"/>
      <c r="C47" s="57"/>
      <c r="D47" s="113">
        <f ca="1">'Climate A'!D47-'Climate B'!D47</f>
        <v>-7.6961371461514716E-5</v>
      </c>
      <c r="E47" s="113">
        <f ca="1">'Climate A'!E47-'Climate B'!E47</f>
        <v>-3.6651116222419233E-4</v>
      </c>
      <c r="F47" s="113">
        <f ca="1">'Climate A'!F47-'Climate B'!F47</f>
        <v>-6.5543234626619373E-4</v>
      </c>
      <c r="G47" s="113">
        <f ca="1">'Climate A'!G47-'Climate B'!G47</f>
        <v>-9.5033932444255065E-4</v>
      </c>
      <c r="H47" s="113">
        <f ca="1">'Climate A'!H47-'Climate B'!H47</f>
        <v>-1.7609636404973816E-3</v>
      </c>
      <c r="I47" s="113">
        <f ca="1">'Climate A'!I47-'Climate B'!I47</f>
        <v>-2.5838885340159212E-3</v>
      </c>
      <c r="J47" s="113">
        <f ca="1">'Climate A'!J47-'Climate B'!J47</f>
        <v>-4.3814136482149824E-3</v>
      </c>
      <c r="K47" s="113">
        <f ca="1">'Climate A'!K47-'Climate B'!K47</f>
        <v>-5.3252947013402441E-3</v>
      </c>
      <c r="L47" s="113">
        <f ca="1">'Climate A'!L47-'Climate B'!L47</f>
        <v>-5.8141519214915949E-3</v>
      </c>
      <c r="M47" s="113">
        <f ca="1">'Climate A'!M47-'Climate B'!M47</f>
        <v>-6.4358972984255303E-3</v>
      </c>
      <c r="N47" s="4" t="s">
        <v>509</v>
      </c>
    </row>
    <row r="48" spans="1:14" s="4" customFormat="1" x14ac:dyDescent="0.25">
      <c r="A48" s="3" t="s">
        <v>857</v>
      </c>
      <c r="B48" s="59"/>
      <c r="C48" s="57"/>
      <c r="D48" s="113">
        <f ca="1">'Climate A'!D48-'Climate B'!D48</f>
        <v>-0.22175894347886072</v>
      </c>
      <c r="E48" s="113">
        <f ca="1">'Climate A'!E48-'Climate B'!E48</f>
        <v>-0.46751022511786289</v>
      </c>
      <c r="F48" s="113">
        <f ca="1">'Climate A'!F48-'Climate B'!F48</f>
        <v>-0.55265661338846428</v>
      </c>
      <c r="G48" s="113">
        <f ca="1">'Climate A'!G48-'Climate B'!G48</f>
        <v>-0.6365397439279441</v>
      </c>
      <c r="H48" s="113">
        <f ca="1">'Climate A'!H48-'Climate B'!H48</f>
        <v>-0.96335505992971626</v>
      </c>
      <c r="I48" s="113">
        <f ca="1">'Climate A'!I48-'Climate B'!I48</f>
        <v>-1.4485533094415821</v>
      </c>
      <c r="J48" s="113">
        <f ca="1">'Climate A'!J48-'Climate B'!J48</f>
        <v>-3.4264369308693894</v>
      </c>
      <c r="K48" s="113">
        <f ca="1">'Climate A'!K48-'Climate B'!K48</f>
        <v>-5.2527733426919312</v>
      </c>
      <c r="L48" s="113">
        <f ca="1">'Climate A'!L48-'Climate B'!L48</f>
        <v>-6.6826529346583179</v>
      </c>
      <c r="M48" s="113">
        <f ca="1">'Climate A'!M48-'Climate B'!M48</f>
        <v>-8.7172773639634009</v>
      </c>
      <c r="N48" s="4" t="s">
        <v>509</v>
      </c>
    </row>
    <row r="49" spans="1:14" s="4" customFormat="1" x14ac:dyDescent="0.25">
      <c r="A49" s="3" t="s">
        <v>858</v>
      </c>
      <c r="B49" s="59"/>
      <c r="C49" s="57"/>
      <c r="D49" s="113">
        <f ca="1">'Climate A'!D49-'Climate B'!D49</f>
        <v>1.4613423858300667E-4</v>
      </c>
      <c r="E49" s="113">
        <f ca="1">'Climate A'!E49-'Climate B'!E49</f>
        <v>9.8184480373297855E-4</v>
      </c>
      <c r="F49" s="113">
        <f ca="1">'Climate A'!F49-'Climate B'!F49</f>
        <v>2.0913090881171659E-3</v>
      </c>
      <c r="G49" s="113">
        <f ca="1">'Climate A'!G49-'Climate B'!G49</f>
        <v>3.3419833057380943E-3</v>
      </c>
      <c r="H49" s="113">
        <f ca="1">'Climate A'!H49-'Climate B'!H49</f>
        <v>6.7459172150247104E-3</v>
      </c>
      <c r="I49" s="113">
        <f ca="1">'Climate A'!I49-'Climate B'!I49</f>
        <v>9.7979182274583465E-3</v>
      </c>
      <c r="J49" s="113">
        <f ca="1">'Climate A'!J49-'Climate B'!J49</f>
        <v>1.4441397122763044E-2</v>
      </c>
      <c r="K49" s="113">
        <f ca="1">'Climate A'!K49-'Climate B'!K49</f>
        <v>1.5918286332164633E-2</v>
      </c>
      <c r="L49" s="113">
        <f ca="1">'Climate A'!L49-'Climate B'!L49</f>
        <v>1.6295489962613763E-2</v>
      </c>
      <c r="M49" s="113">
        <f ca="1">'Climate A'!M49-'Climate B'!M49</f>
        <v>1.6833870950115348E-2</v>
      </c>
      <c r="N49" s="4" t="s">
        <v>509</v>
      </c>
    </row>
    <row r="50" spans="1:14" s="4" customFormat="1" x14ac:dyDescent="0.25">
      <c r="A50" s="58" t="s">
        <v>760</v>
      </c>
      <c r="B50" s="59"/>
      <c r="C50" s="57"/>
      <c r="D50" s="113">
        <f ca="1">'Climate A'!D50-'Climate B'!D50</f>
        <v>5.5391672663326972</v>
      </c>
      <c r="E50" s="113">
        <f ca="1">'Climate A'!E50-'Climate B'!E50</f>
        <v>36.480210477860965</v>
      </c>
      <c r="F50" s="113">
        <f ca="1">'Climate A'!F50-'Climate B'!F50</f>
        <v>76.917327638662755</v>
      </c>
      <c r="G50" s="113">
        <f ca="1">'Climate A'!G50-'Climate B'!G50</f>
        <v>122.22445675365998</v>
      </c>
      <c r="H50" s="113">
        <f ca="1">'Climate A'!H50-'Climate B'!H50</f>
        <v>245.49159573791985</v>
      </c>
      <c r="I50" s="113">
        <f ca="1">'Climate A'!I50-'Climate B'!I50</f>
        <v>356.76786543798335</v>
      </c>
      <c r="J50" s="113">
        <f ca="1">'Climate A'!J50-'Climate B'!J50</f>
        <v>530.14118700471772</v>
      </c>
      <c r="K50" s="113">
        <f ca="1">'Climate A'!K50-'Climate B'!K50</f>
        <v>587.67933721995541</v>
      </c>
      <c r="L50" s="113">
        <f ca="1">'Climate A'!L50-'Climate B'!L50</f>
        <v>603.85705062833495</v>
      </c>
      <c r="M50" s="113">
        <f ca="1">'Climate A'!M50-'Climate B'!M50</f>
        <v>626.31227923548431</v>
      </c>
      <c r="N50" s="58" t="s">
        <v>503</v>
      </c>
    </row>
    <row r="51" spans="1:14" s="4" customFormat="1" x14ac:dyDescent="0.25">
      <c r="A51" s="57" t="s">
        <v>762</v>
      </c>
      <c r="B51"/>
      <c r="C51" s="57"/>
      <c r="D51" s="113">
        <f ca="1">'Climate A'!D51-'Climate B'!D51</f>
        <v>3.6987732701163623E-2</v>
      </c>
      <c r="E51" s="113">
        <f ca="1">'Climate A'!E51-'Climate B'!E51</f>
        <v>0.72666203063181456</v>
      </c>
      <c r="F51" s="113">
        <f ca="1">'Climate A'!F51-'Climate B'!F51</f>
        <v>2.4004895662747003</v>
      </c>
      <c r="G51" s="113">
        <f ca="1">'Climate A'!G51-'Climate B'!G51</f>
        <v>5.2336135884579562</v>
      </c>
      <c r="H51" s="113">
        <f ca="1">'Climate A'!H51-'Climate B'!H51</f>
        <v>20.019871120530297</v>
      </c>
      <c r="I51" s="113">
        <f ca="1">'Climate A'!I51-'Climate B'!I51</f>
        <v>40.778661244137766</v>
      </c>
      <c r="J51" s="113">
        <f ca="1">'Climate A'!J51-'Climate B'!J51</f>
        <v>94.763442376539388</v>
      </c>
      <c r="K51" s="113">
        <f ca="1">'Climate A'!K51-'Climate B'!K51</f>
        <v>147.27198263798527</v>
      </c>
      <c r="L51" s="113">
        <f ca="1">'Climate A'!L51-'Climate B'!L51</f>
        <v>195.72079563100215</v>
      </c>
      <c r="M51" s="113">
        <f ca="1">'Climate A'!M51-'Climate B'!M51</f>
        <v>240.71163330323998</v>
      </c>
      <c r="N51" s="58" t="s">
        <v>503</v>
      </c>
    </row>
    <row r="52" spans="1:14" s="4" customFormat="1" x14ac:dyDescent="0.25">
      <c r="A52" s="57" t="s">
        <v>763</v>
      </c>
      <c r="B52" s="59"/>
      <c r="C52" s="57"/>
      <c r="D52" s="113">
        <f ca="1">'Climate A'!D52-'Climate B'!D52</f>
        <v>4.9316976934903778E-2</v>
      </c>
      <c r="E52" s="113">
        <f ca="1">'Climate A'!E52-'Climate B'!E52</f>
        <v>0.96888270750906713</v>
      </c>
      <c r="F52" s="113">
        <f ca="1">'Climate A'!F52-'Climate B'!F52</f>
        <v>3.2006527550329338</v>
      </c>
      <c r="G52" s="113">
        <f ca="1">'Climate A'!G52-'Climate B'!G52</f>
        <v>6.9781514512771992</v>
      </c>
      <c r="H52" s="113">
        <f ca="1">'Climate A'!H52-'Climate B'!H52</f>
        <v>26.693161494040396</v>
      </c>
      <c r="I52" s="113">
        <f ca="1">'Climate A'!I52-'Climate B'!I52</f>
        <v>54.371548325517097</v>
      </c>
      <c r="J52" s="113">
        <f ca="1">'Climate A'!J52-'Climate B'!J52</f>
        <v>126.35125650205237</v>
      </c>
      <c r="K52" s="113">
        <f ca="1">'Climate A'!K52-'Climate B'!K52</f>
        <v>196.3626435173137</v>
      </c>
      <c r="L52" s="113">
        <f ca="1">'Climate A'!L52-'Climate B'!L52</f>
        <v>260.96106084133589</v>
      </c>
      <c r="M52" s="113">
        <f ca="1">'Climate A'!M52-'Climate B'!M52</f>
        <v>320.94884440431997</v>
      </c>
      <c r="N52" s="3" t="s">
        <v>458</v>
      </c>
    </row>
    <row r="53" spans="1:14" s="4" customFormat="1" x14ac:dyDescent="0.25">
      <c r="B53"/>
      <c r="C53" s="59"/>
      <c r="D53" s="57"/>
      <c r="E53" s="57"/>
      <c r="F53" s="57"/>
      <c r="G53" s="57"/>
      <c r="H53" s="57"/>
      <c r="I53" s="57"/>
      <c r="J53" s="57"/>
      <c r="K53" s="57"/>
      <c r="L53" s="57"/>
      <c r="M53" s="57"/>
    </row>
    <row r="54" spans="1:14" s="4" customFormat="1" x14ac:dyDescent="0.25">
      <c r="A54" s="4" t="s">
        <v>837</v>
      </c>
      <c r="B54"/>
      <c r="C54" s="59"/>
      <c r="D54" s="57"/>
      <c r="E54" s="57"/>
      <c r="F54" s="57"/>
      <c r="G54" s="57"/>
      <c r="H54" s="57"/>
      <c r="I54" s="57"/>
      <c r="J54" s="57"/>
      <c r="K54" s="57"/>
      <c r="L54" s="57"/>
      <c r="M54" s="57"/>
    </row>
    <row r="55" spans="1:14" s="4" customFormat="1" x14ac:dyDescent="0.25">
      <c r="A55" s="4" t="s">
        <v>511</v>
      </c>
      <c r="B55"/>
      <c r="C55" s="59"/>
      <c r="D55" s="113">
        <f ca="1">'Climate A'!D55-'Climate B'!D55</f>
        <v>2.3938772406255637E-3</v>
      </c>
      <c r="E55" s="113">
        <f ca="1">'Climate A'!E55-'Climate B'!E55</f>
        <v>1.6083950977352046E-2</v>
      </c>
      <c r="F55" s="113">
        <f ca="1">'Climate A'!F55-'Climate B'!F55</f>
        <v>3.4258482322135908E-2</v>
      </c>
      <c r="G55" s="113">
        <f ca="1">'Climate A'!G55-'Climate B'!G55</f>
        <v>5.4746224100036045E-2</v>
      </c>
      <c r="H55" s="113">
        <f ca="1">'Climate A'!H55-'Climate B'!H55</f>
        <v>0.1105072831991496</v>
      </c>
      <c r="I55" s="113">
        <f ca="1">'Climate A'!I55-'Climate B'!I55</f>
        <v>0.16050320361363735</v>
      </c>
      <c r="J55" s="113">
        <f ca="1">'Climate A'!J55-'Climate B'!J55</f>
        <v>0.23656969256636762</v>
      </c>
      <c r="K55" s="113">
        <f ca="1">'Climate A'!K55-'Climate B'!K55</f>
        <v>0.260763143051296</v>
      </c>
      <c r="L55" s="113">
        <f ca="1">'Climate A'!L55-'Climate B'!L55</f>
        <v>0.26694225066336852</v>
      </c>
      <c r="M55" s="113">
        <f ca="1">'Climate A'!M55-'Climate B'!M55</f>
        <v>0.27576166222127707</v>
      </c>
      <c r="N55" s="4" t="s">
        <v>43</v>
      </c>
    </row>
    <row r="56" spans="1:14" s="4" customFormat="1" x14ac:dyDescent="0.25">
      <c r="A56" s="4" t="s">
        <v>755</v>
      </c>
      <c r="B56"/>
      <c r="C56" s="59"/>
      <c r="D56" s="113">
        <f ca="1">'Climate A'!D56-'Climate B'!D56</f>
        <v>-1.6447339916125792E-4</v>
      </c>
      <c r="E56" s="113">
        <f ca="1">'Climate A'!E56-'Climate B'!E56</f>
        <v>-7.6812015039218196E-4</v>
      </c>
      <c r="F56" s="113">
        <f ca="1">'Climate A'!F56-'Climate B'!F56</f>
        <v>-1.3600708849270671E-3</v>
      </c>
      <c r="G56" s="113">
        <f ca="1">'Climate A'!G56-'Climate B'!G56</f>
        <v>-1.9611742317013903E-3</v>
      </c>
      <c r="H56" s="113">
        <f ca="1">'Climate A'!H56-'Climate B'!H56</f>
        <v>-3.6164280866193277E-3</v>
      </c>
      <c r="I56" s="113">
        <f ca="1">'Climate A'!I56-'Climate B'!I56</f>
        <v>-5.3095242991829661E-3</v>
      </c>
      <c r="J56" s="113">
        <f ca="1">'Climate A'!J56-'Climate B'!J56</f>
        <v>-9.0751309547085768E-3</v>
      </c>
      <c r="K56" s="113">
        <f ca="1">'Climate A'!K56-'Climate B'!K56</f>
        <v>-1.109156513866183E-2</v>
      </c>
      <c r="L56" s="113">
        <f ca="1">'Climate A'!L56-'Climate B'!L56</f>
        <v>-1.2154134563999275E-2</v>
      </c>
      <c r="M56" s="113">
        <f ca="1">'Climate A'!M56-'Climate B'!M56</f>
        <v>-1.3506761897732256E-2</v>
      </c>
      <c r="N56" s="4" t="s">
        <v>509</v>
      </c>
    </row>
    <row r="57" spans="1:14" s="4" customFormat="1" x14ac:dyDescent="0.25">
      <c r="A57" s="4" t="s">
        <v>754</v>
      </c>
      <c r="B57"/>
      <c r="C57" s="59"/>
      <c r="D57" s="113">
        <f ca="1">'Climate A'!D57-'Climate B'!D57</f>
        <v>-1.9558379828623629E-3</v>
      </c>
      <c r="E57" s="113">
        <f ca="1">'Climate A'!E57-'Climate B'!E57</f>
        <v>-7.6842438814459513E-3</v>
      </c>
      <c r="F57" s="113">
        <f ca="1">'Climate A'!F57-'Climate B'!F57</f>
        <v>-1.2462378339162861E-2</v>
      </c>
      <c r="G57" s="113">
        <f ca="1">'Climate A'!G57-'Climate B'!G57</f>
        <v>-1.7113831270615165E-2</v>
      </c>
      <c r="H57" s="113">
        <f ca="1">'Climate A'!H57-'Climate B'!H57</f>
        <v>-3.0231203226247949E-2</v>
      </c>
      <c r="I57" s="113">
        <f ca="1">'Climate A'!I57-'Climate B'!I57</f>
        <v>-4.4613871163230012E-2</v>
      </c>
      <c r="J57" s="113">
        <f ca="1">'Climate A'!J57-'Climate B'!J57</f>
        <v>-8.1823849808903004E-2</v>
      </c>
      <c r="K57" s="113">
        <f ca="1">'Climate A'!K57-'Climate B'!K57</f>
        <v>-0.10504305164973671</v>
      </c>
      <c r="L57" s="113">
        <f ca="1">'Climate A'!L57-'Climate B'!L57</f>
        <v>-0.11889538562146074</v>
      </c>
      <c r="M57" s="113">
        <f ca="1">'Climate A'!M57-'Climate B'!M57</f>
        <v>-0.1368005974715345</v>
      </c>
      <c r="N57" s="4" t="s">
        <v>509</v>
      </c>
    </row>
    <row r="58" spans="1:14" s="4" customFormat="1" x14ac:dyDescent="0.25">
      <c r="A58" s="4" t="s">
        <v>756</v>
      </c>
      <c r="B58"/>
      <c r="C58" s="59"/>
      <c r="D58" s="113">
        <f ca="1">'Climate A'!D58-'Climate B'!D58</f>
        <v>2.0543315098131565E-4</v>
      </c>
      <c r="E58" s="113">
        <f ca="1">'Climate A'!E58-'Climate B'!E58</f>
        <v>1.3802615578749622E-3</v>
      </c>
      <c r="F58" s="113">
        <f ca="1">'Climate A'!F58-'Climate B'!F58</f>
        <v>2.939928519240409E-3</v>
      </c>
      <c r="G58" s="113">
        <f ca="1">'Climate A'!G58-'Climate B'!G58</f>
        <v>4.6981061227114873E-3</v>
      </c>
      <c r="H58" s="113">
        <f ca="1">'Climate A'!H58-'Climate B'!H58</f>
        <v>9.4833014027316809E-3</v>
      </c>
      <c r="I58" s="113">
        <f ca="1">'Climate A'!I58-'Climate B'!I58</f>
        <v>1.3773755103807073E-2</v>
      </c>
      <c r="J58" s="113">
        <f ca="1">'Climate A'!J58-'Climate B'!J58</f>
        <v>2.0301482693366069E-2</v>
      </c>
      <c r="K58" s="113">
        <f ca="1">'Climate A'!K58-'Climate B'!K58</f>
        <v>2.237766967650956E-2</v>
      </c>
      <c r="L58" s="113">
        <f ca="1">'Climate A'!L58-'Climate B'!L58</f>
        <v>2.2907936444353405E-2</v>
      </c>
      <c r="M58" s="113">
        <f ca="1">'Climate A'!M58-'Climate B'!M58</f>
        <v>2.3664783736016992E-2</v>
      </c>
      <c r="N58" s="4" t="s">
        <v>509</v>
      </c>
    </row>
    <row r="59" spans="1:14" s="4" customFormat="1" x14ac:dyDescent="0.25">
      <c r="A59" s="4" t="s">
        <v>757</v>
      </c>
      <c r="B59"/>
      <c r="C59" s="59"/>
      <c r="D59" s="113">
        <f ca="1">'Climate A'!D59-'Climate B'!D59</f>
        <v>155.94107389362762</v>
      </c>
      <c r="E59" s="113">
        <f ca="1">'Climate A'!E59-'Climate B'!E59</f>
        <v>1007.145917480404</v>
      </c>
      <c r="F59" s="113">
        <f ca="1">'Climate A'!F59-'Climate B'!F59</f>
        <v>2102.5717331532505</v>
      </c>
      <c r="G59" s="113">
        <f ca="1">'Climate A'!G59-'Climate B'!G59</f>
        <v>3322.6784525067487</v>
      </c>
      <c r="H59" s="113">
        <f ca="1">'Climate A'!H59-'Climate B'!H59</f>
        <v>6641.3700401010574</v>
      </c>
      <c r="I59" s="113">
        <f ca="1">'Climate A'!I59-'Climate B'!I59</f>
        <v>9657.3365962827811</v>
      </c>
      <c r="J59" s="113">
        <f ca="1">'Climate A'!J59-'Climate B'!J59</f>
        <v>14464.846250289265</v>
      </c>
      <c r="K59" s="113">
        <f ca="1">'Climate A'!K59-'Climate B'!K59</f>
        <v>16123.853585524514</v>
      </c>
      <c r="L59" s="113">
        <f ca="1">'Climate A'!L59-'Climate B'!L59</f>
        <v>16628.324507331767</v>
      </c>
      <c r="M59" s="113">
        <f ca="1">'Climate A'!M59-'Climate B'!M59</f>
        <v>17314.35019636096</v>
      </c>
      <c r="N59" s="58" t="s">
        <v>503</v>
      </c>
    </row>
    <row r="60" spans="1:14" s="4" customFormat="1" x14ac:dyDescent="0.25">
      <c r="A60" s="4" t="s">
        <v>758</v>
      </c>
      <c r="B60"/>
      <c r="C60" s="59"/>
      <c r="D60" s="113">
        <f ca="1">'Climate A'!D60-'Climate B'!D60</f>
        <v>0.87122761728824116</v>
      </c>
      <c r="E60" s="113">
        <f ca="1">'Climate A'!E60-'Climate B'!E60</f>
        <v>12.030296888900921</v>
      </c>
      <c r="F60" s="113">
        <f ca="1">'Climate A'!F60-'Climate B'!F60</f>
        <v>35.76943457100424</v>
      </c>
      <c r="G60" s="113">
        <f ca="1">'Climate A'!G60-'Climate B'!G60</f>
        <v>73.901069249550346</v>
      </c>
      <c r="H60" s="113">
        <f ca="1">'Climate A'!H60-'Climate B'!H60</f>
        <v>266.56484535086202</v>
      </c>
      <c r="I60" s="113">
        <f ca="1">'Climate A'!I60-'Climate B'!I60</f>
        <v>537.05534908408299</v>
      </c>
      <c r="J60" s="113">
        <f ca="1">'Climate A'!J60-'Climate B'!J60</f>
        <v>1282.9897415507003</v>
      </c>
      <c r="K60" s="113">
        <f ca="1">'Climate A'!K60-'Climate B'!K60</f>
        <v>2052.4077758835047</v>
      </c>
      <c r="L60" s="113">
        <f ca="1">'Climate A'!L60-'Climate B'!L60</f>
        <v>2795.9389850737498</v>
      </c>
      <c r="M60" s="113">
        <f ca="1">'Climate A'!M60-'Climate B'!M60</f>
        <v>3532.7830876856315</v>
      </c>
      <c r="N60" s="58" t="s">
        <v>503</v>
      </c>
    </row>
    <row r="61" spans="1:14" s="4" customFormat="1" x14ac:dyDescent="0.25">
      <c r="A61" s="4" t="s">
        <v>759</v>
      </c>
      <c r="B61"/>
      <c r="C61" s="59"/>
      <c r="D61" s="113">
        <f ca="1">'Climate A'!D61-'Climate B'!D61</f>
        <v>3.1945012633805163</v>
      </c>
      <c r="E61" s="113">
        <f ca="1">'Climate A'!E61-'Climate B'!E61</f>
        <v>44.111088592646411</v>
      </c>
      <c r="F61" s="113">
        <f ca="1">'Climate A'!F61-'Climate B'!F61</f>
        <v>131.1545934270107</v>
      </c>
      <c r="G61" s="113">
        <f ca="1">'Climate A'!G61-'Climate B'!G61</f>
        <v>270.97058724834642</v>
      </c>
      <c r="H61" s="113">
        <f ca="1">'Climate A'!H61-'Climate B'!H61</f>
        <v>977.40443295316072</v>
      </c>
      <c r="I61" s="113">
        <f ca="1">'Climate A'!I61-'Climate B'!I61</f>
        <v>1969.2029466416279</v>
      </c>
      <c r="J61" s="113">
        <f ca="1">'Climate A'!J61-'Climate B'!J61</f>
        <v>4704.2957190192537</v>
      </c>
      <c r="K61" s="113">
        <f ca="1">'Climate A'!K61-'Climate B'!K61</f>
        <v>7525.4951782395074</v>
      </c>
      <c r="L61" s="113">
        <f ca="1">'Climate A'!L61-'Climate B'!L61</f>
        <v>10251.776278603764</v>
      </c>
      <c r="M61" s="113">
        <f ca="1">'Climate A'!M61-'Climate B'!M61</f>
        <v>12953.537988180702</v>
      </c>
      <c r="N61" s="3" t="s">
        <v>457</v>
      </c>
    </row>
    <row r="62" spans="1:14" s="4" customFormat="1" x14ac:dyDescent="0.25">
      <c r="A62" s="4" t="s">
        <v>612</v>
      </c>
      <c r="B62"/>
      <c r="C62" s="59"/>
      <c r="D62" s="113">
        <f ca="1">'Climate A'!D62-'Climate B'!D62</f>
        <v>0.63719608608505496</v>
      </c>
      <c r="E62" s="113">
        <f ca="1">'Climate A'!E62-'Climate B'!E62</f>
        <v>4.0644828816716654</v>
      </c>
      <c r="F62" s="113">
        <f ca="1">'Climate A'!F62-'Climate B'!F62</f>
        <v>8.6388995756176428</v>
      </c>
      <c r="G62" s="113">
        <f ca="1">'Climate A'!G62-'Climate B'!G62</f>
        <v>13.868584470633778</v>
      </c>
      <c r="H62" s="113">
        <f ca="1">'Climate A'!H62-'Climate B'!H62</f>
        <v>27.651245208705632</v>
      </c>
      <c r="I62" s="113">
        <f ca="1">'Climate A'!I62-'Climate B'!I62</f>
        <v>38.833266639364638</v>
      </c>
      <c r="J62" s="113">
        <f ca="1">'Climate A'!J62-'Climate B'!J62</f>
        <v>52.67241784264661</v>
      </c>
      <c r="K62" s="113">
        <f ca="1">'Climate A'!K62-'Climate B'!K62</f>
        <v>54.50781588679979</v>
      </c>
      <c r="L62" s="113">
        <f ca="1">'Climate A'!L62-'Climate B'!L62</f>
        <v>52.790967193752863</v>
      </c>
      <c r="M62" s="113">
        <f ca="1">'Climate A'!M62-'Climate B'!M62</f>
        <v>52.451194117774776</v>
      </c>
      <c r="N62" s="58" t="s">
        <v>591</v>
      </c>
    </row>
    <row r="63" spans="1:14" s="4" customFormat="1" x14ac:dyDescent="0.25">
      <c r="B63"/>
      <c r="C63" s="59"/>
      <c r="D63" s="57"/>
      <c r="E63" s="57"/>
      <c r="F63" s="57"/>
      <c r="G63" s="57"/>
      <c r="H63" s="57"/>
      <c r="I63" s="57"/>
      <c r="J63" s="57"/>
      <c r="K63" s="57"/>
      <c r="L63" s="57"/>
      <c r="M63" s="57"/>
    </row>
    <row r="64" spans="1:14" s="4" customFormat="1" x14ac:dyDescent="0.25">
      <c r="A64" s="57" t="s">
        <v>763</v>
      </c>
      <c r="B64"/>
      <c r="C64" s="59"/>
      <c r="D64" s="115">
        <f ca="1">'Climate A'!D64-'Climate B'!D64</f>
        <v>7.104759311187081E-2</v>
      </c>
      <c r="E64" s="115">
        <f ca="1">'Climate A'!E64-'Climate B'!E64</f>
        <v>0.98105663941078092</v>
      </c>
      <c r="F64" s="115">
        <f ca="1">'Climate A'!F64-'Climate B'!F64</f>
        <v>2.9169555496368957</v>
      </c>
      <c r="G64" s="115">
        <f ca="1">'Climate A'!G64-'Climate B'!G64</f>
        <v>6.0265457549708117</v>
      </c>
      <c r="H64" s="115">
        <f ca="1">'Climate A'!H64-'Climate B'!H64</f>
        <v>21.738051336562876</v>
      </c>
      <c r="I64" s="115">
        <f ca="1">'Climate A'!I64-'Climate B'!I64</f>
        <v>43.796235522350798</v>
      </c>
      <c r="J64" s="115">
        <f ca="1">'Climate A'!J64-'Climate B'!J64</f>
        <v>104.62631270602651</v>
      </c>
      <c r="K64" s="115">
        <f ca="1">'Climate A'!K64-'Climate B'!K64</f>
        <v>167.37145341499308</v>
      </c>
      <c r="L64" s="115">
        <f ca="1">'Climate A'!L64-'Climate B'!L64</f>
        <v>228.00555381349204</v>
      </c>
      <c r="M64" s="115">
        <f ca="1">'Climate A'!M64-'Climate B'!M64</f>
        <v>288.09432849245695</v>
      </c>
      <c r="N64" s="3" t="s">
        <v>458</v>
      </c>
    </row>
    <row r="65" spans="1:14" s="4" customFormat="1" x14ac:dyDescent="0.25">
      <c r="B65"/>
      <c r="C65" s="59"/>
      <c r="D65" s="57"/>
      <c r="E65" s="57"/>
      <c r="F65" s="57"/>
      <c r="G65" s="57"/>
      <c r="H65" s="57"/>
      <c r="I65" s="57"/>
      <c r="J65" s="57"/>
      <c r="K65" s="57"/>
      <c r="L65" s="57"/>
      <c r="M65" s="57"/>
    </row>
    <row r="66" spans="1:14" s="4" customFormat="1" x14ac:dyDescent="0.25">
      <c r="A66" s="4" t="s">
        <v>908</v>
      </c>
      <c r="B66"/>
      <c r="C66" s="59"/>
      <c r="D66" s="57"/>
      <c r="E66" s="57"/>
      <c r="F66" s="57"/>
      <c r="G66" s="57"/>
      <c r="H66" s="57"/>
      <c r="I66" s="57"/>
      <c r="J66" s="57"/>
      <c r="K66" s="57"/>
      <c r="L66" s="57"/>
      <c r="M66" s="57"/>
    </row>
    <row r="67" spans="1:14" s="4" customFormat="1" x14ac:dyDescent="0.25">
      <c r="A67" s="4" t="s">
        <v>854</v>
      </c>
      <c r="B67"/>
      <c r="C67" s="59"/>
      <c r="D67" s="113">
        <f ca="1">'Climate A'!D67-'Climate B'!D67</f>
        <v>47785.77993283869</v>
      </c>
      <c r="E67" s="113">
        <f ca="1">'Climate A'!E67-'Climate B'!E67</f>
        <v>60090.752126094507</v>
      </c>
      <c r="F67" s="113">
        <f ca="1">'Climate A'!F67-'Climate B'!F67</f>
        <v>74650.216398526769</v>
      </c>
      <c r="G67" s="113">
        <f ca="1">'Climate A'!G67-'Climate B'!G67</f>
        <v>90188.224718864512</v>
      </c>
      <c r="H67" s="113">
        <f ca="1">'Climate A'!H67-'Climate B'!H67</f>
        <v>128975.9716084337</v>
      </c>
      <c r="I67" s="113">
        <f ca="1">'Climate A'!I67-'Climate B'!I67</f>
        <v>160371.59348374789</v>
      </c>
      <c r="J67" s="113">
        <f ca="1">'Climate A'!J67-'Climate B'!J67</f>
        <v>198424.48765092625</v>
      </c>
      <c r="K67" s="113">
        <f ca="1">'Climate A'!K67-'Climate B'!K67</f>
        <v>224065.45180180675</v>
      </c>
      <c r="L67" s="113">
        <f ca="1">'Climate A'!L67-'Climate B'!L67</f>
        <v>244664.28709560935</v>
      </c>
      <c r="M67" s="113">
        <f ca="1">'Climate A'!M67-'Climate B'!M67</f>
        <v>263114.4599065847</v>
      </c>
      <c r="N67" s="3" t="s">
        <v>457</v>
      </c>
    </row>
    <row r="68" spans="1:14" s="4" customFormat="1" x14ac:dyDescent="0.25">
      <c r="A68" s="4" t="s">
        <v>612</v>
      </c>
      <c r="B68"/>
      <c r="C68" s="59"/>
      <c r="D68" s="113">
        <f ca="1">'Climate A'!D68-'Climate B'!D68</f>
        <v>813.25573212512745</v>
      </c>
      <c r="E68" s="113">
        <f ca="1">'Climate A'!E68-'Climate B'!E68</f>
        <v>1176.7640380972357</v>
      </c>
      <c r="F68" s="113">
        <f ca="1">'Climate A'!F68-'Climate B'!F68</f>
        <v>1389.3004282768179</v>
      </c>
      <c r="G68" s="113">
        <f ca="1">'Climate A'!G68-'Climate B'!G68</f>
        <v>1482.6285247617125</v>
      </c>
      <c r="H68" s="113">
        <f ca="1">'Climate A'!H68-'Climate B'!H68</f>
        <v>1389.3711203734929</v>
      </c>
      <c r="I68" s="113">
        <f ca="1">'Climate A'!I68-'Climate B'!I68</f>
        <v>1146.8497473140237</v>
      </c>
      <c r="J68" s="113">
        <f ca="1">'Climate A'!J68-'Climate B'!J68</f>
        <v>689.13410688861325</v>
      </c>
      <c r="K68" s="113">
        <f ca="1">'Climate A'!K68-'Climate B'!K68</f>
        <v>490.86390137535057</v>
      </c>
      <c r="L68" s="113">
        <f ca="1">'Climate A'!L68-'Climate B'!L68</f>
        <v>401.37782731178783</v>
      </c>
      <c r="M68" s="113">
        <f ca="1">'Climate A'!M68-'Climate B'!M68</f>
        <v>359.32729069736808</v>
      </c>
      <c r="N68" s="58" t="s">
        <v>591</v>
      </c>
    </row>
    <row r="69" spans="1:14" s="4" customFormat="1" x14ac:dyDescent="0.25">
      <c r="B69"/>
      <c r="C69" s="59"/>
      <c r="D69" s="59"/>
      <c r="E69" s="59"/>
      <c r="F69" s="59"/>
      <c r="G69" s="59"/>
      <c r="H69" s="59"/>
      <c r="I69" s="59"/>
      <c r="J69" s="59"/>
      <c r="K69" s="59"/>
      <c r="L69" s="59"/>
      <c r="M69" s="59"/>
    </row>
    <row r="70" spans="1:14" s="4" customFormat="1" x14ac:dyDescent="0.25">
      <c r="A70" s="57" t="s">
        <v>874</v>
      </c>
      <c r="B70" s="59"/>
      <c r="C70"/>
      <c r="D70" s="115">
        <f ca="1">'Climate A'!D70-'Climate B'!D70</f>
        <v>985.43393533422761</v>
      </c>
      <c r="E70" s="115">
        <f ca="1">'Climate A'!E70-'Climate B'!E70</f>
        <v>1131.2892526264627</v>
      </c>
      <c r="F70" s="115">
        <f ca="1">'Climate A'!F70-'Climate B'!F70</f>
        <v>1307.5836678298995</v>
      </c>
      <c r="G70" s="115">
        <f ca="1">'Climate A'!G70-'Climate B'!G70</f>
        <v>1503.6924802031258</v>
      </c>
      <c r="H70" s="115">
        <f ca="1">'Climate A'!H70-'Climate B'!H70</f>
        <v>2041.3906195610489</v>
      </c>
      <c r="I70" s="115">
        <f ca="1">'Climate A'!I70-'Climate B'!I70</f>
        <v>2563.5188550761327</v>
      </c>
      <c r="J70" s="115">
        <f ca="1">'Climate A'!J70-'Climate B'!J70</f>
        <v>3428.850950680222</v>
      </c>
      <c r="K70" s="115">
        <f ca="1">'Climate A'!K70-'Climate B'!K70</f>
        <v>4169.2953020371897</v>
      </c>
      <c r="L70" s="115">
        <f ca="1">'Climate A'!L70-'Climate B'!L70</f>
        <v>4825.765254439556</v>
      </c>
      <c r="M70" s="115">
        <f ca="1">'Climate A'!M70-'Climate B'!M70</f>
        <v>5403.8752087986841</v>
      </c>
      <c r="N70" s="3" t="s">
        <v>458</v>
      </c>
    </row>
    <row r="71" spans="1:14" s="4" customFormat="1" x14ac:dyDescent="0.25">
      <c r="B71"/>
      <c r="C71" s="59"/>
      <c r="D71" s="59"/>
      <c r="E71" s="59"/>
      <c r="F71" s="59"/>
      <c r="G71" s="59"/>
      <c r="H71" s="59"/>
      <c r="I71" s="59"/>
      <c r="J71" s="59"/>
      <c r="K71" s="59"/>
      <c r="L71" s="59"/>
      <c r="M71" s="59"/>
    </row>
    <row r="72" spans="1:14" s="4" customFormat="1" x14ac:dyDescent="0.25">
      <c r="A72" s="57" t="s">
        <v>767</v>
      </c>
      <c r="B72"/>
      <c r="C72" s="59"/>
      <c r="D72" s="59"/>
      <c r="E72" s="59"/>
      <c r="F72" s="59"/>
      <c r="G72" s="59"/>
      <c r="H72" s="59"/>
      <c r="I72" s="59"/>
      <c r="J72" s="59"/>
      <c r="K72" s="59"/>
      <c r="L72" s="59"/>
      <c r="M72" s="59"/>
    </row>
    <row r="73" spans="1:14" s="4" customFormat="1" x14ac:dyDescent="0.25">
      <c r="A73" s="57" t="s">
        <v>608</v>
      </c>
      <c r="C73" s="115">
        <f ca="1">'Climate A'!C73-'Climate B'!C73</f>
        <v>0</v>
      </c>
      <c r="D73" s="115">
        <f ca="1">'Climate A'!D73-'Climate B'!D73</f>
        <v>0</v>
      </c>
      <c r="E73" s="115">
        <f ca="1">'Climate A'!E73-'Climate B'!E73</f>
        <v>0</v>
      </c>
      <c r="F73" s="115">
        <f ca="1">'Climate A'!F73-'Climate B'!F73</f>
        <v>0</v>
      </c>
      <c r="G73" s="115">
        <f ca="1">'Climate A'!G73-'Climate B'!G73</f>
        <v>0</v>
      </c>
      <c r="H73" s="115">
        <f ca="1">'Climate A'!H73-'Climate B'!H73</f>
        <v>0</v>
      </c>
      <c r="I73" s="115">
        <f ca="1">'Climate A'!I73-'Climate B'!I73</f>
        <v>0</v>
      </c>
      <c r="J73" s="115">
        <f ca="1">'Climate A'!J73-'Climate B'!J73</f>
        <v>0</v>
      </c>
      <c r="K73" s="115">
        <f ca="1">'Climate A'!K73-'Climate B'!K73</f>
        <v>0</v>
      </c>
      <c r="L73" s="115">
        <f ca="1">'Climate A'!L73-'Climate B'!L73</f>
        <v>0</v>
      </c>
      <c r="M73" s="115">
        <f ca="1">'Climate A'!M73-'Climate B'!M73</f>
        <v>0</v>
      </c>
      <c r="N73" s="3" t="s">
        <v>457</v>
      </c>
    </row>
    <row r="75" spans="1:14" s="4" customFormat="1" x14ac:dyDescent="0.25">
      <c r="A75" s="57" t="s">
        <v>609</v>
      </c>
      <c r="C75" s="115">
        <f ca="1">'Climate A'!C75-'Climate B'!C75</f>
        <v>43642.5912915566</v>
      </c>
      <c r="D75" s="115">
        <f ca="1">'Climate A'!D75-'Climate B'!D75</f>
        <v>47785.779932838865</v>
      </c>
      <c r="E75" s="115">
        <f ca="1">'Climate A'!E75-'Climate B'!E75</f>
        <v>60090.75212609442</v>
      </c>
      <c r="F75" s="115">
        <f ca="1">'Climate A'!F75-'Climate B'!F75</f>
        <v>74650.216398526914</v>
      </c>
      <c r="G75" s="115">
        <f ca="1">'Climate A'!G75-'Climate B'!G75</f>
        <v>90188.224718864542</v>
      </c>
      <c r="H75" s="115">
        <f ca="1">'Climate A'!H75-'Climate B'!H75</f>
        <v>128975.97160843387</v>
      </c>
      <c r="I75" s="115">
        <f ca="1">'Climate A'!I75-'Climate B'!I75</f>
        <v>160371.59348374791</v>
      </c>
      <c r="J75" s="115">
        <f ca="1">'Climate A'!J75-'Climate B'!J75</f>
        <v>198424.48765092622</v>
      </c>
      <c r="K75" s="115">
        <f ca="1">'Climate A'!K75-'Climate B'!K75</f>
        <v>224065.45180180669</v>
      </c>
      <c r="L75" s="115">
        <f ca="1">'Climate A'!L75-'Climate B'!L75</f>
        <v>244664.28709560912</v>
      </c>
      <c r="M75" s="115">
        <f ca="1">'Climate A'!M75-'Climate B'!M75</f>
        <v>263114.45990658458</v>
      </c>
      <c r="N75" s="3" t="s">
        <v>457</v>
      </c>
    </row>
    <row r="76" spans="1:14" s="4" customFormat="1" x14ac:dyDescent="0.25">
      <c r="A76" s="57" t="s">
        <v>613</v>
      </c>
      <c r="C76" s="115">
        <f ca="1">'Climate A'!C76-'Climate B'!C76</f>
        <v>692.24764206212421</v>
      </c>
      <c r="D76" s="115">
        <f ca="1">'Climate A'!D76-'Climate B'!D76</f>
        <v>813.25573212512973</v>
      </c>
      <c r="E76" s="115">
        <f ca="1">'Climate A'!E76-'Climate B'!E76</f>
        <v>1176.7640380972371</v>
      </c>
      <c r="F76" s="115">
        <f ca="1">'Climate A'!F76-'Climate B'!F76</f>
        <v>1389.3004282768161</v>
      </c>
      <c r="G76" s="115">
        <f ca="1">'Climate A'!G76-'Climate B'!G76</f>
        <v>1482.6285247617125</v>
      </c>
      <c r="H76" s="115">
        <f ca="1">'Climate A'!H76-'Climate B'!H76</f>
        <v>1389.3711203734929</v>
      </c>
      <c r="I76" s="115">
        <f ca="1">'Climate A'!I76-'Climate B'!I76</f>
        <v>1146.8497473140237</v>
      </c>
      <c r="J76" s="115">
        <f ca="1">'Climate A'!J76-'Climate B'!J76</f>
        <v>689.13410688861313</v>
      </c>
      <c r="K76" s="115">
        <f ca="1">'Climate A'!K76-'Climate B'!K76</f>
        <v>490.86390137535045</v>
      </c>
      <c r="L76" s="115">
        <f ca="1">'Climate A'!L76-'Climate B'!L76</f>
        <v>401.37782731178777</v>
      </c>
      <c r="M76" s="115">
        <f ca="1">'Climate A'!M76-'Climate B'!M76</f>
        <v>359.32729069736797</v>
      </c>
      <c r="N76" s="4" t="s">
        <v>572</v>
      </c>
    </row>
    <row r="77" spans="1:14" s="4" customFormat="1" x14ac:dyDescent="0.25">
      <c r="A77" s="57"/>
      <c r="C77" s="59"/>
      <c r="D77" s="59"/>
      <c r="E77" s="59"/>
      <c r="F77" s="59"/>
      <c r="G77" s="59"/>
      <c r="H77" s="59"/>
      <c r="I77" s="59"/>
      <c r="J77" s="59"/>
      <c r="K77" s="59"/>
      <c r="L77" s="59"/>
      <c r="M77" s="59"/>
      <c r="N77"/>
    </row>
    <row r="78" spans="1:14" s="4" customFormat="1" x14ac:dyDescent="0.25">
      <c r="A78" s="57" t="s">
        <v>617</v>
      </c>
      <c r="C78" s="115">
        <f ca="1">'Climate A'!C78-'Climate B'!C78</f>
        <v>358.80531087232521</v>
      </c>
      <c r="D78" s="115">
        <f ca="1">'Climate A'!D78-'Climate B'!D78</f>
        <v>358.80531087232521</v>
      </c>
      <c r="E78" s="115">
        <f ca="1">'Climate A'!E78-'Climate B'!E78</f>
        <v>358.80531087232521</v>
      </c>
      <c r="F78" s="115">
        <f ca="1">'Climate A'!F78-'Climate B'!F78</f>
        <v>358.80531087232521</v>
      </c>
      <c r="G78" s="115">
        <f ca="1">'Climate A'!G78-'Climate B'!G78</f>
        <v>358.80531087232521</v>
      </c>
      <c r="H78" s="115">
        <f ca="1">'Climate A'!H78-'Climate B'!H78</f>
        <v>358.80531087232521</v>
      </c>
      <c r="I78" s="115">
        <f ca="1">'Climate A'!I78-'Climate B'!I78</f>
        <v>358.80531087232521</v>
      </c>
      <c r="J78" s="115">
        <f ca="1">'Climate A'!J78-'Climate B'!J78</f>
        <v>358.80531087232521</v>
      </c>
      <c r="K78" s="115">
        <f ca="1">'Climate A'!K78-'Climate B'!K78</f>
        <v>358.80531087232521</v>
      </c>
      <c r="L78" s="115">
        <f ca="1">'Climate A'!L78-'Climate B'!L78</f>
        <v>358.80531087232521</v>
      </c>
      <c r="M78" s="115">
        <f ca="1">'Climate A'!M78-'Climate B'!M78</f>
        <v>358.80531087232521</v>
      </c>
      <c r="N78" s="3" t="s">
        <v>457</v>
      </c>
    </row>
    <row r="79" spans="1:14" s="4" customFormat="1" x14ac:dyDescent="0.25">
      <c r="A79" s="57" t="s">
        <v>625</v>
      </c>
      <c r="C79" s="115">
        <f ca="1">'Climate A'!C79-'Climate B'!C79</f>
        <v>93.587974238500465</v>
      </c>
      <c r="D79" s="115">
        <f ca="1">'Climate A'!D79-'Climate B'!D79</f>
        <v>92.10268062283285</v>
      </c>
      <c r="E79" s="115">
        <f ca="1">'Climate A'!E79-'Climate B'!E79</f>
        <v>89.202436610474251</v>
      </c>
      <c r="F79" s="115">
        <f ca="1">'Climate A'!F79-'Climate B'!F79</f>
        <v>86.39351909677498</v>
      </c>
      <c r="G79" s="115">
        <f ca="1">'Climate A'!G79-'Climate B'!G79</f>
        <v>83.67305227892939</v>
      </c>
      <c r="H79" s="115">
        <f ca="1">'Climate A'!H79-'Climate B'!H79</f>
        <v>77.240794009703677</v>
      </c>
      <c r="I79" s="115">
        <f ca="1">'Climate A'!I79-'Climate B'!I79</f>
        <v>71.303007321403129</v>
      </c>
      <c r="J79" s="115">
        <f ca="1">'Climate A'!J79-'Climate B'!J79</f>
        <v>60.761723333911505</v>
      </c>
      <c r="K79" s="115">
        <f ca="1">'Climate A'!K79-'Climate B'!K79</f>
        <v>51.778840208862675</v>
      </c>
      <c r="L79" s="115">
        <f ca="1">'Climate A'!L79-'Climate B'!L79</f>
        <v>44.123967298306525</v>
      </c>
      <c r="M79" s="115">
        <f ca="1">'Climate A'!M79-'Climate B'!M79</f>
        <v>37.60077441460453</v>
      </c>
      <c r="N79" s="3" t="s">
        <v>457</v>
      </c>
    </row>
    <row r="80" spans="1:14" s="4" customFormat="1" x14ac:dyDescent="0.25">
      <c r="A80" s="57" t="s">
        <v>623</v>
      </c>
      <c r="B80" s="59"/>
      <c r="C80" s="115">
        <f ca="1">'Climate A'!C80-'Climate B'!C80</f>
        <v>-332.50950785426539</v>
      </c>
      <c r="D80" s="115">
        <f ca="1">'Climate A'!D80-'Climate B'!D80</f>
        <v>-288.09575420795591</v>
      </c>
      <c r="E80" s="115">
        <f ca="1">'Climate A'!E80-'Climate B'!E80</f>
        <v>-216.2730662409449</v>
      </c>
      <c r="F80" s="115">
        <f ca="1">'Climate A'!F80-'Climate B'!F80</f>
        <v>-162.35587820393266</v>
      </c>
      <c r="G80" s="115">
        <f ca="1">'Climate A'!G80-'Climate B'!G80</f>
        <v>-121.8803230819467</v>
      </c>
      <c r="H80" s="115">
        <f ca="1">'Climate A'!H80-'Climate B'!H80</f>
        <v>-59.511040804340155</v>
      </c>
      <c r="I80" s="115">
        <f ca="1">'Climate A'!I80-'Climate B'!I80</f>
        <v>-29.057717341585885</v>
      </c>
      <c r="J80" s="115">
        <f ca="1">'Climate A'!J80-'Climate B'!J80</f>
        <v>-6.9277051106578256</v>
      </c>
      <c r="K80" s="115">
        <f ca="1">'Climate A'!K80-'Climate B'!K80</f>
        <v>-1.6516472211516202</v>
      </c>
      <c r="L80" s="115">
        <f ca="1">'Climate A'!L80-'Climate B'!L80</f>
        <v>-0.3937723242493405</v>
      </c>
      <c r="M80" s="115">
        <f ca="1">'Climate A'!M80-'Climate B'!M80</f>
        <v>-9.3880001345944208E-2</v>
      </c>
      <c r="N80" s="3" t="s">
        <v>457</v>
      </c>
    </row>
    <row r="81" spans="1:24" s="4" customFormat="1" x14ac:dyDescent="0.25">
      <c r="A81" s="4" t="s">
        <v>614</v>
      </c>
      <c r="C81" s="115">
        <f ca="1">'Climate A'!C81-'Climate B'!C81</f>
        <v>-119.88377725668397</v>
      </c>
      <c r="D81" s="115">
        <f ca="1">'Climate A'!D81-'Climate B'!D81</f>
        <v>-37.046734799416299</v>
      </c>
      <c r="E81" s="115">
        <f ca="1">'Climate A'!E81-'Climate B'!E81</f>
        <v>-3.5377649357551491</v>
      </c>
      <c r="F81" s="115">
        <f ca="1">'Climate A'!F81-'Climate B'!F81</f>
        <v>-0.33783762073564105</v>
      </c>
      <c r="G81" s="115">
        <f ca="1">'Climate A'!G81-'Climate B'!G81</f>
        <v>-3.2261685006481855E-2</v>
      </c>
      <c r="H81" s="115">
        <f ca="1">'Climate A'!H81-'Climate B'!H81</f>
        <v>-9.0914810601739476E-5</v>
      </c>
      <c r="I81" s="115">
        <f ca="1">'Climate A'!I81-'Climate B'!I81</f>
        <v>-2.5620183152521268E-7</v>
      </c>
      <c r="J81" s="115">
        <f ca="1">'Climate A'!J81-'Climate B'!J81</f>
        <v>-2.0345923798984189E-12</v>
      </c>
      <c r="K81" s="115">
        <f ca="1">'Climate A'!K81-'Climate B'!K81</f>
        <v>-1.6157441684538623E-17</v>
      </c>
      <c r="L81" s="115">
        <f ca="1">'Climate A'!L81-'Climate B'!L81</f>
        <v>-1.2831214958266791E-22</v>
      </c>
      <c r="M81" s="115">
        <f ca="1">'Climate A'!M81-'Climate B'!M81</f>
        <v>-1.0189736749153215E-27</v>
      </c>
      <c r="N81" s="3" t="s">
        <v>457</v>
      </c>
    </row>
    <row r="82" spans="1:24" s="4" customFormat="1" x14ac:dyDescent="0.25">
      <c r="A82" s="4" t="s">
        <v>615</v>
      </c>
      <c r="C82" s="115">
        <f>'Climate A'!C82-'Climate B'!C82</f>
        <v>0</v>
      </c>
      <c r="D82" s="115">
        <f ca="1">'Climate A'!D82-'Climate B'!D82</f>
        <v>881.39776663122029</v>
      </c>
      <c r="E82" s="115">
        <f ca="1">'Climate A'!E82-'Climate B'!E82</f>
        <v>3211.5140733752633</v>
      </c>
      <c r="F82" s="115">
        <f ca="1">'Climate A'!F82-'Climate B'!F82</f>
        <v>6216.1217394521227</v>
      </c>
      <c r="G82" s="115">
        <f ca="1">'Climate A'!G82-'Climate B'!G82</f>
        <v>9578.8664646151592</v>
      </c>
      <c r="H82" s="115">
        <f ca="1">'Climate A'!H82-'Climate B'!H82</f>
        <v>17985.93521115437</v>
      </c>
      <c r="I82" s="115">
        <f ca="1">'Climate A'!I82-'Climate B'!I82</f>
        <v>25410.094621192373</v>
      </c>
      <c r="J82" s="115">
        <f ca="1">'Climate A'!J82-'Climate B'!J82</f>
        <v>36158.872049464611</v>
      </c>
      <c r="K82" s="115">
        <f ca="1">'Climate A'!K82-'Climate B'!K82</f>
        <v>43067.176786241471</v>
      </c>
      <c r="L82" s="115">
        <f ca="1">'Climate A'!L82-'Climate B'!L82</f>
        <v>48290.810824156273</v>
      </c>
      <c r="M82" s="115">
        <f ca="1">'Climate A'!M82-'Climate B'!M82</f>
        <v>52744.363061727054</v>
      </c>
      <c r="N82" s="3" t="s">
        <v>457</v>
      </c>
    </row>
    <row r="83" spans="1:24" s="4" customFormat="1" x14ac:dyDescent="0.25">
      <c r="A83" s="57" t="s">
        <v>626</v>
      </c>
      <c r="B83" s="6"/>
      <c r="C83" s="115">
        <f>'Climate A'!C83-'Climate B'!C83</f>
        <v>0</v>
      </c>
      <c r="D83" s="115">
        <f ca="1">'Climate A'!D83-'Climate B'!D83</f>
        <v>857.78669589880883</v>
      </c>
      <c r="E83" s="115">
        <f ca="1">'Climate A'!E83-'Climate B'!E83</f>
        <v>3080.4774864121282</v>
      </c>
      <c r="F83" s="115">
        <f ca="1">'Climate A'!F83-'Climate B'!F83</f>
        <v>5884.3914601457072</v>
      </c>
      <c r="G83" s="115">
        <f ca="1">'Climate A'!G83-'Climate B'!G83</f>
        <v>8945.7897150015051</v>
      </c>
      <c r="H83" s="115">
        <f ca="1">'Climate A'!H83-'Climate B'!H83</f>
        <v>16184.339683909348</v>
      </c>
      <c r="I83" s="115">
        <f ca="1">'Climate A'!I83-'Climate B'!I83</f>
        <v>21939.741306373675</v>
      </c>
      <c r="J83" s="115">
        <f ca="1">'Climate A'!J83-'Climate B'!J83</f>
        <v>28440.722956776008</v>
      </c>
      <c r="K83" s="115">
        <f ca="1">'Climate A'!K83-'Climate B'!K83</f>
        <v>30498.960749690974</v>
      </c>
      <c r="L83" s="115">
        <f ca="1">'Climate A'!L83-'Climate B'!L83</f>
        <v>30725.643211536692</v>
      </c>
      <c r="M83" s="115">
        <f ca="1">'Climate A'!M83-'Climate B'!M83</f>
        <v>30220.681304717844</v>
      </c>
      <c r="N83" s="3" t="s">
        <v>457</v>
      </c>
      <c r="O83" s="6"/>
      <c r="P83" s="6"/>
      <c r="Q83" s="6"/>
      <c r="R83" s="6"/>
      <c r="S83" s="6"/>
      <c r="T83" s="6"/>
      <c r="U83" s="6"/>
      <c r="V83" s="6"/>
      <c r="W83" s="6"/>
      <c r="X83" s="6"/>
    </row>
    <row r="84" spans="1:24" s="6" customFormat="1" x14ac:dyDescent="0.25">
      <c r="A84" s="4" t="s">
        <v>624</v>
      </c>
      <c r="B84" s="4"/>
      <c r="C84" s="115">
        <f>'Climate A'!C84-'Climate B'!C84</f>
        <v>0</v>
      </c>
      <c r="D84" s="115">
        <f ca="1">'Climate A'!D84-'Climate B'!D84</f>
        <v>934.26133294199826</v>
      </c>
      <c r="E84" s="115">
        <f ca="1">'Climate A'!E84-'Climate B'!E84</f>
        <v>3006.2663057463942</v>
      </c>
      <c r="F84" s="115">
        <f ca="1">'Climate A'!F84-'Climate B'!F84</f>
        <v>5228.9146348474605</v>
      </c>
      <c r="G84" s="115">
        <f ca="1">'Climate A'!G84-'Climate B'!G84</f>
        <v>7251.7175714828481</v>
      </c>
      <c r="H84" s="115">
        <f ca="1">'Climate A'!H84-'Climate B'!H84</f>
        <v>10368.847640557186</v>
      </c>
      <c r="I84" s="115">
        <f ca="1">'Climate A'!I84-'Climate B'!I84</f>
        <v>11092.567039813803</v>
      </c>
      <c r="J84" s="115">
        <f ca="1">'Climate A'!J84-'Climate B'!J84</f>
        <v>9140.8425757941841</v>
      </c>
      <c r="K84" s="115">
        <f ca="1">'Climate A'!K84-'Climate B'!K84</f>
        <v>6354.4603023589661</v>
      </c>
      <c r="L84" s="115">
        <f ca="1">'Climate A'!L84-'Climate B'!L84</f>
        <v>4671.9885744166786</v>
      </c>
      <c r="M84" s="115">
        <f ca="1">'Climate A'!M84-'Climate B'!M84</f>
        <v>3805.4526853986426</v>
      </c>
      <c r="N84" s="3" t="s">
        <v>457</v>
      </c>
      <c r="O84" s="4"/>
      <c r="P84" s="4"/>
      <c r="Q84" s="4"/>
      <c r="R84" s="4"/>
      <c r="S84" s="4"/>
      <c r="T84" s="4"/>
      <c r="U84" s="4"/>
      <c r="V84" s="4"/>
      <c r="W84" s="4"/>
      <c r="X84" s="4"/>
    </row>
    <row r="85" spans="1:24" s="6" customFormat="1" x14ac:dyDescent="0.25">
      <c r="A85" s="4" t="s">
        <v>616</v>
      </c>
      <c r="B85" s="4"/>
      <c r="C85" s="115">
        <f>'Climate A'!C85-'Climate B'!C85</f>
        <v>0</v>
      </c>
      <c r="D85" s="115">
        <f ca="1">'Climate A'!D85-'Climate B'!D85</f>
        <v>597.13791199544357</v>
      </c>
      <c r="E85" s="115">
        <f ca="1">'Climate A'!E85-'Climate B'!E85</f>
        <v>1090.2541158803288</v>
      </c>
      <c r="F85" s="115">
        <f ca="1">'Climate A'!F85-'Climate B'!F85</f>
        <v>1436.4300633279054</v>
      </c>
      <c r="G85" s="115">
        <f ca="1">'Climate A'!G85-'Climate B'!G85</f>
        <v>1628.2947575559519</v>
      </c>
      <c r="H85" s="115">
        <f ca="1">'Climate A'!H85-'Climate B'!H85</f>
        <v>1648.5345710899919</v>
      </c>
      <c r="I85" s="115">
        <f ca="1">'Climate A'!I85-'Climate B'!I85</f>
        <v>1456.3902724126838</v>
      </c>
      <c r="J85" s="115">
        <f ca="1">'Climate A'!J85-'Climate B'!J85</f>
        <v>1053.8988244669017</v>
      </c>
      <c r="K85" s="115">
        <f ca="1">'Climate A'!K85-'Climate B'!K85</f>
        <v>677.34813107214791</v>
      </c>
      <c r="L85" s="115">
        <f ca="1">'Climate A'!L85-'Climate B'!L85</f>
        <v>512.16793835662088</v>
      </c>
      <c r="M85" s="115">
        <f ca="1">'Climate A'!M85-'Climate B'!M85</f>
        <v>436.66228175875494</v>
      </c>
      <c r="N85" s="3" t="s">
        <v>457</v>
      </c>
      <c r="O85" s="4"/>
      <c r="P85" s="4"/>
      <c r="Q85" s="4"/>
      <c r="R85" s="4"/>
      <c r="S85" s="4"/>
      <c r="T85" s="4"/>
      <c r="U85" s="4"/>
      <c r="V85" s="4"/>
      <c r="W85" s="4"/>
      <c r="X85" s="4"/>
    </row>
    <row r="86" spans="1:24" s="4" customFormat="1" x14ac:dyDescent="0.25">
      <c r="C86" s="59"/>
      <c r="D86" s="59"/>
      <c r="E86" s="59"/>
      <c r="F86" s="59"/>
      <c r="G86" s="59"/>
      <c r="H86" s="59"/>
      <c r="I86" s="59"/>
      <c r="J86" s="59"/>
      <c r="K86" s="59"/>
      <c r="L86" s="59"/>
      <c r="M86" s="59"/>
    </row>
    <row r="87" spans="1:24" s="4" customFormat="1" x14ac:dyDescent="0.25">
      <c r="A87" s="58" t="s">
        <v>167</v>
      </c>
      <c r="C87" s="115">
        <f ca="1">'Climate A'!C87-'Climate B'!C87</f>
        <v>0</v>
      </c>
      <c r="D87" s="115">
        <f ca="1">'Climate A'!D87-'Climate B'!D87</f>
        <v>3396.349209955195</v>
      </c>
      <c r="E87" s="115">
        <f ca="1">'Climate A'!E87-'Climate B'!E87</f>
        <v>10616.708897720091</v>
      </c>
      <c r="F87" s="115">
        <f ca="1">'Climate A'!F87-'Climate B'!F87</f>
        <v>19048.363011917332</v>
      </c>
      <c r="G87" s="115">
        <f ca="1">'Climate A'!G87-'Climate B'!G87</f>
        <v>27725.234287040308</v>
      </c>
      <c r="H87" s="115">
        <f ca="1">'Climate A'!H87-'Climate B'!H87</f>
        <v>46564.192079873523</v>
      </c>
      <c r="I87" s="115">
        <f ca="1">'Climate A'!I87-'Climate B'!I87</f>
        <v>60299.843840388348</v>
      </c>
      <c r="J87" s="115">
        <f ca="1">'Climate A'!J87-'Climate B'!J87</f>
        <v>75206.975735597429</v>
      </c>
      <c r="K87" s="115">
        <f ca="1">'Climate A'!K87-'Climate B'!K87</f>
        <v>81006.87847322342</v>
      </c>
      <c r="L87" s="115">
        <f ca="1">'Climate A'!L87-'Climate B'!L87</f>
        <v>84603.146054312703</v>
      </c>
      <c r="M87" s="115">
        <f ca="1">'Climate A'!M87-'Climate B'!M87</f>
        <v>87603.471538887941</v>
      </c>
      <c r="N87" s="4" t="str">
        <f>'Base data'!$F$35</f>
        <v>Mtonne</v>
      </c>
    </row>
    <row r="88" spans="1:24" s="4" customFormat="1" x14ac:dyDescent="0.25">
      <c r="A88" s="58" t="s">
        <v>166</v>
      </c>
      <c r="C88" s="1"/>
      <c r="D88" s="109">
        <f ca="1">'Climate A'!D88-'Climate B'!D88</f>
        <v>435.42938589170808</v>
      </c>
      <c r="E88" s="109">
        <f ca="1">'Climate A'!E88-'Climate B'!E88</f>
        <v>1361.1165253487416</v>
      </c>
      <c r="F88" s="109">
        <f ca="1">'Climate A'!F88-'Climate B'!F88</f>
        <v>2442.0978220406687</v>
      </c>
      <c r="G88" s="109">
        <f ca="1">'Climate A'!G88-'Climate B'!G88</f>
        <v>3554.5172162872041</v>
      </c>
      <c r="H88" s="109">
        <f ca="1">'Climate A'!H88-'Climate B'!H88</f>
        <v>5969.7682153684436</v>
      </c>
      <c r="I88" s="109">
        <f ca="1">'Climate A'!I88-'Climate B'!I88</f>
        <v>7730.7492103062104</v>
      </c>
      <c r="J88" s="109">
        <f ca="1">'Climate A'!J88-'Climate B'!J88</f>
        <v>9641.9199661022285</v>
      </c>
      <c r="K88" s="109">
        <f ca="1">'Climate A'!K88-'Climate B'!K88</f>
        <v>10385.497240156808</v>
      </c>
      <c r="L88" s="109">
        <f ca="1">'Climate A'!L88-'Climate B'!L88</f>
        <v>10846.557186450344</v>
      </c>
      <c r="M88" s="109">
        <f ca="1">'Climate A'!M88-'Climate B'!M88</f>
        <v>11231.214299857442</v>
      </c>
      <c r="N88" s="4" t="str">
        <f>'Base data'!$F$13</f>
        <v>ppb</v>
      </c>
    </row>
    <row r="89" spans="1:24" s="4" customFormat="1" x14ac:dyDescent="0.25">
      <c r="A89" s="58" t="s">
        <v>420</v>
      </c>
      <c r="B89" s="58" t="s">
        <v>421</v>
      </c>
      <c r="C89" s="51">
        <f ca="1">'Climate A'!C89-'Climate B'!C89</f>
        <v>0</v>
      </c>
      <c r="D89" s="109">
        <f ca="1">'Climate A'!D89-'Climate B'!D89</f>
        <v>0</v>
      </c>
      <c r="E89" s="109">
        <f ca="1">'Climate A'!E89-'Climate B'!E89</f>
        <v>0</v>
      </c>
      <c r="F89" s="109">
        <f ca="1">'Climate A'!F89-'Climate B'!F89</f>
        <v>0</v>
      </c>
      <c r="G89" s="109">
        <f ca="1">'Climate A'!G89-'Climate B'!G89</f>
        <v>0</v>
      </c>
      <c r="H89" s="109">
        <f ca="1">'Climate A'!H89-'Climate B'!H89</f>
        <v>0</v>
      </c>
      <c r="I89" s="109">
        <f ca="1">'Climate A'!I89-'Climate B'!I89</f>
        <v>0</v>
      </c>
      <c r="J89" s="109">
        <f ca="1">'Climate A'!J89-'Climate B'!J89</f>
        <v>0</v>
      </c>
      <c r="K89" s="109">
        <f ca="1">'Climate A'!K89-'Climate B'!K89</f>
        <v>0</v>
      </c>
      <c r="L89" s="109">
        <f ca="1">'Climate A'!L89-'Climate B'!L89</f>
        <v>0</v>
      </c>
      <c r="M89" s="109">
        <f ca="1">'Climate A'!M89-'Climate B'!M89</f>
        <v>0</v>
      </c>
      <c r="N89" s="58" t="s">
        <v>40</v>
      </c>
    </row>
    <row r="90" spans="1:24" s="4" customFormat="1" x14ac:dyDescent="0.25">
      <c r="A90" s="58" t="s">
        <v>164</v>
      </c>
      <c r="B90" s="58" t="s">
        <v>165</v>
      </c>
      <c r="C90" s="51">
        <f ca="1">'Climate A'!C90-'Climate B'!C90</f>
        <v>0</v>
      </c>
      <c r="D90" s="109">
        <f ca="1">'Climate A'!D90-'Climate B'!D90</f>
        <v>0</v>
      </c>
      <c r="E90" s="109">
        <f ca="1">'Climate A'!E90-'Climate B'!E90</f>
        <v>0</v>
      </c>
      <c r="F90" s="109">
        <f ca="1">'Climate A'!F90-'Climate B'!F90</f>
        <v>0</v>
      </c>
      <c r="G90" s="109">
        <f ca="1">'Climate A'!G90-'Climate B'!G90</f>
        <v>0</v>
      </c>
      <c r="H90" s="109">
        <f ca="1">'Climate A'!H90-'Climate B'!H90</f>
        <v>0</v>
      </c>
      <c r="I90" s="109">
        <f ca="1">'Climate A'!I90-'Climate B'!I90</f>
        <v>0</v>
      </c>
      <c r="J90" s="109">
        <f ca="1">'Climate A'!J90-'Climate B'!J90</f>
        <v>0</v>
      </c>
      <c r="K90" s="109">
        <f ca="1">'Climate A'!K90-'Climate B'!K90</f>
        <v>0</v>
      </c>
      <c r="L90" s="109">
        <f ca="1">'Climate A'!L90-'Climate B'!L90</f>
        <v>0</v>
      </c>
      <c r="M90" s="109">
        <f ca="1">'Climate A'!M90-'Climate B'!M90</f>
        <v>0</v>
      </c>
      <c r="N90" s="4" t="str">
        <f>'Base data'!$F$13</f>
        <v>ppb</v>
      </c>
    </row>
    <row r="91" spans="1:24" s="4" customFormat="1" ht="15.5" x14ac:dyDescent="0.4">
      <c r="A91" s="58" t="s">
        <v>64</v>
      </c>
      <c r="B91" s="4" t="s">
        <v>65</v>
      </c>
      <c r="C91" s="28">
        <f>'Climate A'!C91-'Climate B'!C91</f>
        <v>0</v>
      </c>
      <c r="D91" s="109">
        <f ca="1">'Climate A'!D91-'Climate B'!D91</f>
        <v>435.42938589170808</v>
      </c>
      <c r="E91" s="109">
        <f ca="1">'Climate A'!E91-'Climate B'!E91</f>
        <v>1361.1165253487416</v>
      </c>
      <c r="F91" s="109">
        <f ca="1">'Climate A'!F91-'Climate B'!F91</f>
        <v>2442.0978220406687</v>
      </c>
      <c r="G91" s="109">
        <f ca="1">'Climate A'!G91-'Climate B'!G91</f>
        <v>3554.5172162872041</v>
      </c>
      <c r="H91" s="109">
        <f ca="1">'Climate A'!H91-'Climate B'!H91</f>
        <v>5969.7682153684436</v>
      </c>
      <c r="I91" s="109">
        <f ca="1">'Climate A'!I91-'Climate B'!I91</f>
        <v>7730.7492103062104</v>
      </c>
      <c r="J91" s="109">
        <f ca="1">'Climate A'!J91-'Climate B'!J91</f>
        <v>9641.9199661022285</v>
      </c>
      <c r="K91" s="109">
        <f ca="1">'Climate A'!K91-'Climate B'!K91</f>
        <v>10385.497240156808</v>
      </c>
      <c r="L91" s="109">
        <f ca="1">'Climate A'!L91-'Climate B'!L91</f>
        <v>10846.557186450344</v>
      </c>
      <c r="M91" s="109">
        <f ca="1">'Climate A'!M91-'Climate B'!M91</f>
        <v>11231.214299857442</v>
      </c>
      <c r="N91" s="4" t="str">
        <f>'Base data'!$F$13</f>
        <v>ppb</v>
      </c>
      <c r="O91" s="58"/>
      <c r="P91" s="58"/>
      <c r="Q91" s="58"/>
      <c r="R91" s="58"/>
      <c r="S91" s="58"/>
      <c r="T91" s="58"/>
      <c r="U91" s="58"/>
      <c r="V91" s="58"/>
      <c r="W91" s="58"/>
      <c r="X91" s="58"/>
    </row>
    <row r="92" spans="1:24" s="4" customFormat="1" ht="16" thickBot="1" x14ac:dyDescent="0.45">
      <c r="A92" s="6" t="s">
        <v>66</v>
      </c>
      <c r="B92" s="6" t="s">
        <v>67</v>
      </c>
      <c r="C92" s="35">
        <f>'Climate A'!C92-'Climate B'!C92</f>
        <v>0</v>
      </c>
      <c r="D92" s="109">
        <f ca="1">'Climate A'!D92-'Climate B'!D92</f>
        <v>5.7494625134726363E-3</v>
      </c>
      <c r="E92" s="109">
        <f ca="1">'Climate A'!E92-'Climate B'!E92</f>
        <v>1.7049452436683321E-2</v>
      </c>
      <c r="F92" s="109">
        <f ca="1">'Climate A'!F92-'Climate B'!F92</f>
        <v>2.9852987557455801E-2</v>
      </c>
      <c r="G92" s="109">
        <f ca="1">'Climate A'!G92-'Climate B'!G92</f>
        <v>4.3146831785098705E-2</v>
      </c>
      <c r="H92" s="109">
        <f ca="1">'Climate A'!H92-'Climate B'!H92</f>
        <v>7.3463551175153352E-2</v>
      </c>
      <c r="I92" s="109">
        <f ca="1">'Climate A'!I92-'Climate B'!I92</f>
        <v>9.8535534175777428E-2</v>
      </c>
      <c r="J92" s="109">
        <f ca="1">'Climate A'!J92-'Climate B'!J92</f>
        <v>0.1293782883867467</v>
      </c>
      <c r="K92" s="109">
        <f ca="1">'Climate A'!K92-'Climate B'!K92</f>
        <v>0.14440729170662459</v>
      </c>
      <c r="L92" s="109">
        <f ca="1">'Climate A'!L92-'Climate B'!L92</f>
        <v>0.15537883127112262</v>
      </c>
      <c r="M92" s="109">
        <f ca="1">'Climate A'!M92-'Climate B'!M92</f>
        <v>0.1652266068019288</v>
      </c>
      <c r="N92" s="6" t="str">
        <f>'Base data'!$F$21</f>
        <v>W/m2</v>
      </c>
      <c r="O92" s="6"/>
      <c r="P92" s="6"/>
      <c r="Q92" s="6"/>
      <c r="R92" s="6"/>
      <c r="S92" s="6"/>
      <c r="T92" s="6"/>
      <c r="U92" s="6"/>
      <c r="V92" s="6"/>
      <c r="W92" s="6"/>
      <c r="X92" s="6"/>
    </row>
    <row r="93" spans="1:24" s="4" customFormat="1" ht="13" thickTop="1" x14ac:dyDescent="0.25">
      <c r="A93" s="6"/>
      <c r="B93" s="6"/>
      <c r="C93" s="6"/>
      <c r="D93" s="110"/>
      <c r="E93" s="110"/>
      <c r="F93" s="110"/>
      <c r="G93" s="110"/>
      <c r="H93" s="110"/>
      <c r="I93" s="110"/>
      <c r="J93" s="110"/>
      <c r="K93" s="110"/>
      <c r="L93" s="110"/>
      <c r="M93" s="110"/>
      <c r="N93" s="6"/>
      <c r="O93" s="6"/>
      <c r="P93" s="6"/>
      <c r="Q93" s="6"/>
      <c r="R93" s="6"/>
      <c r="S93" s="6"/>
      <c r="T93" s="6"/>
      <c r="U93" s="6"/>
      <c r="V93" s="6"/>
      <c r="W93" s="6"/>
      <c r="X93" s="6"/>
    </row>
    <row r="94" spans="1:24" s="6" customFormat="1" ht="15.5" x14ac:dyDescent="0.4">
      <c r="A94" s="4" t="s">
        <v>63</v>
      </c>
      <c r="B94" s="58" t="s">
        <v>172</v>
      </c>
      <c r="C94" s="27">
        <f ca="1">'Climate A'!C94-'Climate B'!C94</f>
        <v>0</v>
      </c>
      <c r="D94" s="109">
        <f ca="1">'Climate A'!D94-'Climate B'!D94</f>
        <v>0</v>
      </c>
      <c r="E94" s="109">
        <f ca="1">'Climate A'!E94-'Climate B'!E94</f>
        <v>0</v>
      </c>
      <c r="F94" s="109">
        <f ca="1">'Climate A'!F94-'Climate B'!F94</f>
        <v>0</v>
      </c>
      <c r="G94" s="109">
        <f ca="1">'Climate A'!G94-'Climate B'!G94</f>
        <v>0</v>
      </c>
      <c r="H94" s="109">
        <f ca="1">'Climate A'!H94-'Climate B'!H94</f>
        <v>0</v>
      </c>
      <c r="I94" s="109">
        <f ca="1">'Climate A'!I94-'Climate B'!I94</f>
        <v>0</v>
      </c>
      <c r="J94" s="109">
        <f ca="1">'Climate A'!J94-'Climate B'!J94</f>
        <v>0</v>
      </c>
      <c r="K94" s="109">
        <f ca="1">'Climate A'!K94-'Climate B'!K94</f>
        <v>0</v>
      </c>
      <c r="L94" s="109">
        <f ca="1">'Climate A'!L94-'Climate B'!L94</f>
        <v>0</v>
      </c>
      <c r="M94" s="109">
        <f ca="1">'Climate A'!M94-'Climate B'!M94</f>
        <v>0</v>
      </c>
      <c r="N94" s="4" t="str">
        <f>'Base data'!$G$35</f>
        <v>Mtonne</v>
      </c>
      <c r="O94" s="4"/>
      <c r="P94" s="4"/>
      <c r="Q94" s="4"/>
      <c r="R94" s="4"/>
      <c r="S94" s="4"/>
      <c r="T94" s="4"/>
      <c r="U94" s="4"/>
      <c r="V94" s="4"/>
      <c r="W94" s="4"/>
      <c r="X94" s="4"/>
    </row>
    <row r="95" spans="1:24" s="6" customFormat="1" ht="15.5" x14ac:dyDescent="0.4">
      <c r="A95" s="4" t="s">
        <v>449</v>
      </c>
      <c r="B95" s="4" t="s">
        <v>58</v>
      </c>
      <c r="C95" s="28">
        <f>'Climate A'!C95-'Climate B'!C95</f>
        <v>0</v>
      </c>
      <c r="D95" s="109">
        <f>'Climate A'!D95-'Climate B'!D95</f>
        <v>0</v>
      </c>
      <c r="E95" s="109">
        <f>'Climate A'!E95-'Climate B'!E95</f>
        <v>0</v>
      </c>
      <c r="F95" s="109">
        <f>'Climate A'!F95-'Climate B'!F95</f>
        <v>0</v>
      </c>
      <c r="G95" s="109">
        <f>'Climate A'!G95-'Climate B'!G95</f>
        <v>0</v>
      </c>
      <c r="H95" s="109">
        <f>'Climate A'!H95-'Climate B'!H95</f>
        <v>0</v>
      </c>
      <c r="I95" s="109">
        <f>'Climate A'!I95-'Climate B'!I95</f>
        <v>0</v>
      </c>
      <c r="J95" s="109">
        <f>'Climate A'!J95-'Climate B'!J95</f>
        <v>0</v>
      </c>
      <c r="K95" s="109">
        <f>'Climate A'!K95-'Climate B'!K95</f>
        <v>0</v>
      </c>
      <c r="L95" s="109">
        <f>'Climate A'!L95-'Climate B'!L95</f>
        <v>0</v>
      </c>
      <c r="M95" s="109">
        <f>'Climate A'!M95-'Climate B'!M95</f>
        <v>0</v>
      </c>
      <c r="N95" s="4" t="str">
        <f>'Base data'!$G$35</f>
        <v>Mtonne</v>
      </c>
      <c r="O95" s="4"/>
      <c r="P95" s="4"/>
      <c r="Q95" s="4"/>
      <c r="R95" s="4"/>
      <c r="S95" s="4"/>
      <c r="T95" s="4"/>
      <c r="U95" s="4"/>
      <c r="V95" s="4"/>
      <c r="W95" s="4"/>
      <c r="X95" s="4"/>
    </row>
    <row r="96" spans="1:24" s="6" customFormat="1" x14ac:dyDescent="0.25">
      <c r="A96" s="118" t="s">
        <v>448</v>
      </c>
      <c r="B96" s="116"/>
      <c r="C96" s="104">
        <f>'Climate A'!C96-'Climate B'!C96</f>
        <v>0</v>
      </c>
      <c r="D96" s="117">
        <f ca="1">'Climate A'!D96-'Climate B'!D96</f>
        <v>0</v>
      </c>
      <c r="E96" s="117">
        <f ca="1">'Climate A'!E96-'Climate B'!E96</f>
        <v>0</v>
      </c>
      <c r="F96" s="117">
        <f ca="1">'Climate A'!F96-'Climate B'!F96</f>
        <v>0</v>
      </c>
      <c r="G96" s="117">
        <f ca="1">'Climate A'!G96-'Climate B'!G96</f>
        <v>0</v>
      </c>
      <c r="H96" s="117">
        <f ca="1">'Climate A'!H96-'Climate B'!H96</f>
        <v>0</v>
      </c>
      <c r="I96" s="117">
        <f ca="1">'Climate A'!I96-'Climate B'!I96</f>
        <v>0</v>
      </c>
      <c r="J96" s="117">
        <f ca="1">'Climate A'!J96-'Climate B'!J96</f>
        <v>0</v>
      </c>
      <c r="K96" s="117">
        <f ca="1">'Climate A'!K96-'Climate B'!K96</f>
        <v>0</v>
      </c>
      <c r="L96" s="117">
        <f ca="1">'Climate A'!L96-'Climate B'!L96</f>
        <v>0</v>
      </c>
      <c r="M96" s="117">
        <f ca="1">'Climate A'!M96-'Climate B'!M96</f>
        <v>0</v>
      </c>
      <c r="N96" s="4" t="str">
        <f>'Base data'!$G$35</f>
        <v>Mtonne</v>
      </c>
      <c r="O96" s="4"/>
      <c r="P96" s="4"/>
      <c r="Q96" s="4"/>
      <c r="R96" s="4"/>
      <c r="S96" s="4"/>
      <c r="T96" s="4"/>
      <c r="U96" s="4"/>
      <c r="V96" s="4"/>
      <c r="W96" s="4"/>
      <c r="X96" s="4"/>
    </row>
    <row r="97" spans="1:24" s="4" customFormat="1" x14ac:dyDescent="0.25">
      <c r="A97" s="113" t="s">
        <v>446</v>
      </c>
      <c r="B97" s="116"/>
      <c r="C97" s="116">
        <f>'Climate A'!C97-'Climate B'!C97</f>
        <v>0</v>
      </c>
      <c r="D97" s="117">
        <f>'Climate A'!D97-'Climate B'!D97</f>
        <v>0</v>
      </c>
      <c r="E97" s="117">
        <f>'Climate A'!E97-'Climate B'!E97</f>
        <v>0</v>
      </c>
      <c r="F97" s="117">
        <f>'Climate A'!F97-'Climate B'!F97</f>
        <v>0</v>
      </c>
      <c r="G97" s="117">
        <f>'Climate A'!G97-'Climate B'!G97</f>
        <v>0</v>
      </c>
      <c r="H97" s="117">
        <f>'Climate A'!H97-'Climate B'!H97</f>
        <v>0</v>
      </c>
      <c r="I97" s="117">
        <f>'Climate A'!I97-'Climate B'!I97</f>
        <v>0</v>
      </c>
      <c r="J97" s="117">
        <f>'Climate A'!J97-'Climate B'!J97</f>
        <v>0</v>
      </c>
      <c r="K97" s="117">
        <f>'Climate A'!K97-'Climate B'!K97</f>
        <v>0</v>
      </c>
      <c r="L97" s="117">
        <f>'Climate A'!L97-'Climate B'!L97</f>
        <v>0</v>
      </c>
      <c r="M97" s="117">
        <f>'Climate A'!M97-'Climate B'!M97</f>
        <v>0</v>
      </c>
      <c r="N97" s="4" t="str">
        <f>'Base data'!$G$35</f>
        <v>Mtonne</v>
      </c>
    </row>
    <row r="98" spans="1:24" s="4" customFormat="1" x14ac:dyDescent="0.25">
      <c r="A98" s="113" t="s">
        <v>447</v>
      </c>
      <c r="B98" s="116"/>
      <c r="C98" s="116">
        <f>'Climate A'!C98-'Climate B'!C98</f>
        <v>0</v>
      </c>
      <c r="D98" s="117">
        <f ca="1">'Climate A'!D98-'Climate B'!D98</f>
        <v>51.232912295020924</v>
      </c>
      <c r="E98" s="117">
        <f ca="1">'Climate A'!E98-'Climate B'!E98</f>
        <v>145.8553172922351</v>
      </c>
      <c r="F98" s="117">
        <f ca="1">'Climate A'!F98-'Climate B'!F98</f>
        <v>176.29441520343676</v>
      </c>
      <c r="G98" s="117">
        <f ca="1">'Climate A'!G98-'Climate B'!G98</f>
        <v>196.10881237322633</v>
      </c>
      <c r="H98" s="117">
        <f ca="1">'Climate A'!H98-'Climate B'!H98</f>
        <v>537.69813935792308</v>
      </c>
      <c r="I98" s="117">
        <f ca="1">'Climate A'!I98-'Climate B'!I98</f>
        <v>522.12823551508382</v>
      </c>
      <c r="J98" s="117">
        <f ca="1">'Climate A'!J98-'Climate B'!J98</f>
        <v>865.33209560408932</v>
      </c>
      <c r="K98" s="117">
        <f ca="1">'Climate A'!K98-'Climate B'!K98</f>
        <v>740.44435135696767</v>
      </c>
      <c r="L98" s="117">
        <f ca="1">'Climate A'!L98-'Climate B'!L98</f>
        <v>656.46995240236629</v>
      </c>
      <c r="M98" s="117">
        <f ca="1">'Climate A'!M98-'Climate B'!M98</f>
        <v>578.1099543591281</v>
      </c>
      <c r="N98" s="4" t="str">
        <f>'Base data'!$G$35</f>
        <v>Mtonne</v>
      </c>
    </row>
    <row r="99" spans="1:24" s="4" customFormat="1" ht="15.5" x14ac:dyDescent="0.4">
      <c r="A99" s="116" t="s">
        <v>450</v>
      </c>
      <c r="B99" s="116" t="s">
        <v>60</v>
      </c>
      <c r="C99" s="115">
        <f>'Climate A'!C99-'Climate B'!C99</f>
        <v>0</v>
      </c>
      <c r="D99" s="117">
        <f ca="1">'Climate A'!D99-'Climate B'!D99</f>
        <v>51.232912295020924</v>
      </c>
      <c r="E99" s="117">
        <f ca="1">'Climate A'!E99-'Climate B'!E99</f>
        <v>145.85531729223521</v>
      </c>
      <c r="F99" s="117">
        <f ca="1">'Climate A'!F99-'Climate B'!F99</f>
        <v>176.29441520343653</v>
      </c>
      <c r="G99" s="117">
        <f ca="1">'Climate A'!G99-'Climate B'!G99</f>
        <v>196.10881237322633</v>
      </c>
      <c r="H99" s="117">
        <f ca="1">'Climate A'!H99-'Climate B'!H99</f>
        <v>537.69813935792308</v>
      </c>
      <c r="I99" s="117">
        <f ca="1">'Climate A'!I99-'Climate B'!I99</f>
        <v>522.12823551508382</v>
      </c>
      <c r="J99" s="117">
        <f ca="1">'Climate A'!J99-'Climate B'!J99</f>
        <v>865.33209560408886</v>
      </c>
      <c r="K99" s="117">
        <f ca="1">'Climate A'!K99-'Climate B'!K99</f>
        <v>740.44435135696767</v>
      </c>
      <c r="L99" s="117">
        <f ca="1">'Climate A'!L99-'Climate B'!L99</f>
        <v>656.46995240236629</v>
      </c>
      <c r="M99" s="117">
        <f ca="1">'Climate A'!M99-'Climate B'!M99</f>
        <v>578.1099543591281</v>
      </c>
      <c r="N99" s="4" t="str">
        <f>'Base data'!$G$35</f>
        <v>Mtonne</v>
      </c>
    </row>
    <row r="100" spans="1:24" s="4" customFormat="1" x14ac:dyDescent="0.25">
      <c r="A100" s="6" t="s">
        <v>68</v>
      </c>
      <c r="B100" s="6"/>
      <c r="C100" s="6">
        <f>'Climate A'!C100-'Climate B'!C100</f>
        <v>0</v>
      </c>
      <c r="D100" s="109">
        <f>'Climate A'!D100-'Climate B'!D100</f>
        <v>0</v>
      </c>
      <c r="E100" s="109">
        <f>'Climate A'!E100-'Climate B'!E100</f>
        <v>0</v>
      </c>
      <c r="F100" s="109">
        <f>'Climate A'!F100-'Climate B'!F100</f>
        <v>0</v>
      </c>
      <c r="G100" s="109">
        <f>'Climate A'!G100-'Climate B'!G100</f>
        <v>0</v>
      </c>
      <c r="H100" s="109">
        <f>'Climate A'!H100-'Climate B'!H100</f>
        <v>0</v>
      </c>
      <c r="I100" s="109">
        <f>'Climate A'!I100-'Climate B'!I100</f>
        <v>0</v>
      </c>
      <c r="J100" s="109">
        <f>'Climate A'!J100-'Climate B'!J100</f>
        <v>0</v>
      </c>
      <c r="K100" s="109">
        <f>'Climate A'!K100-'Climate B'!K100</f>
        <v>0</v>
      </c>
      <c r="L100" s="109">
        <f>'Climate A'!L100-'Climate B'!L100</f>
        <v>0</v>
      </c>
      <c r="M100" s="109">
        <f>'Climate A'!M100-'Climate B'!M100</f>
        <v>0</v>
      </c>
      <c r="N100" s="6"/>
      <c r="O100" s="6"/>
      <c r="P100" s="6"/>
      <c r="Q100" s="6"/>
      <c r="R100" s="6"/>
      <c r="S100" s="6"/>
      <c r="T100" s="6"/>
      <c r="U100" s="6"/>
      <c r="V100" s="6"/>
      <c r="W100" s="6"/>
      <c r="X100" s="6"/>
    </row>
    <row r="101" spans="1:24" s="4" customFormat="1" x14ac:dyDescent="0.25">
      <c r="A101" s="4" t="s">
        <v>69</v>
      </c>
      <c r="C101" s="4">
        <f>'Climate A'!C101-'Climate B'!C101</f>
        <v>0</v>
      </c>
      <c r="D101" s="109">
        <f>'Climate A'!D101-'Climate B'!D101</f>
        <v>0</v>
      </c>
      <c r="E101" s="109">
        <f ca="1">'Climate A'!E101-'Climate B'!E101</f>
        <v>15.726330150078411</v>
      </c>
      <c r="F101" s="109">
        <f ca="1">'Climate A'!F101-'Climate B'!F101</f>
        <v>42.358017094642037</v>
      </c>
      <c r="G101" s="109">
        <f ca="1">'Climate A'!G101-'Climate B'!G101</f>
        <v>60.206683534928743</v>
      </c>
      <c r="H101" s="109">
        <f ca="1">'Climate A'!H101-'Climate B'!H101</f>
        <v>17.260417032115555</v>
      </c>
      <c r="I101" s="109">
        <f ca="1">'Climate A'!I101-'Climate B'!I101</f>
        <v>20.546321383231259</v>
      </c>
      <c r="J101" s="109">
        <f ca="1">'Climate A'!J101-'Climate B'!J101</f>
        <v>1.8771182536516999</v>
      </c>
      <c r="K101" s="109">
        <f ca="1">'Climate A'!K101-'Climate B'!K101</f>
        <v>1.5563443397080299</v>
      </c>
      <c r="L101" s="109">
        <f ca="1">'Climate A'!L101-'Climate B'!L101</f>
        <v>1.3313010169906878</v>
      </c>
      <c r="M101" s="109">
        <f ca="1">'Climate A'!M101-'Climate B'!M101</f>
        <v>1.1799021225868955</v>
      </c>
      <c r="N101" s="4" t="str">
        <f>'Base data'!$G$35</f>
        <v>Mtonne</v>
      </c>
    </row>
    <row r="102" spans="1:24" s="6" customFormat="1" x14ac:dyDescent="0.25">
      <c r="A102" s="4" t="s">
        <v>70</v>
      </c>
      <c r="B102" s="4"/>
      <c r="C102" s="4">
        <f>'Climate A'!C102-'Climate B'!C102</f>
        <v>0</v>
      </c>
      <c r="D102" s="109">
        <f ca="1">'Climate A'!D102-'Climate B'!D102</f>
        <v>40.760657516106221</v>
      </c>
      <c r="E102" s="109">
        <f ca="1">'Climate A'!E102-'Climate B'!E102</f>
        <v>94.060289574896615</v>
      </c>
      <c r="F102" s="109">
        <f ca="1">'Climate A'!F102-'Climate B'!F102</f>
        <v>113.69008722011904</v>
      </c>
      <c r="G102" s="109">
        <f ca="1">'Climate A'!G102-'Climate B'!G102</f>
        <v>126.46814680781495</v>
      </c>
      <c r="H102" s="109">
        <f ca="1">'Climate A'!H102-'Climate B'!H102</f>
        <v>204.95211996775515</v>
      </c>
      <c r="I102" s="109">
        <f ca="1">'Climate A'!I102-'Climate B'!I102</f>
        <v>199.01740573553843</v>
      </c>
      <c r="J102" s="109">
        <f ca="1">'Climate A'!J102-'Climate B'!J102</f>
        <v>180.16616178037316</v>
      </c>
      <c r="K102" s="109">
        <f ca="1">'Climate A'!K102-'Climate B'!K102</f>
        <v>154.16395332339357</v>
      </c>
      <c r="L102" s="109">
        <f ca="1">'Climate A'!L102-'Climate B'!L102</f>
        <v>136.68009339918422</v>
      </c>
      <c r="M102" s="109">
        <f ca="1">'Climate A'!M102-'Climate B'!M102</f>
        <v>120.36517782366514</v>
      </c>
      <c r="N102" s="4" t="str">
        <f>'Base data'!$G$35</f>
        <v>Mtonne</v>
      </c>
      <c r="O102" s="4"/>
      <c r="P102" s="4"/>
      <c r="Q102" s="4"/>
      <c r="R102" s="4"/>
      <c r="S102" s="4"/>
      <c r="T102" s="4"/>
      <c r="U102" s="4"/>
      <c r="V102" s="4"/>
      <c r="W102" s="4"/>
      <c r="X102" s="4"/>
    </row>
    <row r="103" spans="1:24" s="4" customFormat="1" ht="15.5" x14ac:dyDescent="0.4">
      <c r="A103" s="4" t="s">
        <v>54</v>
      </c>
      <c r="B103" s="4" t="s">
        <v>55</v>
      </c>
      <c r="C103" s="14">
        <f>'Climate A'!C103-'Climate B'!C103</f>
        <v>0</v>
      </c>
      <c r="D103" s="109">
        <f ca="1">'Climate A'!D103-'Climate B'!D103</f>
        <v>40.760657516106221</v>
      </c>
      <c r="E103" s="109">
        <f ca="1">'Climate A'!E103-'Climate B'!E103</f>
        <v>109.78661972497503</v>
      </c>
      <c r="F103" s="109">
        <f ca="1">'Climate A'!F103-'Climate B'!F103</f>
        <v>156.04810431476108</v>
      </c>
      <c r="G103" s="109">
        <f ca="1">'Climate A'!G103-'Climate B'!G103</f>
        <v>186.67483034274346</v>
      </c>
      <c r="H103" s="109">
        <f ca="1">'Climate A'!H103-'Climate B'!H103</f>
        <v>222.21253699987074</v>
      </c>
      <c r="I103" s="109">
        <f ca="1">'Climate A'!I103-'Climate B'!I103</f>
        <v>219.56372711876975</v>
      </c>
      <c r="J103" s="109">
        <f ca="1">'Climate A'!J103-'Climate B'!J103</f>
        <v>182.04328003402475</v>
      </c>
      <c r="K103" s="109">
        <f ca="1">'Climate A'!K103-'Climate B'!K103</f>
        <v>155.72029766310152</v>
      </c>
      <c r="L103" s="109">
        <f ca="1">'Climate A'!L103-'Climate B'!L103</f>
        <v>138.01139441617488</v>
      </c>
      <c r="M103" s="109">
        <f ca="1">'Climate A'!M103-'Climate B'!M103</f>
        <v>121.54507994625214</v>
      </c>
      <c r="N103" s="4" t="str">
        <f>'Base data'!$G$35</f>
        <v>Mtonne</v>
      </c>
    </row>
    <row r="104" spans="1:24" s="4" customFormat="1" ht="15.5" x14ac:dyDescent="0.4">
      <c r="A104" s="4" t="s">
        <v>71</v>
      </c>
      <c r="B104" s="4" t="s">
        <v>72</v>
      </c>
      <c r="C104" s="14">
        <f>'Climate A'!C104-'Climate B'!C104</f>
        <v>0</v>
      </c>
      <c r="D104" s="109">
        <f ca="1">'Climate A'!D104-'Climate B'!D104</f>
        <v>14.66210702018202</v>
      </c>
      <c r="E104" s="109">
        <f ca="1">'Climate A'!E104-'Climate B'!E104</f>
        <v>39.491589829127633</v>
      </c>
      <c r="F104" s="109">
        <f ca="1">'Climate A'!F104-'Climate B'!F104</f>
        <v>56.132411624014594</v>
      </c>
      <c r="G104" s="109">
        <f ca="1">'Climate A'!G104-'Climate B'!G104</f>
        <v>67.149219547749453</v>
      </c>
      <c r="H104" s="109">
        <f ca="1">'Climate A'!H104-'Climate B'!H104</f>
        <v>79.932567266140495</v>
      </c>
      <c r="I104" s="109">
        <f ca="1">'Climate A'!I104-'Climate B'!I104</f>
        <v>78.97975795639195</v>
      </c>
      <c r="J104" s="109">
        <f ca="1">'Climate A'!J104-'Climate B'!J104</f>
        <v>65.483194256843262</v>
      </c>
      <c r="K104" s="109">
        <f ca="1">'Climate A'!K104-'Climate B'!K104</f>
        <v>56.014495562266802</v>
      </c>
      <c r="L104" s="109">
        <f ca="1">'Climate A'!L104-'Climate B'!L104</f>
        <v>49.644386480638559</v>
      </c>
      <c r="M104" s="109">
        <f ca="1">'Climate A'!M104-'Climate B'!M104</f>
        <v>43.721251779227259</v>
      </c>
      <c r="N104" s="4" t="str">
        <f>'Base data'!$F$19</f>
        <v>ppb</v>
      </c>
    </row>
    <row r="105" spans="1:24" s="4" customFormat="1" ht="13" thickBot="1" x14ac:dyDescent="0.3">
      <c r="A105" s="6" t="s">
        <v>159</v>
      </c>
      <c r="B105" s="6"/>
      <c r="C105" s="35">
        <f>'Climate A'!C105-'Climate B'!C105</f>
        <v>0</v>
      </c>
      <c r="D105" s="109">
        <f ca="1">'Climate A'!D105-'Climate B'!D105</f>
        <v>6.1474762442520481E-3</v>
      </c>
      <c r="E105" s="109">
        <f ca="1">'Climate A'!E105-'Climate B'!E105</f>
        <v>1.709950086082529E-2</v>
      </c>
      <c r="F105" s="109">
        <f ca="1">'Climate A'!F105-'Climate B'!F105</f>
        <v>2.4943982728204972E-2</v>
      </c>
      <c r="G105" s="109">
        <f ca="1">'Climate A'!G105-'Climate B'!G105</f>
        <v>3.0716037997687906E-2</v>
      </c>
      <c r="H105" s="109">
        <f ca="1">'Climate A'!H105-'Climate B'!H105</f>
        <v>3.8904237603189173E-2</v>
      </c>
      <c r="I105" s="109">
        <f ca="1">'Climate A'!I105-'Climate B'!I105</f>
        <v>4.0271377064184127E-2</v>
      </c>
      <c r="J105" s="109">
        <f ca="1">'Climate A'!J105-'Climate B'!J105</f>
        <v>3.422338658573687E-2</v>
      </c>
      <c r="K105" s="109">
        <f ca="1">'Climate A'!K105-'Climate B'!K105</f>
        <v>2.9338287348710135E-2</v>
      </c>
      <c r="L105" s="109">
        <f ca="1">'Climate A'!L105-'Climate B'!L105</f>
        <v>2.6036648256942407E-2</v>
      </c>
      <c r="M105" s="109">
        <f ca="1">'Climate A'!M105-'Climate B'!M105</f>
        <v>2.2958779300624288E-2</v>
      </c>
      <c r="N105" s="6" t="str">
        <f>'Base data'!$F$21</f>
        <v>W/m2</v>
      </c>
      <c r="O105" s="6"/>
      <c r="P105" s="6"/>
      <c r="Q105" s="6"/>
      <c r="R105" s="6"/>
      <c r="S105" s="6"/>
      <c r="T105" s="6"/>
      <c r="U105" s="6"/>
      <c r="V105" s="6"/>
      <c r="W105" s="6"/>
      <c r="X105" s="6"/>
    </row>
    <row r="106" spans="1:24" s="4" customFormat="1" ht="13" thickTop="1" x14ac:dyDescent="0.25">
      <c r="A106" s="6"/>
      <c r="B106" s="6"/>
      <c r="C106" s="6"/>
      <c r="D106" s="110"/>
      <c r="E106" s="110"/>
      <c r="F106" s="110"/>
      <c r="G106" s="110"/>
      <c r="H106" s="110"/>
      <c r="I106" s="110"/>
      <c r="J106" s="110"/>
      <c r="K106" s="110"/>
      <c r="L106" s="110"/>
      <c r="M106" s="110"/>
      <c r="N106" s="6"/>
      <c r="O106" s="6"/>
      <c r="P106" s="6"/>
      <c r="Q106" s="6"/>
      <c r="R106" s="6"/>
      <c r="S106" s="6"/>
      <c r="T106" s="6"/>
      <c r="U106" s="6"/>
      <c r="V106" s="6"/>
      <c r="W106" s="6"/>
      <c r="X106" s="6"/>
    </row>
    <row r="107" spans="1:24" s="6" customFormat="1" ht="15.5" x14ac:dyDescent="0.4">
      <c r="A107" s="4" t="s">
        <v>148</v>
      </c>
      <c r="B107" s="58" t="s">
        <v>173</v>
      </c>
      <c r="C107" s="27">
        <f ca="1">'Climate A'!C107-'Climate B'!C107</f>
        <v>0</v>
      </c>
      <c r="D107" s="109">
        <f ca="1">'Climate A'!D107-'Climate B'!D107</f>
        <v>0</v>
      </c>
      <c r="E107" s="109">
        <f ca="1">'Climate A'!E107-'Climate B'!E107</f>
        <v>0</v>
      </c>
      <c r="F107" s="109">
        <f ca="1">'Climate A'!F107-'Climate B'!F107</f>
        <v>0</v>
      </c>
      <c r="G107" s="109">
        <f ca="1">'Climate A'!G107-'Climate B'!G107</f>
        <v>0</v>
      </c>
      <c r="H107" s="109">
        <f ca="1">'Climate A'!H107-'Climate B'!H107</f>
        <v>0</v>
      </c>
      <c r="I107" s="109">
        <f ca="1">'Climate A'!I107-'Climate B'!I107</f>
        <v>0</v>
      </c>
      <c r="J107" s="109">
        <f ca="1">'Climate A'!J107-'Climate B'!J107</f>
        <v>0</v>
      </c>
      <c r="K107" s="109">
        <f ca="1">'Climate A'!K107-'Climate B'!K107</f>
        <v>0</v>
      </c>
      <c r="L107" s="109">
        <f ca="1">'Climate A'!L107-'Climate B'!L107</f>
        <v>0</v>
      </c>
      <c r="M107" s="109">
        <f ca="1">'Climate A'!M107-'Climate B'!M107</f>
        <v>0</v>
      </c>
      <c r="N107" s="4" t="str">
        <f>'Base data'!$G$35</f>
        <v>Mtonne</v>
      </c>
      <c r="O107" s="4"/>
      <c r="P107" s="4"/>
      <c r="Q107" s="4"/>
      <c r="R107" s="4"/>
      <c r="S107" s="4"/>
      <c r="T107" s="4"/>
      <c r="U107" s="4"/>
      <c r="V107" s="4"/>
      <c r="W107" s="4"/>
      <c r="X107" s="4"/>
    </row>
    <row r="108" spans="1:24" s="6" customFormat="1" ht="15.5" x14ac:dyDescent="0.4">
      <c r="A108" s="4" t="s">
        <v>149</v>
      </c>
      <c r="B108" s="58" t="s">
        <v>120</v>
      </c>
      <c r="C108" s="28">
        <f ca="1">'Climate A'!C108-'Climate B'!C108</f>
        <v>0</v>
      </c>
      <c r="D108" s="109">
        <f ca="1">'Climate A'!D108-'Climate B'!D108</f>
        <v>0</v>
      </c>
      <c r="E108" s="109">
        <f ca="1">'Climate A'!E108-'Climate B'!E108</f>
        <v>0</v>
      </c>
      <c r="F108" s="109">
        <f ca="1">'Climate A'!F108-'Climate B'!F108</f>
        <v>0</v>
      </c>
      <c r="G108" s="109">
        <f ca="1">'Climate A'!G108-'Climate B'!G108</f>
        <v>0</v>
      </c>
      <c r="H108" s="109">
        <f ca="1">'Climate A'!H108-'Climate B'!H108</f>
        <v>0</v>
      </c>
      <c r="I108" s="109">
        <f ca="1">'Climate A'!I108-'Climate B'!I108</f>
        <v>0</v>
      </c>
      <c r="J108" s="109">
        <f ca="1">'Climate A'!J108-'Climate B'!J108</f>
        <v>0</v>
      </c>
      <c r="K108" s="109">
        <f ca="1">'Climate A'!K108-'Climate B'!K108</f>
        <v>0</v>
      </c>
      <c r="L108" s="109">
        <f ca="1">'Climate A'!L108-'Climate B'!L108</f>
        <v>0</v>
      </c>
      <c r="M108" s="109">
        <f ca="1">'Climate A'!M108-'Climate B'!M108</f>
        <v>0</v>
      </c>
      <c r="N108" s="4" t="str">
        <f>'Base data'!$G$35</f>
        <v>Mtonne</v>
      </c>
      <c r="O108" s="4"/>
      <c r="P108" s="4"/>
      <c r="Q108" s="4"/>
      <c r="R108" s="4"/>
      <c r="S108" s="4"/>
      <c r="T108" s="4"/>
      <c r="U108" s="4"/>
      <c r="V108" s="4"/>
      <c r="W108" s="4"/>
      <c r="X108" s="4"/>
    </row>
    <row r="109" spans="1:24" s="4" customFormat="1" ht="15.5" x14ac:dyDescent="0.4">
      <c r="A109" s="4" t="s">
        <v>150</v>
      </c>
      <c r="B109" s="58" t="s">
        <v>121</v>
      </c>
      <c r="C109" s="4">
        <f>'Climate A'!C109-'Climate B'!C109</f>
        <v>0</v>
      </c>
      <c r="D109" s="109">
        <f ca="1">'Climate A'!D109-'Climate B'!D109</f>
        <v>0</v>
      </c>
      <c r="E109" s="109">
        <f ca="1">'Climate A'!E109-'Climate B'!E109</f>
        <v>0</v>
      </c>
      <c r="F109" s="109">
        <f ca="1">'Climate A'!F109-'Climate B'!F109</f>
        <v>0</v>
      </c>
      <c r="G109" s="109">
        <f ca="1">'Climate A'!G109-'Climate B'!G109</f>
        <v>0</v>
      </c>
      <c r="H109" s="109">
        <f ca="1">'Climate A'!H109-'Climate B'!H109</f>
        <v>0</v>
      </c>
      <c r="I109" s="109">
        <f ca="1">'Climate A'!I109-'Climate B'!I109</f>
        <v>0</v>
      </c>
      <c r="J109" s="109">
        <f ca="1">'Climate A'!J109-'Climate B'!J109</f>
        <v>0</v>
      </c>
      <c r="K109" s="109">
        <f ca="1">'Climate A'!K109-'Climate B'!K109</f>
        <v>0</v>
      </c>
      <c r="L109" s="109">
        <f ca="1">'Climate A'!L109-'Climate B'!L109</f>
        <v>0</v>
      </c>
      <c r="M109" s="109">
        <f ca="1">'Climate A'!M109-'Climate B'!M109</f>
        <v>0</v>
      </c>
      <c r="N109" s="4" t="str">
        <f>'Base data'!$G$35</f>
        <v>Mtonne</v>
      </c>
    </row>
    <row r="110" spans="1:24" s="4" customFormat="1" x14ac:dyDescent="0.25">
      <c r="A110" s="6" t="s">
        <v>151</v>
      </c>
      <c r="B110" s="6"/>
      <c r="C110" s="6">
        <f>'Climate A'!C110-'Climate B'!C110</f>
        <v>0</v>
      </c>
      <c r="D110" s="109">
        <f>'Climate A'!D110-'Climate B'!D110</f>
        <v>0</v>
      </c>
      <c r="E110" s="109">
        <f>'Climate A'!E110-'Climate B'!E110</f>
        <v>0</v>
      </c>
      <c r="F110" s="109">
        <f>'Climate A'!F110-'Climate B'!F110</f>
        <v>0</v>
      </c>
      <c r="G110" s="109">
        <f>'Climate A'!G110-'Climate B'!G110</f>
        <v>0</v>
      </c>
      <c r="H110" s="109">
        <f>'Climate A'!H110-'Climate B'!H110</f>
        <v>0</v>
      </c>
      <c r="I110" s="109">
        <f>'Climate A'!I110-'Climate B'!I110</f>
        <v>0</v>
      </c>
      <c r="J110" s="109">
        <f>'Climate A'!J110-'Climate B'!J110</f>
        <v>0</v>
      </c>
      <c r="K110" s="109">
        <f>'Climate A'!K110-'Climate B'!K110</f>
        <v>0</v>
      </c>
      <c r="L110" s="109">
        <f>'Climate A'!L110-'Climate B'!L110</f>
        <v>0</v>
      </c>
      <c r="M110" s="109">
        <f>'Climate A'!M110-'Climate B'!M110</f>
        <v>0</v>
      </c>
      <c r="N110" s="6"/>
      <c r="O110" s="6"/>
      <c r="P110" s="6"/>
      <c r="Q110" s="6"/>
      <c r="R110" s="6"/>
      <c r="S110" s="6"/>
      <c r="T110" s="6"/>
      <c r="U110" s="6"/>
      <c r="V110" s="6"/>
      <c r="W110" s="6"/>
      <c r="X110" s="6"/>
    </row>
    <row r="111" spans="1:24" s="4" customFormat="1" x14ac:dyDescent="0.25">
      <c r="A111" s="4" t="s">
        <v>152</v>
      </c>
      <c r="C111" s="4">
        <f>'Climate A'!C111-'Climate B'!C111</f>
        <v>0</v>
      </c>
      <c r="D111" s="109">
        <f>'Climate A'!D111-'Climate B'!D111</f>
        <v>0</v>
      </c>
      <c r="E111" s="109">
        <f ca="1">'Climate A'!E111-'Climate B'!E111</f>
        <v>0</v>
      </c>
      <c r="F111" s="109">
        <f ca="1">'Climate A'!F111-'Climate B'!F111</f>
        <v>0</v>
      </c>
      <c r="G111" s="109">
        <f ca="1">'Climate A'!G111-'Climate B'!G111</f>
        <v>0</v>
      </c>
      <c r="H111" s="109">
        <f ca="1">'Climate A'!H111-'Climate B'!H111</f>
        <v>0</v>
      </c>
      <c r="I111" s="109">
        <f ca="1">'Climate A'!I111-'Climate B'!I111</f>
        <v>0</v>
      </c>
      <c r="J111" s="109">
        <f ca="1">'Climate A'!J111-'Climate B'!J111</f>
        <v>0</v>
      </c>
      <c r="K111" s="109">
        <f ca="1">'Climate A'!K111-'Climate B'!K111</f>
        <v>0</v>
      </c>
      <c r="L111" s="109">
        <f ca="1">'Climate A'!L111-'Climate B'!L111</f>
        <v>0</v>
      </c>
      <c r="M111" s="109">
        <f ca="1">'Climate A'!M111-'Climate B'!M111</f>
        <v>0</v>
      </c>
      <c r="N111" s="4" t="str">
        <f>'Base data'!$G$35</f>
        <v>Mtonne</v>
      </c>
    </row>
    <row r="112" spans="1:24" s="6" customFormat="1" x14ac:dyDescent="0.25">
      <c r="A112" s="4" t="s">
        <v>153</v>
      </c>
      <c r="B112" s="4"/>
      <c r="C112" s="4">
        <f>'Climate A'!C112-'Climate B'!C112</f>
        <v>0</v>
      </c>
      <c r="D112" s="109">
        <f ca="1">'Climate A'!D112-'Climate B'!D112</f>
        <v>0</v>
      </c>
      <c r="E112" s="109">
        <f ca="1">'Climate A'!E112-'Climate B'!E112</f>
        <v>0</v>
      </c>
      <c r="F112" s="109">
        <f ca="1">'Climate A'!F112-'Climate B'!F112</f>
        <v>0</v>
      </c>
      <c r="G112" s="109">
        <f ca="1">'Climate A'!G112-'Climate B'!G112</f>
        <v>0</v>
      </c>
      <c r="H112" s="109">
        <f ca="1">'Climate A'!H112-'Climate B'!H112</f>
        <v>0</v>
      </c>
      <c r="I112" s="109">
        <f ca="1">'Climate A'!I112-'Climate B'!I112</f>
        <v>0</v>
      </c>
      <c r="J112" s="109">
        <f ca="1">'Climate A'!J112-'Climate B'!J112</f>
        <v>0</v>
      </c>
      <c r="K112" s="109">
        <f ca="1">'Climate A'!K112-'Climate B'!K112</f>
        <v>0</v>
      </c>
      <c r="L112" s="109">
        <f ca="1">'Climate A'!L112-'Climate B'!L112</f>
        <v>0</v>
      </c>
      <c r="M112" s="109">
        <f ca="1">'Climate A'!M112-'Climate B'!M112</f>
        <v>0</v>
      </c>
      <c r="N112" s="4" t="str">
        <f>'Base data'!$G$35</f>
        <v>Mtonne</v>
      </c>
      <c r="O112" s="4"/>
      <c r="P112" s="4"/>
      <c r="Q112" s="4"/>
      <c r="R112" s="4"/>
      <c r="S112" s="4"/>
      <c r="T112" s="4"/>
      <c r="U112" s="4"/>
      <c r="V112" s="4"/>
      <c r="W112" s="4"/>
      <c r="X112" s="4"/>
    </row>
    <row r="113" spans="1:24" s="4" customFormat="1" ht="15.5" x14ac:dyDescent="0.4">
      <c r="A113" s="4" t="s">
        <v>154</v>
      </c>
      <c r="B113" s="58" t="s">
        <v>122</v>
      </c>
      <c r="C113" s="14">
        <f>'Climate A'!C113-'Climate B'!C113</f>
        <v>0</v>
      </c>
      <c r="D113" s="109">
        <f ca="1">'Climate A'!D113-'Climate B'!D113</f>
        <v>0</v>
      </c>
      <c r="E113" s="109">
        <f ca="1">'Climate A'!E113-'Climate B'!E113</f>
        <v>0</v>
      </c>
      <c r="F113" s="109">
        <f ca="1">'Climate A'!F113-'Climate B'!F113</f>
        <v>0</v>
      </c>
      <c r="G113" s="109">
        <f ca="1">'Climate A'!G113-'Climate B'!G113</f>
        <v>0</v>
      </c>
      <c r="H113" s="109">
        <f ca="1">'Climate A'!H113-'Climate B'!H113</f>
        <v>0</v>
      </c>
      <c r="I113" s="109">
        <f ca="1">'Climate A'!I113-'Climate B'!I113</f>
        <v>0</v>
      </c>
      <c r="J113" s="109">
        <f ca="1">'Climate A'!J113-'Climate B'!J113</f>
        <v>0</v>
      </c>
      <c r="K113" s="109">
        <f ca="1">'Climate A'!K113-'Climate B'!K113</f>
        <v>0</v>
      </c>
      <c r="L113" s="109">
        <f ca="1">'Climate A'!L113-'Climate B'!L113</f>
        <v>0</v>
      </c>
      <c r="M113" s="109">
        <f ca="1">'Climate A'!M113-'Climate B'!M113</f>
        <v>0</v>
      </c>
      <c r="N113" s="4" t="str">
        <f>'Base data'!$G$35</f>
        <v>Mtonne</v>
      </c>
    </row>
    <row r="114" spans="1:24" s="4" customFormat="1" ht="15.5" x14ac:dyDescent="0.4">
      <c r="A114" s="4" t="s">
        <v>155</v>
      </c>
      <c r="B114" s="58" t="s">
        <v>123</v>
      </c>
      <c r="C114" s="14">
        <f>'Climate A'!C114-'Climate B'!C114</f>
        <v>0</v>
      </c>
      <c r="D114" s="109">
        <f ca="1">'Climate A'!D114-'Climate B'!D114</f>
        <v>0</v>
      </c>
      <c r="E114" s="109">
        <f ca="1">'Climate A'!E114-'Climate B'!E114</f>
        <v>0</v>
      </c>
      <c r="F114" s="109">
        <f ca="1">'Climate A'!F114-'Climate B'!F114</f>
        <v>0</v>
      </c>
      <c r="G114" s="109">
        <f ca="1">'Climate A'!G114-'Climate B'!G114</f>
        <v>0</v>
      </c>
      <c r="H114" s="109">
        <f ca="1">'Climate A'!H114-'Climate B'!H114</f>
        <v>0</v>
      </c>
      <c r="I114" s="109">
        <f ca="1">'Climate A'!I114-'Climate B'!I114</f>
        <v>0</v>
      </c>
      <c r="J114" s="109">
        <f ca="1">'Climate A'!J114-'Climate B'!J114</f>
        <v>0</v>
      </c>
      <c r="K114" s="109">
        <f ca="1">'Climate A'!K114-'Climate B'!K114</f>
        <v>0</v>
      </c>
      <c r="L114" s="109">
        <f ca="1">'Climate A'!L114-'Climate B'!L114</f>
        <v>0</v>
      </c>
      <c r="M114" s="109">
        <f ca="1">'Climate A'!M114-'Climate B'!M114</f>
        <v>0</v>
      </c>
      <c r="N114" s="4" t="str">
        <f>'Base data'!$F$19</f>
        <v>ppb</v>
      </c>
    </row>
    <row r="115" spans="1:24" s="4" customFormat="1" x14ac:dyDescent="0.25">
      <c r="A115" s="6" t="s">
        <v>160</v>
      </c>
      <c r="B115" s="6"/>
      <c r="C115" s="26">
        <f>'Climate A'!C115-'Climate B'!C115</f>
        <v>0</v>
      </c>
      <c r="D115" s="109">
        <f ca="1">'Climate A'!D115-'Climate B'!D115</f>
        <v>0</v>
      </c>
      <c r="E115" s="109">
        <f ca="1">'Climate A'!E115-'Climate B'!E115</f>
        <v>0</v>
      </c>
      <c r="F115" s="109">
        <f ca="1">'Climate A'!F115-'Climate B'!F115</f>
        <v>0</v>
      </c>
      <c r="G115" s="109">
        <f ca="1">'Climate A'!G115-'Climate B'!G115</f>
        <v>0</v>
      </c>
      <c r="H115" s="109">
        <f ca="1">'Climate A'!H115-'Climate B'!H115</f>
        <v>0</v>
      </c>
      <c r="I115" s="109">
        <f ca="1">'Climate A'!I115-'Climate B'!I115</f>
        <v>0</v>
      </c>
      <c r="J115" s="109">
        <f ca="1">'Climate A'!J115-'Climate B'!J115</f>
        <v>0</v>
      </c>
      <c r="K115" s="109">
        <f ca="1">'Climate A'!K115-'Climate B'!K115</f>
        <v>0</v>
      </c>
      <c r="L115" s="109">
        <f ca="1">'Climate A'!L115-'Climate B'!L115</f>
        <v>0</v>
      </c>
      <c r="M115" s="109">
        <f ca="1">'Climate A'!M115-'Climate B'!M115</f>
        <v>0</v>
      </c>
      <c r="N115" s="6" t="str">
        <f>'Base data'!$F$21</f>
        <v>W/m2</v>
      </c>
      <c r="O115" s="6"/>
      <c r="P115" s="6"/>
      <c r="Q115" s="6"/>
      <c r="R115" s="6"/>
      <c r="S115" s="6"/>
      <c r="T115" s="6"/>
      <c r="U115" s="6"/>
      <c r="V115" s="6"/>
      <c r="W115" s="6"/>
      <c r="X115" s="6"/>
    </row>
    <row r="116" spans="1:24" s="4" customFormat="1" x14ac:dyDescent="0.25">
      <c r="A116" s="6" t="s">
        <v>157</v>
      </c>
      <c r="B116" s="6"/>
      <c r="C116" s="26">
        <f>'Climate A'!C116-'Climate B'!C116</f>
        <v>0</v>
      </c>
      <c r="D116" s="109">
        <f ca="1">'Climate A'!D116-'Climate B'!D116</f>
        <v>-8.7787126590879727E-4</v>
      </c>
      <c r="E116" s="109">
        <f ca="1">'Climate A'!E116-'Climate B'!E116</f>
        <v>-2.4272055460424491E-3</v>
      </c>
      <c r="F116" s="109">
        <f ca="1">'Climate A'!F116-'Climate B'!F116</f>
        <v>-3.5234106500939277E-3</v>
      </c>
      <c r="G116" s="109">
        <f ca="1">'Climate A'!G116-'Climate B'!G116</f>
        <v>-4.314815956094481E-3</v>
      </c>
      <c r="H116" s="109">
        <f ca="1">'Climate A'!H116-'Climate B'!H116</f>
        <v>-5.3989059443899923E-3</v>
      </c>
      <c r="I116" s="109">
        <f ca="1">'Climate A'!I116-'Climate B'!I116</f>
        <v>-5.5358000444341027E-3</v>
      </c>
      <c r="J116" s="109">
        <f ca="1">'Climate A'!J116-'Climate B'!J116</f>
        <v>-4.6801248490772607E-3</v>
      </c>
      <c r="K116" s="109">
        <f ca="1">'Climate A'!K116-'Climate B'!K116</f>
        <v>-4.0102406369633276E-3</v>
      </c>
      <c r="L116" s="109">
        <f ca="1">'Climate A'!L116-'Climate B'!L116</f>
        <v>-3.5579342268047404E-3</v>
      </c>
      <c r="M116" s="109">
        <f ca="1">'Climate A'!M116-'Climate B'!M116</f>
        <v>-3.1365116837389767E-3</v>
      </c>
      <c r="N116" s="6" t="str">
        <f>'Base data'!$F$21</f>
        <v>W/m2</v>
      </c>
      <c r="O116" s="6"/>
      <c r="P116" s="6"/>
      <c r="Q116" s="6"/>
      <c r="R116" s="6"/>
      <c r="S116" s="6"/>
      <c r="T116" s="6"/>
      <c r="U116" s="6"/>
      <c r="V116" s="6"/>
      <c r="W116" s="6"/>
      <c r="X116" s="6"/>
    </row>
    <row r="117" spans="1:24" s="6" customFormat="1" x14ac:dyDescent="0.25">
      <c r="A117" s="6" t="s">
        <v>158</v>
      </c>
      <c r="C117" s="26">
        <f>'Climate A'!C117-'Climate B'!C117</f>
        <v>0</v>
      </c>
      <c r="D117" s="109">
        <f ca="1">'Climate A'!D117-'Climate B'!D117</f>
        <v>0</v>
      </c>
      <c r="E117" s="109">
        <f ca="1">'Climate A'!E117-'Climate B'!E117</f>
        <v>0</v>
      </c>
      <c r="F117" s="109">
        <f ca="1">'Climate A'!F117-'Climate B'!F117</f>
        <v>0</v>
      </c>
      <c r="G117" s="109">
        <f ca="1">'Climate A'!G117-'Climate B'!G117</f>
        <v>0</v>
      </c>
      <c r="H117" s="109">
        <f ca="1">'Climate A'!H117-'Climate B'!H117</f>
        <v>0</v>
      </c>
      <c r="I117" s="109">
        <f ca="1">'Climate A'!I117-'Climate B'!I117</f>
        <v>0</v>
      </c>
      <c r="J117" s="109">
        <f ca="1">'Climate A'!J117-'Climate B'!J117</f>
        <v>0</v>
      </c>
      <c r="K117" s="109">
        <f ca="1">'Climate A'!K117-'Climate B'!K117</f>
        <v>0</v>
      </c>
      <c r="L117" s="109">
        <f ca="1">'Climate A'!L117-'Climate B'!L117</f>
        <v>0</v>
      </c>
      <c r="M117" s="109">
        <f ca="1">'Climate A'!M117-'Climate B'!M117</f>
        <v>0</v>
      </c>
      <c r="N117" s="6" t="str">
        <f>'Base data'!$F$21</f>
        <v>W/m2</v>
      </c>
    </row>
    <row r="118" spans="1:24" s="6" customFormat="1" ht="15.5" x14ac:dyDescent="0.4">
      <c r="A118" s="6" t="s">
        <v>73</v>
      </c>
      <c r="B118" s="6" t="s">
        <v>74</v>
      </c>
      <c r="C118" s="26">
        <f>'Climate A'!C118-'Climate B'!C118</f>
        <v>0</v>
      </c>
      <c r="D118" s="109">
        <f ca="1">'Climate A'!D118-'Climate B'!D118</f>
        <v>5.2696049783432786E-3</v>
      </c>
      <c r="E118" s="109">
        <f ca="1">'Climate A'!E118-'Climate B'!E118</f>
        <v>1.4672295314782868E-2</v>
      </c>
      <c r="F118" s="109">
        <f ca="1">'Climate A'!F118-'Climate B'!F118</f>
        <v>2.14205720781111E-2</v>
      </c>
      <c r="G118" s="109">
        <f ca="1">'Climate A'!G118-'Climate B'!G118</f>
        <v>2.6401222041593397E-2</v>
      </c>
      <c r="H118" s="109">
        <f ca="1">'Climate A'!H118-'Climate B'!H118</f>
        <v>3.3505331658799209E-2</v>
      </c>
      <c r="I118" s="109">
        <f ca="1">'Climate A'!I118-'Climate B'!I118</f>
        <v>3.4735577019749997E-2</v>
      </c>
      <c r="J118" s="109">
        <f ca="1">'Climate A'!J118-'Climate B'!J118</f>
        <v>2.954326173665961E-2</v>
      </c>
      <c r="K118" s="109">
        <f ca="1">'Climate A'!K118-'Climate B'!K118</f>
        <v>2.5328046711746821E-2</v>
      </c>
      <c r="L118" s="109">
        <f ca="1">'Climate A'!L118-'Climate B'!L118</f>
        <v>2.2478714030137681E-2</v>
      </c>
      <c r="M118" s="109">
        <f ca="1">'Climate A'!M118-'Climate B'!M118</f>
        <v>1.9822267616885325E-2</v>
      </c>
      <c r="N118" s="6" t="str">
        <f>'Base data'!$F$21</f>
        <v>W/m2</v>
      </c>
    </row>
    <row r="119" spans="1:24" s="6" customFormat="1" ht="16" thickBot="1" x14ac:dyDescent="0.45">
      <c r="A119" s="6" t="s">
        <v>156</v>
      </c>
      <c r="B119" s="57" t="s">
        <v>124</v>
      </c>
      <c r="C119" s="35">
        <f>'Climate A'!C119-'Climate B'!C119</f>
        <v>0</v>
      </c>
      <c r="D119" s="109">
        <f ca="1">'Climate A'!D119-'Climate B'!D119</f>
        <v>0</v>
      </c>
      <c r="E119" s="109">
        <f ca="1">'Climate A'!E119-'Climate B'!E119</f>
        <v>0</v>
      </c>
      <c r="F119" s="109">
        <f ca="1">'Climate A'!F119-'Climate B'!F119</f>
        <v>0</v>
      </c>
      <c r="G119" s="109">
        <f ca="1">'Climate A'!G119-'Climate B'!G119</f>
        <v>0</v>
      </c>
      <c r="H119" s="109">
        <f ca="1">'Climate A'!H119-'Climate B'!H119</f>
        <v>0</v>
      </c>
      <c r="I119" s="109">
        <f ca="1">'Climate A'!I119-'Climate B'!I119</f>
        <v>0</v>
      </c>
      <c r="J119" s="109">
        <f ca="1">'Climate A'!J119-'Climate B'!J119</f>
        <v>0</v>
      </c>
      <c r="K119" s="109">
        <f ca="1">'Climate A'!K119-'Climate B'!K119</f>
        <v>0</v>
      </c>
      <c r="L119" s="109">
        <f ca="1">'Climate A'!L119-'Climate B'!L119</f>
        <v>0</v>
      </c>
      <c r="M119" s="109">
        <f ca="1">'Climate A'!M119-'Climate B'!M119</f>
        <v>0</v>
      </c>
    </row>
    <row r="120" spans="1:24" s="6" customFormat="1" ht="13" thickTop="1" x14ac:dyDescent="0.25">
      <c r="D120" s="110"/>
      <c r="E120" s="110"/>
      <c r="F120" s="110"/>
      <c r="G120" s="110"/>
      <c r="H120" s="110"/>
      <c r="I120" s="110"/>
      <c r="J120" s="110"/>
      <c r="K120" s="110"/>
      <c r="L120" s="110"/>
      <c r="M120" s="110"/>
    </row>
    <row r="121" spans="1:24" s="6" customFormat="1" ht="15.5" x14ac:dyDescent="0.4">
      <c r="A121" s="4" t="str">
        <f>"Natural emissions of "&amp;GLIN_NAME</f>
        <v>Natural emissions of Lin</v>
      </c>
      <c r="B121" s="58" t="s">
        <v>174</v>
      </c>
      <c r="C121" s="27">
        <f ca="1">'Climate A'!C121-'Climate B'!C121</f>
        <v>0</v>
      </c>
      <c r="D121" s="109">
        <f ca="1">'Climate A'!D121-'Climate B'!D121</f>
        <v>0</v>
      </c>
      <c r="E121" s="109">
        <f ca="1">'Climate A'!E121-'Climate B'!E121</f>
        <v>0</v>
      </c>
      <c r="F121" s="109">
        <f ca="1">'Climate A'!F121-'Climate B'!F121</f>
        <v>0</v>
      </c>
      <c r="G121" s="109">
        <f ca="1">'Climate A'!G121-'Climate B'!G121</f>
        <v>0</v>
      </c>
      <c r="H121" s="109">
        <f ca="1">'Climate A'!H121-'Climate B'!H121</f>
        <v>0</v>
      </c>
      <c r="I121" s="109">
        <f ca="1">'Climate A'!I121-'Climate B'!I121</f>
        <v>0</v>
      </c>
      <c r="J121" s="109">
        <f ca="1">'Climate A'!J121-'Climate B'!J121</f>
        <v>0</v>
      </c>
      <c r="K121" s="109">
        <f ca="1">'Climate A'!K121-'Climate B'!K121</f>
        <v>0</v>
      </c>
      <c r="L121" s="109">
        <f ca="1">'Climate A'!L121-'Climate B'!L121</f>
        <v>0</v>
      </c>
      <c r="M121" s="109">
        <f ca="1">'Climate A'!M121-'Climate B'!M121</f>
        <v>0</v>
      </c>
      <c r="N121" s="4" t="str">
        <f>'Base data'!$G$35</f>
        <v>Mtonne</v>
      </c>
      <c r="O121" s="4"/>
      <c r="P121" s="4"/>
      <c r="Q121" s="4"/>
      <c r="R121" s="4"/>
      <c r="S121" s="4"/>
      <c r="T121" s="4"/>
      <c r="U121" s="4"/>
      <c r="V121" s="4"/>
      <c r="W121" s="4"/>
      <c r="X121" s="4"/>
    </row>
    <row r="122" spans="1:24" s="6" customFormat="1" ht="15.5" x14ac:dyDescent="0.4">
      <c r="A122" s="4" t="str">
        <f>"Total emissions to air of "&amp;GLIN_NAME</f>
        <v>Total emissions to air of Lin</v>
      </c>
      <c r="B122" s="58" t="s">
        <v>175</v>
      </c>
      <c r="C122" s="28">
        <f ca="1">'Climate A'!C122-'Climate B'!C122</f>
        <v>0</v>
      </c>
      <c r="D122" s="109">
        <f ca="1">'Climate A'!D122-'Climate B'!D122</f>
        <v>0</v>
      </c>
      <c r="E122" s="109">
        <f ca="1">'Climate A'!E122-'Climate B'!E122</f>
        <v>0</v>
      </c>
      <c r="F122" s="109">
        <f ca="1">'Climate A'!F122-'Climate B'!F122</f>
        <v>0</v>
      </c>
      <c r="G122" s="109">
        <f ca="1">'Climate A'!G122-'Climate B'!G122</f>
        <v>0</v>
      </c>
      <c r="H122" s="109">
        <f ca="1">'Climate A'!H122-'Climate B'!H122</f>
        <v>0</v>
      </c>
      <c r="I122" s="109">
        <f ca="1">'Climate A'!I122-'Climate B'!I122</f>
        <v>0</v>
      </c>
      <c r="J122" s="109">
        <f ca="1">'Climate A'!J122-'Climate B'!J122</f>
        <v>0</v>
      </c>
      <c r="K122" s="109">
        <f ca="1">'Climate A'!K122-'Climate B'!K122</f>
        <v>0</v>
      </c>
      <c r="L122" s="109">
        <f ca="1">'Climate A'!L122-'Climate B'!L122</f>
        <v>0</v>
      </c>
      <c r="M122" s="109">
        <f ca="1">'Climate A'!M122-'Climate B'!M122</f>
        <v>0</v>
      </c>
      <c r="N122" s="4" t="str">
        <f>'Base data'!$G$35</f>
        <v>Mtonne</v>
      </c>
      <c r="O122" s="4"/>
      <c r="P122" s="4"/>
      <c r="Q122" s="4"/>
      <c r="R122" s="4"/>
      <c r="S122" s="4"/>
      <c r="T122" s="4"/>
      <c r="U122" s="4"/>
      <c r="V122" s="4"/>
      <c r="W122" s="4"/>
      <c r="X122" s="4"/>
    </row>
    <row r="123" spans="1:24" s="4" customFormat="1" ht="15.5" x14ac:dyDescent="0.4">
      <c r="A123" s="4" t="str">
        <f>"Total this period of "&amp;GLIN_NAME</f>
        <v>Total this period of Lin</v>
      </c>
      <c r="B123" s="58" t="s">
        <v>176</v>
      </c>
      <c r="C123" s="4">
        <f>'Climate A'!C123-'Climate B'!C123</f>
        <v>0</v>
      </c>
      <c r="D123" s="109">
        <f ca="1">'Climate A'!D123-'Climate B'!D123</f>
        <v>0</v>
      </c>
      <c r="E123" s="109">
        <f ca="1">'Climate A'!E123-'Climate B'!E123</f>
        <v>0</v>
      </c>
      <c r="F123" s="109">
        <f ca="1">'Climate A'!F123-'Climate B'!F123</f>
        <v>0</v>
      </c>
      <c r="G123" s="109">
        <f ca="1">'Climate A'!G123-'Climate B'!G123</f>
        <v>0</v>
      </c>
      <c r="H123" s="109">
        <f ca="1">'Climate A'!H123-'Climate B'!H123</f>
        <v>0</v>
      </c>
      <c r="I123" s="109">
        <f ca="1">'Climate A'!I123-'Climate B'!I123</f>
        <v>0</v>
      </c>
      <c r="J123" s="109">
        <f ca="1">'Climate A'!J123-'Climate B'!J123</f>
        <v>0</v>
      </c>
      <c r="K123" s="109">
        <f ca="1">'Climate A'!K123-'Climate B'!K123</f>
        <v>0</v>
      </c>
      <c r="L123" s="109">
        <f ca="1">'Climate A'!L123-'Climate B'!L123</f>
        <v>0</v>
      </c>
      <c r="M123" s="109">
        <f ca="1">'Climate A'!M123-'Climate B'!M123</f>
        <v>0</v>
      </c>
      <c r="N123" s="4" t="str">
        <f>'Base data'!$G$35</f>
        <v>Mtonne</v>
      </c>
    </row>
    <row r="124" spans="1:24" s="4" customFormat="1" x14ac:dyDescent="0.25">
      <c r="A124" s="6" t="str">
        <f>"Exponential factor for "&amp;GLIN_NAME</f>
        <v>Exponential factor for Lin</v>
      </c>
      <c r="B124" s="6"/>
      <c r="C124" s="6">
        <f>'Climate A'!C124-'Climate B'!C124</f>
        <v>0</v>
      </c>
      <c r="D124" s="109">
        <f>'Climate A'!D124-'Climate B'!D124</f>
        <v>0</v>
      </c>
      <c r="E124" s="109">
        <f>'Climate A'!E124-'Climate B'!E124</f>
        <v>0</v>
      </c>
      <c r="F124" s="109">
        <f>'Climate A'!F124-'Climate B'!F124</f>
        <v>0</v>
      </c>
      <c r="G124" s="109">
        <f>'Climate A'!G124-'Climate B'!G124</f>
        <v>0</v>
      </c>
      <c r="H124" s="109">
        <f>'Climate A'!H124-'Climate B'!H124</f>
        <v>0</v>
      </c>
      <c r="I124" s="109">
        <f>'Climate A'!I124-'Climate B'!I124</f>
        <v>0</v>
      </c>
      <c r="J124" s="109">
        <f>'Climate A'!J124-'Climate B'!J124</f>
        <v>0</v>
      </c>
      <c r="K124" s="109">
        <f>'Climate A'!K124-'Climate B'!K124</f>
        <v>0</v>
      </c>
      <c r="L124" s="109">
        <f>'Climate A'!L124-'Climate B'!L124</f>
        <v>0</v>
      </c>
      <c r="M124" s="109">
        <f>'Climate A'!M124-'Climate B'!M124</f>
        <v>0</v>
      </c>
      <c r="N124" s="6"/>
      <c r="O124" s="6"/>
      <c r="P124" s="6"/>
      <c r="Q124" s="6"/>
      <c r="R124" s="6"/>
      <c r="S124" s="6"/>
      <c r="T124" s="6"/>
      <c r="U124" s="6"/>
      <c r="V124" s="6"/>
      <c r="W124" s="6"/>
      <c r="X124" s="6"/>
    </row>
    <row r="125" spans="1:24" s="4" customFormat="1" x14ac:dyDescent="0.25">
      <c r="A125" s="4" t="str">
        <f>"Remaining emissions factor for "&amp;GLIN_NAME</f>
        <v>Remaining emissions factor for Lin</v>
      </c>
      <c r="C125" s="4">
        <f>'Climate A'!C125-'Climate B'!C125</f>
        <v>0</v>
      </c>
      <c r="D125" s="109">
        <f>'Climate A'!D125-'Climate B'!D125</f>
        <v>0</v>
      </c>
      <c r="E125" s="109">
        <f ca="1">'Climate A'!E125-'Climate B'!E125</f>
        <v>0</v>
      </c>
      <c r="F125" s="109">
        <f ca="1">'Climate A'!F125-'Climate B'!F125</f>
        <v>0</v>
      </c>
      <c r="G125" s="109">
        <f ca="1">'Climate A'!G125-'Climate B'!G125</f>
        <v>0</v>
      </c>
      <c r="H125" s="109">
        <f ca="1">'Climate A'!H125-'Climate B'!H125</f>
        <v>0</v>
      </c>
      <c r="I125" s="109">
        <f ca="1">'Climate A'!I125-'Climate B'!I125</f>
        <v>0</v>
      </c>
      <c r="J125" s="109">
        <f ca="1">'Climate A'!J125-'Climate B'!J125</f>
        <v>0</v>
      </c>
      <c r="K125" s="109">
        <f ca="1">'Climate A'!K125-'Climate B'!K125</f>
        <v>0</v>
      </c>
      <c r="L125" s="109">
        <f ca="1">'Climate A'!L125-'Climate B'!L125</f>
        <v>0</v>
      </c>
      <c r="M125" s="109">
        <f ca="1">'Climate A'!M125-'Climate B'!M125</f>
        <v>0</v>
      </c>
      <c r="N125" s="4" t="str">
        <f>'Base data'!$G$35</f>
        <v>Mtonne</v>
      </c>
    </row>
    <row r="126" spans="1:24" s="6" customFormat="1" x14ac:dyDescent="0.25">
      <c r="A126" s="4" t="str">
        <f>"Total this period factor for "&amp;GLIN_NAME</f>
        <v>Total this period factor for Lin</v>
      </c>
      <c r="B126" s="4"/>
      <c r="C126" s="4">
        <f>'Climate A'!C126-'Climate B'!C126</f>
        <v>0</v>
      </c>
      <c r="D126" s="109">
        <f ca="1">'Climate A'!D126-'Climate B'!D126</f>
        <v>0</v>
      </c>
      <c r="E126" s="109">
        <f ca="1">'Climate A'!E126-'Climate B'!E126</f>
        <v>0</v>
      </c>
      <c r="F126" s="109">
        <f ca="1">'Climate A'!F126-'Climate B'!F126</f>
        <v>0</v>
      </c>
      <c r="G126" s="109">
        <f ca="1">'Climate A'!G126-'Climate B'!G126</f>
        <v>0</v>
      </c>
      <c r="H126" s="109">
        <f ca="1">'Climate A'!H126-'Climate B'!H126</f>
        <v>0</v>
      </c>
      <c r="I126" s="109">
        <f ca="1">'Climate A'!I126-'Climate B'!I126</f>
        <v>0</v>
      </c>
      <c r="J126" s="109">
        <f ca="1">'Climate A'!J126-'Climate B'!J126</f>
        <v>0</v>
      </c>
      <c r="K126" s="109">
        <f ca="1">'Climate A'!K126-'Climate B'!K126</f>
        <v>0</v>
      </c>
      <c r="L126" s="109">
        <f ca="1">'Climate A'!L126-'Climate B'!L126</f>
        <v>0</v>
      </c>
      <c r="M126" s="109">
        <f ca="1">'Climate A'!M126-'Climate B'!M126</f>
        <v>0</v>
      </c>
      <c r="N126" s="4" t="str">
        <f>'Base data'!$G$35</f>
        <v>Mtonne</v>
      </c>
      <c r="O126" s="4"/>
      <c r="P126" s="4"/>
      <c r="Q126" s="4"/>
      <c r="R126" s="4"/>
      <c r="S126" s="4"/>
      <c r="T126" s="4"/>
      <c r="U126" s="4"/>
      <c r="V126" s="4"/>
      <c r="W126" s="4"/>
      <c r="X126" s="4"/>
    </row>
    <row r="127" spans="1:24" s="4" customFormat="1" ht="15.5" x14ac:dyDescent="0.4">
      <c r="A127" s="4" t="str">
        <f>"Remaining emissions of "&amp;GLIN_NAME</f>
        <v>Remaining emissions of Lin</v>
      </c>
      <c r="B127" s="58" t="s">
        <v>177</v>
      </c>
      <c r="C127" s="28">
        <f>'Climate A'!C127-'Climate B'!C127</f>
        <v>0</v>
      </c>
      <c r="D127" s="109">
        <f ca="1">'Climate A'!D127-'Climate B'!D127</f>
        <v>0</v>
      </c>
      <c r="E127" s="109">
        <f ca="1">'Climate A'!E127-'Climate B'!E127</f>
        <v>0</v>
      </c>
      <c r="F127" s="109">
        <f ca="1">'Climate A'!F127-'Climate B'!F127</f>
        <v>0</v>
      </c>
      <c r="G127" s="109">
        <f ca="1">'Climate A'!G127-'Climate B'!G127</f>
        <v>0</v>
      </c>
      <c r="H127" s="109">
        <f ca="1">'Climate A'!H127-'Climate B'!H127</f>
        <v>0</v>
      </c>
      <c r="I127" s="109">
        <f ca="1">'Climate A'!I127-'Climate B'!I127</f>
        <v>0</v>
      </c>
      <c r="J127" s="109">
        <f ca="1">'Climate A'!J127-'Climate B'!J127</f>
        <v>0</v>
      </c>
      <c r="K127" s="109">
        <f ca="1">'Climate A'!K127-'Climate B'!K127</f>
        <v>0</v>
      </c>
      <c r="L127" s="109">
        <f ca="1">'Climate A'!L127-'Climate B'!L127</f>
        <v>0</v>
      </c>
      <c r="M127" s="109">
        <f ca="1">'Climate A'!M127-'Climate B'!M127</f>
        <v>0</v>
      </c>
      <c r="N127" s="4" t="str">
        <f>'Base data'!$G$35</f>
        <v>Mtonne</v>
      </c>
    </row>
    <row r="128" spans="1:24" s="4" customFormat="1" ht="15.5" x14ac:dyDescent="0.4">
      <c r="A128" s="4" t="str">
        <f>"Concentration of "&amp;GLIN_NAME</f>
        <v>Concentration of Lin</v>
      </c>
      <c r="B128" s="58" t="s">
        <v>178</v>
      </c>
      <c r="C128" s="28">
        <f>'Climate A'!C128-'Climate B'!C128</f>
        <v>0</v>
      </c>
      <c r="D128" s="109">
        <f ca="1">'Climate A'!D128-'Climate B'!D128</f>
        <v>0</v>
      </c>
      <c r="E128" s="109">
        <f ca="1">'Climate A'!E128-'Climate B'!E128</f>
        <v>0</v>
      </c>
      <c r="F128" s="109">
        <f ca="1">'Climate A'!F128-'Climate B'!F128</f>
        <v>0</v>
      </c>
      <c r="G128" s="109">
        <f ca="1">'Climate A'!G128-'Climate B'!G128</f>
        <v>0</v>
      </c>
      <c r="H128" s="109">
        <f ca="1">'Climate A'!H128-'Climate B'!H128</f>
        <v>0</v>
      </c>
      <c r="I128" s="109">
        <f ca="1">'Climate A'!I128-'Climate B'!I128</f>
        <v>0</v>
      </c>
      <c r="J128" s="109">
        <f ca="1">'Climate A'!J128-'Climate B'!J128</f>
        <v>0</v>
      </c>
      <c r="K128" s="109">
        <f ca="1">'Climate A'!K128-'Climate B'!K128</f>
        <v>0</v>
      </c>
      <c r="L128" s="109">
        <f ca="1">'Climate A'!L128-'Climate B'!L128</f>
        <v>0</v>
      </c>
      <c r="M128" s="109">
        <f ca="1">'Climate A'!M128-'Climate B'!M128</f>
        <v>0</v>
      </c>
      <c r="N128" s="4" t="str">
        <f>'Base data'!$F$19</f>
        <v>ppb</v>
      </c>
    </row>
    <row r="129" spans="1:24" s="4" customFormat="1" ht="15.5" x14ac:dyDescent="0.4">
      <c r="A129" s="6" t="str">
        <f>"Forcing from "&amp;GLIN_NAME</f>
        <v>Forcing from Lin</v>
      </c>
      <c r="B129" s="57" t="s">
        <v>179</v>
      </c>
      <c r="C129" s="28">
        <f>'Climate A'!C129-'Climate B'!C129</f>
        <v>0</v>
      </c>
      <c r="D129" s="109">
        <f ca="1">'Climate A'!D129-'Climate B'!D129</f>
        <v>0</v>
      </c>
      <c r="E129" s="109">
        <f ca="1">'Climate A'!E129-'Climate B'!E129</f>
        <v>0</v>
      </c>
      <c r="F129" s="109">
        <f ca="1">'Climate A'!F129-'Climate B'!F129</f>
        <v>0</v>
      </c>
      <c r="G129" s="109">
        <f ca="1">'Climate A'!G129-'Climate B'!G129</f>
        <v>0</v>
      </c>
      <c r="H129" s="109">
        <f ca="1">'Climate A'!H129-'Climate B'!H129</f>
        <v>0</v>
      </c>
      <c r="I129" s="109">
        <f ca="1">'Climate A'!I129-'Climate B'!I129</f>
        <v>0</v>
      </c>
      <c r="J129" s="109">
        <f ca="1">'Climate A'!J129-'Climate B'!J129</f>
        <v>0</v>
      </c>
      <c r="K129" s="109">
        <f ca="1">'Climate A'!K129-'Climate B'!K129</f>
        <v>0</v>
      </c>
      <c r="L129" s="109">
        <f ca="1">'Climate A'!L129-'Climate B'!L129</f>
        <v>0</v>
      </c>
      <c r="M129" s="109">
        <f ca="1">'Climate A'!M129-'Climate B'!M129</f>
        <v>0</v>
      </c>
      <c r="N129" s="6" t="str">
        <f>'Base data'!$F$21</f>
        <v>W/m2</v>
      </c>
      <c r="O129" s="6"/>
      <c r="P129" s="6"/>
      <c r="Q129" s="6"/>
      <c r="R129" s="6"/>
      <c r="S129" s="6"/>
      <c r="T129" s="6"/>
      <c r="U129" s="6"/>
      <c r="V129" s="6"/>
      <c r="W129" s="6"/>
      <c r="X129" s="6"/>
    </row>
    <row r="130" spans="1:24" s="4" customFormat="1" x14ac:dyDescent="0.25">
      <c r="A130" s="6"/>
      <c r="B130" s="57"/>
      <c r="C130" s="1"/>
      <c r="D130" s="110"/>
      <c r="E130" s="110"/>
      <c r="F130" s="110"/>
      <c r="G130" s="110"/>
      <c r="H130" s="110"/>
      <c r="I130" s="110"/>
      <c r="J130" s="110"/>
      <c r="K130" s="110"/>
      <c r="L130" s="110"/>
      <c r="M130" s="110"/>
      <c r="N130" s="6"/>
      <c r="O130" s="6"/>
      <c r="P130" s="6"/>
      <c r="Q130" s="6"/>
      <c r="R130" s="6"/>
      <c r="S130" s="6"/>
      <c r="T130" s="6"/>
      <c r="U130" s="6"/>
      <c r="V130" s="6"/>
      <c r="W130" s="6"/>
      <c r="X130" s="6"/>
    </row>
    <row r="131" spans="1:24" s="6" customFormat="1" ht="13" thickBot="1" x14ac:dyDescent="0.3">
      <c r="A131" s="4" t="s">
        <v>125</v>
      </c>
      <c r="B131" s="4" t="s">
        <v>75</v>
      </c>
      <c r="C131" s="35">
        <f>'Climate A'!C131-'Climate B'!C131</f>
        <v>0</v>
      </c>
      <c r="D131" s="109">
        <f ca="1">'Climate A'!D131-'Climate B'!D131</f>
        <v>1.1019067491815804E-2</v>
      </c>
      <c r="E131" s="109">
        <f ca="1">'Climate A'!E131-'Climate B'!E131</f>
        <v>3.1721747751466189E-2</v>
      </c>
      <c r="F131" s="109">
        <f ca="1">'Climate A'!F131-'Climate B'!F131</f>
        <v>5.1273559635566901E-2</v>
      </c>
      <c r="G131" s="109">
        <f ca="1">'Climate A'!G131-'Climate B'!G131</f>
        <v>6.9548053826691714E-2</v>
      </c>
      <c r="H131" s="109">
        <f ca="1">'Climate A'!H131-'Climate B'!H131</f>
        <v>0.10696888283395278</v>
      </c>
      <c r="I131" s="109">
        <f ca="1">'Climate A'!I131-'Climate B'!I131</f>
        <v>0.13327111119552759</v>
      </c>
      <c r="J131" s="109">
        <f ca="1">'Climate A'!J131-'Climate B'!J131</f>
        <v>0.15892155012340581</v>
      </c>
      <c r="K131" s="109">
        <f ca="1">'Climate A'!K131-'Climate B'!K131</f>
        <v>0.1697353384183713</v>
      </c>
      <c r="L131" s="109">
        <f ca="1">'Climate A'!L131-'Climate B'!L131</f>
        <v>0.17785754530126008</v>
      </c>
      <c r="M131" s="109">
        <f ca="1">'Climate A'!M131-'Climate B'!M131</f>
        <v>0.18504887441881412</v>
      </c>
      <c r="N131" s="6" t="str">
        <f>'Base data'!$F$21</f>
        <v>W/m2</v>
      </c>
    </row>
    <row r="132" spans="1:24" s="6" customFormat="1" ht="13" thickTop="1" x14ac:dyDescent="0.25">
      <c r="A132" s="4"/>
      <c r="B132" s="4"/>
      <c r="D132" s="110"/>
      <c r="E132" s="110"/>
      <c r="F132" s="110"/>
      <c r="G132" s="110"/>
      <c r="H132" s="110"/>
      <c r="I132" s="110"/>
      <c r="J132" s="110"/>
      <c r="K132" s="110"/>
      <c r="L132" s="110"/>
      <c r="M132" s="110"/>
      <c r="O132"/>
      <c r="P132"/>
      <c r="Q132"/>
      <c r="R132"/>
      <c r="S132"/>
      <c r="T132"/>
      <c r="U132"/>
      <c r="V132"/>
      <c r="W132"/>
      <c r="X132"/>
    </row>
    <row r="133" spans="1:24" s="1" customFormat="1" x14ac:dyDescent="0.25">
      <c r="A133" s="57" t="s">
        <v>193</v>
      </c>
      <c r="B133" s="1" t="str">
        <f t="array" ref="B133:B140">R_CODE</f>
        <v>EU</v>
      </c>
      <c r="C133" s="26">
        <f ca="1">'Climate A'!C133-'Climate B'!C133</f>
        <v>0</v>
      </c>
      <c r="D133" s="109">
        <f ca="1">'Climate A'!D133-'Climate B'!D133</f>
        <v>0</v>
      </c>
      <c r="E133" s="109">
        <f ca="1">'Climate A'!E133-'Climate B'!E133</f>
        <v>0</v>
      </c>
      <c r="F133" s="109">
        <f ca="1">'Climate A'!F133-'Climate B'!F133</f>
        <v>0</v>
      </c>
      <c r="G133" s="109">
        <f ca="1">'Climate A'!G133-'Climate B'!G133</f>
        <v>0</v>
      </c>
      <c r="H133" s="109">
        <f ca="1">'Climate A'!H133-'Climate B'!H133</f>
        <v>0</v>
      </c>
      <c r="I133" s="109">
        <f ca="1">'Climate A'!I133-'Climate B'!I133</f>
        <v>0</v>
      </c>
      <c r="J133" s="109">
        <f ca="1">'Climate A'!J133-'Climate B'!J133</f>
        <v>0</v>
      </c>
      <c r="K133" s="109">
        <f ca="1">'Climate A'!K133-'Climate B'!K133</f>
        <v>0</v>
      </c>
      <c r="L133" s="109">
        <f ca="1">'Climate A'!L133-'Climate B'!L133</f>
        <v>0</v>
      </c>
      <c r="M133" s="109">
        <f ca="1">'Climate A'!M133-'Climate B'!M133</f>
        <v>0</v>
      </c>
      <c r="N133" s="6" t="str">
        <f>'Base data'!$F$21</f>
        <v>W/m2</v>
      </c>
      <c r="O133" s="6"/>
      <c r="P133" s="6"/>
      <c r="Q133" s="6"/>
      <c r="R133" s="6"/>
      <c r="S133" s="6"/>
      <c r="T133" s="6"/>
      <c r="U133" s="6"/>
      <c r="V133" s="6"/>
      <c r="W133" s="6"/>
      <c r="X133" s="6"/>
    </row>
    <row r="134" spans="1:24" s="1" customFormat="1" x14ac:dyDescent="0.25">
      <c r="A134" s="6"/>
      <c r="B134" s="1" t="str">
        <v>US</v>
      </c>
      <c r="C134" s="26">
        <f ca="1">'Climate A'!C134-'Climate B'!C134</f>
        <v>0</v>
      </c>
      <c r="D134" s="109">
        <f ca="1">'Climate A'!D134-'Climate B'!D134</f>
        <v>0</v>
      </c>
      <c r="E134" s="109">
        <f ca="1">'Climate A'!E134-'Climate B'!E134</f>
        <v>0</v>
      </c>
      <c r="F134" s="109">
        <f ca="1">'Climate A'!F134-'Climate B'!F134</f>
        <v>0</v>
      </c>
      <c r="G134" s="109">
        <f ca="1">'Climate A'!G134-'Climate B'!G134</f>
        <v>0</v>
      </c>
      <c r="H134" s="109">
        <f ca="1">'Climate A'!H134-'Climate B'!H134</f>
        <v>0</v>
      </c>
      <c r="I134" s="109">
        <f ca="1">'Climate A'!I134-'Climate B'!I134</f>
        <v>0</v>
      </c>
      <c r="J134" s="109">
        <f ca="1">'Climate A'!J134-'Climate B'!J134</f>
        <v>0</v>
      </c>
      <c r="K134" s="109">
        <f ca="1">'Climate A'!K134-'Climate B'!K134</f>
        <v>0</v>
      </c>
      <c r="L134" s="109">
        <f ca="1">'Climate A'!L134-'Climate B'!L134</f>
        <v>0</v>
      </c>
      <c r="M134" s="109">
        <f ca="1">'Climate A'!M134-'Climate B'!M134</f>
        <v>0</v>
      </c>
      <c r="N134" s="6" t="str">
        <f>'Base data'!$F$21</f>
        <v>W/m2</v>
      </c>
      <c r="O134" s="6"/>
      <c r="P134" s="6"/>
      <c r="Q134" s="6"/>
      <c r="R134" s="6"/>
      <c r="S134" s="6"/>
      <c r="T134" s="6"/>
      <c r="U134" s="6"/>
      <c r="V134" s="6"/>
      <c r="W134" s="6"/>
      <c r="X134" s="6"/>
    </row>
    <row r="135" spans="1:24" s="6" customFormat="1" x14ac:dyDescent="0.25">
      <c r="B135" s="1" t="str">
        <v>OT</v>
      </c>
      <c r="C135" s="26">
        <f ca="1">'Climate A'!C135-'Climate B'!C135</f>
        <v>0</v>
      </c>
      <c r="D135" s="109">
        <f ca="1">'Climate A'!D135-'Climate B'!D135</f>
        <v>0</v>
      </c>
      <c r="E135" s="109">
        <f ca="1">'Climate A'!E135-'Climate B'!E135</f>
        <v>0</v>
      </c>
      <c r="F135" s="109">
        <f ca="1">'Climate A'!F135-'Climate B'!F135</f>
        <v>0</v>
      </c>
      <c r="G135" s="109">
        <f ca="1">'Climate A'!G135-'Climate B'!G135</f>
        <v>0</v>
      </c>
      <c r="H135" s="109">
        <f ca="1">'Climate A'!H135-'Climate B'!H135</f>
        <v>0</v>
      </c>
      <c r="I135" s="109">
        <f ca="1">'Climate A'!I135-'Climate B'!I135</f>
        <v>0</v>
      </c>
      <c r="J135" s="109">
        <f ca="1">'Climate A'!J135-'Climate B'!J135</f>
        <v>0</v>
      </c>
      <c r="K135" s="109">
        <f ca="1">'Climate A'!K135-'Climate B'!K135</f>
        <v>0</v>
      </c>
      <c r="L135" s="109">
        <f ca="1">'Climate A'!L135-'Climate B'!L135</f>
        <v>0</v>
      </c>
      <c r="M135" s="109">
        <f ca="1">'Climate A'!M135-'Climate B'!M135</f>
        <v>0</v>
      </c>
      <c r="N135" s="6" t="str">
        <f>'Base data'!$F$21</f>
        <v>W/m2</v>
      </c>
    </row>
    <row r="136" spans="1:24" s="6" customFormat="1" x14ac:dyDescent="0.25">
      <c r="B136" s="1" t="str">
        <v>EE</v>
      </c>
      <c r="C136" s="26">
        <f ca="1">'Climate A'!C136-'Climate B'!C136</f>
        <v>0</v>
      </c>
      <c r="D136" s="109">
        <f ca="1">'Climate A'!D136-'Climate B'!D136</f>
        <v>0</v>
      </c>
      <c r="E136" s="109">
        <f ca="1">'Climate A'!E136-'Climate B'!E136</f>
        <v>0</v>
      </c>
      <c r="F136" s="109">
        <f ca="1">'Climate A'!F136-'Climate B'!F136</f>
        <v>0</v>
      </c>
      <c r="G136" s="109">
        <f ca="1">'Climate A'!G136-'Climate B'!G136</f>
        <v>0</v>
      </c>
      <c r="H136" s="109">
        <f ca="1">'Climate A'!H136-'Climate B'!H136</f>
        <v>0</v>
      </c>
      <c r="I136" s="109">
        <f ca="1">'Climate A'!I136-'Climate B'!I136</f>
        <v>0</v>
      </c>
      <c r="J136" s="109">
        <f ca="1">'Climate A'!J136-'Climate B'!J136</f>
        <v>0</v>
      </c>
      <c r="K136" s="109">
        <f ca="1">'Climate A'!K136-'Climate B'!K136</f>
        <v>0</v>
      </c>
      <c r="L136" s="109">
        <f ca="1">'Climate A'!L136-'Climate B'!L136</f>
        <v>0</v>
      </c>
      <c r="M136" s="109">
        <f ca="1">'Climate A'!M136-'Climate B'!M136</f>
        <v>0</v>
      </c>
      <c r="N136" s="6" t="str">
        <f>'Base data'!$F$21</f>
        <v>W/m2</v>
      </c>
    </row>
    <row r="137" spans="1:24" s="6" customFormat="1" x14ac:dyDescent="0.25">
      <c r="B137" s="1" t="str">
        <v>CA</v>
      </c>
      <c r="C137" s="26">
        <f ca="1">'Climate A'!C137-'Climate B'!C137</f>
        <v>0</v>
      </c>
      <c r="D137" s="109">
        <f ca="1">'Climate A'!D137-'Climate B'!D137</f>
        <v>0</v>
      </c>
      <c r="E137" s="109">
        <f ca="1">'Climate A'!E137-'Climate B'!E137</f>
        <v>0</v>
      </c>
      <c r="F137" s="109">
        <f ca="1">'Climate A'!F137-'Climate B'!F137</f>
        <v>0</v>
      </c>
      <c r="G137" s="109">
        <f ca="1">'Climate A'!G137-'Climate B'!G137</f>
        <v>0</v>
      </c>
      <c r="H137" s="109">
        <f ca="1">'Climate A'!H137-'Climate B'!H137</f>
        <v>0</v>
      </c>
      <c r="I137" s="109">
        <f ca="1">'Climate A'!I137-'Climate B'!I137</f>
        <v>0</v>
      </c>
      <c r="J137" s="109">
        <f ca="1">'Climate A'!J137-'Climate B'!J137</f>
        <v>0</v>
      </c>
      <c r="K137" s="109">
        <f ca="1">'Climate A'!K137-'Climate B'!K137</f>
        <v>0</v>
      </c>
      <c r="L137" s="109">
        <f ca="1">'Climate A'!L137-'Climate B'!L137</f>
        <v>0</v>
      </c>
      <c r="M137" s="109">
        <f ca="1">'Climate A'!M137-'Climate B'!M137</f>
        <v>0</v>
      </c>
      <c r="N137" s="6" t="str">
        <f>'Base data'!$F$21</f>
        <v>W/m2</v>
      </c>
    </row>
    <row r="138" spans="1:24" s="6" customFormat="1" x14ac:dyDescent="0.25">
      <c r="B138" s="1" t="str">
        <v>IA</v>
      </c>
      <c r="C138" s="26">
        <f ca="1">'Climate A'!C138-'Climate B'!C138</f>
        <v>0</v>
      </c>
      <c r="D138" s="109">
        <f ca="1">'Climate A'!D138-'Climate B'!D138</f>
        <v>0</v>
      </c>
      <c r="E138" s="109">
        <f ca="1">'Climate A'!E138-'Climate B'!E138</f>
        <v>0</v>
      </c>
      <c r="F138" s="109">
        <f ca="1">'Climate A'!F138-'Climate B'!F138</f>
        <v>0</v>
      </c>
      <c r="G138" s="109">
        <f ca="1">'Climate A'!G138-'Climate B'!G138</f>
        <v>0</v>
      </c>
      <c r="H138" s="109">
        <f ca="1">'Climate A'!H138-'Climate B'!H138</f>
        <v>0</v>
      </c>
      <c r="I138" s="109">
        <f ca="1">'Climate A'!I138-'Climate B'!I138</f>
        <v>0</v>
      </c>
      <c r="J138" s="109">
        <f ca="1">'Climate A'!J138-'Climate B'!J138</f>
        <v>0</v>
      </c>
      <c r="K138" s="109">
        <f ca="1">'Climate A'!K138-'Climate B'!K138</f>
        <v>0</v>
      </c>
      <c r="L138" s="109">
        <f ca="1">'Climate A'!L138-'Climate B'!L138</f>
        <v>0</v>
      </c>
      <c r="M138" s="109">
        <f ca="1">'Climate A'!M138-'Climate B'!M138</f>
        <v>0</v>
      </c>
      <c r="N138" s="6" t="str">
        <f>'Base data'!$F$21</f>
        <v>W/m2</v>
      </c>
    </row>
    <row r="139" spans="1:24" s="6" customFormat="1" x14ac:dyDescent="0.25">
      <c r="B139" s="1" t="str">
        <v>AF</v>
      </c>
      <c r="C139" s="26">
        <f ca="1">'Climate A'!C139-'Climate B'!C139</f>
        <v>0</v>
      </c>
      <c r="D139" s="109">
        <f ca="1">'Climate A'!D139-'Climate B'!D139</f>
        <v>0</v>
      </c>
      <c r="E139" s="109">
        <f ca="1">'Climate A'!E139-'Climate B'!E139</f>
        <v>0</v>
      </c>
      <c r="F139" s="109">
        <f ca="1">'Climate A'!F139-'Climate B'!F139</f>
        <v>0</v>
      </c>
      <c r="G139" s="109">
        <f ca="1">'Climate A'!G139-'Climate B'!G139</f>
        <v>0</v>
      </c>
      <c r="H139" s="109">
        <f ca="1">'Climate A'!H139-'Climate B'!H139</f>
        <v>0</v>
      </c>
      <c r="I139" s="109">
        <f ca="1">'Climate A'!I139-'Climate B'!I139</f>
        <v>0</v>
      </c>
      <c r="J139" s="109">
        <f ca="1">'Climate A'!J139-'Climate B'!J139</f>
        <v>0</v>
      </c>
      <c r="K139" s="109">
        <f ca="1">'Climate A'!K139-'Climate B'!K139</f>
        <v>0</v>
      </c>
      <c r="L139" s="109">
        <f ca="1">'Climate A'!L139-'Climate B'!L139</f>
        <v>0</v>
      </c>
      <c r="M139" s="109">
        <f ca="1">'Climate A'!M139-'Climate B'!M139</f>
        <v>0</v>
      </c>
      <c r="N139" s="6" t="str">
        <f>'Base data'!$F$21</f>
        <v>W/m2</v>
      </c>
    </row>
    <row r="140" spans="1:24" s="6" customFormat="1" x14ac:dyDescent="0.25">
      <c r="B140" s="1" t="str">
        <v>LA</v>
      </c>
      <c r="C140" s="26">
        <f ca="1">'Climate A'!C140-'Climate B'!C140</f>
        <v>0</v>
      </c>
      <c r="D140" s="109">
        <f ca="1">'Climate A'!D140-'Climate B'!D140</f>
        <v>0</v>
      </c>
      <c r="E140" s="109">
        <f ca="1">'Climate A'!E140-'Climate B'!E140</f>
        <v>0</v>
      </c>
      <c r="F140" s="109">
        <f ca="1">'Climate A'!F140-'Climate B'!F140</f>
        <v>0</v>
      </c>
      <c r="G140" s="109">
        <f ca="1">'Climate A'!G140-'Climate B'!G140</f>
        <v>0</v>
      </c>
      <c r="H140" s="109">
        <f ca="1">'Climate A'!H140-'Climate B'!H140</f>
        <v>0</v>
      </c>
      <c r="I140" s="109">
        <f ca="1">'Climate A'!I140-'Climate B'!I140</f>
        <v>0</v>
      </c>
      <c r="J140" s="109">
        <f ca="1">'Climate A'!J140-'Climate B'!J140</f>
        <v>0</v>
      </c>
      <c r="K140" s="109">
        <f ca="1">'Climate A'!K140-'Climate B'!K140</f>
        <v>0</v>
      </c>
      <c r="L140" s="109">
        <f ca="1">'Climate A'!L140-'Climate B'!L140</f>
        <v>0</v>
      </c>
      <c r="M140" s="109">
        <f ca="1">'Climate A'!M140-'Climate B'!M140</f>
        <v>0</v>
      </c>
      <c r="N140" s="6" t="str">
        <f>'Base data'!$F$21</f>
        <v>W/m2</v>
      </c>
    </row>
    <row r="141" spans="1:24" s="6" customFormat="1" x14ac:dyDescent="0.25">
      <c r="B141" s="6" t="s">
        <v>138</v>
      </c>
      <c r="C141" s="258">
        <f ca="1">'Climate A'!C141-'Climate B'!C141</f>
        <v>0</v>
      </c>
      <c r="D141" s="258">
        <f ca="1">'Climate A'!D141-'Climate B'!D141</f>
        <v>0</v>
      </c>
      <c r="E141" s="258">
        <f ca="1">'Climate A'!E141-'Climate B'!E141</f>
        <v>0</v>
      </c>
      <c r="F141" s="258">
        <f ca="1">'Climate A'!F141-'Climate B'!F141</f>
        <v>0</v>
      </c>
      <c r="G141" s="258">
        <f ca="1">'Climate A'!G141-'Climate B'!G141</f>
        <v>0</v>
      </c>
      <c r="H141" s="258">
        <f ca="1">'Climate A'!H141-'Climate B'!H141</f>
        <v>0</v>
      </c>
      <c r="I141" s="258">
        <f ca="1">'Climate A'!I141-'Climate B'!I141</f>
        <v>0</v>
      </c>
      <c r="J141" s="258">
        <f ca="1">'Climate A'!J141-'Climate B'!J141</f>
        <v>0</v>
      </c>
      <c r="K141" s="258">
        <f ca="1">'Climate A'!K141-'Climate B'!K141</f>
        <v>0</v>
      </c>
      <c r="L141" s="258">
        <f ca="1">'Climate A'!L141-'Climate B'!L141</f>
        <v>0</v>
      </c>
      <c r="M141" s="258">
        <f ca="1">'Climate A'!M141-'Climate B'!M141</f>
        <v>0</v>
      </c>
      <c r="N141" s="6" t="s">
        <v>44</v>
      </c>
    </row>
    <row r="142" spans="1:24" s="6" customFormat="1" x14ac:dyDescent="0.25">
      <c r="A142" s="57" t="s">
        <v>194</v>
      </c>
      <c r="B142" s="1" t="str">
        <f t="array" ref="B142:B149">R_CODE</f>
        <v>EU</v>
      </c>
      <c r="C142" s="26"/>
      <c r="D142" s="26">
        <f ca="1">'Climate A'!D142-'Climate B'!D142</f>
        <v>0</v>
      </c>
      <c r="E142" s="26">
        <f ca="1">'Climate A'!E142-'Climate B'!E142</f>
        <v>0</v>
      </c>
      <c r="F142" s="26">
        <f ca="1">'Climate A'!F142-'Climate B'!F142</f>
        <v>0</v>
      </c>
      <c r="G142" s="26">
        <f ca="1">'Climate A'!G142-'Climate B'!G142</f>
        <v>0</v>
      </c>
      <c r="H142" s="26">
        <f ca="1">'Climate A'!H142-'Climate B'!H142</f>
        <v>0</v>
      </c>
      <c r="I142" s="26">
        <f ca="1">'Climate A'!I142-'Climate B'!I142</f>
        <v>0</v>
      </c>
      <c r="J142" s="26">
        <f ca="1">'Climate A'!J142-'Climate B'!J142</f>
        <v>0</v>
      </c>
      <c r="K142" s="26">
        <f ca="1">'Climate A'!K142-'Climate B'!K142</f>
        <v>0</v>
      </c>
      <c r="L142" s="26">
        <f ca="1">'Climate A'!L142-'Climate B'!L142</f>
        <v>0</v>
      </c>
      <c r="M142" s="26">
        <f ca="1">'Climate A'!M142-'Climate B'!M142</f>
        <v>0</v>
      </c>
      <c r="N142" s="6" t="str">
        <f>'Base data'!$F$21</f>
        <v>W/m2</v>
      </c>
    </row>
    <row r="143" spans="1:24" s="6" customFormat="1" x14ac:dyDescent="0.25">
      <c r="B143" s="1" t="str">
        <v>US</v>
      </c>
      <c r="C143" s="26"/>
      <c r="D143" s="26">
        <f ca="1">'Climate A'!D143-'Climate B'!D143</f>
        <v>0</v>
      </c>
      <c r="E143" s="26">
        <f ca="1">'Climate A'!E143-'Climate B'!E143</f>
        <v>0</v>
      </c>
      <c r="F143" s="26">
        <f ca="1">'Climate A'!F143-'Climate B'!F143</f>
        <v>0</v>
      </c>
      <c r="G143" s="26">
        <f ca="1">'Climate A'!G143-'Climate B'!G143</f>
        <v>0</v>
      </c>
      <c r="H143" s="26">
        <f ca="1">'Climate A'!H143-'Climate B'!H143</f>
        <v>0</v>
      </c>
      <c r="I143" s="26">
        <f ca="1">'Climate A'!I143-'Climate B'!I143</f>
        <v>0</v>
      </c>
      <c r="J143" s="26">
        <f ca="1">'Climate A'!J143-'Climate B'!J143</f>
        <v>0</v>
      </c>
      <c r="K143" s="26">
        <f ca="1">'Climate A'!K143-'Climate B'!K143</f>
        <v>0</v>
      </c>
      <c r="L143" s="26">
        <f ca="1">'Climate A'!L143-'Climate B'!L143</f>
        <v>0</v>
      </c>
      <c r="M143" s="26">
        <f ca="1">'Climate A'!M143-'Climate B'!M143</f>
        <v>0</v>
      </c>
      <c r="N143" s="6" t="str">
        <f>'Base data'!$F$21</f>
        <v>W/m2</v>
      </c>
    </row>
    <row r="144" spans="1:24" s="6" customFormat="1" x14ac:dyDescent="0.25">
      <c r="B144" s="1" t="str">
        <v>OT</v>
      </c>
      <c r="C144" s="26"/>
      <c r="D144" s="26">
        <f ca="1">'Climate A'!D144-'Climate B'!D144</f>
        <v>0</v>
      </c>
      <c r="E144" s="26">
        <f ca="1">'Climate A'!E144-'Climate B'!E144</f>
        <v>0</v>
      </c>
      <c r="F144" s="26">
        <f ca="1">'Climate A'!F144-'Climate B'!F144</f>
        <v>0</v>
      </c>
      <c r="G144" s="26">
        <f ca="1">'Climate A'!G144-'Climate B'!G144</f>
        <v>0</v>
      </c>
      <c r="H144" s="26">
        <f ca="1">'Climate A'!H144-'Climate B'!H144</f>
        <v>0</v>
      </c>
      <c r="I144" s="26">
        <f ca="1">'Climate A'!I144-'Climate B'!I144</f>
        <v>0</v>
      </c>
      <c r="J144" s="26">
        <f ca="1">'Climate A'!J144-'Climate B'!J144</f>
        <v>0</v>
      </c>
      <c r="K144" s="26">
        <f ca="1">'Climate A'!K144-'Climate B'!K144</f>
        <v>0</v>
      </c>
      <c r="L144" s="26">
        <f ca="1">'Climate A'!L144-'Climate B'!L144</f>
        <v>0</v>
      </c>
      <c r="M144" s="26">
        <f ca="1">'Climate A'!M144-'Climate B'!M144</f>
        <v>0</v>
      </c>
      <c r="N144" s="6" t="str">
        <f>'Base data'!$F$21</f>
        <v>W/m2</v>
      </c>
    </row>
    <row r="145" spans="1:24" s="6" customFormat="1" x14ac:dyDescent="0.25">
      <c r="B145" s="1" t="str">
        <v>EE</v>
      </c>
      <c r="C145" s="26"/>
      <c r="D145" s="26">
        <f ca="1">'Climate A'!D145-'Climate B'!D145</f>
        <v>0</v>
      </c>
      <c r="E145" s="26">
        <f ca="1">'Climate A'!E145-'Climate B'!E145</f>
        <v>0</v>
      </c>
      <c r="F145" s="26">
        <f ca="1">'Climate A'!F145-'Climate B'!F145</f>
        <v>0</v>
      </c>
      <c r="G145" s="26">
        <f ca="1">'Climate A'!G145-'Climate B'!G145</f>
        <v>0</v>
      </c>
      <c r="H145" s="26">
        <f ca="1">'Climate A'!H145-'Climate B'!H145</f>
        <v>0</v>
      </c>
      <c r="I145" s="26">
        <f ca="1">'Climate A'!I145-'Climate B'!I145</f>
        <v>0</v>
      </c>
      <c r="J145" s="26">
        <f ca="1">'Climate A'!J145-'Climate B'!J145</f>
        <v>0</v>
      </c>
      <c r="K145" s="26">
        <f ca="1">'Climate A'!K145-'Climate B'!K145</f>
        <v>0</v>
      </c>
      <c r="L145" s="26">
        <f ca="1">'Climate A'!L145-'Climate B'!L145</f>
        <v>0</v>
      </c>
      <c r="M145" s="26">
        <f ca="1">'Climate A'!M145-'Climate B'!M145</f>
        <v>0</v>
      </c>
      <c r="N145" s="6" t="str">
        <f>'Base data'!$F$21</f>
        <v>W/m2</v>
      </c>
    </row>
    <row r="146" spans="1:24" s="6" customFormat="1" x14ac:dyDescent="0.25">
      <c r="B146" s="1" t="str">
        <v>CA</v>
      </c>
      <c r="C146" s="26"/>
      <c r="D146" s="26">
        <f ca="1">'Climate A'!D146-'Climate B'!D146</f>
        <v>0</v>
      </c>
      <c r="E146" s="26">
        <f ca="1">'Climate A'!E146-'Climate B'!E146</f>
        <v>0</v>
      </c>
      <c r="F146" s="26">
        <f ca="1">'Climate A'!F146-'Climate B'!F146</f>
        <v>0</v>
      </c>
      <c r="G146" s="26">
        <f ca="1">'Climate A'!G146-'Climate B'!G146</f>
        <v>0</v>
      </c>
      <c r="H146" s="26">
        <f ca="1">'Climate A'!H146-'Climate B'!H146</f>
        <v>0</v>
      </c>
      <c r="I146" s="26">
        <f ca="1">'Climate A'!I146-'Climate B'!I146</f>
        <v>0</v>
      </c>
      <c r="J146" s="26">
        <f ca="1">'Climate A'!J146-'Climate B'!J146</f>
        <v>0</v>
      </c>
      <c r="K146" s="26">
        <f ca="1">'Climate A'!K146-'Climate B'!K146</f>
        <v>0</v>
      </c>
      <c r="L146" s="26">
        <f ca="1">'Climate A'!L146-'Climate B'!L146</f>
        <v>0</v>
      </c>
      <c r="M146" s="26">
        <f ca="1">'Climate A'!M146-'Climate B'!M146</f>
        <v>0</v>
      </c>
      <c r="N146" s="6" t="str">
        <f>'Base data'!$F$21</f>
        <v>W/m2</v>
      </c>
    </row>
    <row r="147" spans="1:24" s="6" customFormat="1" x14ac:dyDescent="0.25">
      <c r="B147" s="1" t="str">
        <v>IA</v>
      </c>
      <c r="C147" s="26"/>
      <c r="D147" s="26">
        <f ca="1">'Climate A'!D147-'Climate B'!D147</f>
        <v>0</v>
      </c>
      <c r="E147" s="26">
        <f ca="1">'Climate A'!E147-'Climate B'!E147</f>
        <v>0</v>
      </c>
      <c r="F147" s="26">
        <f ca="1">'Climate A'!F147-'Climate B'!F147</f>
        <v>0</v>
      </c>
      <c r="G147" s="26">
        <f ca="1">'Climate A'!G147-'Climate B'!G147</f>
        <v>0</v>
      </c>
      <c r="H147" s="26">
        <f ca="1">'Climate A'!H147-'Climate B'!H147</f>
        <v>0</v>
      </c>
      <c r="I147" s="26">
        <f ca="1">'Climate A'!I147-'Climate B'!I147</f>
        <v>0</v>
      </c>
      <c r="J147" s="26">
        <f ca="1">'Climate A'!J147-'Climate B'!J147</f>
        <v>0</v>
      </c>
      <c r="K147" s="26">
        <f ca="1">'Climate A'!K147-'Climate B'!K147</f>
        <v>0</v>
      </c>
      <c r="L147" s="26">
        <f ca="1">'Climate A'!L147-'Climate B'!L147</f>
        <v>0</v>
      </c>
      <c r="M147" s="26">
        <f ca="1">'Climate A'!M147-'Climate B'!M147</f>
        <v>0</v>
      </c>
      <c r="N147" s="6" t="str">
        <f>'Base data'!$F$21</f>
        <v>W/m2</v>
      </c>
    </row>
    <row r="148" spans="1:24" s="6" customFormat="1" x14ac:dyDescent="0.25">
      <c r="B148" s="1" t="str">
        <v>AF</v>
      </c>
      <c r="C148" s="26"/>
      <c r="D148" s="26">
        <f ca="1">'Climate A'!D148-'Climate B'!D148</f>
        <v>0</v>
      </c>
      <c r="E148" s="26">
        <f ca="1">'Climate A'!E148-'Climate B'!E148</f>
        <v>0</v>
      </c>
      <c r="F148" s="26">
        <f ca="1">'Climate A'!F148-'Climate B'!F148</f>
        <v>0</v>
      </c>
      <c r="G148" s="26">
        <f ca="1">'Climate A'!G148-'Climate B'!G148</f>
        <v>0</v>
      </c>
      <c r="H148" s="26">
        <f ca="1">'Climate A'!H148-'Climate B'!H148</f>
        <v>0</v>
      </c>
      <c r="I148" s="26">
        <f ca="1">'Climate A'!I148-'Climate B'!I148</f>
        <v>0</v>
      </c>
      <c r="J148" s="26">
        <f ca="1">'Climate A'!J148-'Climate B'!J148</f>
        <v>0</v>
      </c>
      <c r="K148" s="26">
        <f ca="1">'Climate A'!K148-'Climate B'!K148</f>
        <v>0</v>
      </c>
      <c r="L148" s="26">
        <f ca="1">'Climate A'!L148-'Climate B'!L148</f>
        <v>0</v>
      </c>
      <c r="M148" s="26">
        <f ca="1">'Climate A'!M148-'Climate B'!M148</f>
        <v>0</v>
      </c>
      <c r="N148" s="6" t="str">
        <f>'Base data'!$F$21</f>
        <v>W/m2</v>
      </c>
    </row>
    <row r="149" spans="1:24" s="6" customFormat="1" x14ac:dyDescent="0.25">
      <c r="B149" s="1" t="str">
        <v>LA</v>
      </c>
      <c r="C149" s="26"/>
      <c r="D149" s="26">
        <f ca="1">'Climate A'!D149-'Climate B'!D149</f>
        <v>0</v>
      </c>
      <c r="E149" s="26">
        <f ca="1">'Climate A'!E149-'Climate B'!E149</f>
        <v>0</v>
      </c>
      <c r="F149" s="26">
        <f ca="1">'Climate A'!F149-'Climate B'!F149</f>
        <v>0</v>
      </c>
      <c r="G149" s="26">
        <f ca="1">'Climate A'!G149-'Climate B'!G149</f>
        <v>0</v>
      </c>
      <c r="H149" s="26">
        <f ca="1">'Climate A'!H149-'Climate B'!H149</f>
        <v>0</v>
      </c>
      <c r="I149" s="26">
        <f ca="1">'Climate A'!I149-'Climate B'!I149</f>
        <v>0</v>
      </c>
      <c r="J149" s="26">
        <f ca="1">'Climate A'!J149-'Climate B'!J149</f>
        <v>0</v>
      </c>
      <c r="K149" s="26">
        <f ca="1">'Climate A'!K149-'Climate B'!K149</f>
        <v>0</v>
      </c>
      <c r="L149" s="26">
        <f ca="1">'Climate A'!L149-'Climate B'!L149</f>
        <v>0</v>
      </c>
      <c r="M149" s="26">
        <f ca="1">'Climate A'!M149-'Climate B'!M149</f>
        <v>0</v>
      </c>
      <c r="N149" s="6" t="str">
        <f>'Base data'!$F$21</f>
        <v>W/m2</v>
      </c>
    </row>
    <row r="150" spans="1:24" s="6" customFormat="1" x14ac:dyDescent="0.25">
      <c r="B150" s="6" t="s">
        <v>138</v>
      </c>
      <c r="C150" s="258"/>
      <c r="D150" s="258">
        <f ca="1">'Climate A'!D150-'Climate B'!D150</f>
        <v>0</v>
      </c>
      <c r="E150" s="258">
        <f ca="1">'Climate A'!E150-'Climate B'!E150</f>
        <v>0</v>
      </c>
      <c r="F150" s="258">
        <f ca="1">'Climate A'!F150-'Climate B'!F150</f>
        <v>0</v>
      </c>
      <c r="G150" s="258">
        <f ca="1">'Climate A'!G150-'Climate B'!G150</f>
        <v>0</v>
      </c>
      <c r="H150" s="258">
        <f ca="1">'Climate A'!H150-'Climate B'!H150</f>
        <v>0</v>
      </c>
      <c r="I150" s="258">
        <f ca="1">'Climate A'!I150-'Climate B'!I150</f>
        <v>0</v>
      </c>
      <c r="J150" s="258">
        <f ca="1">'Climate A'!J150-'Climate B'!J150</f>
        <v>0</v>
      </c>
      <c r="K150" s="258">
        <f ca="1">'Climate A'!K150-'Climate B'!K150</f>
        <v>0</v>
      </c>
      <c r="L150" s="258">
        <f ca="1">'Climate A'!L150-'Climate B'!L150</f>
        <v>0</v>
      </c>
      <c r="M150" s="258">
        <f ca="1">'Climate A'!M150-'Climate B'!M150</f>
        <v>0</v>
      </c>
      <c r="N150" s="6" t="s">
        <v>44</v>
      </c>
    </row>
    <row r="151" spans="1:24" s="6" customFormat="1" x14ac:dyDescent="0.25">
      <c r="A151" t="s">
        <v>76</v>
      </c>
      <c r="B151" t="s">
        <v>77</v>
      </c>
      <c r="C151" s="1"/>
      <c r="D151" s="26">
        <f ca="1">'Climate A'!D151-'Climate B'!D151</f>
        <v>0</v>
      </c>
      <c r="E151" s="26">
        <f ca="1">'Climate A'!E151-'Climate B'!E151</f>
        <v>0</v>
      </c>
      <c r="F151" s="26">
        <f ca="1">'Climate A'!F151-'Climate B'!F151</f>
        <v>0</v>
      </c>
      <c r="G151" s="26">
        <f ca="1">'Climate A'!G151-'Climate B'!G151</f>
        <v>0</v>
      </c>
      <c r="H151" s="26">
        <f ca="1">'Climate A'!H151-'Climate B'!H151</f>
        <v>0</v>
      </c>
      <c r="I151" s="26">
        <f ca="1">'Climate A'!I151-'Climate B'!I151</f>
        <v>0</v>
      </c>
      <c r="J151" s="26">
        <f ca="1">'Climate A'!J151-'Climate B'!J151</f>
        <v>0</v>
      </c>
      <c r="K151" s="26">
        <f ca="1">'Climate A'!K151-'Climate B'!K151</f>
        <v>0</v>
      </c>
      <c r="L151" s="26">
        <f ca="1">'Climate A'!L151-'Climate B'!L151</f>
        <v>0</v>
      </c>
      <c r="M151" s="26">
        <f ca="1">'Climate A'!M151-'Climate B'!M151</f>
        <v>0</v>
      </c>
      <c r="N151" s="6" t="str">
        <f>'Base data'!$F$21</f>
        <v>W/m2</v>
      </c>
      <c r="O151"/>
      <c r="P151"/>
      <c r="Q151"/>
      <c r="R151"/>
      <c r="S151"/>
      <c r="T151"/>
      <c r="U151"/>
      <c r="V151"/>
      <c r="W151"/>
      <c r="X151"/>
    </row>
    <row r="152" spans="1:24" s="6" customFormat="1" x14ac:dyDescent="0.25">
      <c r="A152"/>
      <c r="B152"/>
      <c r="C152" s="1"/>
      <c r="D152" s="26">
        <f ca="1">'Climate A'!D152-'Climate B'!D152</f>
        <v>0</v>
      </c>
      <c r="E152" s="26">
        <f ca="1">'Climate A'!E152-'Climate B'!E152</f>
        <v>0</v>
      </c>
      <c r="F152" s="26">
        <f ca="1">'Climate A'!F152-'Climate B'!F152</f>
        <v>0</v>
      </c>
      <c r="G152" s="26">
        <f ca="1">'Climate A'!G152-'Climate B'!G152</f>
        <v>0</v>
      </c>
      <c r="H152" s="26">
        <f ca="1">'Climate A'!H152-'Climate B'!H152</f>
        <v>0</v>
      </c>
      <c r="I152" s="26">
        <f ca="1">'Climate A'!I152-'Climate B'!I152</f>
        <v>0</v>
      </c>
      <c r="J152" s="26">
        <f ca="1">'Climate A'!J152-'Climate B'!J152</f>
        <v>0</v>
      </c>
      <c r="K152" s="26">
        <f ca="1">'Climate A'!K152-'Climate B'!K152</f>
        <v>0</v>
      </c>
      <c r="L152" s="26">
        <f ca="1">'Climate A'!L152-'Climate B'!L152</f>
        <v>0</v>
      </c>
      <c r="M152" s="26">
        <f ca="1">'Climate A'!M152-'Climate B'!M152</f>
        <v>0</v>
      </c>
      <c r="N152" s="6" t="str">
        <f>'Base data'!$F$21</f>
        <v>W/m2</v>
      </c>
      <c r="O152"/>
      <c r="P152"/>
      <c r="Q152"/>
      <c r="R152"/>
      <c r="S152"/>
      <c r="T152"/>
      <c r="U152"/>
      <c r="V152"/>
      <c r="W152"/>
      <c r="X152"/>
    </row>
    <row r="153" spans="1:24" x14ac:dyDescent="0.25">
      <c r="C153" s="1"/>
      <c r="D153" s="26">
        <f ca="1">'Climate A'!D153-'Climate B'!D153</f>
        <v>0</v>
      </c>
      <c r="E153" s="26">
        <f ca="1">'Climate A'!E153-'Climate B'!E153</f>
        <v>0</v>
      </c>
      <c r="F153" s="26">
        <f ca="1">'Climate A'!F153-'Climate B'!F153</f>
        <v>0</v>
      </c>
      <c r="G153" s="26">
        <f ca="1">'Climate A'!G153-'Climate B'!G153</f>
        <v>0</v>
      </c>
      <c r="H153" s="26">
        <f ca="1">'Climate A'!H153-'Climate B'!H153</f>
        <v>0</v>
      </c>
      <c r="I153" s="26">
        <f ca="1">'Climate A'!I153-'Climate B'!I153</f>
        <v>0</v>
      </c>
      <c r="J153" s="26">
        <f ca="1">'Climate A'!J153-'Climate B'!J153</f>
        <v>0</v>
      </c>
      <c r="K153" s="26">
        <f ca="1">'Climate A'!K153-'Climate B'!K153</f>
        <v>0</v>
      </c>
      <c r="L153" s="26">
        <f ca="1">'Climate A'!L153-'Climate B'!L153</f>
        <v>0</v>
      </c>
      <c r="M153" s="26">
        <f ca="1">'Climate A'!M153-'Climate B'!M153</f>
        <v>0</v>
      </c>
      <c r="N153" s="6" t="str">
        <f>'Base data'!$F$21</f>
        <v>W/m2</v>
      </c>
    </row>
    <row r="154" spans="1:24" x14ac:dyDescent="0.25">
      <c r="C154" s="1"/>
      <c r="D154" s="26">
        <f ca="1">'Climate A'!D154-'Climate B'!D154</f>
        <v>0</v>
      </c>
      <c r="E154" s="26">
        <f ca="1">'Climate A'!E154-'Climate B'!E154</f>
        <v>0</v>
      </c>
      <c r="F154" s="26">
        <f ca="1">'Climate A'!F154-'Climate B'!F154</f>
        <v>0</v>
      </c>
      <c r="G154" s="26">
        <f ca="1">'Climate A'!G154-'Climate B'!G154</f>
        <v>0</v>
      </c>
      <c r="H154" s="26">
        <f ca="1">'Climate A'!H154-'Climate B'!H154</f>
        <v>0</v>
      </c>
      <c r="I154" s="26">
        <f ca="1">'Climate A'!I154-'Climate B'!I154</f>
        <v>0</v>
      </c>
      <c r="J154" s="26">
        <f ca="1">'Climate A'!J154-'Climate B'!J154</f>
        <v>0</v>
      </c>
      <c r="K154" s="26">
        <f ca="1">'Climate A'!K154-'Climate B'!K154</f>
        <v>0</v>
      </c>
      <c r="L154" s="26">
        <f ca="1">'Climate A'!L154-'Climate B'!L154</f>
        <v>0</v>
      </c>
      <c r="M154" s="26">
        <f ca="1">'Climate A'!M154-'Climate B'!M154</f>
        <v>0</v>
      </c>
      <c r="N154" s="6" t="str">
        <f>'Base data'!$F$21</f>
        <v>W/m2</v>
      </c>
    </row>
    <row r="155" spans="1:24" x14ac:dyDescent="0.25">
      <c r="C155" s="1"/>
      <c r="D155" s="26">
        <f ca="1">'Climate A'!D155-'Climate B'!D155</f>
        <v>0</v>
      </c>
      <c r="E155" s="26">
        <f ca="1">'Climate A'!E155-'Climate B'!E155</f>
        <v>0</v>
      </c>
      <c r="F155" s="26">
        <f ca="1">'Climate A'!F155-'Climate B'!F155</f>
        <v>0</v>
      </c>
      <c r="G155" s="26">
        <f ca="1">'Climate A'!G155-'Climate B'!G155</f>
        <v>0</v>
      </c>
      <c r="H155" s="26">
        <f ca="1">'Climate A'!H155-'Climate B'!H155</f>
        <v>0</v>
      </c>
      <c r="I155" s="26">
        <f ca="1">'Climate A'!I155-'Climate B'!I155</f>
        <v>0</v>
      </c>
      <c r="J155" s="26">
        <f ca="1">'Climate A'!J155-'Climate B'!J155</f>
        <v>0</v>
      </c>
      <c r="K155" s="26">
        <f ca="1">'Climate A'!K155-'Climate B'!K155</f>
        <v>0</v>
      </c>
      <c r="L155" s="26">
        <f ca="1">'Climate A'!L155-'Climate B'!L155</f>
        <v>0</v>
      </c>
      <c r="M155" s="26">
        <f ca="1">'Climate A'!M155-'Climate B'!M155</f>
        <v>0</v>
      </c>
      <c r="N155" s="6" t="str">
        <f>'Base data'!$F$21</f>
        <v>W/m2</v>
      </c>
    </row>
    <row r="156" spans="1:24" x14ac:dyDescent="0.25">
      <c r="C156" s="1"/>
      <c r="D156" s="26">
        <f ca="1">'Climate A'!D156-'Climate B'!D156</f>
        <v>0</v>
      </c>
      <c r="E156" s="26">
        <f ca="1">'Climate A'!E156-'Climate B'!E156</f>
        <v>0</v>
      </c>
      <c r="F156" s="26">
        <f ca="1">'Climate A'!F156-'Climate B'!F156</f>
        <v>0</v>
      </c>
      <c r="G156" s="26">
        <f ca="1">'Climate A'!G156-'Climate B'!G156</f>
        <v>0</v>
      </c>
      <c r="H156" s="26">
        <f ca="1">'Climate A'!H156-'Climate B'!H156</f>
        <v>0</v>
      </c>
      <c r="I156" s="26">
        <f ca="1">'Climate A'!I156-'Climate B'!I156</f>
        <v>0</v>
      </c>
      <c r="J156" s="26">
        <f ca="1">'Climate A'!J156-'Climate B'!J156</f>
        <v>0</v>
      </c>
      <c r="K156" s="26">
        <f ca="1">'Climate A'!K156-'Climate B'!K156</f>
        <v>0</v>
      </c>
      <c r="L156" s="26">
        <f ca="1">'Climate A'!L156-'Climate B'!L156</f>
        <v>0</v>
      </c>
      <c r="M156" s="26">
        <f ca="1">'Climate A'!M156-'Climate B'!M156</f>
        <v>0</v>
      </c>
      <c r="N156" s="6" t="str">
        <f>'Base data'!$F$21</f>
        <v>W/m2</v>
      </c>
    </row>
    <row r="157" spans="1:24" x14ac:dyDescent="0.25">
      <c r="C157" s="1"/>
      <c r="D157" s="26">
        <f ca="1">'Climate A'!D157-'Climate B'!D157</f>
        <v>0</v>
      </c>
      <c r="E157" s="26">
        <f ca="1">'Climate A'!E157-'Climate B'!E157</f>
        <v>0</v>
      </c>
      <c r="F157" s="26">
        <f ca="1">'Climate A'!F157-'Climate B'!F157</f>
        <v>0</v>
      </c>
      <c r="G157" s="26">
        <f ca="1">'Climate A'!G157-'Climate B'!G157</f>
        <v>0</v>
      </c>
      <c r="H157" s="26">
        <f ca="1">'Climate A'!H157-'Climate B'!H157</f>
        <v>0</v>
      </c>
      <c r="I157" s="26">
        <f ca="1">'Climate A'!I157-'Climate B'!I157</f>
        <v>0</v>
      </c>
      <c r="J157" s="26">
        <f ca="1">'Climate A'!J157-'Climate B'!J157</f>
        <v>0</v>
      </c>
      <c r="K157" s="26">
        <f ca="1">'Climate A'!K157-'Climate B'!K157</f>
        <v>0</v>
      </c>
      <c r="L157" s="26">
        <f ca="1">'Climate A'!L157-'Climate B'!L157</f>
        <v>0</v>
      </c>
      <c r="M157" s="26">
        <f ca="1">'Climate A'!M157-'Climate B'!M157</f>
        <v>0</v>
      </c>
      <c r="N157" s="6" t="str">
        <f>'Base data'!$F$21</f>
        <v>W/m2</v>
      </c>
    </row>
    <row r="158" spans="1:24" x14ac:dyDescent="0.25">
      <c r="C158" s="1"/>
      <c r="D158" s="26">
        <f ca="1">'Climate A'!D158-'Climate B'!D158</f>
        <v>0</v>
      </c>
      <c r="E158" s="26">
        <f ca="1">'Climate A'!E158-'Climate B'!E158</f>
        <v>0</v>
      </c>
      <c r="F158" s="26">
        <f ca="1">'Climate A'!F158-'Climate B'!F158</f>
        <v>0</v>
      </c>
      <c r="G158" s="26">
        <f ca="1">'Climate A'!G158-'Climate B'!G158</f>
        <v>0</v>
      </c>
      <c r="H158" s="26">
        <f ca="1">'Climate A'!H158-'Climate B'!H158</f>
        <v>0</v>
      </c>
      <c r="I158" s="26">
        <f ca="1">'Climate A'!I158-'Climate B'!I158</f>
        <v>0</v>
      </c>
      <c r="J158" s="26">
        <f ca="1">'Climate A'!J158-'Climate B'!J158</f>
        <v>0</v>
      </c>
      <c r="K158" s="26">
        <f ca="1">'Climate A'!K158-'Climate B'!K158</f>
        <v>0</v>
      </c>
      <c r="L158" s="26">
        <f ca="1">'Climate A'!L158-'Climate B'!L158</f>
        <v>0</v>
      </c>
      <c r="M158" s="26">
        <f ca="1">'Climate A'!M158-'Climate B'!M158</f>
        <v>0</v>
      </c>
      <c r="N158" s="6" t="str">
        <f>'Base data'!$F$21</f>
        <v>W/m2</v>
      </c>
    </row>
    <row r="159" spans="1:24" ht="13" thickBot="1" x14ac:dyDescent="0.3">
      <c r="C159" t="s">
        <v>138</v>
      </c>
      <c r="D159" s="259">
        <f ca="1">'Climate A'!D159-'Climate B'!D159</f>
        <v>0</v>
      </c>
      <c r="E159" s="259">
        <f ca="1">'Climate A'!E159-'Climate B'!E159</f>
        <v>0</v>
      </c>
      <c r="F159" s="259">
        <f ca="1">'Climate A'!F159-'Climate B'!F159</f>
        <v>0</v>
      </c>
      <c r="G159" s="259">
        <f ca="1">'Climate A'!G159-'Climate B'!G159</f>
        <v>0</v>
      </c>
      <c r="H159" s="259">
        <f ca="1">'Climate A'!H159-'Climate B'!H159</f>
        <v>0</v>
      </c>
      <c r="I159" s="259">
        <f ca="1">'Climate A'!I159-'Climate B'!I159</f>
        <v>0</v>
      </c>
      <c r="J159" s="259">
        <f ca="1">'Climate A'!J159-'Climate B'!J159</f>
        <v>0</v>
      </c>
      <c r="K159" s="259">
        <f ca="1">'Climate A'!K159-'Climate B'!K159</f>
        <v>0</v>
      </c>
      <c r="L159" s="259">
        <f ca="1">'Climate A'!L159-'Climate B'!L159</f>
        <v>0</v>
      </c>
      <c r="M159" s="259">
        <f ca="1">'Climate A'!M159-'Climate B'!M159</f>
        <v>0</v>
      </c>
      <c r="N159" s="6" t="s">
        <v>44</v>
      </c>
    </row>
    <row r="160" spans="1:24" ht="13" thickTop="1" x14ac:dyDescent="0.25">
      <c r="D160" s="6"/>
      <c r="E160" s="6"/>
      <c r="F160" s="6"/>
      <c r="G160" s="6"/>
      <c r="H160" s="6"/>
      <c r="I160" s="6"/>
      <c r="J160" s="6"/>
      <c r="K160" s="6"/>
      <c r="L160" s="6"/>
      <c r="M160" s="6"/>
      <c r="N160" s="6"/>
    </row>
    <row r="161" spans="1:24" x14ac:dyDescent="0.25">
      <c r="A161" t="s">
        <v>566</v>
      </c>
      <c r="B161" t="s">
        <v>563</v>
      </c>
      <c r="C161" s="215">
        <f ca="1">'Climate A'!C161-'Climate B'!C161</f>
        <v>0</v>
      </c>
      <c r="D161" s="215">
        <f ca="1">'Climate A'!D161-'Climate B'!D161</f>
        <v>1.1019067491815804E-2</v>
      </c>
      <c r="E161" s="215">
        <f ca="1">'Climate A'!E161-'Climate B'!E161</f>
        <v>3.1721747751466189E-2</v>
      </c>
      <c r="F161" s="215">
        <f ca="1">'Climate A'!F161-'Climate B'!F161</f>
        <v>5.1273559635566901E-2</v>
      </c>
      <c r="G161" s="215">
        <f ca="1">'Climate A'!G161-'Climate B'!G161</f>
        <v>6.9548053826691714E-2</v>
      </c>
      <c r="H161" s="215">
        <f ca="1">'Climate A'!H161-'Climate B'!H161</f>
        <v>0.10696888283395278</v>
      </c>
      <c r="I161" s="215">
        <f ca="1">'Climate A'!I161-'Climate B'!I161</f>
        <v>0.13327111119552759</v>
      </c>
      <c r="J161" s="215">
        <f ca="1">'Climate A'!J161-'Climate B'!J161</f>
        <v>0.15892155012340581</v>
      </c>
      <c r="K161" s="215">
        <f ca="1">'Climate A'!K161-'Climate B'!K161</f>
        <v>0.1697353384183713</v>
      </c>
      <c r="L161" s="215">
        <f ca="1">'Climate A'!L161-'Climate B'!L161</f>
        <v>0.17785754530125986</v>
      </c>
      <c r="M161" s="215">
        <f ca="1">'Climate A'!M161-'Climate B'!M161</f>
        <v>0.1850488744188139</v>
      </c>
      <c r="N161" s="6" t="s">
        <v>44</v>
      </c>
      <c r="O161" s="1"/>
      <c r="P161" s="1"/>
      <c r="Q161" s="1"/>
      <c r="R161" s="1"/>
      <c r="S161" s="1"/>
      <c r="T161" s="1"/>
      <c r="U161" s="1"/>
      <c r="V161" s="1"/>
      <c r="W161" s="1"/>
      <c r="X161" s="1"/>
    </row>
    <row r="162" spans="1:24" x14ac:dyDescent="0.25">
      <c r="A162" t="s">
        <v>564</v>
      </c>
      <c r="B162" s="3"/>
      <c r="D162" s="224">
        <f ca="1">'Climate A'!D162-'Climate B'!D162</f>
        <v>2.2038134983631552E-3</v>
      </c>
      <c r="E162" s="224">
        <f ca="1">'Climate A'!E162-'Climate B'!E162</f>
        <v>2.0702680259650393E-3</v>
      </c>
      <c r="F162" s="224">
        <f ca="1">'Climate A'!F162-'Climate B'!F162</f>
        <v>1.9551811884100712E-3</v>
      </c>
      <c r="G162" s="224">
        <f ca="1">'Climate A'!G162-'Climate B'!G162</f>
        <v>1.8274494191124818E-3</v>
      </c>
      <c r="H162" s="224">
        <f ca="1">'Climate A'!H162-'Climate B'!H162</f>
        <v>1.4968331602904419E-3</v>
      </c>
      <c r="I162" s="224">
        <f ca="1">'Climate A'!I162-'Climate B'!I162</f>
        <v>1.0520891344629919E-3</v>
      </c>
      <c r="J162" s="224">
        <f ca="1">'Climate A'!J162-'Climate B'!J162</f>
        <v>5.1300877855756447E-4</v>
      </c>
      <c r="K162" s="224">
        <f ca="1">'Climate A'!K162-'Climate B'!K162</f>
        <v>2.1627576589930983E-4</v>
      </c>
      <c r="L162" s="224">
        <f ca="1">'Climate A'!L162-'Climate B'!L162</f>
        <v>1.624441376577709E-4</v>
      </c>
      <c r="M162" s="224">
        <f ca="1">'Climate A'!M162-'Climate B'!M162</f>
        <v>1.438265823510811E-4</v>
      </c>
      <c r="N162" s="57" t="s">
        <v>565</v>
      </c>
    </row>
    <row r="163" spans="1:24" x14ac:dyDescent="0.25">
      <c r="D163" s="6"/>
      <c r="E163" s="6"/>
      <c r="F163" s="6"/>
      <c r="G163" s="6"/>
      <c r="H163" s="6"/>
      <c r="I163" s="6"/>
      <c r="J163" s="6"/>
      <c r="K163" s="6"/>
      <c r="L163" s="6"/>
      <c r="M163" s="6"/>
      <c r="N163" s="6"/>
    </row>
    <row r="164" spans="1:24" ht="14.5" x14ac:dyDescent="0.35">
      <c r="A164" s="3" t="s">
        <v>924</v>
      </c>
      <c r="B164" s="3" t="s">
        <v>445</v>
      </c>
      <c r="C164" s="215">
        <f ca="1">'Climate A'!C164-'Climate B'!C164</f>
        <v>0</v>
      </c>
      <c r="D164" s="260">
        <f ca="1">'Climate A'!D164-'Climate B'!D164</f>
        <v>0</v>
      </c>
      <c r="E164" s="215">
        <f ca="1">'Climate A'!E164-'Climate B'!E164</f>
        <v>4.9665428282987811E-3</v>
      </c>
      <c r="F164" s="215">
        <f ca="1">'Climate A'!F164-'Climate B'!F164</f>
        <v>1.283390582953059E-2</v>
      </c>
      <c r="G164" s="215">
        <f ca="1">'Climate A'!G164-'Climate B'!G164</f>
        <v>2.2508865416876578E-2</v>
      </c>
      <c r="H164" s="215">
        <f ca="1">'Climate A'!H164-'Climate B'!H164</f>
        <v>5.0618006122932435E-2</v>
      </c>
      <c r="I164" s="215">
        <f ca="1">'Climate A'!I164-'Climate B'!I164</f>
        <v>7.6356700506869046E-2</v>
      </c>
      <c r="J164" s="215">
        <f ca="1">'Climate A'!J164-'Climate B'!J164</f>
        <v>0.11492971323460521</v>
      </c>
      <c r="K164" s="215">
        <f ca="1">'Climate A'!K164-'Climate B'!K164</f>
        <v>0.12666077757067873</v>
      </c>
      <c r="L164" s="215">
        <f ca="1">'Climate A'!L164-'Climate B'!L164</f>
        <v>0.12947438619579166</v>
      </c>
      <c r="M164" s="215">
        <f ca="1">'Climate A'!M164-'Climate B'!M164</f>
        <v>0.13386093445537162</v>
      </c>
      <c r="N164" t="str">
        <f>'Base data'!$L$35</f>
        <v>degC</v>
      </c>
      <c r="O164" s="6"/>
      <c r="P164" s="6"/>
      <c r="Q164" s="6"/>
      <c r="R164" s="6"/>
      <c r="S164" s="6"/>
      <c r="T164" s="6"/>
      <c r="U164" s="6"/>
      <c r="V164" s="6"/>
      <c r="W164" s="6"/>
      <c r="X164" s="6"/>
    </row>
    <row r="165" spans="1:24" ht="14.5" x14ac:dyDescent="0.35">
      <c r="A165" s="3"/>
      <c r="B165" s="3"/>
      <c r="C165" s="6"/>
      <c r="D165" s="112"/>
      <c r="E165" s="6"/>
      <c r="F165" s="6"/>
      <c r="G165" s="6"/>
      <c r="H165" s="6"/>
      <c r="I165" s="6"/>
      <c r="J165" s="6"/>
      <c r="K165" s="6"/>
      <c r="L165" s="6"/>
      <c r="M165" s="6"/>
      <c r="O165" s="6"/>
      <c r="P165" s="6"/>
      <c r="Q165" s="6"/>
      <c r="R165" s="6"/>
      <c r="S165" s="6"/>
      <c r="T165" s="6"/>
      <c r="U165" s="6"/>
      <c r="V165" s="6"/>
      <c r="W165" s="6"/>
      <c r="X165" s="6"/>
    </row>
    <row r="166" spans="1:24" ht="14.5" x14ac:dyDescent="0.35">
      <c r="A166" s="3" t="s">
        <v>917</v>
      </c>
      <c r="B166" s="103"/>
      <c r="C166" s="251"/>
      <c r="D166" s="252">
        <f ca="1">'Climate A'!D166-'Climate B'!D166</f>
        <v>0</v>
      </c>
      <c r="E166" s="251">
        <f ca="1">'Climate A'!E166-'Climate B'!E166</f>
        <v>-3.6212440946314928E-5</v>
      </c>
      <c r="F166" s="251">
        <f ca="1">'Climate A'!F166-'Climate B'!F166</f>
        <v>-1.3640834591593931E-4</v>
      </c>
      <c r="G166" s="251">
        <f ca="1">'Climate A'!G166-'Climate B'!G166</f>
        <v>-2.7636883366027876E-4</v>
      </c>
      <c r="H166" s="251">
        <f ca="1">'Climate A'!H166-'Climate B'!H166</f>
        <v>-5.6898580859160441E-4</v>
      </c>
      <c r="I166" s="251">
        <f ca="1">'Climate A'!I166-'Climate B'!I166</f>
        <v>-9.7908929113954546E-4</v>
      </c>
      <c r="J166" s="251">
        <f ca="1">'Climate A'!J166-'Climate B'!J166</f>
        <v>-1.3946652159971817E-3</v>
      </c>
      <c r="K166" s="251">
        <f ca="1">'Climate A'!K166-'Climate B'!K166</f>
        <v>-1.6545466643268503E-3</v>
      </c>
      <c r="L166" s="251">
        <f ca="1">'Climate A'!L166-'Climate B'!L166</f>
        <v>-1.6891412876950951E-3</v>
      </c>
      <c r="M166" s="251">
        <f ca="1">'Climate A'!M166-'Climate B'!M166</f>
        <v>-1.6846282242743982E-3</v>
      </c>
      <c r="N166" s="57" t="s">
        <v>544</v>
      </c>
      <c r="O166" s="6"/>
      <c r="P166" s="6"/>
      <c r="Q166" s="6"/>
      <c r="R166" s="6"/>
      <c r="S166" s="6"/>
      <c r="T166" s="6"/>
      <c r="U166" s="6"/>
      <c r="V166" s="6"/>
      <c r="W166" s="6"/>
      <c r="X166" s="6"/>
    </row>
    <row r="167" spans="1:24" ht="14.5" x14ac:dyDescent="0.35">
      <c r="A167" s="3" t="s">
        <v>919</v>
      </c>
      <c r="B167" s="103"/>
      <c r="C167" s="251"/>
      <c r="D167" s="252">
        <f ca="1">'Climate A'!D167-'Climate B'!D167</f>
        <v>0</v>
      </c>
      <c r="E167" s="251">
        <f ca="1">'Climate A'!E167-'Climate B'!E167</f>
        <v>-3.6212440946314928E-5</v>
      </c>
      <c r="F167" s="251">
        <f ca="1">'Climate A'!F167-'Climate B'!F167</f>
        <v>-1.3640834591593931E-4</v>
      </c>
      <c r="G167" s="251">
        <f ca="1">'Climate A'!G167-'Climate B'!G167</f>
        <v>-2.7636883366027876E-4</v>
      </c>
      <c r="H167" s="251">
        <f ca="1">'Climate A'!H167-'Climate B'!H167</f>
        <v>-5.6898580859160441E-4</v>
      </c>
      <c r="I167" s="251">
        <f ca="1">'Climate A'!I167-'Climate B'!I167</f>
        <v>-9.7908929113954546E-4</v>
      </c>
      <c r="J167" s="251">
        <f ca="1">'Climate A'!J167-'Climate B'!J167</f>
        <v>-1.3946652159971817E-3</v>
      </c>
      <c r="K167" s="251">
        <f ca="1">'Climate A'!K167-'Climate B'!K167</f>
        <v>-1.6545466643268503E-3</v>
      </c>
      <c r="L167" s="251">
        <f ca="1">'Climate A'!L167-'Climate B'!L167</f>
        <v>-1.6891412876950951E-3</v>
      </c>
      <c r="M167" s="251">
        <f ca="1">'Climate A'!M167-'Climate B'!M167</f>
        <v>-1.6846282242743982E-3</v>
      </c>
      <c r="N167" s="57" t="s">
        <v>544</v>
      </c>
      <c r="O167" s="6"/>
      <c r="P167" s="6"/>
      <c r="Q167" s="6"/>
      <c r="R167" s="6"/>
      <c r="S167" s="6"/>
      <c r="T167" s="6"/>
      <c r="U167" s="6"/>
      <c r="V167" s="6"/>
      <c r="W167" s="6"/>
      <c r="X167" s="6"/>
    </row>
    <row r="168" spans="1:24" ht="14.5" x14ac:dyDescent="0.35">
      <c r="A168" s="3" t="s">
        <v>927</v>
      </c>
      <c r="B168" s="103"/>
      <c r="C168" s="208"/>
      <c r="D168" s="252">
        <f ca="1">'Climate A'!D168-'Climate B'!D168</f>
        <v>0</v>
      </c>
      <c r="E168" s="251">
        <f ca="1">'Climate A'!E168-'Climate B'!E168</f>
        <v>4.2695165692607784E-5</v>
      </c>
      <c r="F168" s="251">
        <f ca="1">'Climate A'!F168-'Climate B'!F168</f>
        <v>2.2145952185093076E-4</v>
      </c>
      <c r="G168" s="251">
        <f ca="1">'Climate A'!G168-'Climate B'!G168</f>
        <v>5.1544221520860578E-4</v>
      </c>
      <c r="H168" s="251">
        <f ca="1">'Climate A'!H168-'Climate B'!H168</f>
        <v>1.1497106556824788E-3</v>
      </c>
      <c r="I168" s="251">
        <f ca="1">'Climate A'!I168-'Climate B'!I168</f>
        <v>2.0738428924036434E-3</v>
      </c>
      <c r="J168" s="251">
        <f ca="1">'Climate A'!J168-'Climate B'!J168</f>
        <v>2.7837000796322453E-3</v>
      </c>
      <c r="K168" s="251">
        <f ca="1">'Climate A'!K168-'Climate B'!K168</f>
        <v>2.9215049948790872E-3</v>
      </c>
      <c r="L168" s="251">
        <f ca="1">'Climate A'!L168-'Climate B'!L168</f>
        <v>2.7583401997979262E-3</v>
      </c>
      <c r="M168" s="251">
        <f ca="1">'Climate A'!M168-'Climate B'!M168</f>
        <v>2.5839128044803372E-3</v>
      </c>
      <c r="N168" s="3" t="s">
        <v>44</v>
      </c>
      <c r="O168" s="6"/>
      <c r="P168" s="6"/>
      <c r="Q168" s="6"/>
      <c r="R168" s="6"/>
      <c r="S168" s="6"/>
      <c r="T168" s="6"/>
      <c r="U168" s="6"/>
      <c r="V168" s="6"/>
      <c r="W168" s="6"/>
      <c r="X168" s="6"/>
    </row>
    <row r="169" spans="1:24" ht="14.5" x14ac:dyDescent="0.35">
      <c r="A169" s="3" t="s">
        <v>928</v>
      </c>
      <c r="B169" s="103"/>
      <c r="C169" s="252"/>
      <c r="D169" s="252">
        <f ca="1">'Climate A'!D169-'Climate B'!D169</f>
        <v>0</v>
      </c>
      <c r="E169" s="251">
        <f ca="1">'Climate A'!E169-'Climate B'!E169</f>
        <v>-7.5087412140906196E-5</v>
      </c>
      <c r="F169" s="251">
        <f ca="1">'Climate A'!F169-'Climate B'!F169</f>
        <v>-2.8110193529728988E-4</v>
      </c>
      <c r="G169" s="251">
        <f ca="1">'Climate A'!G169-'Climate B'!G169</f>
        <v>-5.6706822686125591E-4</v>
      </c>
      <c r="H169" s="251">
        <f ca="1">'Climate A'!H169-'Climate B'!H169</f>
        <v>-1.1634331164769307E-3</v>
      </c>
      <c r="I169" s="251">
        <f ca="1">'Climate A'!I169-'Climate B'!I169</f>
        <v>-1.9989209142963205E-3</v>
      </c>
      <c r="J169" s="251">
        <f ca="1">'Climate A'!J169-'Climate B'!J169</f>
        <v>-2.8557531663944147E-3</v>
      </c>
      <c r="K169" s="251">
        <f ca="1">'Climate A'!K169-'Climate B'!K169</f>
        <v>-3.402355985893557E-3</v>
      </c>
      <c r="L169" s="251">
        <f ca="1">'Climate A'!L169-'Climate B'!L169</f>
        <v>-3.4822199232511508E-3</v>
      </c>
      <c r="M169" s="251">
        <f ca="1">'Climate A'!M169-'Climate B'!M169</f>
        <v>-3.4793181188859101E-3</v>
      </c>
      <c r="N169" s="57" t="s">
        <v>43</v>
      </c>
      <c r="O169" s="6"/>
      <c r="P169" s="6"/>
      <c r="Q169" s="6"/>
      <c r="R169" s="6"/>
      <c r="S169" s="6"/>
      <c r="T169" s="6"/>
      <c r="U169" s="6"/>
      <c r="V169" s="6"/>
      <c r="W169" s="6"/>
      <c r="X169" s="6"/>
    </row>
    <row r="170" spans="1:24" ht="14.5" x14ac:dyDescent="0.35">
      <c r="A170" s="3" t="s">
        <v>929</v>
      </c>
      <c r="B170" s="103"/>
      <c r="C170" s="253"/>
      <c r="D170" s="253">
        <f ca="1">'Climate A'!D170-'Climate B'!D170</f>
        <v>0</v>
      </c>
      <c r="E170" s="204">
        <f ca="1">'Climate A'!E170-'Climate B'!E170</f>
        <v>-7.5800953221616396E-4</v>
      </c>
      <c r="F170" s="204">
        <f ca="1">'Climate A'!F170-'Climate B'!F170</f>
        <v>-2.8377319234245135E-3</v>
      </c>
      <c r="G170" s="204">
        <f ca="1">'Climate A'!G170-'Climate B'!G170</f>
        <v>-5.7245696598400286E-3</v>
      </c>
      <c r="H170" s="204">
        <f ca="1">'Climate A'!H170-'Climate B'!H170</f>
        <v>-1.1744889952133519E-2</v>
      </c>
      <c r="I170" s="204">
        <f ca="1">'Climate A'!I170-'Climate B'!I170</f>
        <v>-2.0179162711578158E-2</v>
      </c>
      <c r="J170" s="204">
        <f ca="1">'Climate A'!J170-'Climate B'!J170</f>
        <v>-2.8828908335810866E-2</v>
      </c>
      <c r="K170" s="204">
        <f ca="1">'Climate A'!K170-'Climate B'!K170</f>
        <v>-3.4346879134147912E-2</v>
      </c>
      <c r="L170" s="204">
        <f ca="1">'Climate A'!L170-'Climate B'!L170</f>
        <v>-3.5153107822438301E-2</v>
      </c>
      <c r="M170" s="204">
        <f ca="1">'Climate A'!M170-'Climate B'!M170</f>
        <v>-3.5123814025961764E-2</v>
      </c>
      <c r="N170" s="57" t="s">
        <v>459</v>
      </c>
      <c r="O170" s="6"/>
      <c r="P170" s="6"/>
      <c r="Q170" s="6"/>
      <c r="R170" s="6"/>
      <c r="S170" s="6"/>
      <c r="T170" s="6"/>
      <c r="U170" s="6"/>
      <c r="V170" s="6"/>
      <c r="W170" s="6"/>
      <c r="X170" s="6"/>
    </row>
    <row r="171" spans="1:24" ht="14.5" x14ac:dyDescent="0.35">
      <c r="A171" s="3"/>
      <c r="B171" s="103"/>
      <c r="C171" s="204"/>
      <c r="D171" s="112"/>
      <c r="E171" s="6"/>
      <c r="F171" s="6"/>
      <c r="G171" s="6"/>
      <c r="H171" s="6"/>
      <c r="I171" s="6"/>
      <c r="J171" s="6"/>
      <c r="K171" s="6"/>
      <c r="L171" s="6"/>
      <c r="M171" s="6"/>
      <c r="N171" s="3"/>
      <c r="O171" s="6"/>
      <c r="P171" s="6"/>
      <c r="Q171" s="6"/>
      <c r="R171" s="6"/>
      <c r="S171" s="6"/>
      <c r="T171" s="6"/>
      <c r="U171" s="6"/>
      <c r="V171" s="6"/>
      <c r="W171" s="6"/>
      <c r="X171" s="6"/>
    </row>
    <row r="172" spans="1:24" x14ac:dyDescent="0.25">
      <c r="A172" s="57" t="s">
        <v>923</v>
      </c>
      <c r="B172" s="113" t="s">
        <v>181</v>
      </c>
      <c r="C172" s="254">
        <f ca="1">'Climate A'!C172-'Climate B'!C172</f>
        <v>0</v>
      </c>
      <c r="D172" s="254">
        <f ca="1">'Climate A'!D172-'Climate B'!D172</f>
        <v>1.2365656835251482E-3</v>
      </c>
      <c r="E172" s="254">
        <f ca="1">'Climate A'!E172-'Climate B'!E172</f>
        <v>8.3082212807610301E-3</v>
      </c>
      <c r="F172" s="254">
        <f ca="1">'Climate A'!F172-'Climate B'!F172</f>
        <v>1.7696339181592968E-2</v>
      </c>
      <c r="G172" s="254">
        <f ca="1">'Climate A'!G172-'Climate B'!G172</f>
        <v>2.8279354043648341E-2</v>
      </c>
      <c r="H172" s="254">
        <f ca="1">'Climate A'!H172-'Climate B'!H172</f>
        <v>5.708292466490672E-2</v>
      </c>
      <c r="I172" s="254">
        <f ca="1">'Climate A'!I172-'Climate B'!I172</f>
        <v>8.2908492681357693E-2</v>
      </c>
      <c r="J172" s="254">
        <f ca="1">'Climate A'!J172-'Climate B'!J172</f>
        <v>0.12220090430084873</v>
      </c>
      <c r="K172" s="254">
        <f ca="1">'Climate A'!K172-'Climate B'!K172</f>
        <v>0.13469811599074699</v>
      </c>
      <c r="L172" s="254">
        <f ca="1">'Climate A'!L172-'Climate B'!L172</f>
        <v>0.13788995569673856</v>
      </c>
      <c r="M172" s="254">
        <f ca="1">'Climate A'!M172-'Climate B'!M172</f>
        <v>0.14244565366500406</v>
      </c>
      <c r="N172" t="str">
        <f>'Base data'!$L$35</f>
        <v>degC</v>
      </c>
      <c r="O172" s="6"/>
      <c r="P172" s="6"/>
      <c r="Q172" s="6"/>
      <c r="R172" s="6"/>
      <c r="S172" s="6"/>
      <c r="T172" s="6"/>
      <c r="U172" s="6"/>
      <c r="V172" s="6"/>
      <c r="W172" s="6"/>
      <c r="X172" s="6"/>
    </row>
    <row r="173" spans="1:24" x14ac:dyDescent="0.25">
      <c r="O173" s="6"/>
      <c r="P173" s="6"/>
      <c r="Q173" s="6"/>
      <c r="R173" s="6"/>
      <c r="S173" s="6"/>
      <c r="T173" s="6"/>
      <c r="U173" s="6"/>
      <c r="V173" s="6"/>
      <c r="W173" s="6"/>
      <c r="X173" s="6"/>
    </row>
    <row r="174" spans="1:24" ht="14.5" x14ac:dyDescent="0.35">
      <c r="A174" s="3" t="s">
        <v>921</v>
      </c>
      <c r="B174" s="103"/>
      <c r="C174" s="253"/>
      <c r="D174" s="253">
        <f ca="1">'Climate A'!D174-'Climate B'!D174</f>
        <v>4.3813428541744637E-4</v>
      </c>
      <c r="E174" s="204">
        <f ca="1">'Climate A'!E174-'Climate B'!E174</f>
        <v>2.9034856456152669E-3</v>
      </c>
      <c r="F174" s="204">
        <f ca="1">'Climate A'!F174-'Climate B'!F174</f>
        <v>6.1224057126537668E-3</v>
      </c>
      <c r="G174" s="204">
        <f ca="1">'Climate A'!G174-'Climate B'!G174</f>
        <v>9.7170304616217562E-3</v>
      </c>
      <c r="H174" s="204">
        <f ca="1">'Climate A'!H174-'Climate B'!H174</f>
        <v>1.9478621652064487E-2</v>
      </c>
      <c r="I174" s="204">
        <f ca="1">'Climate A'!I174-'Climate B'!I174</f>
        <v>2.831572212684863E-2</v>
      </c>
      <c r="J174" s="204">
        <f ca="1">'Climate A'!J174-'Climate B'!J174</f>
        <v>4.2184559847008307E-2</v>
      </c>
      <c r="K174" s="204">
        <f ca="1">'Climate A'!K174-'Climate B'!K174</f>
        <v>4.6789331827921332E-2</v>
      </c>
      <c r="L174" s="204">
        <f ca="1">'Climate A'!L174-'Climate B'!L174</f>
        <v>4.8072805909346927E-2</v>
      </c>
      <c r="M174" s="204">
        <f ca="1">'Climate A'!M174-'Climate B'!M174</f>
        <v>4.9837306541938076E-2</v>
      </c>
      <c r="N174" s="3" t="s">
        <v>44</v>
      </c>
      <c r="O174" s="6"/>
      <c r="P174" s="6"/>
      <c r="Q174" s="6"/>
      <c r="R174" s="6"/>
      <c r="S174" s="6"/>
      <c r="T174" s="6"/>
      <c r="U174" s="6"/>
      <c r="V174" s="6"/>
      <c r="W174" s="6"/>
      <c r="X174" s="6"/>
    </row>
    <row r="175" spans="1:24" ht="14.5" x14ac:dyDescent="0.35">
      <c r="A175" s="3" t="s">
        <v>922</v>
      </c>
      <c r="B175" s="103"/>
      <c r="C175" s="253"/>
      <c r="D175" s="253">
        <f ca="1">'Climate A'!D175-'Climate B'!D175</f>
        <v>-1.0558810365879356E-5</v>
      </c>
      <c r="E175" s="204">
        <f ca="1">'Climate A'!E175-'Climate B'!E175</f>
        <v>-7.7787690684394395E-5</v>
      </c>
      <c r="F175" s="204">
        <f ca="1">'Climate A'!F175-'Climate B'!F175</f>
        <v>-1.751137815086401E-4</v>
      </c>
      <c r="G175" s="204">
        <f ca="1">'Climate A'!G175-'Climate B'!G175</f>
        <v>-2.8935634923049625E-4</v>
      </c>
      <c r="H175" s="204">
        <f ca="1">'Climate A'!H175-'Climate B'!H175</f>
        <v>-6.0251105756392587E-4</v>
      </c>
      <c r="I175" s="204">
        <f ca="1">'Climate A'!I175-'Climate B'!I175</f>
        <v>-8.7181997481861062E-4</v>
      </c>
      <c r="J175" s="204">
        <f ca="1">'Climate A'!J175-'Climate B'!J175</f>
        <v>-1.2227169419931627E-3</v>
      </c>
      <c r="K175" s="204">
        <f ca="1">'Climate A'!K175-'Climate B'!K175</f>
        <v>-1.3049730850211438E-3</v>
      </c>
      <c r="L175" s="204">
        <f ca="1">'Climate A'!L175-'Climate B'!L175</f>
        <v>-1.3091460962192936E-3</v>
      </c>
      <c r="M175" s="204">
        <f ca="1">'Climate A'!M175-'Climate B'!M175</f>
        <v>-1.3245710242722475E-3</v>
      </c>
      <c r="N175" s="57" t="s">
        <v>544</v>
      </c>
      <c r="O175" s="6"/>
      <c r="P175" s="6"/>
      <c r="Q175" s="6"/>
      <c r="R175" s="6"/>
      <c r="S175" s="6"/>
      <c r="T175" s="6"/>
      <c r="U175" s="6"/>
      <c r="V175" s="6"/>
      <c r="W175" s="6"/>
      <c r="X175" s="6"/>
    </row>
    <row r="176" spans="1:24" x14ac:dyDescent="0.25">
      <c r="O176" s="6"/>
      <c r="P176" s="6"/>
      <c r="Q176" s="6"/>
      <c r="R176" s="6"/>
      <c r="S176" s="6"/>
      <c r="T176" s="6"/>
      <c r="U176" s="6"/>
      <c r="V176" s="6"/>
      <c r="W176" s="6"/>
      <c r="X176" s="6"/>
    </row>
    <row r="177" spans="1:25" x14ac:dyDescent="0.25">
      <c r="A177" s="57" t="s">
        <v>427</v>
      </c>
      <c r="B177" s="57" t="s">
        <v>170</v>
      </c>
      <c r="C177" s="1" t="str">
        <f t="array" ref="C177:C184">R_CODE</f>
        <v>EU</v>
      </c>
      <c r="D177" s="215">
        <f ca="1">'Climate A'!D177-'Climate B'!D177</f>
        <v>1.5704384180770248E-3</v>
      </c>
      <c r="E177" s="215">
        <f ca="1">'Climate A'!E177-'Climate B'!E177</f>
        <v>1.0551441026566577E-2</v>
      </c>
      <c r="F177" s="215">
        <f ca="1">'Climate A'!F177-'Climate B'!F177</f>
        <v>2.2474350760623096E-2</v>
      </c>
      <c r="G177" s="215">
        <f ca="1">'Climate A'!G177-'Climate B'!G177</f>
        <v>3.5914779635433547E-2</v>
      </c>
      <c r="H177" s="215">
        <f ca="1">'Climate A'!H177-'Climate B'!H177</f>
        <v>7.2495314324431348E-2</v>
      </c>
      <c r="I177" s="215">
        <f ca="1">'Climate A'!I177-'Climate B'!I177</f>
        <v>0.10529378570532444</v>
      </c>
      <c r="J177" s="215">
        <f ca="1">'Climate A'!J177-'Climate B'!J177</f>
        <v>0.15519514846207816</v>
      </c>
      <c r="K177" s="215">
        <f ca="1">'Climate A'!K177-'Climate B'!K177</f>
        <v>0.17106660730824874</v>
      </c>
      <c r="L177" s="215">
        <f ca="1">'Climate A'!L177-'Climate B'!L177</f>
        <v>0.17512024373485824</v>
      </c>
      <c r="M177" s="215">
        <f ca="1">'Climate A'!M177-'Climate B'!M177</f>
        <v>0.18090598015455539</v>
      </c>
      <c r="N177" t="str">
        <f>'Base data'!$L$35</f>
        <v>degC</v>
      </c>
      <c r="O177" s="6"/>
      <c r="P177" s="6"/>
      <c r="Q177" s="6"/>
      <c r="R177" s="6"/>
      <c r="S177" s="6"/>
      <c r="T177" s="6"/>
      <c r="U177" s="6"/>
      <c r="V177" s="6"/>
      <c r="W177" s="6"/>
      <c r="X177" s="6"/>
    </row>
    <row r="178" spans="1:25" x14ac:dyDescent="0.25">
      <c r="A178" s="6"/>
      <c r="B178" s="6"/>
      <c r="C178" s="1" t="str">
        <v>US</v>
      </c>
      <c r="D178" s="215">
        <f ca="1">'Climate A'!D178-'Climate B'!D178</f>
        <v>1.6569980159235609E-3</v>
      </c>
      <c r="E178" s="215">
        <f ca="1">'Climate A'!E178-'Climate B'!E178</f>
        <v>1.1133016516219563E-2</v>
      </c>
      <c r="F178" s="215">
        <f ca="1">'Climate A'!F178-'Climate B'!F178</f>
        <v>2.3713094503334364E-2</v>
      </c>
      <c r="G178" s="215">
        <f ca="1">'Climate A'!G178-'Climate B'!G178</f>
        <v>3.7894334418488551E-2</v>
      </c>
      <c r="H178" s="215">
        <f ca="1">'Climate A'!H178-'Climate B'!H178</f>
        <v>7.6491119050975165E-2</v>
      </c>
      <c r="I178" s="215">
        <f ca="1">'Climate A'!I178-'Climate B'!I178</f>
        <v>0.11109738019301929</v>
      </c>
      <c r="J178" s="215">
        <f ca="1">'Climate A'!J178-'Climate B'!J178</f>
        <v>0.16374921176313739</v>
      </c>
      <c r="K178" s="215">
        <f ca="1">'Climate A'!K178-'Climate B'!K178</f>
        <v>0.18049547542760092</v>
      </c>
      <c r="L178" s="215">
        <f ca="1">'Climate A'!L178-'Climate B'!L178</f>
        <v>0.18477254063362958</v>
      </c>
      <c r="M178" s="215">
        <f ca="1">'Climate A'!M178-'Climate B'!M178</f>
        <v>0.19087717591110565</v>
      </c>
      <c r="N178" t="str">
        <f>'Base data'!$L$35</f>
        <v>degC</v>
      </c>
      <c r="O178" s="6"/>
      <c r="P178" s="6"/>
      <c r="Q178" s="6"/>
      <c r="R178" s="6"/>
      <c r="S178" s="6"/>
      <c r="T178" s="6"/>
      <c r="U178" s="6"/>
      <c r="V178" s="6"/>
      <c r="W178" s="6"/>
      <c r="X178" s="6"/>
      <c r="Y178" s="6"/>
    </row>
    <row r="179" spans="1:25" x14ac:dyDescent="0.25">
      <c r="A179" s="6"/>
      <c r="B179" s="6"/>
      <c r="C179" s="1" t="str">
        <v>OT</v>
      </c>
      <c r="D179" s="215">
        <f ca="1">'Climate A'!D179-'Climate B'!D179</f>
        <v>1.5086101339008007E-3</v>
      </c>
      <c r="E179" s="215">
        <f ca="1">'Climate A'!E179-'Climate B'!E179</f>
        <v>1.0136029962528381E-2</v>
      </c>
      <c r="F179" s="215">
        <f ca="1">'Climate A'!F179-'Climate B'!F179</f>
        <v>2.1589533801543492E-2</v>
      </c>
      <c r="G179" s="215">
        <f ca="1">'Climate A'!G179-'Climate B'!G179</f>
        <v>3.450081193325083E-2</v>
      </c>
      <c r="H179" s="215">
        <f ca="1">'Climate A'!H179-'Climate B'!H179</f>
        <v>6.9641168091186145E-2</v>
      </c>
      <c r="I179" s="215">
        <f ca="1">'Climate A'!I179-'Climate B'!I179</f>
        <v>0.10114836107125624</v>
      </c>
      <c r="J179" s="215">
        <f ca="1">'Climate A'!J179-'Climate B'!J179</f>
        <v>0.14908510324703528</v>
      </c>
      <c r="K179" s="215">
        <f ca="1">'Climate A'!K179-'Climate B'!K179</f>
        <v>0.16433170150871113</v>
      </c>
      <c r="L179" s="215">
        <f ca="1">'Climate A'!L179-'Climate B'!L179</f>
        <v>0.16822574595002093</v>
      </c>
      <c r="M179" s="215">
        <f ca="1">'Climate A'!M179-'Climate B'!M179</f>
        <v>0.17378369747130495</v>
      </c>
      <c r="N179" t="str">
        <f>'Base data'!$L$35</f>
        <v>degC</v>
      </c>
      <c r="O179" s="6"/>
      <c r="P179" s="6"/>
      <c r="Q179" s="6"/>
      <c r="R179" s="6"/>
      <c r="S179" s="6"/>
      <c r="T179" s="6"/>
      <c r="U179" s="6"/>
      <c r="V179" s="6"/>
      <c r="W179" s="6"/>
      <c r="X179" s="6"/>
      <c r="Y179" s="6"/>
    </row>
    <row r="180" spans="1:25" x14ac:dyDescent="0.25">
      <c r="A180" s="6"/>
      <c r="B180" s="6"/>
      <c r="C180" s="1" t="str">
        <v>EE</v>
      </c>
      <c r="D180" s="215">
        <f ca="1">'Climate A'!D180-'Climate B'!D180</f>
        <v>2.0403333778165056E-3</v>
      </c>
      <c r="E180" s="215">
        <f ca="1">'Climate A'!E180-'Climate B'!E180</f>
        <v>1.3708565113255577E-2</v>
      </c>
      <c r="F180" s="215">
        <f ca="1">'Climate A'!F180-'Climate B'!F180</f>
        <v>2.9198959649628264E-2</v>
      </c>
      <c r="G180" s="215">
        <f ca="1">'Climate A'!G180-'Climate B'!G180</f>
        <v>4.6660934172019441E-2</v>
      </c>
      <c r="H180" s="215">
        <f ca="1">'Climate A'!H180-'Climate B'!H180</f>
        <v>9.4186825697096133E-2</v>
      </c>
      <c r="I180" s="215">
        <f ca="1">'Climate A'!I180-'Climate B'!I180</f>
        <v>0.13679901292424024</v>
      </c>
      <c r="J180" s="215">
        <f ca="1">'Climate A'!J180-'Climate B'!J180</f>
        <v>0.20163149209640041</v>
      </c>
      <c r="K180" s="215">
        <f ca="1">'Climate A'!K180-'Climate B'!K180</f>
        <v>0.22225189138473267</v>
      </c>
      <c r="L180" s="215">
        <f ca="1">'Climate A'!L180-'Climate B'!L180</f>
        <v>0.22751842689961865</v>
      </c>
      <c r="M180" s="215">
        <f ca="1">'Climate A'!M180-'Climate B'!M180</f>
        <v>0.23503532854725684</v>
      </c>
      <c r="N180" t="str">
        <f>'Base data'!$L$35</f>
        <v>degC</v>
      </c>
      <c r="O180" s="6"/>
      <c r="P180" s="6"/>
      <c r="Q180" s="6"/>
      <c r="R180" s="6"/>
      <c r="S180" s="6"/>
      <c r="T180" s="6"/>
      <c r="U180" s="6"/>
      <c r="V180" s="6"/>
      <c r="W180" s="6"/>
      <c r="X180" s="6"/>
      <c r="Y180" s="6"/>
    </row>
    <row r="181" spans="1:25" x14ac:dyDescent="0.25">
      <c r="A181" s="6"/>
      <c r="B181" s="6"/>
      <c r="C181" s="1" t="str">
        <v>CA</v>
      </c>
      <c r="D181" s="215">
        <f ca="1">'Climate A'!D181-'Climate B'!D181</f>
        <v>1.4467818497243545E-3</v>
      </c>
      <c r="E181" s="215">
        <f ca="1">'Climate A'!E181-'Climate B'!E181</f>
        <v>9.7206188984904074E-3</v>
      </c>
      <c r="F181" s="215">
        <f ca="1">'Climate A'!F181-'Climate B'!F181</f>
        <v>2.0704716842463888E-2</v>
      </c>
      <c r="G181" s="215">
        <f ca="1">'Climate A'!G181-'Climate B'!G181</f>
        <v>3.3086844231068557E-2</v>
      </c>
      <c r="H181" s="215">
        <f ca="1">'Climate A'!H181-'Climate B'!H181</f>
        <v>6.6787021857940942E-2</v>
      </c>
      <c r="I181" s="215">
        <f ca="1">'Climate A'!I181-'Climate B'!I181</f>
        <v>9.7002936437188492E-2</v>
      </c>
      <c r="J181" s="215">
        <f ca="1">'Climate A'!J181-'Climate B'!J181</f>
        <v>0.14297505803199284</v>
      </c>
      <c r="K181" s="215">
        <f ca="1">'Climate A'!K181-'Climate B'!K181</f>
        <v>0.15759679570917373</v>
      </c>
      <c r="L181" s="215">
        <f ca="1">'Climate A'!L181-'Climate B'!L181</f>
        <v>0.16133124816518407</v>
      </c>
      <c r="M181" s="215">
        <f ca="1">'Climate A'!M181-'Climate B'!M181</f>
        <v>0.16666141478805474</v>
      </c>
      <c r="N181" t="str">
        <f>'Base data'!$L$35</f>
        <v>degC</v>
      </c>
      <c r="O181" s="6"/>
      <c r="P181" s="6"/>
      <c r="Q181" s="6"/>
      <c r="R181" s="6"/>
      <c r="S181" s="6"/>
      <c r="T181" s="6"/>
      <c r="U181" s="6"/>
      <c r="V181" s="6"/>
      <c r="W181" s="6"/>
      <c r="X181" s="6"/>
      <c r="Y181" s="6"/>
    </row>
    <row r="182" spans="1:25" x14ac:dyDescent="0.25">
      <c r="A182" s="6"/>
      <c r="B182" s="6"/>
      <c r="C182" s="1" t="str">
        <v>IA</v>
      </c>
      <c r="D182" s="215">
        <f ca="1">'Climate A'!D182-'Climate B'!D182</f>
        <v>1.2489313403605262E-3</v>
      </c>
      <c r="E182" s="215">
        <f ca="1">'Climate A'!E182-'Climate B'!E182</f>
        <v>8.391303493568758E-3</v>
      </c>
      <c r="F182" s="215">
        <f ca="1">'Climate A'!F182-'Climate B'!F182</f>
        <v>1.78733025734088E-2</v>
      </c>
      <c r="G182" s="215">
        <f ca="1">'Climate A'!G182-'Climate B'!G182</f>
        <v>2.8562147584084929E-2</v>
      </c>
      <c r="H182" s="215">
        <f ca="1">'Climate A'!H182-'Climate B'!H182</f>
        <v>5.7653753911555583E-2</v>
      </c>
      <c r="I182" s="215">
        <f ca="1">'Climate A'!I182-'Climate B'!I182</f>
        <v>8.3737577608171243E-2</v>
      </c>
      <c r="J182" s="215">
        <f ca="1">'Climate A'!J182-'Climate B'!J182</f>
        <v>0.12342291334385735</v>
      </c>
      <c r="K182" s="215">
        <f ca="1">'Climate A'!K182-'Climate B'!K182</f>
        <v>0.13604509715065438</v>
      </c>
      <c r="L182" s="215">
        <f ca="1">'Climate A'!L182-'Climate B'!L182</f>
        <v>0.13926885525370603</v>
      </c>
      <c r="M182" s="215">
        <f ca="1">'Climate A'!M182-'Climate B'!M182</f>
        <v>0.14387011020165419</v>
      </c>
      <c r="N182" t="str">
        <f>'Base data'!$L$35</f>
        <v>degC</v>
      </c>
      <c r="O182" s="6"/>
      <c r="P182" s="6"/>
      <c r="Q182" s="6"/>
      <c r="R182" s="6"/>
      <c r="S182" s="6"/>
      <c r="T182" s="6"/>
      <c r="U182" s="6"/>
      <c r="V182" s="6"/>
      <c r="W182" s="6"/>
      <c r="X182" s="6"/>
      <c r="Y182" s="6"/>
    </row>
    <row r="183" spans="1:25" x14ac:dyDescent="0.25">
      <c r="A183" s="6"/>
      <c r="B183" s="6"/>
      <c r="C183" s="1" t="str">
        <v>AF</v>
      </c>
      <c r="D183" s="215">
        <f ca="1">'Climate A'!D183-'Climate B'!D183</f>
        <v>1.4962444770654226E-3</v>
      </c>
      <c r="E183" s="215">
        <f ca="1">'Climate A'!E183-'Climate B'!E183</f>
        <v>1.0052947749720875E-2</v>
      </c>
      <c r="F183" s="215">
        <f ca="1">'Climate A'!F183-'Climate B'!F183</f>
        <v>2.141257040972766E-2</v>
      </c>
      <c r="G183" s="215">
        <f ca="1">'Climate A'!G183-'Climate B'!G183</f>
        <v>3.4218018392814464E-2</v>
      </c>
      <c r="H183" s="215">
        <f ca="1">'Climate A'!H183-'Climate B'!H183</f>
        <v>6.9070338844537282E-2</v>
      </c>
      <c r="I183" s="215">
        <f ca="1">'Climate A'!I183-'Climate B'!I183</f>
        <v>0.10031927614444269</v>
      </c>
      <c r="J183" s="215">
        <f ca="1">'Climate A'!J183-'Climate B'!J183</f>
        <v>0.14786309420402688</v>
      </c>
      <c r="K183" s="215">
        <f ca="1">'Climate A'!K183-'Climate B'!K183</f>
        <v>0.16298472034880396</v>
      </c>
      <c r="L183" s="215">
        <f ca="1">'Climate A'!L183-'Climate B'!L183</f>
        <v>0.16684684639305347</v>
      </c>
      <c r="M183" s="215">
        <f ca="1">'Climate A'!M183-'Climate B'!M183</f>
        <v>0.17235924093465504</v>
      </c>
      <c r="N183" t="str">
        <f>'Base data'!$L$35</f>
        <v>degC</v>
      </c>
      <c r="O183" s="6"/>
      <c r="P183" s="6"/>
      <c r="Q183" s="6"/>
      <c r="R183" s="6"/>
      <c r="S183" s="6"/>
      <c r="T183" s="6"/>
      <c r="U183" s="6"/>
      <c r="V183" s="6"/>
      <c r="W183" s="6"/>
      <c r="X183" s="6"/>
      <c r="Y183" s="6"/>
    </row>
    <row r="184" spans="1:25" x14ac:dyDescent="0.25">
      <c r="A184" s="6"/>
      <c r="B184" s="6"/>
      <c r="C184" s="1" t="str">
        <v>LA</v>
      </c>
      <c r="D184" s="215">
        <f ca="1">'Climate A'!D184-'Climate B'!D184</f>
        <v>1.2860283108662163E-3</v>
      </c>
      <c r="E184" s="215">
        <f ca="1">'Climate A'!E184-'Climate B'!E184</f>
        <v>8.6405501319914979E-3</v>
      </c>
      <c r="F184" s="215">
        <f ca="1">'Climate A'!F184-'Climate B'!F184</f>
        <v>1.840419274885674E-2</v>
      </c>
      <c r="G184" s="215">
        <f ca="1">'Climate A'!G184-'Climate B'!G184</f>
        <v>2.9410528205394471E-2</v>
      </c>
      <c r="H184" s="215">
        <f ca="1">'Climate A'!H184-'Climate B'!H184</f>
        <v>5.9366241651502616E-2</v>
      </c>
      <c r="I184" s="215">
        <f ca="1">'Climate A'!I184-'Climate B'!I184</f>
        <v>8.6224832388612338E-2</v>
      </c>
      <c r="J184" s="215">
        <f ca="1">'Climate A'!J184-'Climate B'!J184</f>
        <v>0.12708894047288255</v>
      </c>
      <c r="K184" s="215">
        <f ca="1">'Climate A'!K184-'Climate B'!K184</f>
        <v>0.140086040630377</v>
      </c>
      <c r="L184" s="215">
        <f ca="1">'Climate A'!L184-'Climate B'!L184</f>
        <v>0.14340555392460819</v>
      </c>
      <c r="M184" s="215">
        <f ca="1">'Climate A'!M184-'Climate B'!M184</f>
        <v>0.14814347981160414</v>
      </c>
      <c r="N184" t="str">
        <f>'Base data'!$L$35</f>
        <v>degC</v>
      </c>
      <c r="O184" s="6"/>
      <c r="P184" s="6"/>
      <c r="Q184" s="6"/>
      <c r="R184" s="6"/>
      <c r="S184" s="6"/>
      <c r="T184" s="6"/>
      <c r="U184" s="6"/>
      <c r="V184" s="6"/>
      <c r="W184" s="6"/>
      <c r="X184" s="6"/>
      <c r="Y184" s="6"/>
    </row>
    <row r="185" spans="1:25" x14ac:dyDescent="0.25">
      <c r="A185" s="57" t="s">
        <v>171</v>
      </c>
      <c r="B185" s="57" t="s">
        <v>180</v>
      </c>
      <c r="C185" s="258">
        <f ca="1">'Climate A'!C185-'Climate B'!C185</f>
        <v>0</v>
      </c>
      <c r="D185" s="258">
        <f ca="1">'Climate A'!D185-'Climate B'!D185</f>
        <v>1.5270048739353115E-3</v>
      </c>
      <c r="E185" s="258">
        <f ca="1">'Climate A'!E185-'Climate B'!E185</f>
        <v>1.0259620300385963E-2</v>
      </c>
      <c r="F185" s="258">
        <f ca="1">'Climate A'!F185-'Climate B'!F185</f>
        <v>2.1852778660387262E-2</v>
      </c>
      <c r="G185" s="258">
        <f ca="1">'Climate A'!G185-'Climate B'!G185</f>
        <v>3.492148620305402E-2</v>
      </c>
      <c r="H185" s="258">
        <f ca="1">'Climate A'!H185-'Climate B'!H185</f>
        <v>7.0490314702335244E-2</v>
      </c>
      <c r="I185" s="258">
        <f ca="1">'Climate A'!I185-'Climate B'!I185</f>
        <v>0.1023816802469848</v>
      </c>
      <c r="J185" s="258">
        <f ca="1">'Climate A'!J185-'Climate B'!J185</f>
        <v>0.15090292327597821</v>
      </c>
      <c r="K185" s="258">
        <f ca="1">'Climate A'!K185-'Climate B'!K185</f>
        <v>0.16633542590428463</v>
      </c>
      <c r="L185" s="258">
        <f ca="1">'Climate A'!L185-'Climate B'!L185</f>
        <v>0.17027695109199281</v>
      </c>
      <c r="M185" s="258">
        <f ca="1">'Climate A'!M185-'Climate B'!M185</f>
        <v>0.17590267166179463</v>
      </c>
      <c r="N185" t="str">
        <f>'Base data'!$L$35</f>
        <v>degC</v>
      </c>
      <c r="O185" s="6"/>
      <c r="P185" s="6"/>
      <c r="Q185" s="6"/>
      <c r="R185" s="6"/>
      <c r="S185" s="6"/>
      <c r="T185" s="6"/>
      <c r="U185" s="6"/>
      <c r="V185" s="6"/>
      <c r="W185" s="6"/>
      <c r="X185" s="6"/>
      <c r="Y185" s="6"/>
    </row>
    <row r="186" spans="1:25" s="6" customFormat="1" x14ac:dyDescent="0.25">
      <c r="N186"/>
    </row>
    <row r="187" spans="1:25" s="6" customFormat="1" x14ac:dyDescent="0.25">
      <c r="A187" s="57" t="s">
        <v>444</v>
      </c>
      <c r="B187" s="57" t="s">
        <v>443</v>
      </c>
      <c r="C187" s="215">
        <f ca="1">'Climate A'!C187-'Climate B'!C187</f>
        <v>0</v>
      </c>
      <c r="D187" s="215">
        <f ca="1">'Climate A'!D187-'Climate B'!D187</f>
        <v>1.123746696799599E-3</v>
      </c>
      <c r="E187" s="215">
        <f ca="1">'Climate A'!E187-'Climate B'!E187</f>
        <v>7.55021455384286E-3</v>
      </c>
      <c r="F187" s="215">
        <f ca="1">'Climate A'!F187-'Climate B'!F187</f>
        <v>1.6081800559164083E-2</v>
      </c>
      <c r="G187" s="215">
        <f ca="1">'Climate A'!G187-'Climate B'!G187</f>
        <v>2.5699266215748695E-2</v>
      </c>
      <c r="H187" s="215">
        <f ca="1">'Climate A'!H187-'Climate B'!H187</f>
        <v>5.1874921721080547E-2</v>
      </c>
      <c r="I187" s="215">
        <f ca="1">'Climate A'!I187-'Climate B'!I187</f>
        <v>7.5344274896662178E-2</v>
      </c>
      <c r="J187" s="215">
        <f ca="1">'Climate A'!J187-'Climate B'!J187</f>
        <v>0.11105181421702603</v>
      </c>
      <c r="K187" s="215">
        <f ca="1">'Climate A'!K187-'Climate B'!K187</f>
        <v>0.12240883353499088</v>
      </c>
      <c r="L187" s="215">
        <f ca="1">'Climate A'!L187-'Climate B'!L187</f>
        <v>0.125309463379494</v>
      </c>
      <c r="M187" s="215">
        <f ca="1">'Climate A'!M187-'Climate B'!M187</f>
        <v>0.12944951886676925</v>
      </c>
      <c r="N187" s="3" t="s">
        <v>43</v>
      </c>
    </row>
    <row r="188" spans="1:25" s="6" customFormat="1" x14ac:dyDescent="0.25">
      <c r="A188" s="57"/>
      <c r="B188" s="57"/>
      <c r="N188" s="3"/>
    </row>
    <row r="189" spans="1:25" s="6" customFormat="1" x14ac:dyDescent="0.25">
      <c r="A189" s="57" t="s">
        <v>186</v>
      </c>
      <c r="B189" s="57" t="s">
        <v>187</v>
      </c>
      <c r="C189" s="26">
        <f ca="1">'Climate A'!C189-'Climate B'!C189</f>
        <v>0</v>
      </c>
      <c r="D189" s="26">
        <f ca="1">'Climate A'!D189-'Climate B'!D189</f>
        <v>2.1433805181101384E-3</v>
      </c>
      <c r="E189" s="26">
        <f ca="1">'Climate A'!E189-'Climate B'!E189</f>
        <v>1.4400916886652571E-2</v>
      </c>
      <c r="F189" s="26">
        <f ca="1">'Climate A'!F189-'Climate B'!F189</f>
        <v>3.0673654581427456E-2</v>
      </c>
      <c r="G189" s="26">
        <f ca="1">'Climate A'!G189-'Climate B'!G189</f>
        <v>4.901754700899108E-2</v>
      </c>
      <c r="H189" s="26">
        <f ca="1">'Climate A'!H189-'Climate B'!H189</f>
        <v>9.8943736085837841E-2</v>
      </c>
      <c r="I189" s="26">
        <f ca="1">'Climate A'!I189-'Climate B'!I189</f>
        <v>0.14370805398101894</v>
      </c>
      <c r="J189" s="26">
        <f ca="1">'Climate A'!J189-'Climate B'!J189</f>
        <v>0.21181490078813781</v>
      </c>
      <c r="K189" s="26">
        <f ca="1">'Climate A'!K189-'Climate B'!K189</f>
        <v>0.2334767343839621</v>
      </c>
      <c r="L189" s="26">
        <f ca="1">'Climate A'!L189-'Climate B'!L189</f>
        <v>0.23900925654101357</v>
      </c>
      <c r="M189" s="26">
        <f ca="1">'Climate A'!M189-'Climate B'!M189</f>
        <v>0.24690579968600668</v>
      </c>
      <c r="N189" s="3" t="s">
        <v>182</v>
      </c>
    </row>
    <row r="190" spans="1:25" s="6" customFormat="1" x14ac:dyDescent="0.25">
      <c r="A190" s="57" t="s">
        <v>188</v>
      </c>
      <c r="B190" s="57" t="s">
        <v>189</v>
      </c>
      <c r="C190" s="6">
        <f>'Climate A'!C190-'Climate B'!C190</f>
        <v>0</v>
      </c>
      <c r="D190" s="26">
        <f ca="1">'Climate A'!D190-'Climate B'!D190</f>
        <v>0</v>
      </c>
      <c r="E190" s="26">
        <f ca="1">'Climate A'!E190-'Climate B'!E190</f>
        <v>0</v>
      </c>
      <c r="F190" s="26">
        <f ca="1">'Climate A'!F190-'Climate B'!F190</f>
        <v>0</v>
      </c>
      <c r="G190" s="26">
        <f ca="1">'Climate A'!G190-'Climate B'!G190</f>
        <v>0</v>
      </c>
      <c r="H190" s="26">
        <f ca="1">'Climate A'!H190-'Climate B'!H190</f>
        <v>0</v>
      </c>
      <c r="I190" s="26">
        <f ca="1">'Climate A'!I190-'Climate B'!I190</f>
        <v>0</v>
      </c>
      <c r="J190" s="26">
        <f ca="1">'Climate A'!J190-'Climate B'!J190</f>
        <v>0</v>
      </c>
      <c r="K190" s="26">
        <f ca="1">'Climate A'!K190-'Climate B'!K190</f>
        <v>0</v>
      </c>
      <c r="L190" s="26">
        <f ca="1">'Climate A'!L190-'Climate B'!L190</f>
        <v>0</v>
      </c>
      <c r="M190" s="26">
        <f ca="1">'Climate A'!M190-'Climate B'!M190</f>
        <v>0</v>
      </c>
      <c r="N190"/>
    </row>
    <row r="191" spans="1:25" s="6" customFormat="1" ht="13" thickBot="1" x14ac:dyDescent="0.3">
      <c r="A191" s="57" t="s">
        <v>190</v>
      </c>
      <c r="B191" s="57" t="s">
        <v>191</v>
      </c>
      <c r="C191" s="35">
        <f ca="1">'Climate A'!C191-'Climate B'!C191</f>
        <v>0</v>
      </c>
      <c r="D191" s="35">
        <f ca="1">'Climate A'!D191-'Climate B'!D191</f>
        <v>2.7584951630521548E-5</v>
      </c>
      <c r="E191" s="35">
        <f ca="1">'Climate A'!E191-'Climate B'!E191</f>
        <v>3.9516905312797501E-4</v>
      </c>
      <c r="F191" s="35">
        <f ca="1">'Climate A'!F191-'Climate B'!F191</f>
        <v>1.1695121176267809E-3</v>
      </c>
      <c r="G191" s="35">
        <f ca="1">'Climate A'!G191-'Climate B'!G191</f>
        <v>2.3931794616686153E-3</v>
      </c>
      <c r="H191" s="35">
        <f ca="1">'Climate A'!H191-'Climate B'!H191</f>
        <v>8.4482533789880243E-3</v>
      </c>
      <c r="I191" s="35">
        <f ca="1">'Climate A'!I191-'Climate B'!I191</f>
        <v>1.6930939748940776E-2</v>
      </c>
      <c r="J191" s="35">
        <f ca="1">'Climate A'!J191-'Climate B'!J191</f>
        <v>4.0608366407915097E-2</v>
      </c>
      <c r="K191" s="35">
        <f ca="1">'Climate A'!K191-'Climate B'!K191</f>
        <v>6.4040908589620971E-2</v>
      </c>
      <c r="L191" s="35">
        <f ca="1">'Climate A'!L191-'Climate B'!L191</f>
        <v>8.5298687855651867E-2</v>
      </c>
      <c r="M191" s="35">
        <f ca="1">'Climate A'!M191-'Climate B'!M191</f>
        <v>0.10493314375201068</v>
      </c>
      <c r="N191" s="3" t="s">
        <v>182</v>
      </c>
    </row>
    <row r="192" spans="1:25" s="6" customFormat="1" ht="13" thickTop="1" x14ac:dyDescent="0.25">
      <c r="A192" s="57"/>
      <c r="B192" s="57"/>
      <c r="D192"/>
      <c r="E192"/>
      <c r="F192"/>
      <c r="G192"/>
      <c r="H192"/>
      <c r="I192"/>
      <c r="J192"/>
      <c r="K192"/>
      <c r="L192"/>
      <c r="M192"/>
      <c r="N192"/>
      <c r="O192"/>
      <c r="P192"/>
      <c r="Q192"/>
      <c r="R192"/>
      <c r="S192"/>
      <c r="T192"/>
      <c r="U192"/>
      <c r="V192"/>
      <c r="W192"/>
      <c r="X192"/>
    </row>
    <row r="193" spans="1:24" s="6" customFormat="1" x14ac:dyDescent="0.25">
      <c r="A193" s="57"/>
      <c r="B193" s="57"/>
      <c r="D193"/>
      <c r="E193"/>
      <c r="F193"/>
      <c r="G193"/>
      <c r="H193"/>
      <c r="I193"/>
      <c r="J193"/>
      <c r="K193"/>
      <c r="L193"/>
      <c r="M193"/>
      <c r="N193"/>
      <c r="O193"/>
      <c r="P193"/>
      <c r="Q193"/>
      <c r="R193"/>
      <c r="S193"/>
      <c r="T193"/>
      <c r="U193"/>
      <c r="V193"/>
      <c r="W193"/>
      <c r="X193"/>
    </row>
    <row r="194" spans="1:24" s="6" customFormat="1" x14ac:dyDescent="0.25">
      <c r="A194" s="57"/>
      <c r="B194" s="57"/>
      <c r="N194"/>
      <c r="O194"/>
      <c r="P194"/>
      <c r="Q194"/>
      <c r="R194"/>
      <c r="S194"/>
      <c r="T194"/>
      <c r="U194"/>
      <c r="V194"/>
      <c r="W194"/>
      <c r="X194"/>
    </row>
    <row r="195" spans="1:24" s="6" customFormat="1" ht="13" x14ac:dyDescent="0.3">
      <c r="A195" s="2" t="s">
        <v>933</v>
      </c>
      <c r="B195" s="57"/>
      <c r="D195" s="202">
        <f ca="1">'Climate A-B'!D$172/'Climate B'!D$172</f>
        <v>1.1261939890426084E-3</v>
      </c>
      <c r="E195" s="202">
        <f ca="1">'Climate A-B'!E$172/'Climate B'!E$172</f>
        <v>5.4833897273741704E-3</v>
      </c>
      <c r="F195" s="202">
        <f ca="1">'Climate A-B'!F$172/'Climate B'!F$172</f>
        <v>9.9278935794964891E-3</v>
      </c>
      <c r="G195" s="202">
        <f ca="1">'Climate A-B'!G$172/'Climate B'!G$172</f>
        <v>1.4509238818886768E-2</v>
      </c>
      <c r="H195" s="202">
        <f ca="1">'Climate A-B'!H$172/'Climate B'!H$172</f>
        <v>2.718814996843957E-2</v>
      </c>
      <c r="I195" s="202">
        <f ca="1">'Climate A-B'!I$172/'Climate B'!I$172</f>
        <v>4.0121476789209298E-2</v>
      </c>
      <c r="J195" s="202">
        <f ca="1">'Climate A-B'!J$172/'Climate B'!J$172</f>
        <v>6.8400110364064015E-2</v>
      </c>
      <c r="K195" s="202">
        <f ca="1">'Climate A-B'!K$172/'Climate B'!K$172</f>
        <v>8.3243929515592105E-2</v>
      </c>
      <c r="L195" s="202">
        <f ca="1">'Climate A-B'!L$172/'Climate B'!L$172</f>
        <v>9.0868713165322065E-2</v>
      </c>
      <c r="M195" s="202">
        <f ca="1">'Climate A-B'!M$172/'Climate B'!M$172</f>
        <v>0.10063721427454314</v>
      </c>
      <c r="N195"/>
      <c r="O195" s="158"/>
      <c r="P195" s="158"/>
      <c r="Q195" s="158"/>
      <c r="R195" s="158"/>
      <c r="S195" s="158"/>
      <c r="T195" s="158"/>
      <c r="U195" s="158"/>
      <c r="V195" s="158"/>
      <c r="W195" s="158"/>
      <c r="X195" s="158"/>
    </row>
    <row r="196" spans="1:24" s="6" customFormat="1" x14ac:dyDescent="0.25">
      <c r="A196" s="57"/>
      <c r="B196"/>
      <c r="C196"/>
      <c r="E196"/>
      <c r="F196"/>
      <c r="G196"/>
      <c r="H196"/>
      <c r="I196"/>
      <c r="J196"/>
      <c r="K196"/>
      <c r="L196"/>
      <c r="M196"/>
      <c r="N196"/>
      <c r="O196"/>
      <c r="P196"/>
      <c r="Q196"/>
      <c r="R196"/>
      <c r="S196"/>
      <c r="T196"/>
      <c r="U196"/>
      <c r="V196"/>
      <c r="W196"/>
      <c r="X196"/>
    </row>
    <row r="197" spans="1:24" s="6" customFormat="1" x14ac:dyDescent="0.25">
      <c r="A197" s="57"/>
      <c r="B197"/>
      <c r="C197"/>
      <c r="E197"/>
      <c r="F197"/>
      <c r="G197"/>
      <c r="H197"/>
      <c r="I197"/>
      <c r="J197"/>
      <c r="K197"/>
      <c r="L197"/>
      <c r="M197"/>
      <c r="N197"/>
      <c r="O197"/>
      <c r="P197"/>
      <c r="Q197"/>
      <c r="R197"/>
      <c r="S197"/>
      <c r="T197"/>
      <c r="U197"/>
      <c r="V197"/>
      <c r="W197"/>
      <c r="X197"/>
    </row>
    <row r="198" spans="1:24" s="6" customFormat="1" ht="13" x14ac:dyDescent="0.3">
      <c r="A198" s="2" t="s">
        <v>904</v>
      </c>
      <c r="B198"/>
      <c r="C198"/>
      <c r="E198"/>
      <c r="F198"/>
      <c r="G198"/>
      <c r="H198"/>
      <c r="I198"/>
      <c r="J198"/>
      <c r="K198"/>
      <c r="L198"/>
      <c r="M198"/>
      <c r="N198"/>
      <c r="O198"/>
      <c r="P198"/>
      <c r="Q198"/>
      <c r="R198"/>
      <c r="S198"/>
      <c r="T198"/>
      <c r="U198"/>
      <c r="V198"/>
      <c r="W198"/>
      <c r="X198"/>
    </row>
    <row r="199" spans="1:24" s="6" customFormat="1" x14ac:dyDescent="0.25">
      <c r="A199" s="3" t="s">
        <v>934</v>
      </c>
      <c r="B199"/>
      <c r="C199"/>
      <c r="D199"/>
      <c r="E199"/>
      <c r="F199"/>
      <c r="G199"/>
      <c r="H199"/>
      <c r="I199"/>
      <c r="J199"/>
      <c r="K199"/>
      <c r="L199"/>
      <c r="M199"/>
      <c r="N199"/>
      <c r="O199"/>
      <c r="P199"/>
      <c r="Q199"/>
      <c r="R199"/>
      <c r="S199"/>
      <c r="T199"/>
      <c r="U199"/>
      <c r="V199"/>
      <c r="W199"/>
      <c r="X199"/>
    </row>
    <row r="200" spans="1:24" s="6" customFormat="1" x14ac:dyDescent="0.25">
      <c r="A200" s="3" t="s">
        <v>935</v>
      </c>
      <c r="B200"/>
      <c r="C200"/>
      <c r="D200"/>
      <c r="E200"/>
      <c r="F200"/>
      <c r="G200"/>
      <c r="H200"/>
      <c r="I200"/>
      <c r="J200"/>
      <c r="K200"/>
      <c r="L200"/>
      <c r="M200"/>
      <c r="N200"/>
      <c r="O200"/>
      <c r="P200"/>
      <c r="Q200"/>
      <c r="R200"/>
      <c r="S200"/>
      <c r="T200"/>
      <c r="U200"/>
      <c r="V200"/>
      <c r="W200"/>
      <c r="X200"/>
    </row>
    <row r="201" spans="1:24" s="6" customFormat="1" x14ac:dyDescent="0.25">
      <c r="A201" s="3" t="s">
        <v>562</v>
      </c>
      <c r="B201"/>
      <c r="C201"/>
      <c r="D201"/>
      <c r="E201"/>
      <c r="F201"/>
      <c r="G201"/>
      <c r="H201"/>
      <c r="I201"/>
      <c r="J201"/>
      <c r="K201"/>
      <c r="L201"/>
      <c r="M201"/>
      <c r="N201" s="3" t="s">
        <v>44</v>
      </c>
      <c r="O201"/>
      <c r="P201"/>
      <c r="Q201"/>
      <c r="R201"/>
      <c r="S201"/>
      <c r="T201"/>
      <c r="U201"/>
      <c r="V201"/>
      <c r="W201"/>
      <c r="X201"/>
    </row>
    <row r="202" spans="1:24" s="6" customFormat="1" x14ac:dyDescent="0.25">
      <c r="A202" s="3" t="s">
        <v>556</v>
      </c>
      <c r="B202"/>
      <c r="C202"/>
      <c r="D202"/>
      <c r="E202"/>
      <c r="F202"/>
      <c r="G202"/>
      <c r="H202"/>
      <c r="I202"/>
      <c r="J202"/>
      <c r="K202"/>
      <c r="L202"/>
      <c r="M202"/>
      <c r="N202" s="3" t="s">
        <v>44</v>
      </c>
      <c r="O202"/>
      <c r="P202"/>
      <c r="Q202"/>
      <c r="R202"/>
      <c r="S202"/>
      <c r="T202"/>
      <c r="U202"/>
      <c r="V202"/>
      <c r="W202"/>
      <c r="X202"/>
    </row>
    <row r="203" spans="1:24" s="6" customFormat="1" x14ac:dyDescent="0.25">
      <c r="A203" s="3"/>
      <c r="B203"/>
      <c r="C203"/>
      <c r="D203"/>
      <c r="E203"/>
      <c r="F203"/>
      <c r="G203"/>
      <c r="H203"/>
      <c r="I203"/>
      <c r="J203"/>
      <c r="K203"/>
      <c r="L203"/>
      <c r="M203"/>
      <c r="N203" s="3" t="s">
        <v>44</v>
      </c>
      <c r="O203"/>
      <c r="P203"/>
      <c r="Q203"/>
      <c r="R203"/>
      <c r="S203"/>
      <c r="T203"/>
      <c r="U203"/>
      <c r="V203"/>
      <c r="W203"/>
      <c r="X203"/>
    </row>
    <row r="204" spans="1:24" s="6" customFormat="1" x14ac:dyDescent="0.25">
      <c r="A204" s="3"/>
      <c r="B204"/>
      <c r="C204"/>
      <c r="D204"/>
      <c r="E204"/>
      <c r="F204"/>
      <c r="G204"/>
      <c r="H204"/>
      <c r="I204"/>
      <c r="J204"/>
      <c r="K204"/>
      <c r="L204"/>
      <c r="M204"/>
      <c r="N204"/>
      <c r="O204"/>
      <c r="P204"/>
      <c r="Q204"/>
      <c r="R204"/>
      <c r="S204"/>
      <c r="T204"/>
      <c r="U204"/>
      <c r="V204"/>
      <c r="W204"/>
      <c r="X204"/>
    </row>
    <row r="205" spans="1:24" s="6" customFormat="1" ht="13" x14ac:dyDescent="0.3">
      <c r="A205" s="2" t="s">
        <v>786</v>
      </c>
      <c r="B205"/>
      <c r="C205"/>
      <c r="D205"/>
      <c r="E205"/>
      <c r="F205"/>
      <c r="G205"/>
      <c r="H205"/>
      <c r="I205"/>
      <c r="J205"/>
      <c r="K205"/>
      <c r="L205"/>
      <c r="M205"/>
      <c r="N205"/>
      <c r="O205"/>
      <c r="P205"/>
      <c r="Q205"/>
      <c r="R205"/>
      <c r="S205"/>
      <c r="T205"/>
      <c r="U205"/>
      <c r="V205"/>
      <c r="W205"/>
      <c r="X205"/>
    </row>
    <row r="206" spans="1:24" s="6" customFormat="1" x14ac:dyDescent="0.25">
      <c r="A206" s="3" t="s">
        <v>557</v>
      </c>
      <c r="B206"/>
      <c r="C206"/>
      <c r="D206"/>
      <c r="E206"/>
      <c r="F206"/>
      <c r="G206"/>
      <c r="H206"/>
      <c r="I206"/>
      <c r="J206"/>
      <c r="K206"/>
      <c r="L206"/>
      <c r="M206"/>
      <c r="N206"/>
      <c r="O206"/>
      <c r="P206"/>
      <c r="Q206"/>
      <c r="R206"/>
      <c r="S206"/>
      <c r="T206"/>
      <c r="U206"/>
      <c r="V206"/>
      <c r="W206"/>
      <c r="X206"/>
    </row>
    <row r="207" spans="1:24" s="6" customFormat="1" x14ac:dyDescent="0.25">
      <c r="A207" s="3"/>
      <c r="B207"/>
      <c r="C207"/>
      <c r="D207"/>
      <c r="E207"/>
      <c r="F207"/>
      <c r="G207"/>
      <c r="H207"/>
      <c r="I207"/>
      <c r="J207"/>
      <c r="K207"/>
      <c r="L207"/>
      <c r="M207"/>
      <c r="N207"/>
      <c r="O207"/>
      <c r="P207"/>
      <c r="Q207"/>
      <c r="R207"/>
      <c r="S207"/>
      <c r="T207"/>
      <c r="U207"/>
      <c r="V207"/>
      <c r="W207"/>
      <c r="X207"/>
    </row>
    <row r="208" spans="1:24" s="6" customFormat="1" x14ac:dyDescent="0.25">
      <c r="A208"/>
      <c r="B208"/>
      <c r="C208"/>
      <c r="D208"/>
      <c r="E208"/>
      <c r="F208"/>
      <c r="G208"/>
      <c r="H208"/>
      <c r="I208"/>
      <c r="J208"/>
      <c r="K208"/>
      <c r="L208"/>
      <c r="M208"/>
      <c r="N208"/>
      <c r="O208"/>
      <c r="P208"/>
      <c r="Q208"/>
      <c r="R208"/>
      <c r="S208"/>
      <c r="T208"/>
      <c r="U208"/>
      <c r="V208"/>
      <c r="W208"/>
      <c r="X208"/>
    </row>
    <row r="209" spans="1:26" s="6" customFormat="1" ht="13" x14ac:dyDescent="0.3">
      <c r="A209" s="2" t="s">
        <v>779</v>
      </c>
      <c r="B209"/>
      <c r="C209"/>
      <c r="D209"/>
      <c r="E209"/>
      <c r="F209"/>
      <c r="G209"/>
      <c r="H209"/>
      <c r="I209"/>
      <c r="J209"/>
      <c r="K209"/>
      <c r="L209"/>
      <c r="M209"/>
      <c r="N209"/>
      <c r="O209"/>
      <c r="P209"/>
      <c r="Q209"/>
      <c r="R209"/>
      <c r="S209"/>
      <c r="T209"/>
      <c r="U209"/>
      <c r="V209"/>
      <c r="W209"/>
      <c r="X209"/>
    </row>
    <row r="210" spans="1:26" s="6" customFormat="1" x14ac:dyDescent="0.25">
      <c r="A210" s="3" t="s">
        <v>780</v>
      </c>
      <c r="B210"/>
      <c r="C210"/>
      <c r="D210" s="1">
        <f ca="1">'Climate A'!D210 - 'Climate B'!D210</f>
        <v>4143.1886412822641</v>
      </c>
      <c r="E210" s="1">
        <f ca="1">'Climate A'!E210 - 'Climate B'!E210</f>
        <v>12304.972193255555</v>
      </c>
      <c r="F210" s="1">
        <f ca="1">'Climate A'!F210 - 'Climate B'!F210</f>
        <v>14559.464272432495</v>
      </c>
      <c r="G210" s="1">
        <f ca="1">'Climate A'!G210 - 'Climate B'!G210</f>
        <v>15538.008320337627</v>
      </c>
      <c r="H210" s="1">
        <f ca="1">'Climate A'!H210 - 'Climate B'!H210</f>
        <v>38787.746889569331</v>
      </c>
      <c r="I210" s="1">
        <f ca="1">'Climate A'!I210 - 'Climate B'!I210</f>
        <v>31395.621875314042</v>
      </c>
      <c r="J210" s="1">
        <f ca="1">'Climate A'!J210 - 'Climate B'!J210</f>
        <v>38052.89416717831</v>
      </c>
      <c r="K210" s="1">
        <f ca="1">'Climate A'!K210 - 'Climate B'!K210</f>
        <v>25640.964150880463</v>
      </c>
      <c r="L210" s="1">
        <f ca="1">'Climate A'!L210 - 'Climate B'!L210</f>
        <v>20598.835293802433</v>
      </c>
      <c r="M210" s="1">
        <f ca="1">'Climate A'!M210 - 'Climate B'!M210</f>
        <v>18450.172810975462</v>
      </c>
      <c r="N210" s="3" t="s">
        <v>501</v>
      </c>
      <c r="O210"/>
      <c r="P210"/>
      <c r="Q210"/>
      <c r="R210"/>
      <c r="S210"/>
      <c r="T210"/>
      <c r="U210"/>
      <c r="V210"/>
      <c r="W210"/>
      <c r="X210"/>
    </row>
    <row r="211" spans="1:26" s="6" customFormat="1" x14ac:dyDescent="0.25">
      <c r="A211" s="3" t="s">
        <v>781</v>
      </c>
      <c r="B211"/>
      <c r="C211"/>
      <c r="D211" s="1">
        <f ca="1">'Climate A'!D211 - 'Climate B'!D211</f>
        <v>3026.0212919241603</v>
      </c>
      <c r="E211" s="1">
        <f ca="1">'Climate A'!E211 - 'Climate B'!E211</f>
        <v>8987.0655374750786</v>
      </c>
      <c r="F211" s="1">
        <f ca="1">'Climate A'!F211 - 'Climate B'!F211</f>
        <v>10633.657480233553</v>
      </c>
      <c r="G211" s="1">
        <f ca="1">'Climate A'!G211 - 'Climate B'!G211</f>
        <v>11348.347391897885</v>
      </c>
      <c r="H211" s="1">
        <f ca="1">'Climate A'!H211 - 'Climate B'!H211</f>
        <v>28329.037877762865</v>
      </c>
      <c r="I211" s="1">
        <f ca="1">'Climate A'!I211 - 'Climate B'!I211</f>
        <v>22930.121820013948</v>
      </c>
      <c r="J211" s="1">
        <f ca="1">'Climate A'!J211 - 'Climate B'!J211</f>
        <v>27792.330482345926</v>
      </c>
      <c r="K211" s="1">
        <f ca="1">'Climate A'!K211 - 'Climate B'!K211</f>
        <v>18727.147176676794</v>
      </c>
      <c r="L211" s="1">
        <f ca="1">'Climate A'!L211 - 'Climate B'!L211</f>
        <v>15044.575467023395</v>
      </c>
      <c r="M211" s="1">
        <f ca="1">'Climate A'!M211 - 'Climate B'!M211</f>
        <v>13475.277280257556</v>
      </c>
      <c r="N211" s="3" t="s">
        <v>501</v>
      </c>
      <c r="O211"/>
      <c r="P211"/>
      <c r="Q211"/>
      <c r="R211"/>
      <c r="S211"/>
      <c r="T211"/>
      <c r="U211"/>
      <c r="V211"/>
      <c r="W211"/>
      <c r="X211"/>
    </row>
    <row r="212" spans="1:26" s="6" customFormat="1" x14ac:dyDescent="0.25">
      <c r="A212" s="57" t="s">
        <v>782</v>
      </c>
      <c r="B212"/>
      <c r="C212"/>
      <c r="D212" s="1">
        <f ca="1">'Climate A'!D212 - 'Climate B'!D212</f>
        <v>3396.349209955195</v>
      </c>
      <c r="E212" s="1">
        <f ca="1">'Climate A'!E212 - 'Climate B'!E212</f>
        <v>10616.708897720091</v>
      </c>
      <c r="F212" s="1">
        <f ca="1">'Climate A'!F212 - 'Climate B'!F212</f>
        <v>19048.363011917332</v>
      </c>
      <c r="G212" s="1">
        <f ca="1">'Climate A'!G212 - 'Climate B'!G212</f>
        <v>27725.234287040308</v>
      </c>
      <c r="H212" s="1">
        <f ca="1">'Climate A'!H212 - 'Climate B'!H212</f>
        <v>46564.192079873523</v>
      </c>
      <c r="I212" s="1">
        <f ca="1">'Climate A'!I212 - 'Climate B'!I212</f>
        <v>60299.843840388348</v>
      </c>
      <c r="J212" s="1">
        <f ca="1">'Climate A'!J212 - 'Climate B'!J212</f>
        <v>75206.975735597429</v>
      </c>
      <c r="K212" s="1">
        <f ca="1">'Climate A'!K212 - 'Climate B'!K212</f>
        <v>81006.87847322342</v>
      </c>
      <c r="L212" s="1">
        <f ca="1">'Climate A'!L212 - 'Climate B'!L212</f>
        <v>84603.146054312703</v>
      </c>
      <c r="M212" s="1">
        <f ca="1">'Climate A'!M212 - 'Climate B'!M212</f>
        <v>87603.471538887941</v>
      </c>
      <c r="N212" s="3" t="s">
        <v>501</v>
      </c>
      <c r="O212"/>
      <c r="P212"/>
      <c r="Q212"/>
      <c r="R212"/>
      <c r="S212"/>
      <c r="T212"/>
      <c r="U212"/>
      <c r="V212"/>
      <c r="W212"/>
      <c r="X212"/>
    </row>
    <row r="213" spans="1:26" s="6" customFormat="1" x14ac:dyDescent="0.25">
      <c r="A213" s="3" t="s">
        <v>784</v>
      </c>
      <c r="B213"/>
      <c r="C213"/>
      <c r="D213" s="203">
        <f ca="1">'Climate A'!D213 - 'Climate B'!D213</f>
        <v>-176.67058497101789</v>
      </c>
      <c r="E213" s="203">
        <f ca="1">'Climate A'!E213 - 'Climate B'!E213</f>
        <v>-176.67058497101789</v>
      </c>
      <c r="F213" s="203">
        <f ca="1">'Climate A'!F213 - 'Climate B'!F213</f>
        <v>-220.20033660363151</v>
      </c>
      <c r="G213" s="203">
        <f ca="1">'Climate A'!G213 - 'Climate B'!G213</f>
        <v>-267.1476116774902</v>
      </c>
      <c r="H213" s="203">
        <f ca="1">'Climate A'!H213 - 'Climate B'!H213</f>
        <v>-379.60320339718601</v>
      </c>
      <c r="I213" s="203">
        <f ca="1">'Climate A'!I213 - 'Climate B'!I213</f>
        <v>-367.77880237996487</v>
      </c>
      <c r="J213" s="203">
        <f ca="1">'Climate A'!J213 - 'Climate B'!J213</f>
        <v>-257.70397174273694</v>
      </c>
      <c r="K213" s="203">
        <f ca="1">'Climate A'!K213 - 'Climate B'!K213</f>
        <v>-258.54488878101597</v>
      </c>
      <c r="L213" s="203">
        <f ca="1">'Climate A'!L213 - 'Climate B'!L213</f>
        <v>-228.96615771868221</v>
      </c>
      <c r="M213" s="203">
        <f ca="1">'Climate A'!M213 - 'Climate B'!M213</f>
        <v>-209.49903591364637</v>
      </c>
      <c r="N213" s="3" t="s">
        <v>592</v>
      </c>
      <c r="O213"/>
      <c r="P213"/>
      <c r="Q213"/>
      <c r="R213"/>
      <c r="S213"/>
      <c r="T213"/>
      <c r="U213"/>
      <c r="V213"/>
      <c r="W213"/>
      <c r="X213"/>
    </row>
    <row r="214" spans="1:26" s="6" customFormat="1" x14ac:dyDescent="0.25">
      <c r="A214" s="3"/>
      <c r="B214"/>
      <c r="C214"/>
      <c r="D214" s="1"/>
      <c r="E214" s="1"/>
      <c r="F214" s="1"/>
      <c r="G214" s="1"/>
      <c r="H214" s="1"/>
      <c r="I214" s="1"/>
      <c r="J214" s="1"/>
      <c r="K214" s="1"/>
      <c r="L214" s="1"/>
      <c r="M214" s="1"/>
      <c r="N214" s="3"/>
      <c r="O214"/>
      <c r="P214"/>
      <c r="Q214"/>
      <c r="R214"/>
      <c r="S214"/>
      <c r="T214"/>
      <c r="U214"/>
      <c r="V214"/>
      <c r="W214"/>
      <c r="X214"/>
    </row>
    <row r="215" spans="1:26" s="6" customFormat="1" x14ac:dyDescent="0.25">
      <c r="A215" s="3"/>
      <c r="B215"/>
      <c r="C215"/>
      <c r="D215" s="1"/>
      <c r="E215" s="1"/>
      <c r="F215" s="1"/>
      <c r="G215" s="1"/>
      <c r="H215" s="1"/>
      <c r="I215" s="1"/>
      <c r="J215" s="1"/>
      <c r="K215" s="1"/>
      <c r="L215" s="1"/>
      <c r="M215" s="1"/>
      <c r="N215" s="3"/>
      <c r="O215"/>
      <c r="P215"/>
      <c r="Q215"/>
      <c r="R215"/>
      <c r="S215"/>
      <c r="T215"/>
      <c r="U215"/>
      <c r="V215"/>
      <c r="W215"/>
      <c r="X215"/>
    </row>
    <row r="216" spans="1:26" s="6" customFormat="1" x14ac:dyDescent="0.25">
      <c r="A216"/>
      <c r="B216"/>
      <c r="C216"/>
      <c r="D216"/>
      <c r="E216"/>
      <c r="F216"/>
      <c r="G216"/>
      <c r="H216"/>
      <c r="I216"/>
      <c r="J216"/>
      <c r="K216"/>
      <c r="L216"/>
      <c r="M216"/>
      <c r="O216"/>
      <c r="P216"/>
      <c r="Q216"/>
      <c r="R216"/>
      <c r="S216"/>
      <c r="T216"/>
      <c r="U216"/>
      <c r="V216"/>
      <c r="W216"/>
      <c r="X216"/>
    </row>
    <row r="217" spans="1:26" s="6" customFormat="1" x14ac:dyDescent="0.25">
      <c r="A217" s="3"/>
      <c r="B217"/>
      <c r="C217"/>
      <c r="D217"/>
      <c r="E217"/>
      <c r="F217"/>
      <c r="G217"/>
      <c r="H217"/>
      <c r="I217"/>
      <c r="J217"/>
      <c r="K217"/>
      <c r="L217"/>
      <c r="M217"/>
      <c r="N217" s="3"/>
      <c r="O217"/>
      <c r="P217"/>
      <c r="Q217"/>
      <c r="R217"/>
      <c r="S217"/>
      <c r="T217"/>
      <c r="U217"/>
      <c r="V217"/>
      <c r="W217"/>
      <c r="X217"/>
    </row>
    <row r="218" spans="1:26" s="6" customFormat="1" ht="13" x14ac:dyDescent="0.3">
      <c r="A218" s="2" t="s">
        <v>945</v>
      </c>
      <c r="B218"/>
      <c r="C218" s="1"/>
      <c r="D218" s="203">
        <f t="shared" ref="D218:M218" ca="1" si="0" xml:space="preserve"> D68 + D213</f>
        <v>636.58514715410956</v>
      </c>
      <c r="E218" s="203">
        <f t="shared" ca="1" si="0"/>
        <v>1000.0934531262178</v>
      </c>
      <c r="F218" s="203">
        <f t="shared" ca="1" si="0"/>
        <v>1169.1000916731864</v>
      </c>
      <c r="G218" s="203">
        <f t="shared" ca="1" si="0"/>
        <v>1215.4809130842223</v>
      </c>
      <c r="H218" s="203">
        <f t="shared" ca="1" si="0"/>
        <v>1009.7679169763069</v>
      </c>
      <c r="I218" s="203">
        <f t="shared" ca="1" si="0"/>
        <v>779.07094493405884</v>
      </c>
      <c r="J218" s="203">
        <f t="shared" ca="1" si="0"/>
        <v>431.43013514587631</v>
      </c>
      <c r="K218" s="203">
        <f t="shared" ca="1" si="0"/>
        <v>232.31901259433459</v>
      </c>
      <c r="L218" s="203">
        <f t="shared" ca="1" si="0"/>
        <v>172.41166959310561</v>
      </c>
      <c r="M218" s="203">
        <f t="shared" ca="1" si="0"/>
        <v>149.82825478372172</v>
      </c>
      <c r="N218" s="3" t="s">
        <v>592</v>
      </c>
      <c r="O218"/>
      <c r="P218"/>
      <c r="Q218"/>
      <c r="R218"/>
      <c r="S218"/>
      <c r="T218"/>
      <c r="U218"/>
      <c r="V218"/>
      <c r="W218"/>
      <c r="X218"/>
    </row>
    <row r="219" spans="1:26" s="6" customFormat="1" x14ac:dyDescent="0.25">
      <c r="A219" s="3" t="s">
        <v>946</v>
      </c>
      <c r="B219"/>
      <c r="C219" s="1"/>
      <c r="D219"/>
      <c r="E219"/>
      <c r="F219"/>
      <c r="G219"/>
      <c r="H219"/>
      <c r="I219"/>
      <c r="J219"/>
      <c r="K219"/>
      <c r="L219"/>
      <c r="M219"/>
      <c r="N219" s="3"/>
      <c r="O219"/>
      <c r="P219"/>
      <c r="Q219"/>
      <c r="R219"/>
      <c r="S219"/>
      <c r="T219"/>
      <c r="U219"/>
      <c r="V219"/>
      <c r="W219"/>
      <c r="X219"/>
    </row>
    <row r="220" spans="1:26" s="6" customFormat="1" x14ac:dyDescent="0.25">
      <c r="A220" s="3"/>
      <c r="B220"/>
      <c r="C220" s="1"/>
      <c r="D220"/>
      <c r="E220"/>
      <c r="F220"/>
      <c r="G220"/>
      <c r="H220"/>
      <c r="I220"/>
      <c r="J220"/>
      <c r="K220"/>
      <c r="L220"/>
      <c r="M220"/>
      <c r="N220" s="3"/>
      <c r="O220"/>
      <c r="P220"/>
      <c r="Q220"/>
      <c r="R220"/>
      <c r="S220"/>
      <c r="T220"/>
      <c r="U220"/>
      <c r="V220"/>
      <c r="W220"/>
      <c r="X220"/>
    </row>
    <row r="221" spans="1:26" s="6" customFormat="1" ht="13" x14ac:dyDescent="0.3">
      <c r="A221" s="2" t="s">
        <v>944</v>
      </c>
      <c r="B221"/>
      <c r="C221" s="1"/>
      <c r="D221" s="1">
        <f ca="1">'Climate A'!D221 - 'Climate B'!D221</f>
        <v>1.1024910196896442E-2</v>
      </c>
      <c r="E221" s="1">
        <f ca="1">'Climate A'!E221 - 'Climate B'!E221</f>
        <v>3.1720758402264071E-2</v>
      </c>
      <c r="F221" s="1">
        <f ca="1">'Climate A'!F221 - 'Climate B'!F221</f>
        <v>5.1209493790010718E-2</v>
      </c>
      <c r="G221" s="1">
        <f ca="1">'Climate A'!G221 - 'Climate B'!G221</f>
        <v>6.9378891574650048E-2</v>
      </c>
      <c r="H221" s="1">
        <f ca="1">'Climate A'!H221 - 'Climate B'!H221</f>
        <v>0.10649185793815885</v>
      </c>
      <c r="I221" s="1">
        <f ca="1">'Climate A'!I221 - 'Climate B'!I221</f>
        <v>0.13260281427504728</v>
      </c>
      <c r="J221" s="1">
        <f ca="1">'Climate A'!J221 - 'Climate B'!J221</f>
        <v>0.15838583821889296</v>
      </c>
      <c r="K221" s="1">
        <f ca="1">'Climate A'!K221 - 'Climate B'!K221</f>
        <v>0.16943549236773991</v>
      </c>
      <c r="L221" s="1">
        <f ca="1">'Climate A'!L221 - 'Climate B'!L221</f>
        <v>0.17772533658430323</v>
      </c>
      <c r="M221" s="1">
        <f ca="1">'Climate A'!M221 - 'Climate B'!M221</f>
        <v>0.18508853773373901</v>
      </c>
      <c r="N221" s="3" t="s">
        <v>44</v>
      </c>
      <c r="O221"/>
      <c r="P221"/>
      <c r="Q221"/>
      <c r="R221"/>
      <c r="S221"/>
      <c r="T221"/>
      <c r="U221"/>
      <c r="V221"/>
      <c r="W221"/>
      <c r="X221"/>
    </row>
    <row r="222" spans="1:26" s="6" customFormat="1" ht="14.5" x14ac:dyDescent="0.35">
      <c r="A222" s="2"/>
      <c r="B222" s="131"/>
      <c r="C222" s="1"/>
      <c r="O222"/>
      <c r="P222"/>
      <c r="Q222"/>
      <c r="R222"/>
      <c r="S222"/>
      <c r="T222"/>
      <c r="U222"/>
      <c r="V222"/>
      <c r="W222"/>
      <c r="X222"/>
      <c r="Y222"/>
      <c r="Z222" s="57" t="s">
        <v>856</v>
      </c>
    </row>
    <row r="223" spans="1:26" s="6" customFormat="1" x14ac:dyDescent="0.25">
      <c r="B223"/>
      <c r="C223" s="1"/>
      <c r="O223"/>
      <c r="P223"/>
      <c r="Q223"/>
      <c r="R223"/>
      <c r="S223"/>
      <c r="T223"/>
      <c r="U223"/>
      <c r="V223"/>
      <c r="W223"/>
      <c r="X223"/>
      <c r="Y223"/>
    </row>
    <row r="224" spans="1:26" s="6" customFormat="1" x14ac:dyDescent="0.25">
      <c r="B224"/>
      <c r="C224" s="1"/>
      <c r="O224"/>
      <c r="P224"/>
      <c r="Q224"/>
      <c r="R224"/>
      <c r="S224"/>
      <c r="T224"/>
      <c r="U224"/>
      <c r="V224"/>
      <c r="W224"/>
      <c r="X224"/>
      <c r="Y224"/>
    </row>
    <row r="225" spans="1:25" s="6" customFormat="1" x14ac:dyDescent="0.25">
      <c r="B225"/>
      <c r="C225" s="1"/>
      <c r="O225"/>
      <c r="P225"/>
      <c r="Q225"/>
      <c r="R225"/>
      <c r="S225"/>
      <c r="T225"/>
      <c r="U225"/>
      <c r="V225"/>
      <c r="W225"/>
      <c r="X225"/>
      <c r="Y225"/>
    </row>
    <row r="226" spans="1:25" s="6" customFormat="1" ht="14.5" x14ac:dyDescent="0.35">
      <c r="A226" s="3"/>
      <c r="B226" s="131"/>
      <c r="C226" s="1"/>
      <c r="D226"/>
      <c r="E226"/>
      <c r="F226"/>
      <c r="G226"/>
      <c r="H226"/>
      <c r="I226"/>
      <c r="J226"/>
      <c r="K226"/>
      <c r="L226"/>
      <c r="M226"/>
      <c r="N226"/>
      <c r="O226"/>
      <c r="P226"/>
      <c r="Q226"/>
      <c r="R226"/>
      <c r="S226"/>
      <c r="T226"/>
      <c r="U226"/>
      <c r="V226"/>
      <c r="W226"/>
      <c r="X226"/>
      <c r="Y226"/>
    </row>
    <row r="227" spans="1:25" s="6" customFormat="1" x14ac:dyDescent="0.25">
      <c r="A227" s="3"/>
      <c r="B227"/>
      <c r="C227" s="1"/>
      <c r="D227"/>
      <c r="E227"/>
      <c r="F227"/>
      <c r="G227"/>
      <c r="H227"/>
      <c r="I227"/>
      <c r="J227"/>
      <c r="K227"/>
      <c r="L227"/>
      <c r="M227"/>
      <c r="N227" s="3"/>
      <c r="O227"/>
      <c r="P227"/>
      <c r="Q227"/>
      <c r="R227"/>
      <c r="S227"/>
      <c r="T227"/>
      <c r="U227"/>
      <c r="V227"/>
      <c r="W227"/>
      <c r="X227"/>
      <c r="Y227"/>
    </row>
    <row r="228" spans="1:25" s="6" customFormat="1" x14ac:dyDescent="0.25">
      <c r="A228" s="3"/>
      <c r="B228"/>
      <c r="C228" s="1"/>
      <c r="D228"/>
      <c r="E228"/>
      <c r="F228"/>
      <c r="G228"/>
      <c r="H228"/>
      <c r="I228"/>
      <c r="J228"/>
      <c r="K228"/>
      <c r="L228"/>
      <c r="M228"/>
      <c r="N228" s="3"/>
      <c r="O228"/>
      <c r="P228"/>
      <c r="Q228"/>
      <c r="R228"/>
      <c r="S228"/>
      <c r="T228"/>
      <c r="U228"/>
      <c r="V228"/>
      <c r="W228"/>
      <c r="X228"/>
      <c r="Y228"/>
    </row>
    <row r="229" spans="1:25" s="6" customFormat="1" x14ac:dyDescent="0.25">
      <c r="A229"/>
      <c r="B229"/>
      <c r="C229" s="1"/>
      <c r="D229"/>
      <c r="E229"/>
      <c r="F229"/>
      <c r="G229"/>
      <c r="H229"/>
      <c r="I229"/>
      <c r="J229"/>
      <c r="K229"/>
      <c r="L229"/>
      <c r="M229"/>
      <c r="N229"/>
      <c r="O229"/>
      <c r="P229"/>
      <c r="Q229"/>
      <c r="R229"/>
      <c r="S229"/>
      <c r="T229"/>
      <c r="U229"/>
      <c r="V229"/>
      <c r="W229"/>
      <c r="X229"/>
      <c r="Y229"/>
    </row>
    <row r="230" spans="1:25" ht="14.5" x14ac:dyDescent="0.35">
      <c r="A230" s="3"/>
      <c r="B230" s="131"/>
      <c r="C230" s="1"/>
    </row>
    <row r="231" spans="1:25" x14ac:dyDescent="0.25">
      <c r="A231" s="3"/>
      <c r="C231" s="1"/>
      <c r="N231" s="3"/>
    </row>
    <row r="232" spans="1:25" x14ac:dyDescent="0.25">
      <c r="A232" s="3"/>
      <c r="C232" s="1"/>
      <c r="N232" s="3"/>
    </row>
    <row r="233" spans="1:25" x14ac:dyDescent="0.25">
      <c r="C233" s="1"/>
    </row>
    <row r="236" spans="1:25" x14ac:dyDescent="0.25">
      <c r="C236" s="3"/>
    </row>
    <row r="237" spans="1:25" ht="14.5" x14ac:dyDescent="0.35">
      <c r="C237" s="131"/>
    </row>
    <row r="241" spans="2:3" x14ac:dyDescent="0.25">
      <c r="B241" s="1"/>
      <c r="C241" s="3"/>
    </row>
    <row r="242" spans="2:3" x14ac:dyDescent="0.25">
      <c r="B242" s="1"/>
    </row>
    <row r="243" spans="2:3" x14ac:dyDescent="0.25">
      <c r="B243" s="1"/>
    </row>
    <row r="244" spans="2:3" x14ac:dyDescent="0.25">
      <c r="B244" s="1"/>
    </row>
    <row r="245" spans="2:3" x14ac:dyDescent="0.25">
      <c r="B245" s="1"/>
      <c r="C245" s="3"/>
    </row>
    <row r="246" spans="2:3" x14ac:dyDescent="0.25">
      <c r="B246" s="1"/>
    </row>
    <row r="247" spans="2:3" x14ac:dyDescent="0.25">
      <c r="B247" s="1"/>
    </row>
    <row r="248" spans="2:3" x14ac:dyDescent="0.25">
      <c r="B248" s="1"/>
    </row>
    <row r="249" spans="2:3" x14ac:dyDescent="0.25">
      <c r="B249" s="1"/>
      <c r="C249" s="3"/>
    </row>
  </sheetData>
  <pageMargins left="0.75" right="0.75" top="1" bottom="1" header="0.5" footer="0.5"/>
  <pageSetup paperSize="9" orientation="portrait" horizontalDpi="4294967293" verticalDpi="4294967293" r:id="rId1"/>
  <headerFooter alignWithMargins="0"/>
  <ignoredErrors>
    <ignoredError sqref="M95" unlockedFormula="1"/>
  </ignoredError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5"/>
  <sheetViews>
    <sheetView topLeftCell="A25" workbookViewId="0">
      <selection activeCell="C46" sqref="C46"/>
    </sheetView>
  </sheetViews>
  <sheetFormatPr defaultRowHeight="12.5" x14ac:dyDescent="0.25"/>
  <cols>
    <col min="1" max="1" width="15.6328125" customWidth="1"/>
    <col min="2" max="13" width="10.6328125" customWidth="1"/>
  </cols>
  <sheetData>
    <row r="1" spans="1:16" ht="13" x14ac:dyDescent="0.3">
      <c r="A1" s="2" t="str">
        <f>MODEL_NAME</f>
        <v>PAGE-ICE Nonlinear Arctic Feedbacks</v>
      </c>
      <c r="B1" t="s">
        <v>39</v>
      </c>
      <c r="C1" s="51" t="str">
        <f>VERSION</f>
        <v>6.22</v>
      </c>
    </row>
    <row r="3" spans="1:16" ht="13" x14ac:dyDescent="0.3">
      <c r="A3" s="2" t="s">
        <v>23</v>
      </c>
      <c r="B3" s="3">
        <f>Y_0</f>
        <v>2015</v>
      </c>
      <c r="C3">
        <f t="array" ref="C3:L3">Y</f>
        <v>2020</v>
      </c>
      <c r="D3">
        <v>2030</v>
      </c>
      <c r="E3">
        <v>2040</v>
      </c>
      <c r="F3">
        <v>2050</v>
      </c>
      <c r="G3">
        <v>2075</v>
      </c>
      <c r="H3">
        <v>2100</v>
      </c>
      <c r="I3">
        <v>2150</v>
      </c>
      <c r="J3">
        <v>2200</v>
      </c>
      <c r="K3">
        <v>2250</v>
      </c>
      <c r="L3">
        <v>2300</v>
      </c>
    </row>
    <row r="4" spans="1:16" x14ac:dyDescent="0.25">
      <c r="A4" s="1" t="str">
        <f t="array" ref="A4:A11">R_CODE</f>
        <v>EU</v>
      </c>
      <c r="B4" s="27">
        <f t="array" ref="B4:B11">GDP_0</f>
        <v>17276714.501653694</v>
      </c>
      <c r="C4" s="27">
        <f t="array" ref="C4:C11">GDP_0*(1+(GRW_1/100))^YP_1</f>
        <v>18731423.564890079</v>
      </c>
      <c r="D4" s="27">
        <f t="array" ref="D4:L11">GDP*(1+(GRW_NOT_1/100))^YP_NOT_1</f>
        <v>21867428.061993372</v>
      </c>
      <c r="E4" s="27">
        <v>25831705.570067737</v>
      </c>
      <c r="F4" s="27">
        <v>30335069.039375324</v>
      </c>
      <c r="G4" s="27">
        <v>44123065.92197375</v>
      </c>
      <c r="H4" s="27">
        <v>62001449.738553688</v>
      </c>
      <c r="I4" s="27">
        <v>118558912.93674922</v>
      </c>
      <c r="J4" s="27">
        <v>202277183.92186263</v>
      </c>
      <c r="K4" s="27">
        <v>314131714.20856023</v>
      </c>
      <c r="L4" s="27">
        <v>451434145.58386606</v>
      </c>
      <c r="M4" s="1"/>
      <c r="N4" s="1" t="str">
        <f t="shared" ref="N4:N12" si="0">CURRENCY_NAME</f>
        <v>$M(2015)</v>
      </c>
      <c r="O4" s="1"/>
      <c r="P4" s="1"/>
    </row>
    <row r="5" spans="1:16" x14ac:dyDescent="0.25">
      <c r="A5" s="1" t="str">
        <v>US</v>
      </c>
      <c r="B5" s="28">
        <v>16755755.949456695</v>
      </c>
      <c r="C5" s="28">
        <v>19143275.262853682</v>
      </c>
      <c r="D5" s="28">
        <v>23565337.552096885</v>
      </c>
      <c r="E5" s="28">
        <v>27947127.743669879</v>
      </c>
      <c r="F5" s="28">
        <v>32658159.410065465</v>
      </c>
      <c r="G5" s="28">
        <v>47736586.333880916</v>
      </c>
      <c r="H5" s="28">
        <v>68415206.699179992</v>
      </c>
      <c r="I5" s="28">
        <v>137889326.30684021</v>
      </c>
      <c r="J5" s="28">
        <v>258883782.98618203</v>
      </c>
      <c r="K5" s="28">
        <v>456010697.53892392</v>
      </c>
      <c r="L5" s="28">
        <v>758459591.59247458</v>
      </c>
      <c r="M5" s="1"/>
      <c r="N5" s="1" t="str">
        <f t="shared" si="0"/>
        <v>$M(2015)</v>
      </c>
      <c r="O5" s="1"/>
      <c r="P5" s="1"/>
    </row>
    <row r="6" spans="1:16" x14ac:dyDescent="0.25">
      <c r="A6" s="1" t="str">
        <v>OT</v>
      </c>
      <c r="B6" s="28">
        <v>9422720.364817122</v>
      </c>
      <c r="C6" s="28">
        <v>10490429.50757218</v>
      </c>
      <c r="D6" s="28">
        <v>12700286.318448115</v>
      </c>
      <c r="E6" s="28">
        <v>15002681.426624313</v>
      </c>
      <c r="F6" s="28">
        <v>17479961.75354597</v>
      </c>
      <c r="G6" s="28">
        <v>24321566.548301283</v>
      </c>
      <c r="H6" s="28">
        <v>31657301.462677762</v>
      </c>
      <c r="I6" s="28">
        <v>50698615.154507525</v>
      </c>
      <c r="J6" s="28">
        <v>68411794.847596586</v>
      </c>
      <c r="K6" s="28">
        <v>82771835.687275872</v>
      </c>
      <c r="L6" s="28">
        <v>93429211.224456131</v>
      </c>
      <c r="M6" s="1"/>
      <c r="N6" s="1" t="str">
        <f t="shared" si="0"/>
        <v>$M(2015)</v>
      </c>
      <c r="O6" s="1"/>
      <c r="P6" s="1"/>
    </row>
    <row r="7" spans="1:16" x14ac:dyDescent="0.25">
      <c r="A7" s="1" t="str">
        <v>EE</v>
      </c>
      <c r="B7" s="28">
        <v>4163916.6260164022</v>
      </c>
      <c r="C7" s="28">
        <v>5117395.7550775306</v>
      </c>
      <c r="D7" s="28">
        <v>7488044.4560304591</v>
      </c>
      <c r="E7" s="28">
        <v>10043782.259802442</v>
      </c>
      <c r="F7" s="28">
        <v>11970024.359144682</v>
      </c>
      <c r="G7" s="28">
        <v>16049514.926583558</v>
      </c>
      <c r="H7" s="28">
        <v>19490400.417706288</v>
      </c>
      <c r="I7" s="28">
        <v>26735770.3510602</v>
      </c>
      <c r="J7" s="28">
        <v>30702910.526379555</v>
      </c>
      <c r="K7" s="28">
        <v>32617791.539630771</v>
      </c>
      <c r="L7" s="28">
        <v>33491851.314030562</v>
      </c>
      <c r="M7" s="1"/>
      <c r="N7" s="1" t="str">
        <f t="shared" si="0"/>
        <v>$M(2015)</v>
      </c>
      <c r="O7" s="1"/>
      <c r="P7" s="1"/>
    </row>
    <row r="8" spans="1:16" x14ac:dyDescent="0.25">
      <c r="A8" s="1" t="str">
        <v>CA</v>
      </c>
      <c r="B8" s="28">
        <v>15042627.818163713</v>
      </c>
      <c r="C8" s="28">
        <v>22965021.496021774</v>
      </c>
      <c r="D8" s="28">
        <v>42665313.897144251</v>
      </c>
      <c r="E8" s="28">
        <v>62731289.944488041</v>
      </c>
      <c r="F8" s="28">
        <v>78748185.410229355</v>
      </c>
      <c r="G8" s="28">
        <v>92594466.928344637</v>
      </c>
      <c r="H8" s="28">
        <v>90987602.37637113</v>
      </c>
      <c r="I8" s="28">
        <v>87857044.909002155</v>
      </c>
      <c r="J8" s="28">
        <v>84834198.709987745</v>
      </c>
      <c r="K8" s="28">
        <v>81915357.820420742</v>
      </c>
      <c r="L8" s="28">
        <v>79096943.790164724</v>
      </c>
      <c r="M8" s="1"/>
      <c r="N8" s="1" t="str">
        <f t="shared" si="0"/>
        <v>$M(2015)</v>
      </c>
      <c r="O8" s="1"/>
      <c r="P8" s="1"/>
    </row>
    <row r="9" spans="1:16" x14ac:dyDescent="0.25">
      <c r="A9" s="1" t="str">
        <v>IA</v>
      </c>
      <c r="B9" s="28">
        <v>11780218.688261595</v>
      </c>
      <c r="C9" s="28">
        <v>16208232.723884216</v>
      </c>
      <c r="D9" s="28">
        <v>29802391.88893456</v>
      </c>
      <c r="E9" s="28">
        <v>50906790.550765634</v>
      </c>
      <c r="F9" s="28">
        <v>78528716.197879061</v>
      </c>
      <c r="G9" s="28">
        <v>158154005.96206793</v>
      </c>
      <c r="H9" s="28">
        <v>225548962.63353491</v>
      </c>
      <c r="I9" s="28">
        <v>373657223.32912058</v>
      </c>
      <c r="J9" s="28">
        <v>424879694.24340373</v>
      </c>
      <c r="K9" s="28">
        <v>438959891.0411253</v>
      </c>
      <c r="L9" s="28">
        <v>442604127.55077767</v>
      </c>
      <c r="M9" s="1"/>
      <c r="N9" s="1" t="str">
        <f t="shared" si="0"/>
        <v>$M(2015)</v>
      </c>
      <c r="O9" s="1"/>
      <c r="P9" s="1"/>
    </row>
    <row r="10" spans="1:16" x14ac:dyDescent="0.25">
      <c r="A10" s="1" t="str">
        <v>AF</v>
      </c>
      <c r="B10" s="28">
        <v>7107101.8428517561</v>
      </c>
      <c r="C10" s="28">
        <v>8937551.0991703235</v>
      </c>
      <c r="D10" s="28">
        <v>14324332.578796295</v>
      </c>
      <c r="E10" s="28">
        <v>23668305.4836426</v>
      </c>
      <c r="F10" s="28">
        <v>38996056.250936314</v>
      </c>
      <c r="G10" s="28">
        <v>120036355.60992169</v>
      </c>
      <c r="H10" s="28">
        <v>264458330.9794299</v>
      </c>
      <c r="I10" s="28">
        <v>993044145.69706297</v>
      </c>
      <c r="J10" s="28">
        <v>1899685638.8535347</v>
      </c>
      <c r="K10" s="28">
        <v>2608084913.9902325</v>
      </c>
      <c r="L10" s="28">
        <v>3044079942.7480454</v>
      </c>
      <c r="M10" s="1"/>
      <c r="N10" s="1" t="str">
        <f t="shared" si="0"/>
        <v>$M(2015)</v>
      </c>
      <c r="O10" s="1"/>
      <c r="P10" s="1"/>
    </row>
    <row r="11" spans="1:16" ht="13" thickBot="1" x14ac:dyDescent="0.3">
      <c r="A11" s="1" t="str">
        <v>LA</v>
      </c>
      <c r="B11" s="36">
        <v>7712450.7265316742</v>
      </c>
      <c r="C11" s="36">
        <v>9315901.9037707523</v>
      </c>
      <c r="D11" s="36">
        <v>13423012.287676685</v>
      </c>
      <c r="E11" s="36">
        <v>19044536.411233906</v>
      </c>
      <c r="F11" s="36">
        <v>25994635.976157788</v>
      </c>
      <c r="G11" s="36">
        <v>47145787.407814175</v>
      </c>
      <c r="H11" s="36">
        <v>68743734.377072021</v>
      </c>
      <c r="I11" s="36">
        <v>125253616.17998604</v>
      </c>
      <c r="J11" s="36">
        <v>159151925.95828125</v>
      </c>
      <c r="K11" s="36">
        <v>175085544.78693852</v>
      </c>
      <c r="L11" s="36">
        <v>181862649.49359435</v>
      </c>
      <c r="M11" s="1"/>
      <c r="N11" s="1" t="str">
        <f t="shared" si="0"/>
        <v>$M(2015)</v>
      </c>
      <c r="O11" s="1"/>
      <c r="P11" s="1"/>
    </row>
    <row r="12" spans="1:16" ht="14" thickTop="1" thickBot="1" x14ac:dyDescent="0.35">
      <c r="A12" s="44" t="s">
        <v>206</v>
      </c>
      <c r="B12" s="36">
        <f t="shared" ref="B12:L12" si="1">SUM(B4:B11)</f>
        <v>89261506.517752647</v>
      </c>
      <c r="C12" s="36">
        <f t="shared" si="1"/>
        <v>110909231.31324053</v>
      </c>
      <c r="D12" s="36">
        <f t="shared" si="1"/>
        <v>165836147.04112062</v>
      </c>
      <c r="E12" s="36">
        <f t="shared" si="1"/>
        <v>235176219.39029455</v>
      </c>
      <c r="F12" s="36">
        <f t="shared" si="1"/>
        <v>314710808.39733398</v>
      </c>
      <c r="G12" s="36">
        <f t="shared" si="1"/>
        <v>550161349.63888788</v>
      </c>
      <c r="H12" s="36">
        <f t="shared" si="1"/>
        <v>831302988.68452561</v>
      </c>
      <c r="I12" s="36">
        <f t="shared" si="1"/>
        <v>1913694654.8643289</v>
      </c>
      <c r="J12" s="36">
        <f t="shared" si="1"/>
        <v>3128827130.0472283</v>
      </c>
      <c r="K12" s="36">
        <f t="shared" si="1"/>
        <v>4189577746.6131082</v>
      </c>
      <c r="L12" s="36">
        <f t="shared" si="1"/>
        <v>5084458463.2974091</v>
      </c>
      <c r="M12" s="1"/>
      <c r="N12" s="1" t="str">
        <f t="shared" si="0"/>
        <v>$M(2015)</v>
      </c>
      <c r="O12" s="1"/>
      <c r="P12" s="1"/>
    </row>
    <row r="13" spans="1:16" ht="14" thickTop="1" thickBot="1" x14ac:dyDescent="0.35">
      <c r="A13" s="44" t="s">
        <v>207</v>
      </c>
      <c r="B13" s="44"/>
      <c r="C13" s="35">
        <f>((GDP_G_1/GDP_G_0)^(1/YP_1)-1)*100</f>
        <v>4.4385170614256175</v>
      </c>
      <c r="D13" s="35">
        <f t="array" ref="D13:L13">((GDP_G_NOT_1/GDP_G)^(1/YP_NOT_1)-1)*100</f>
        <v>4.104894976960205</v>
      </c>
      <c r="E13" s="35">
        <v>3.5550828710536164</v>
      </c>
      <c r="F13" s="35">
        <v>2.9560389237787144</v>
      </c>
      <c r="G13" s="35">
        <v>2.2593756351800831</v>
      </c>
      <c r="H13" s="35">
        <v>1.6648374507476138</v>
      </c>
      <c r="I13" s="35">
        <v>1.6815753332093397</v>
      </c>
      <c r="J13" s="35">
        <v>0.98809467021059305</v>
      </c>
      <c r="K13" s="35">
        <v>0.58559139582521347</v>
      </c>
      <c r="L13" s="35">
        <v>0.387927648087949</v>
      </c>
      <c r="M13" s="1"/>
      <c r="N13" s="1" t="s">
        <v>40</v>
      </c>
      <c r="O13" s="1"/>
      <c r="P13" s="1"/>
    </row>
    <row r="14" spans="1:16" ht="13.5" thickTop="1" x14ac:dyDescent="0.3">
      <c r="A14" s="2" t="s">
        <v>139</v>
      </c>
      <c r="B14" s="2"/>
      <c r="O14" s="1"/>
      <c r="P14" s="1"/>
    </row>
    <row r="15" spans="1:16" x14ac:dyDescent="0.25">
      <c r="A15" s="1" t="str">
        <f t="array" ref="A15:A22">R_CODE</f>
        <v>EU</v>
      </c>
      <c r="B15" s="27">
        <f t="array" ref="B15:B22">POP_0</f>
        <v>503.70991113625911</v>
      </c>
      <c r="C15" s="27">
        <f t="array" ref="C15:C22">POP_0*(1+(POP_GRW_1/100))^YP_1</f>
        <v>508.25964994041669</v>
      </c>
      <c r="D15" s="27">
        <f t="array" ref="D15:L22">POP*(1+(POP_GRW_NOT_1/100))^YP_NOT_1</f>
        <v>514.39180657938289</v>
      </c>
      <c r="E15" s="27">
        <v>515.93706695344201</v>
      </c>
      <c r="F15" s="27">
        <v>513.87702947288631</v>
      </c>
      <c r="G15" s="27">
        <v>488.79047823809788</v>
      </c>
      <c r="H15" s="27">
        <v>451.15260568321332</v>
      </c>
      <c r="I15" s="27">
        <v>451.15260568321332</v>
      </c>
      <c r="J15" s="27">
        <v>451.15260568321332</v>
      </c>
      <c r="K15" s="27">
        <v>451.15260568321332</v>
      </c>
      <c r="L15" s="27">
        <v>451.15260568321332</v>
      </c>
      <c r="M15" s="1"/>
      <c r="N15" s="1" t="str">
        <f t="shared" ref="N15:N23" si="2">POP_UNIT_NAME</f>
        <v>million</v>
      </c>
      <c r="O15" s="1"/>
      <c r="P15" s="1"/>
    </row>
    <row r="16" spans="1:16" x14ac:dyDescent="0.25">
      <c r="A16" s="1" t="str">
        <v>US</v>
      </c>
      <c r="B16" s="28">
        <v>317.53104237015043</v>
      </c>
      <c r="C16" s="28">
        <v>329.78202710017212</v>
      </c>
      <c r="D16" s="28">
        <v>353.60767987949828</v>
      </c>
      <c r="E16" s="28">
        <v>375.03324719437416</v>
      </c>
      <c r="F16" s="28">
        <v>393.42869666087915</v>
      </c>
      <c r="G16" s="28">
        <v>430.40999721018369</v>
      </c>
      <c r="H16" s="28">
        <v>438.00578329251925</v>
      </c>
      <c r="I16" s="28">
        <v>438.00578329251925</v>
      </c>
      <c r="J16" s="28">
        <v>438.00578329251925</v>
      </c>
      <c r="K16" s="28">
        <v>438.00578329251925</v>
      </c>
      <c r="L16" s="28">
        <v>438.00578329251925</v>
      </c>
      <c r="M16" s="1"/>
      <c r="N16" s="1" t="str">
        <f t="shared" si="2"/>
        <v>million</v>
      </c>
      <c r="O16" s="1"/>
      <c r="P16" s="1"/>
    </row>
    <row r="17" spans="1:16" x14ac:dyDescent="0.25">
      <c r="A17" s="1" t="str">
        <v>OT</v>
      </c>
      <c r="B17" s="28">
        <v>276.85575414398255</v>
      </c>
      <c r="C17" s="28">
        <v>282.01562764376195</v>
      </c>
      <c r="D17" s="28">
        <v>287.706974694466</v>
      </c>
      <c r="E17" s="28">
        <v>288.85987629459839</v>
      </c>
      <c r="F17" s="28">
        <v>285.9842416234884</v>
      </c>
      <c r="G17" s="28">
        <v>261.32747653955175</v>
      </c>
      <c r="H17" s="28">
        <v>224.2602695591805</v>
      </c>
      <c r="I17" s="28">
        <v>224.2602695591805</v>
      </c>
      <c r="J17" s="28">
        <v>224.2602695591805</v>
      </c>
      <c r="K17" s="28">
        <v>224.2602695591805</v>
      </c>
      <c r="L17" s="28">
        <v>224.2602695591805</v>
      </c>
      <c r="M17" s="1"/>
      <c r="N17" s="1" t="str">
        <f t="shared" si="2"/>
        <v>million</v>
      </c>
      <c r="O17" s="1"/>
      <c r="P17" s="1"/>
    </row>
    <row r="18" spans="1:16" x14ac:dyDescent="0.25">
      <c r="A18" s="1" t="str">
        <v>EE</v>
      </c>
      <c r="B18" s="28">
        <v>307.4627436558867</v>
      </c>
      <c r="C18" s="28">
        <v>306.69485506937389</v>
      </c>
      <c r="D18" s="28">
        <v>300.01397601963532</v>
      </c>
      <c r="E18" s="28">
        <v>291.13409543896387</v>
      </c>
      <c r="F18" s="28">
        <v>279.13499625913238</v>
      </c>
      <c r="G18" s="28">
        <v>235.95282201818279</v>
      </c>
      <c r="H18" s="28">
        <v>192.05595371324264</v>
      </c>
      <c r="I18" s="28">
        <v>192.05595371324264</v>
      </c>
      <c r="J18" s="28">
        <v>192.05595371324264</v>
      </c>
      <c r="K18" s="28">
        <v>192.05595371324264</v>
      </c>
      <c r="L18" s="28">
        <v>192.05595371324264</v>
      </c>
      <c r="M18" s="1"/>
      <c r="N18" s="1" t="str">
        <f t="shared" si="2"/>
        <v>million</v>
      </c>
      <c r="O18" s="1"/>
      <c r="P18" s="1"/>
    </row>
    <row r="19" spans="1:16" x14ac:dyDescent="0.25">
      <c r="A19" s="1" t="str">
        <v>CA</v>
      </c>
      <c r="B19" s="28">
        <v>1551.0220066521085</v>
      </c>
      <c r="C19" s="28">
        <v>1565.812814095447</v>
      </c>
      <c r="D19" s="28">
        <v>1554.8865861993577</v>
      </c>
      <c r="E19" s="28">
        <v>1499.8088281862672</v>
      </c>
      <c r="F19" s="28">
        <v>1402.2978246858254</v>
      </c>
      <c r="G19" s="28">
        <v>1066.2162737339925</v>
      </c>
      <c r="H19" s="28">
        <v>743.81378148906072</v>
      </c>
      <c r="I19" s="28">
        <v>743.81378148906072</v>
      </c>
      <c r="J19" s="28">
        <v>743.81378148906072</v>
      </c>
      <c r="K19" s="28">
        <v>743.81378148906072</v>
      </c>
      <c r="L19" s="28">
        <v>743.81378148906072</v>
      </c>
      <c r="M19" s="1"/>
      <c r="N19" s="1" t="str">
        <f t="shared" si="2"/>
        <v>million</v>
      </c>
      <c r="O19" s="1"/>
      <c r="P19" s="1"/>
    </row>
    <row r="20" spans="1:16" x14ac:dyDescent="0.25">
      <c r="A20" s="1" t="str">
        <v>IA</v>
      </c>
      <c r="B20" s="28">
        <v>2212.9144884903135</v>
      </c>
      <c r="C20" s="28">
        <v>2318.8952673540048</v>
      </c>
      <c r="D20" s="28">
        <v>2479.0302164281702</v>
      </c>
      <c r="E20" s="28">
        <v>2577.4269345340854</v>
      </c>
      <c r="F20" s="28">
        <v>2603.3174979246187</v>
      </c>
      <c r="G20" s="28">
        <v>2390.8328165439275</v>
      </c>
      <c r="H20" s="28">
        <v>1946.0401991499709</v>
      </c>
      <c r="I20" s="28">
        <v>1946.0401991499709</v>
      </c>
      <c r="J20" s="28">
        <v>1946.0401991499709</v>
      </c>
      <c r="K20" s="28">
        <v>1946.0401991499709</v>
      </c>
      <c r="L20" s="28">
        <v>1946.0401991499709</v>
      </c>
      <c r="M20" s="1"/>
      <c r="N20" s="1" t="str">
        <f t="shared" si="2"/>
        <v>million</v>
      </c>
      <c r="O20" s="1"/>
      <c r="P20" s="1"/>
    </row>
    <row r="21" spans="1:16" x14ac:dyDescent="0.25">
      <c r="A21" s="1" t="str">
        <v>AF</v>
      </c>
      <c r="B21" s="28">
        <v>1322.8725553904035</v>
      </c>
      <c r="C21" s="28">
        <v>1444.1652118387431</v>
      </c>
      <c r="D21" s="28">
        <v>1677.6646627169848</v>
      </c>
      <c r="E21" s="28">
        <v>1908.9722291410465</v>
      </c>
      <c r="F21" s="28">
        <v>2114.9647841090391</v>
      </c>
      <c r="G21" s="28">
        <v>2468.3740109268997</v>
      </c>
      <c r="H21" s="28">
        <v>2530.8295820200815</v>
      </c>
      <c r="I21" s="28">
        <v>2530.8295820200815</v>
      </c>
      <c r="J21" s="28">
        <v>2530.8295820200815</v>
      </c>
      <c r="K21" s="28">
        <v>2530.8295820200815</v>
      </c>
      <c r="L21" s="28">
        <v>2530.8295820200815</v>
      </c>
      <c r="M21" s="1"/>
      <c r="N21" s="1" t="str">
        <f t="shared" si="2"/>
        <v>million</v>
      </c>
      <c r="O21" s="1"/>
      <c r="P21" s="1"/>
    </row>
    <row r="22" spans="1:16" ht="13" thickBot="1" x14ac:dyDescent="0.3">
      <c r="A22" s="1" t="str">
        <v>LA</v>
      </c>
      <c r="B22" s="36">
        <v>608.72716292867517</v>
      </c>
      <c r="C22" s="36">
        <v>633.78324706768512</v>
      </c>
      <c r="D22" s="36">
        <v>674.19245057755575</v>
      </c>
      <c r="E22" s="36">
        <v>700.25432292495304</v>
      </c>
      <c r="F22" s="36">
        <v>705.87656791676932</v>
      </c>
      <c r="G22" s="36">
        <v>659.74216517734123</v>
      </c>
      <c r="H22" s="36">
        <v>557.68007510411474</v>
      </c>
      <c r="I22" s="36">
        <v>557.68007510411474</v>
      </c>
      <c r="J22" s="36">
        <v>557.68007510411474</v>
      </c>
      <c r="K22" s="36">
        <v>557.68007510411474</v>
      </c>
      <c r="L22" s="36">
        <v>557.68007510411474</v>
      </c>
      <c r="M22" s="1"/>
      <c r="N22" s="1" t="str">
        <f t="shared" si="2"/>
        <v>million</v>
      </c>
      <c r="O22" s="1"/>
      <c r="P22" s="1"/>
    </row>
    <row r="23" spans="1:16" ht="14" thickTop="1" thickBot="1" x14ac:dyDescent="0.35">
      <c r="A23" s="44" t="s">
        <v>206</v>
      </c>
      <c r="B23" s="36">
        <f t="shared" ref="B23:L23" si="3">SUM(B15:B22)</f>
        <v>7101.0956647677795</v>
      </c>
      <c r="C23" s="36">
        <f t="shared" si="3"/>
        <v>7389.4087001096041</v>
      </c>
      <c r="D23" s="36">
        <f t="shared" si="3"/>
        <v>7841.4943530950513</v>
      </c>
      <c r="E23" s="36">
        <f t="shared" si="3"/>
        <v>8157.4266006677308</v>
      </c>
      <c r="F23" s="36">
        <f t="shared" si="3"/>
        <v>8298.8816386526396</v>
      </c>
      <c r="G23" s="36">
        <f t="shared" si="3"/>
        <v>8001.6460403881765</v>
      </c>
      <c r="H23" s="36">
        <f t="shared" si="3"/>
        <v>7083.838250011383</v>
      </c>
      <c r="I23" s="36">
        <f t="shared" si="3"/>
        <v>7083.838250011383</v>
      </c>
      <c r="J23" s="36">
        <f t="shared" si="3"/>
        <v>7083.838250011383</v>
      </c>
      <c r="K23" s="36">
        <f t="shared" si="3"/>
        <v>7083.838250011383</v>
      </c>
      <c r="L23" s="36">
        <f t="shared" si="3"/>
        <v>7083.838250011383</v>
      </c>
      <c r="M23" s="1"/>
      <c r="N23" s="1" t="str">
        <f t="shared" si="2"/>
        <v>million</v>
      </c>
      <c r="O23" s="1"/>
      <c r="P23" s="1"/>
    </row>
    <row r="24" spans="1:16" ht="14" thickTop="1" thickBot="1" x14ac:dyDescent="0.35">
      <c r="A24" s="44" t="s">
        <v>207</v>
      </c>
      <c r="B24" s="44"/>
      <c r="C24" s="35">
        <f>((POP_G_1/POP_G_0)^(1/YP_1)-1)*100</f>
        <v>0.79914882567964085</v>
      </c>
      <c r="D24" s="35">
        <f t="array" ref="D24:L24">((POP_G_NOT_1/POP_G)^(1/YP_NOT_1)-1)*100</f>
        <v>0.59558363062952591</v>
      </c>
      <c r="E24" s="35">
        <v>0.3957744187373935</v>
      </c>
      <c r="F24" s="35">
        <v>0.17206798456930184</v>
      </c>
      <c r="G24" s="35">
        <v>-0.14578757782912621</v>
      </c>
      <c r="H24" s="35">
        <v>-0.4861400517377934</v>
      </c>
      <c r="I24" s="35">
        <v>0</v>
      </c>
      <c r="J24" s="35">
        <v>0</v>
      </c>
      <c r="K24" s="35">
        <v>0</v>
      </c>
      <c r="L24" s="35">
        <v>0</v>
      </c>
      <c r="M24" s="1"/>
      <c r="N24" s="1" t="s">
        <v>40</v>
      </c>
      <c r="O24" s="1"/>
      <c r="P24" s="1"/>
    </row>
    <row r="25" spans="1:16" ht="13.5" thickTop="1" x14ac:dyDescent="0.3">
      <c r="A25" s="2" t="s">
        <v>141</v>
      </c>
      <c r="B25" s="2"/>
      <c r="O25" s="1"/>
      <c r="P25" s="1"/>
    </row>
    <row r="26" spans="1:16" x14ac:dyDescent="0.25">
      <c r="A26" s="1" t="str">
        <f t="array" ref="A26:A33">R_CODE</f>
        <v>EU</v>
      </c>
      <c r="B26" s="27">
        <f t="array" ref="B26:B33">GDP_0/POP_0</f>
        <v>34298.936986729554</v>
      </c>
      <c r="C26" s="27">
        <f t="array" ref="C26:L33">GDP/POP</f>
        <v>36854.044123089378</v>
      </c>
      <c r="D26" s="27">
        <v>42511.229343655395</v>
      </c>
      <c r="E26" s="27">
        <v>50067.551305436216</v>
      </c>
      <c r="F26" s="27">
        <v>59031.766939440313</v>
      </c>
      <c r="G26" s="27">
        <v>90269.896584361617</v>
      </c>
      <c r="H26" s="27">
        <v>137428.99621439705</v>
      </c>
      <c r="I26" s="27">
        <v>262791.15191456513</v>
      </c>
      <c r="J26" s="27">
        <v>448356.45715830353</v>
      </c>
      <c r="K26" s="27">
        <v>696287.04400997004</v>
      </c>
      <c r="L26" s="27">
        <v>1000624.0458264147</v>
      </c>
      <c r="M26" s="1"/>
      <c r="N26" s="1" t="str">
        <f t="shared" ref="N26:N34" si="4">CURRENCY_NAME&amp;"/"&amp;POP_UNIT_NAME</f>
        <v>$M(2015)/million</v>
      </c>
      <c r="O26" s="1"/>
      <c r="P26" s="1"/>
    </row>
    <row r="27" spans="1:16" x14ac:dyDescent="0.25">
      <c r="A27" s="1" t="str">
        <v>US</v>
      </c>
      <c r="B27" s="28">
        <v>52768.87520787424</v>
      </c>
      <c r="C27" s="28">
        <v>58048.267309118288</v>
      </c>
      <c r="D27" s="28">
        <v>66642.606744648292</v>
      </c>
      <c r="E27" s="28">
        <v>74519.067183356412</v>
      </c>
      <c r="F27" s="28">
        <v>83009.093356033409</v>
      </c>
      <c r="G27" s="28">
        <v>110909.56679282134</v>
      </c>
      <c r="H27" s="28">
        <v>156197.03964842251</v>
      </c>
      <c r="I27" s="28">
        <v>314811.65675557242</v>
      </c>
      <c r="J27" s="28">
        <v>591051.06110731012</v>
      </c>
      <c r="K27" s="28">
        <v>1041106.5673860754</v>
      </c>
      <c r="L27" s="28">
        <v>1731620.0391033248</v>
      </c>
      <c r="M27" s="1"/>
      <c r="N27" s="1" t="str">
        <f t="shared" si="4"/>
        <v>$M(2015)/million</v>
      </c>
      <c r="O27" s="1"/>
      <c r="P27" s="1"/>
    </row>
    <row r="28" spans="1:16" x14ac:dyDescent="0.25">
      <c r="A28" s="1" t="str">
        <v>OT</v>
      </c>
      <c r="B28" s="28">
        <v>34034.764399069376</v>
      </c>
      <c r="C28" s="28">
        <v>37198.043226255315</v>
      </c>
      <c r="D28" s="28">
        <v>44143.129765746351</v>
      </c>
      <c r="E28" s="28">
        <v>51937.574782188116</v>
      </c>
      <c r="F28" s="28">
        <v>61122.115170804253</v>
      </c>
      <c r="G28" s="28">
        <v>93069.304729693162</v>
      </c>
      <c r="H28" s="28">
        <v>141163.21863389027</v>
      </c>
      <c r="I28" s="28">
        <v>226070.42814210372</v>
      </c>
      <c r="J28" s="28">
        <v>305055.34922467958</v>
      </c>
      <c r="K28" s="28">
        <v>369088.27341542568</v>
      </c>
      <c r="L28" s="28">
        <v>416610.62571674521</v>
      </c>
      <c r="M28" s="1"/>
      <c r="N28" s="1" t="str">
        <f t="shared" si="4"/>
        <v>$M(2015)/million</v>
      </c>
      <c r="O28" s="1"/>
      <c r="P28" s="1"/>
    </row>
    <row r="29" spans="1:16" x14ac:dyDescent="0.25">
      <c r="A29" s="1" t="str">
        <v>EE</v>
      </c>
      <c r="B29" s="28">
        <v>13542.833113714327</v>
      </c>
      <c r="C29" s="28">
        <v>16685.626349747483</v>
      </c>
      <c r="D29" s="28">
        <v>24958.985429200078</v>
      </c>
      <c r="E29" s="28">
        <v>34498.818301094921</v>
      </c>
      <c r="F29" s="28">
        <v>42882.56406241667</v>
      </c>
      <c r="G29" s="28">
        <v>68020.01683771667</v>
      </c>
      <c r="H29" s="28">
        <v>101482.92745356525</v>
      </c>
      <c r="I29" s="28">
        <v>139208.23506976091</v>
      </c>
      <c r="J29" s="28">
        <v>159864.40374674273</v>
      </c>
      <c r="K29" s="28">
        <v>169834.83671811683</v>
      </c>
      <c r="L29" s="28">
        <v>174385.90507866786</v>
      </c>
      <c r="M29" s="1"/>
      <c r="N29" s="1" t="str">
        <f t="shared" si="4"/>
        <v>$M(2015)/million</v>
      </c>
      <c r="O29" s="1"/>
      <c r="P29" s="1"/>
    </row>
    <row r="30" spans="1:16" x14ac:dyDescent="0.25">
      <c r="A30" s="1" t="str">
        <v>CA</v>
      </c>
      <c r="B30" s="28">
        <v>9698.5263611013015</v>
      </c>
      <c r="C30" s="28">
        <v>14666.51779145671</v>
      </c>
      <c r="D30" s="28">
        <v>27439.502196383328</v>
      </c>
      <c r="E30" s="28">
        <v>41826.190622140537</v>
      </c>
      <c r="F30" s="28">
        <v>56156.533957308471</v>
      </c>
      <c r="G30" s="28">
        <v>86843.982041345007</v>
      </c>
      <c r="H30" s="28">
        <v>122325.78185661015</v>
      </c>
      <c r="I30" s="28">
        <v>118116.98989109718</v>
      </c>
      <c r="J30" s="28">
        <v>114053.00738063215</v>
      </c>
      <c r="K30" s="28">
        <v>110128.85195059468</v>
      </c>
      <c r="L30" s="28">
        <v>106339.71265202755</v>
      </c>
      <c r="M30" s="1"/>
      <c r="N30" s="1" t="str">
        <f t="shared" si="4"/>
        <v>$M(2015)/million</v>
      </c>
      <c r="O30" s="1"/>
      <c r="P30" s="1"/>
    </row>
    <row r="31" spans="1:16" x14ac:dyDescent="0.25">
      <c r="A31" s="1" t="str">
        <v>IA</v>
      </c>
      <c r="B31" s="28">
        <v>5323.3953456096951</v>
      </c>
      <c r="C31" s="28">
        <v>6989.6355182865836</v>
      </c>
      <c r="D31" s="28">
        <v>12021.794527327047</v>
      </c>
      <c r="E31" s="28">
        <v>19751.012092208122</v>
      </c>
      <c r="F31" s="28">
        <v>30164.86320261845</v>
      </c>
      <c r="G31" s="28">
        <v>66150.173641454254</v>
      </c>
      <c r="H31" s="28">
        <v>115901.49203087097</v>
      </c>
      <c r="I31" s="28">
        <v>192008.99523675503</v>
      </c>
      <c r="J31" s="28">
        <v>218330.37900706826</v>
      </c>
      <c r="K31" s="28">
        <v>225565.68524784982</v>
      </c>
      <c r="L31" s="28">
        <v>227438.32719596793</v>
      </c>
      <c r="M31" s="1"/>
      <c r="N31" s="1" t="str">
        <f t="shared" si="4"/>
        <v>$M(2015)/million</v>
      </c>
      <c r="O31" s="1"/>
      <c r="P31" s="1"/>
    </row>
    <row r="32" spans="1:16" x14ac:dyDescent="0.25">
      <c r="A32" s="1" t="str">
        <v>AF</v>
      </c>
      <c r="B32" s="28">
        <v>5372.4765956417641</v>
      </c>
      <c r="C32" s="28">
        <v>6188.7317502897304</v>
      </c>
      <c r="D32" s="28">
        <v>8538.2573151406668</v>
      </c>
      <c r="E32" s="28">
        <v>12398.454583224764</v>
      </c>
      <c r="F32" s="28">
        <v>18438.15866057741</v>
      </c>
      <c r="G32" s="28">
        <v>48629.727536649443</v>
      </c>
      <c r="H32" s="28">
        <v>104494.72096352772</v>
      </c>
      <c r="I32" s="28">
        <v>392378.90719786263</v>
      </c>
      <c r="J32" s="28">
        <v>750617.76278797316</v>
      </c>
      <c r="K32" s="28">
        <v>1030525.6950207159</v>
      </c>
      <c r="L32" s="28">
        <v>1202799.2577510071</v>
      </c>
      <c r="M32" s="1"/>
      <c r="N32" s="1" t="str">
        <f t="shared" si="4"/>
        <v>$M(2015)/million</v>
      </c>
      <c r="O32" s="1"/>
      <c r="P32" s="1"/>
    </row>
    <row r="33" spans="1:16" ht="13" thickBot="1" x14ac:dyDescent="0.3">
      <c r="A33" s="1" t="str">
        <v>LA</v>
      </c>
      <c r="B33" s="36">
        <v>12669.79887906751</v>
      </c>
      <c r="C33" s="36">
        <v>14698.876858724947</v>
      </c>
      <c r="D33" s="36">
        <v>19909.763564064957</v>
      </c>
      <c r="E33" s="36">
        <v>27196.599560692648</v>
      </c>
      <c r="F33" s="36">
        <v>36826.036105540261</v>
      </c>
      <c r="G33" s="36">
        <v>71460.928065953165</v>
      </c>
      <c r="H33" s="36">
        <v>123267.33094102039</v>
      </c>
      <c r="I33" s="36">
        <v>224597.61747199256</v>
      </c>
      <c r="J33" s="36">
        <v>285382.12689160317</v>
      </c>
      <c r="K33" s="36">
        <v>313953.38044711627</v>
      </c>
      <c r="L33" s="36">
        <v>326105.69681845268</v>
      </c>
      <c r="M33" s="1"/>
      <c r="N33" s="1" t="str">
        <f t="shared" si="4"/>
        <v>$M(2015)/million</v>
      </c>
      <c r="O33" s="1"/>
      <c r="P33" s="1"/>
    </row>
    <row r="34" spans="1:16" ht="14" thickTop="1" thickBot="1" x14ac:dyDescent="0.35">
      <c r="A34" s="44" t="s">
        <v>142</v>
      </c>
      <c r="B34" s="36">
        <f>GDP_G_0/POP_G_0</f>
        <v>12570.103365967212</v>
      </c>
      <c r="C34" s="36">
        <f t="array" ref="C34:L34">GDP_G/POP_G</f>
        <v>15009.216002844105</v>
      </c>
      <c r="D34" s="36">
        <v>21148.538731736102</v>
      </c>
      <c r="E34" s="36">
        <v>28829.707075886417</v>
      </c>
      <c r="F34" s="36">
        <v>37922.074575873659</v>
      </c>
      <c r="G34" s="36">
        <v>68756.021806258053</v>
      </c>
      <c r="H34" s="36">
        <v>117352.05680101318</v>
      </c>
      <c r="I34" s="36">
        <v>270149.40027198585</v>
      </c>
      <c r="J34" s="36">
        <v>441685.28693356324</v>
      </c>
      <c r="K34" s="36">
        <v>591427.64116704324</v>
      </c>
      <c r="L34" s="36">
        <v>717754.73745313694</v>
      </c>
      <c r="M34" s="1"/>
      <c r="N34" s="1" t="str">
        <f t="shared" si="4"/>
        <v>$M(2015)/million</v>
      </c>
      <c r="O34" s="1"/>
      <c r="P34" s="1"/>
    </row>
    <row r="35" spans="1:16" ht="14" thickTop="1" thickBot="1" x14ac:dyDescent="0.35">
      <c r="A35" s="44" t="s">
        <v>143</v>
      </c>
      <c r="B35" s="44"/>
      <c r="C35" s="35">
        <f t="array" ref="C35:L35">GRW_G-POP_GRW_G</f>
        <v>3.6393682357459767</v>
      </c>
      <c r="D35" s="35">
        <v>3.5093113463306791</v>
      </c>
      <c r="E35" s="35">
        <v>3.1593084523162229</v>
      </c>
      <c r="F35" s="35">
        <v>2.7839709392094125</v>
      </c>
      <c r="G35" s="35">
        <v>2.4051632130092093</v>
      </c>
      <c r="H35" s="35">
        <v>2.1509775024854072</v>
      </c>
      <c r="I35" s="35">
        <v>1.6815753332093397</v>
      </c>
      <c r="J35" s="35">
        <v>0.98809467021059305</v>
      </c>
      <c r="K35" s="35">
        <v>0.58559139582521347</v>
      </c>
      <c r="L35" s="35">
        <v>0.387927648087949</v>
      </c>
      <c r="M35" s="1"/>
      <c r="N35" s="1" t="s">
        <v>40</v>
      </c>
      <c r="O35" s="1"/>
      <c r="P35" s="1"/>
    </row>
    <row r="36" spans="1:16" ht="13.5" thickTop="1" x14ac:dyDescent="0.3">
      <c r="A36" s="2" t="s">
        <v>219</v>
      </c>
      <c r="B36" s="2"/>
      <c r="O36" s="1"/>
      <c r="P36" s="1"/>
    </row>
    <row r="37" spans="1:16" x14ac:dyDescent="0.25">
      <c r="A37" s="1" t="str">
        <f t="array" ref="A37:A44">R_CODE</f>
        <v>EU</v>
      </c>
      <c r="B37" s="27">
        <f t="array" aca="1" ref="B37:B44" ca="1">GDP_PER_CAP_0*(1-SAVE/100)</f>
        <v>29154.09643872012</v>
      </c>
      <c r="C37" s="27">
        <f t="array" aca="1" ref="C37:L44" ca="1">GDP_PER_CAP*(1-SAVE/100)</f>
        <v>31325.93750462597</v>
      </c>
      <c r="D37" s="27">
        <f ca="1"/>
        <v>36134.544942107088</v>
      </c>
      <c r="E37" s="27">
        <f ca="1"/>
        <v>42557.418609620785</v>
      </c>
      <c r="F37" s="27">
        <f ca="1"/>
        <v>50177.001898524264</v>
      </c>
      <c r="G37" s="27">
        <f ca="1"/>
        <v>76729.412096707369</v>
      </c>
      <c r="H37" s="27">
        <f ca="1"/>
        <v>116814.64678223748</v>
      </c>
      <c r="I37" s="27">
        <f ca="1"/>
        <v>223372.47912738036</v>
      </c>
      <c r="J37" s="27">
        <f ca="1"/>
        <v>381102.98858455801</v>
      </c>
      <c r="K37" s="27">
        <f ca="1"/>
        <v>591843.98740847455</v>
      </c>
      <c r="L37" s="27">
        <f ca="1"/>
        <v>850530.4389524525</v>
      </c>
      <c r="M37" s="1"/>
      <c r="N37" s="1" t="str">
        <f t="shared" ref="N37:N45" si="5">CURRENCY_NAME&amp;"/"&amp;POP_UNIT_NAME</f>
        <v>$M(2015)/million</v>
      </c>
      <c r="O37" s="1"/>
      <c r="P37" s="1"/>
    </row>
    <row r="38" spans="1:16" x14ac:dyDescent="0.25">
      <c r="A38" s="1" t="str">
        <v>US</v>
      </c>
      <c r="B38" s="28">
        <f ca="1"/>
        <v>44853.543926693106</v>
      </c>
      <c r="C38" s="28">
        <f ca="1"/>
        <v>49341.027212750545</v>
      </c>
      <c r="D38" s="28">
        <f ca="1"/>
        <v>56646.215732951045</v>
      </c>
      <c r="E38" s="28">
        <f ca="1"/>
        <v>63341.207105852947</v>
      </c>
      <c r="F38" s="28">
        <f ca="1"/>
        <v>70557.72935262839</v>
      </c>
      <c r="G38" s="28">
        <f ca="1"/>
        <v>94273.131773898131</v>
      </c>
      <c r="H38" s="28">
        <f ca="1"/>
        <v>132767.48370115913</v>
      </c>
      <c r="I38" s="28">
        <f ca="1"/>
        <v>267589.90824223653</v>
      </c>
      <c r="J38" s="28">
        <f ca="1"/>
        <v>502393.40194121358</v>
      </c>
      <c r="K38" s="28">
        <f ca="1"/>
        <v>884940.5822781641</v>
      </c>
      <c r="L38" s="28">
        <f ca="1"/>
        <v>1471877.0332378261</v>
      </c>
      <c r="M38" s="1"/>
      <c r="N38" s="1" t="str">
        <f t="shared" si="5"/>
        <v>$M(2015)/million</v>
      </c>
      <c r="O38" s="1"/>
      <c r="P38" s="1"/>
    </row>
    <row r="39" spans="1:16" x14ac:dyDescent="0.25">
      <c r="A39" s="1" t="str">
        <v>OT</v>
      </c>
      <c r="B39" s="28">
        <f ca="1"/>
        <v>28929.549739208967</v>
      </c>
      <c r="C39" s="28">
        <f ca="1"/>
        <v>31618.336742317017</v>
      </c>
      <c r="D39" s="28">
        <f ca="1"/>
        <v>37521.660300884396</v>
      </c>
      <c r="E39" s="28">
        <f ca="1"/>
        <v>44146.938564859898</v>
      </c>
      <c r="F39" s="28">
        <f ca="1"/>
        <v>51953.797895183612</v>
      </c>
      <c r="G39" s="28">
        <f ca="1"/>
        <v>79108.909020239182</v>
      </c>
      <c r="H39" s="28">
        <f ca="1"/>
        <v>119988.73583880672</v>
      </c>
      <c r="I39" s="28">
        <f ca="1"/>
        <v>192159.86392078816</v>
      </c>
      <c r="J39" s="28">
        <f ca="1"/>
        <v>259297.04684097762</v>
      </c>
      <c r="K39" s="28">
        <f ca="1"/>
        <v>313725.03240311181</v>
      </c>
      <c r="L39" s="28">
        <f ca="1"/>
        <v>354119.03185923339</v>
      </c>
      <c r="M39" s="1"/>
      <c r="N39" s="1" t="str">
        <f t="shared" si="5"/>
        <v>$M(2015)/million</v>
      </c>
      <c r="O39" s="1"/>
      <c r="P39" s="1"/>
    </row>
    <row r="40" spans="1:16" x14ac:dyDescent="0.25">
      <c r="A40" s="1" t="str">
        <v>EE</v>
      </c>
      <c r="B40" s="28">
        <f ca="1"/>
        <v>11511.408146657177</v>
      </c>
      <c r="C40" s="28">
        <f ca="1"/>
        <v>14182.78239728536</v>
      </c>
      <c r="D40" s="28">
        <f ca="1"/>
        <v>21215.137614820065</v>
      </c>
      <c r="E40" s="28">
        <f ca="1"/>
        <v>29323.995555930684</v>
      </c>
      <c r="F40" s="28">
        <f ca="1"/>
        <v>36450.179453054167</v>
      </c>
      <c r="G40" s="28">
        <f ca="1"/>
        <v>57817.014312059167</v>
      </c>
      <c r="H40" s="28">
        <f ca="1"/>
        <v>86260.488335530463</v>
      </c>
      <c r="I40" s="28">
        <f ca="1"/>
        <v>118326.99980929677</v>
      </c>
      <c r="J40" s="28">
        <f ca="1"/>
        <v>135884.74318473131</v>
      </c>
      <c r="K40" s="28">
        <f ca="1"/>
        <v>144359.61121039931</v>
      </c>
      <c r="L40" s="28">
        <f ca="1"/>
        <v>148228.01931686766</v>
      </c>
      <c r="M40" s="1"/>
      <c r="N40" s="1" t="str">
        <f t="shared" si="5"/>
        <v>$M(2015)/million</v>
      </c>
      <c r="O40" s="1"/>
      <c r="P40" s="1"/>
    </row>
    <row r="41" spans="1:16" x14ac:dyDescent="0.25">
      <c r="A41" s="1" t="str">
        <v>CA</v>
      </c>
      <c r="B41" s="28">
        <f ca="1"/>
        <v>8243.7474069361069</v>
      </c>
      <c r="C41" s="28">
        <f ca="1"/>
        <v>12466.540122738203</v>
      </c>
      <c r="D41" s="28">
        <f ca="1"/>
        <v>23323.576866925829</v>
      </c>
      <c r="E41" s="28">
        <f ca="1"/>
        <v>35552.262028819452</v>
      </c>
      <c r="F41" s="28">
        <f ca="1"/>
        <v>47733.053863712201</v>
      </c>
      <c r="G41" s="28">
        <f ca="1"/>
        <v>73817.384735143249</v>
      </c>
      <c r="H41" s="28">
        <f ca="1"/>
        <v>103976.91457811862</v>
      </c>
      <c r="I41" s="28">
        <f ca="1"/>
        <v>100399.44140743261</v>
      </c>
      <c r="J41" s="28">
        <f ca="1"/>
        <v>96945.056273537324</v>
      </c>
      <c r="K41" s="28">
        <f ca="1"/>
        <v>93609.524158005472</v>
      </c>
      <c r="L41" s="28">
        <f ca="1"/>
        <v>90388.755754223414</v>
      </c>
      <c r="M41" s="1"/>
      <c r="N41" s="1" t="str">
        <f t="shared" si="5"/>
        <v>$M(2015)/million</v>
      </c>
      <c r="O41" s="1"/>
      <c r="P41" s="1"/>
    </row>
    <row r="42" spans="1:16" x14ac:dyDescent="0.25">
      <c r="A42" s="1" t="str">
        <v>IA</v>
      </c>
      <c r="B42" s="28">
        <f ca="1"/>
        <v>4524.8860437682406</v>
      </c>
      <c r="C42" s="28">
        <f ca="1"/>
        <v>5941.1901905435961</v>
      </c>
      <c r="D42" s="28">
        <f ca="1"/>
        <v>10218.52534822799</v>
      </c>
      <c r="E42" s="28">
        <f ca="1"/>
        <v>16788.360278376902</v>
      </c>
      <c r="F42" s="28">
        <f ca="1"/>
        <v>25640.133722225681</v>
      </c>
      <c r="G42" s="28">
        <f ca="1"/>
        <v>56227.647595236114</v>
      </c>
      <c r="H42" s="28">
        <f ca="1"/>
        <v>98516.268226240325</v>
      </c>
      <c r="I42" s="28">
        <f ca="1"/>
        <v>163207.64595124178</v>
      </c>
      <c r="J42" s="28">
        <f ca="1"/>
        <v>185580.82215600801</v>
      </c>
      <c r="K42" s="28">
        <f ca="1"/>
        <v>191730.83246067233</v>
      </c>
      <c r="L42" s="28">
        <f ca="1"/>
        <v>193322.57811657272</v>
      </c>
      <c r="M42" s="1"/>
      <c r="N42" s="1" t="str">
        <f t="shared" si="5"/>
        <v>$M(2015)/million</v>
      </c>
      <c r="O42" s="1"/>
      <c r="P42" s="1"/>
    </row>
    <row r="43" spans="1:16" x14ac:dyDescent="0.25">
      <c r="A43" s="1" t="str">
        <v>AF</v>
      </c>
      <c r="B43" s="28">
        <f ca="1"/>
        <v>4566.6051062954994</v>
      </c>
      <c r="C43" s="28">
        <f ca="1"/>
        <v>5260.421987746271</v>
      </c>
      <c r="D43" s="28">
        <f ca="1"/>
        <v>7257.5187178695669</v>
      </c>
      <c r="E43" s="28">
        <f ca="1"/>
        <v>10538.68639574105</v>
      </c>
      <c r="F43" s="28">
        <f ca="1"/>
        <v>15672.434861490798</v>
      </c>
      <c r="G43" s="28">
        <f ca="1"/>
        <v>41335.268406152027</v>
      </c>
      <c r="H43" s="28">
        <f ca="1"/>
        <v>88820.51281899857</v>
      </c>
      <c r="I43" s="28">
        <f ca="1"/>
        <v>333522.0711181832</v>
      </c>
      <c r="J43" s="28">
        <f ca="1"/>
        <v>638025.0983697772</v>
      </c>
      <c r="K43" s="28">
        <f ca="1"/>
        <v>875946.84076760849</v>
      </c>
      <c r="L43" s="28">
        <f ca="1"/>
        <v>1022379.369088356</v>
      </c>
      <c r="M43" s="1"/>
      <c r="N43" s="1" t="str">
        <f t="shared" si="5"/>
        <v>$M(2015)/million</v>
      </c>
      <c r="O43" s="1"/>
      <c r="P43" s="1"/>
    </row>
    <row r="44" spans="1:16" ht="13" thickBot="1" x14ac:dyDescent="0.3">
      <c r="A44" s="1" t="str">
        <v>LA</v>
      </c>
      <c r="B44" s="36">
        <f ca="1"/>
        <v>10769.329047207382</v>
      </c>
      <c r="C44" s="36">
        <f ca="1"/>
        <v>12494.045329916205</v>
      </c>
      <c r="D44" s="36">
        <f ca="1"/>
        <v>16923.299029455215</v>
      </c>
      <c r="E44" s="36">
        <f ca="1"/>
        <v>23117.10962658875</v>
      </c>
      <c r="F44" s="36">
        <f ca="1"/>
        <v>31302.130689709222</v>
      </c>
      <c r="G44" s="36">
        <f ca="1"/>
        <v>60741.788856060186</v>
      </c>
      <c r="H44" s="36">
        <f ca="1"/>
        <v>104777.23129986733</v>
      </c>
      <c r="I44" s="36">
        <f ca="1"/>
        <v>190907.97485119366</v>
      </c>
      <c r="J44" s="36">
        <f ca="1"/>
        <v>242574.80785786267</v>
      </c>
      <c r="K44" s="36">
        <f ca="1"/>
        <v>266860.37338004884</v>
      </c>
      <c r="L44" s="36">
        <f ca="1"/>
        <v>277189.84229568479</v>
      </c>
      <c r="M44" s="1"/>
      <c r="N44" s="1" t="str">
        <f t="shared" si="5"/>
        <v>$M(2015)/million</v>
      </c>
      <c r="O44" s="1"/>
      <c r="P44" s="1"/>
    </row>
    <row r="45" spans="1:16" ht="14" thickTop="1" thickBot="1" x14ac:dyDescent="0.35">
      <c r="A45" s="44" t="s">
        <v>142</v>
      </c>
      <c r="B45" s="36">
        <f ca="1">GDP_PER_CAP_G_0*(1-SAVE/100)</f>
        <v>10684.58786107213</v>
      </c>
      <c r="C45" s="36">
        <f t="array" aca="1" ref="C45:L45" ca="1">GDP_PER_CAP_G*(1-SAVE/100)</f>
        <v>12757.83360241749</v>
      </c>
      <c r="D45" s="36">
        <f ca="1"/>
        <v>17976.257921975684</v>
      </c>
      <c r="E45" s="36">
        <f ca="1"/>
        <v>24505.251014503454</v>
      </c>
      <c r="F45" s="36">
        <f ca="1"/>
        <v>32233.763389492611</v>
      </c>
      <c r="G45" s="36">
        <f ca="1"/>
        <v>58442.618535319343</v>
      </c>
      <c r="H45" s="36">
        <f ca="1"/>
        <v>99749.248280861197</v>
      </c>
      <c r="I45" s="36">
        <f ca="1"/>
        <v>229626.99023118796</v>
      </c>
      <c r="J45" s="36">
        <f ca="1"/>
        <v>375432.49389352876</v>
      </c>
      <c r="K45" s="36">
        <f ca="1"/>
        <v>502713.49499198672</v>
      </c>
      <c r="L45" s="36">
        <f ca="1"/>
        <v>610091.52683516638</v>
      </c>
      <c r="M45" s="1"/>
      <c r="N45" s="1" t="str">
        <f t="shared" si="5"/>
        <v>$M(2015)/million</v>
      </c>
      <c r="O45" s="1"/>
      <c r="P45" s="1"/>
    </row>
    <row r="46" spans="1:16" ht="14" thickTop="1" thickBot="1" x14ac:dyDescent="0.35">
      <c r="A46" s="44" t="s">
        <v>143</v>
      </c>
      <c r="B46" s="44"/>
      <c r="C46" s="35">
        <f ca="1">((CONS_PER_CAP_G_1/CONS_PER_CAP_G_0)^(1/YP_1)-1)*100</f>
        <v>3.610514848731361</v>
      </c>
      <c r="D46" s="35">
        <f t="array" aca="1" ref="D46:L46" ca="1">((CONS_PER_CAP_G_NOT_1/CONS_PER_CAP_G)^(1/YP_NOT_1)-1)*100</f>
        <v>3.4885342076410586</v>
      </c>
      <c r="E46" s="35">
        <f ca="1"/>
        <v>3.1468540091529995</v>
      </c>
      <c r="F46" s="35">
        <f ca="1"/>
        <v>2.7791888449764768</v>
      </c>
      <c r="G46" s="35">
        <f ca="1"/>
        <v>2.4086747616019366</v>
      </c>
      <c r="H46" s="35">
        <f ca="1"/>
        <v>2.1614853484767993</v>
      </c>
      <c r="I46" s="35">
        <f ca="1"/>
        <v>1.6815753332093397</v>
      </c>
      <c r="J46" s="35">
        <f ca="1"/>
        <v>0.98809467021059305</v>
      </c>
      <c r="K46" s="35">
        <f ca="1"/>
        <v>0.58559139582521347</v>
      </c>
      <c r="L46" s="35">
        <f ca="1"/>
        <v>0.387927648087949</v>
      </c>
      <c r="M46" s="1"/>
      <c r="N46" s="1" t="s">
        <v>40</v>
      </c>
      <c r="O46" s="1"/>
      <c r="P46" s="1"/>
    </row>
    <row r="47" spans="1:16" ht="13.5" thickTop="1" x14ac:dyDescent="0.3">
      <c r="A47" s="44" t="s">
        <v>144</v>
      </c>
      <c r="B47" s="44"/>
      <c r="M47" s="1"/>
      <c r="N47" s="1"/>
      <c r="O47" s="1"/>
      <c r="P47" s="1"/>
    </row>
    <row r="48" spans="1:16" x14ac:dyDescent="0.25">
      <c r="A48" s="1" t="str">
        <f t="array" ref="A48:A55">R_CODE</f>
        <v>EU</v>
      </c>
      <c r="B48" s="29">
        <f t="array" aca="1" ref="B48:B55" ca="1">(CONS_PER_CAP_FOCUS_0/CONS_PER_CAP_0)^EMUC</f>
        <v>1</v>
      </c>
      <c r="C48" s="29">
        <f t="array" ref="C48:L55" ca="1">(CONS_PER_CAP_FOCUS_0/CONS_PER_CAP)^EMUC</f>
        <v>0.91959110197069127</v>
      </c>
      <c r="D48" s="29">
        <f ca="1"/>
        <v>0.77846632209681232</v>
      </c>
      <c r="E48" s="29">
        <f ca="1"/>
        <v>0.64319850595599881</v>
      </c>
      <c r="F48" s="29">
        <f ca="1"/>
        <v>0.53075491412873965</v>
      </c>
      <c r="G48" s="29">
        <f ca="1"/>
        <v>0.32336573702496402</v>
      </c>
      <c r="H48" s="29">
        <f ca="1"/>
        <v>0.19803228574471099</v>
      </c>
      <c r="I48" s="29">
        <f ca="1"/>
        <v>9.2956887858512166E-2</v>
      </c>
      <c r="J48" s="29">
        <f ca="1"/>
        <v>4.984253281667634E-2</v>
      </c>
      <c r="K48" s="29">
        <f ca="1"/>
        <v>2.9824584621542083E-2</v>
      </c>
      <c r="L48" s="29">
        <f ca="1"/>
        <v>1.9536406329680015E-2</v>
      </c>
      <c r="M48" s="1"/>
      <c r="N48" s="1"/>
      <c r="O48" s="1"/>
      <c r="P48" s="1"/>
    </row>
    <row r="49" spans="1:16" x14ac:dyDescent="0.25">
      <c r="A49" s="1" t="str">
        <v>US</v>
      </c>
      <c r="B49" s="26">
        <f ca="1"/>
        <v>0.60495066775794137</v>
      </c>
      <c r="C49" s="26">
        <f ca="1"/>
        <v>0.54126087167541348</v>
      </c>
      <c r="D49" s="26">
        <f ca="1"/>
        <v>0.460733861099483</v>
      </c>
      <c r="E49" s="26">
        <f ca="1"/>
        <v>0.40443505554929815</v>
      </c>
      <c r="F49" s="26">
        <f ca="1"/>
        <v>0.35659957526366948</v>
      </c>
      <c r="G49" s="26">
        <f ca="1"/>
        <v>0.25431009099202012</v>
      </c>
      <c r="H49" s="26">
        <f ca="1"/>
        <v>0.17055947035538568</v>
      </c>
      <c r="I49" s="26">
        <f ca="1"/>
        <v>7.5295351433049718E-2</v>
      </c>
      <c r="J49" s="26">
        <f ca="1"/>
        <v>3.610757057749963E-2</v>
      </c>
      <c r="K49" s="26">
        <f ca="1"/>
        <v>1.8653044228785633E-2</v>
      </c>
      <c r="L49" s="26">
        <f ca="1"/>
        <v>1.030305615461235E-2</v>
      </c>
      <c r="M49" s="1"/>
      <c r="N49" s="1"/>
      <c r="O49" s="1"/>
      <c r="P49" s="1"/>
    </row>
    <row r="50" spans="1:16" x14ac:dyDescent="0.25">
      <c r="A50" s="1" t="str">
        <v>OT</v>
      </c>
      <c r="B50" s="26">
        <f ca="1"/>
        <v>1.009061331270162</v>
      </c>
      <c r="C50" s="26">
        <f ca="1"/>
        <v>0.90967723506153242</v>
      </c>
      <c r="D50" s="26">
        <f ca="1"/>
        <v>0.74499575000420071</v>
      </c>
      <c r="E50" s="26">
        <f ca="1"/>
        <v>0.61626214731717666</v>
      </c>
      <c r="F50" s="26">
        <f ca="1"/>
        <v>0.50963901348996599</v>
      </c>
      <c r="G50" s="26">
        <f ca="1"/>
        <v>0.31204691205146806</v>
      </c>
      <c r="H50" s="26">
        <f ca="1"/>
        <v>0.19193416735402352</v>
      </c>
      <c r="I50" s="26">
        <f ca="1"/>
        <v>0.11080084032252714</v>
      </c>
      <c r="J50" s="26">
        <f ca="1"/>
        <v>7.8112226680184263E-2</v>
      </c>
      <c r="K50" s="26">
        <f ca="1"/>
        <v>6.2542535262652771E-2</v>
      </c>
      <c r="L50" s="26">
        <f ca="1"/>
        <v>5.4301109600091192E-2</v>
      </c>
      <c r="M50" s="1"/>
      <c r="N50" s="1"/>
      <c r="O50" s="1"/>
      <c r="P50" s="1"/>
    </row>
    <row r="51" spans="1:16" x14ac:dyDescent="0.25">
      <c r="A51" s="1" t="str">
        <v>EE</v>
      </c>
      <c r="B51" s="26">
        <f ca="1"/>
        <v>2.9568751619559466</v>
      </c>
      <c r="C51" s="26">
        <f ca="1"/>
        <v>2.3178989785547235</v>
      </c>
      <c r="D51" s="26">
        <f ca="1"/>
        <v>1.4489809918241421</v>
      </c>
      <c r="E51" s="26">
        <f ca="1"/>
        <v>0.99324376587313834</v>
      </c>
      <c r="F51" s="26">
        <f ca="1"/>
        <v>0.77060750525059629</v>
      </c>
      <c r="G51" s="26">
        <f ca="1"/>
        <v>0.4498674586599411</v>
      </c>
      <c r="H51" s="26">
        <f ca="1"/>
        <v>0.28207782907408885</v>
      </c>
      <c r="I51" s="26">
        <f ca="1"/>
        <v>0.19508251915775274</v>
      </c>
      <c r="J51" s="26">
        <f ca="1"/>
        <v>0.16600342026419831</v>
      </c>
      <c r="K51" s="26">
        <f ca="1"/>
        <v>0.15469022198653645</v>
      </c>
      <c r="L51" s="26">
        <f ca="1"/>
        <v>0.14999064086030886</v>
      </c>
      <c r="M51" s="1"/>
      <c r="N51" s="1"/>
      <c r="O51" s="1"/>
      <c r="P51" s="1"/>
    </row>
    <row r="52" spans="1:16" x14ac:dyDescent="0.25">
      <c r="A52" s="1" t="str">
        <v>CA</v>
      </c>
      <c r="B52" s="26">
        <f ca="1"/>
        <v>4.3651991442695195</v>
      </c>
      <c r="C52" s="26">
        <f ca="1"/>
        <v>2.6942998158300173</v>
      </c>
      <c r="D52" s="26">
        <f ca="1"/>
        <v>1.2973440693063478</v>
      </c>
      <c r="E52" s="26">
        <f ca="1"/>
        <v>0.79336141091340173</v>
      </c>
      <c r="F52" s="26">
        <f ca="1"/>
        <v>0.56259226882417601</v>
      </c>
      <c r="G52" s="26">
        <f ca="1"/>
        <v>0.33829669377482752</v>
      </c>
      <c r="H52" s="26">
        <f ca="1"/>
        <v>0.22684180973127038</v>
      </c>
      <c r="I52" s="26">
        <f ca="1"/>
        <v>0.23629960977492889</v>
      </c>
      <c r="J52" s="26">
        <f ca="1"/>
        <v>0.24615173739766888</v>
      </c>
      <c r="K52" s="26">
        <f ca="1"/>
        <v>0.25641463344608356</v>
      </c>
      <c r="L52" s="26">
        <f ca="1"/>
        <v>0.26710542424110489</v>
      </c>
      <c r="M52" s="1"/>
      <c r="N52" s="1"/>
      <c r="O52" s="1"/>
      <c r="P52" s="1"/>
    </row>
    <row r="53" spans="1:16" x14ac:dyDescent="0.25">
      <c r="A53" s="1" t="str">
        <v>IA</v>
      </c>
      <c r="B53" s="26">
        <f ca="1"/>
        <v>8.7890229077061548</v>
      </c>
      <c r="C53" s="26">
        <f ca="1"/>
        <v>6.3968154177534213</v>
      </c>
      <c r="D53" s="26">
        <f ca="1"/>
        <v>3.3977904083565771</v>
      </c>
      <c r="E53" s="26">
        <f ca="1"/>
        <v>1.9038812479479224</v>
      </c>
      <c r="F53" s="26">
        <f ca="1"/>
        <v>1.1616514804344902</v>
      </c>
      <c r="G53" s="26">
        <f ca="1"/>
        <v>0.46473774935003448</v>
      </c>
      <c r="H53" s="26">
        <f ca="1"/>
        <v>0.24157773541222208</v>
      </c>
      <c r="I53" s="26">
        <f ca="1"/>
        <v>0.13405579716912616</v>
      </c>
      <c r="J53" s="26">
        <f ca="1"/>
        <v>0.11539692606449324</v>
      </c>
      <c r="K53" s="26">
        <f ca="1"/>
        <v>0.1110901533244794</v>
      </c>
      <c r="L53" s="26">
        <f ca="1"/>
        <v>0.11002376672438928</v>
      </c>
      <c r="M53" s="1"/>
      <c r="N53" s="1"/>
      <c r="O53" s="1"/>
      <c r="P53" s="1"/>
    </row>
    <row r="54" spans="1:16" x14ac:dyDescent="0.25">
      <c r="A54" s="1" t="str">
        <v>AF</v>
      </c>
      <c r="B54" s="26">
        <f ca="1"/>
        <v>8.6954183774140272</v>
      </c>
      <c r="C54" s="26">
        <f ca="1"/>
        <v>7.3726819951817397</v>
      </c>
      <c r="D54" s="26">
        <f ca="1"/>
        <v>5.0648119480831664</v>
      </c>
      <c r="E54" s="26">
        <f ca="1"/>
        <v>3.2776704744249958</v>
      </c>
      <c r="F54" s="26">
        <f ca="1"/>
        <v>2.0629575809767271</v>
      </c>
      <c r="G54" s="26">
        <f ca="1"/>
        <v>0.66543957866192149</v>
      </c>
      <c r="H54" s="26">
        <f ca="1"/>
        <v>0.27261559414020331</v>
      </c>
      <c r="I54" s="26">
        <f ca="1"/>
        <v>5.8233224892512619E-2</v>
      </c>
      <c r="J54" s="26">
        <f ca="1"/>
        <v>2.7321557929126977E-2</v>
      </c>
      <c r="K54" s="26">
        <f ca="1"/>
        <v>1.8876673958541697E-2</v>
      </c>
      <c r="L54" s="26">
        <f ca="1"/>
        <v>1.5761665036284039E-2</v>
      </c>
      <c r="M54" s="1"/>
      <c r="N54" s="1"/>
      <c r="O54" s="6"/>
      <c r="P54" s="1"/>
    </row>
    <row r="55" spans="1:16" ht="13" thickBot="1" x14ac:dyDescent="0.3">
      <c r="A55" s="1" t="str">
        <v>LA</v>
      </c>
      <c r="B55" s="35">
        <f ca="1"/>
        <v>3.195921445427508</v>
      </c>
      <c r="C55" s="35">
        <f ca="1"/>
        <v>2.6873811106547656</v>
      </c>
      <c r="D55" s="35">
        <f ca="1"/>
        <v>1.88618223717234</v>
      </c>
      <c r="E55" s="35">
        <f ca="1"/>
        <v>1.3108723279965542</v>
      </c>
      <c r="F55" s="35">
        <f ca="1"/>
        <v>0.92040711381729667</v>
      </c>
      <c r="G55" s="35">
        <f ca="1"/>
        <v>0.42469845029347136</v>
      </c>
      <c r="H55" s="35">
        <f ca="1"/>
        <v>0.22482164050656414</v>
      </c>
      <c r="I55" s="35">
        <f ca="1"/>
        <v>0.11164898208972268</v>
      </c>
      <c r="J55" s="35">
        <f ca="1"/>
        <v>8.4429886412970542E-2</v>
      </c>
      <c r="K55" s="35">
        <f ca="1"/>
        <v>7.5535552961951108E-2</v>
      </c>
      <c r="L55" s="35">
        <f ca="1"/>
        <v>7.226189069105704E-2</v>
      </c>
      <c r="M55" s="1"/>
      <c r="N55" s="1"/>
      <c r="O55" s="1"/>
      <c r="P55" s="1"/>
    </row>
    <row r="56" spans="1:16" ht="14" thickTop="1" thickBot="1" x14ac:dyDescent="0.35">
      <c r="A56" s="44" t="s">
        <v>142</v>
      </c>
      <c r="B56" s="35">
        <f ca="1">(CONS_PER_CAP_FOCUS_0/CONS_PER_CAP_G_0)^EMUC</f>
        <v>3.2255128761395779</v>
      </c>
      <c r="C56" s="35">
        <f t="array" aca="1" ref="C56:L56" ca="1">(CONS_PER_CAP_FOCUS_0/CONS_PER_CAP_G)^EMUC</f>
        <v>2.6226666556639069</v>
      </c>
      <c r="D56" s="35">
        <f ca="1"/>
        <v>1.7579250088144971</v>
      </c>
      <c r="E56" s="35">
        <f ca="1"/>
        <v>1.224655213467104</v>
      </c>
      <c r="F56" s="35">
        <f ca="1"/>
        <v>0.88944684943063368</v>
      </c>
      <c r="G56" s="35">
        <f ca="1"/>
        <v>0.44425423133119246</v>
      </c>
      <c r="H56" s="35">
        <f ca="1"/>
        <v>0.23809756118746322</v>
      </c>
      <c r="I56" s="35">
        <f ca="1"/>
        <v>9.0009723587127249E-2</v>
      </c>
      <c r="J56" s="35">
        <f ca="1"/>
        <v>5.0721919718740571E-2</v>
      </c>
      <c r="K56" s="35">
        <f ca="1"/>
        <v>3.6080749407940586E-2</v>
      </c>
      <c r="L56" s="35">
        <f ca="1"/>
        <v>2.878648852845141E-2</v>
      </c>
      <c r="M56" s="1"/>
      <c r="N56" s="1"/>
      <c r="O56" s="1"/>
      <c r="P56" s="1"/>
    </row>
    <row r="57" spans="1:16" ht="13.5" thickTop="1" x14ac:dyDescent="0.3">
      <c r="A57" s="2" t="s">
        <v>362</v>
      </c>
      <c r="O57" s="2"/>
      <c r="P57" s="2"/>
    </row>
    <row r="58" spans="1:16" s="7" customFormat="1" x14ac:dyDescent="0.25">
      <c r="A58" s="7" t="str">
        <f t="array" ref="A58:A65">R_CODE</f>
        <v>EU</v>
      </c>
      <c r="C58" s="37">
        <f t="array" aca="1" ref="C58:C65" ca="1">(1+(DR_1/100))^(-YP_1)</f>
        <v>0.87421700566854632</v>
      </c>
      <c r="D58" s="37">
        <f t="array" ref="D58:L65" ca="1">DFC*(1+(DR_NOT_1/100))^(-YP_NOT_1)</f>
        <v>0.66888431981432694</v>
      </c>
      <c r="E58" s="37">
        <f ca="1"/>
        <v>0.49973064015730667</v>
      </c>
      <c r="F58" s="37">
        <f ca="1"/>
        <v>0.37293131357283338</v>
      </c>
      <c r="G58" s="37">
        <f ca="1"/>
        <v>0.17689354726684206</v>
      </c>
      <c r="H58" s="37">
        <f ca="1"/>
        <v>8.4382877260228917E-2</v>
      </c>
      <c r="I58" s="37">
        <f ca="1"/>
        <v>2.389182887787477E-2</v>
      </c>
      <c r="J58" s="37">
        <f ca="1"/>
        <v>7.7147652216755028E-3</v>
      </c>
      <c r="K58" s="37">
        <f ca="1"/>
        <v>2.7764747843083463E-3</v>
      </c>
      <c r="L58" s="37">
        <f ca="1"/>
        <v>1.0927247070675007E-3</v>
      </c>
      <c r="O58"/>
      <c r="P58"/>
    </row>
    <row r="59" spans="1:16" s="7" customFormat="1" x14ac:dyDescent="0.25">
      <c r="A59" s="7" t="str">
        <v>US</v>
      </c>
      <c r="C59" s="38">
        <f ca="1"/>
        <v>0.85029272560797298</v>
      </c>
      <c r="D59" s="38">
        <f ca="1"/>
        <v>0.65354251615097769</v>
      </c>
      <c r="E59" s="38">
        <f ca="1"/>
        <v>0.51799391251972193</v>
      </c>
      <c r="F59" s="38">
        <f ca="1"/>
        <v>0.41243551818072804</v>
      </c>
      <c r="G59" s="38">
        <f ca="1"/>
        <v>0.22805198626854056</v>
      </c>
      <c r="H59" s="38">
        <f ca="1"/>
        <v>0.11878597791221204</v>
      </c>
      <c r="I59" s="38">
        <f ca="1"/>
        <v>3.1654406946375752E-2</v>
      </c>
      <c r="J59" s="38">
        <f ca="1"/>
        <v>9.1537868051037828E-3</v>
      </c>
      <c r="K59" s="38">
        <f ca="1"/>
        <v>2.8490458347623935E-3</v>
      </c>
      <c r="L59" s="38">
        <f ca="1"/>
        <v>9.4736687693329003E-4</v>
      </c>
      <c r="O59"/>
      <c r="P59"/>
    </row>
    <row r="60" spans="1:16" s="7" customFormat="1" x14ac:dyDescent="0.25">
      <c r="A60" s="7" t="str">
        <v>OT</v>
      </c>
      <c r="C60" s="38">
        <f ca="1"/>
        <v>0.85704717312400958</v>
      </c>
      <c r="D60" s="38">
        <f ca="1"/>
        <v>0.63453345708472486</v>
      </c>
      <c r="E60" s="38">
        <f ca="1"/>
        <v>0.47460426371185266</v>
      </c>
      <c r="F60" s="38">
        <f ca="1"/>
        <v>0.35498397226892608</v>
      </c>
      <c r="G60" s="38">
        <f ca="1"/>
        <v>0.16933669669776671</v>
      </c>
      <c r="H60" s="38">
        <f ca="1"/>
        <v>8.1236869282486246E-2</v>
      </c>
      <c r="I60" s="38">
        <f ca="1"/>
        <v>2.8217702943988458E-2</v>
      </c>
      <c r="J60" s="38">
        <f ca="1"/>
        <v>1.1942241073822697E-2</v>
      </c>
      <c r="K60" s="38">
        <f ca="1"/>
        <v>5.7322319479061502E-3</v>
      </c>
      <c r="L60" s="38">
        <f ca="1"/>
        <v>2.9809995036800541E-3</v>
      </c>
      <c r="O60"/>
      <c r="P60"/>
    </row>
    <row r="61" spans="1:16" s="7" customFormat="1" x14ac:dyDescent="0.25">
      <c r="A61" s="7" t="str">
        <v>EE</v>
      </c>
      <c r="C61" s="38">
        <f ca="1"/>
        <v>0.74714069052612231</v>
      </c>
      <c r="D61" s="38">
        <f ca="1"/>
        <v>0.42448429072410693</v>
      </c>
      <c r="E61" s="38">
        <f ca="1"/>
        <v>0.26409676945913357</v>
      </c>
      <c r="F61" s="38">
        <f ca="1"/>
        <v>0.18563276459134515</v>
      </c>
      <c r="G61" s="38">
        <f ca="1"/>
        <v>8.4632848975098263E-2</v>
      </c>
      <c r="H61" s="38">
        <f ca="1"/>
        <v>4.1414706851519843E-2</v>
      </c>
      <c r="I61" s="38">
        <f ca="1"/>
        <v>1.7198286856801779E-2</v>
      </c>
      <c r="J61" s="38">
        <f ca="1"/>
        <v>8.7676174981060843E-3</v>
      </c>
      <c r="K61" s="38">
        <f ca="1"/>
        <v>4.8900094431816475E-3</v>
      </c>
      <c r="L61" s="38">
        <f ca="1"/>
        <v>2.8367070835740404E-3</v>
      </c>
      <c r="O61"/>
      <c r="P61"/>
    </row>
    <row r="62" spans="1:16" s="7" customFormat="1" x14ac:dyDescent="0.25">
      <c r="A62" s="7" t="str">
        <v>CA</v>
      </c>
      <c r="C62" s="38">
        <f ca="1"/>
        <v>0.59043095454277483</v>
      </c>
      <c r="D62" s="38">
        <f ca="1"/>
        <v>0.2594601948528289</v>
      </c>
      <c r="E62" s="38">
        <f ca="1"/>
        <v>0.14435831672360078</v>
      </c>
      <c r="F62" s="38">
        <f ca="1"/>
        <v>9.2971143138941434E-2</v>
      </c>
      <c r="G62" s="38">
        <f ca="1"/>
        <v>4.3726383265830657E-2</v>
      </c>
      <c r="H62" s="38">
        <f ca="1"/>
        <v>2.2905685797523414E-2</v>
      </c>
      <c r="I62" s="38">
        <f ca="1"/>
        <v>1.4264896725869079E-2</v>
      </c>
      <c r="J62" s="38">
        <f ca="1"/>
        <v>8.8837016450173962E-3</v>
      </c>
      <c r="K62" s="38">
        <f ca="1"/>
        <v>5.5324729252729053E-3</v>
      </c>
      <c r="L62" s="38">
        <f ca="1"/>
        <v>3.4454395129360294E-3</v>
      </c>
      <c r="O62"/>
      <c r="P62"/>
    </row>
    <row r="63" spans="1:16" s="7" customFormat="1" x14ac:dyDescent="0.25">
      <c r="A63" s="7" t="str">
        <v>IA</v>
      </c>
      <c r="C63" s="38">
        <f ca="1"/>
        <v>0.69252296168739569</v>
      </c>
      <c r="D63" s="38">
        <f ca="1"/>
        <v>0.3335692904632353</v>
      </c>
      <c r="E63" s="38">
        <f ca="1"/>
        <v>0.16964897123712419</v>
      </c>
      <c r="F63" s="38">
        <f ca="1"/>
        <v>9.3974802836956875E-2</v>
      </c>
      <c r="G63" s="38">
        <f ca="1"/>
        <v>2.9502013391821881E-2</v>
      </c>
      <c r="H63" s="38">
        <f ca="1"/>
        <v>1.2015617964197419E-2</v>
      </c>
      <c r="I63" s="38">
        <f ca="1"/>
        <v>4.0137797155003381E-3</v>
      </c>
      <c r="J63" s="38">
        <f ca="1"/>
        <v>2.0696962653337448E-3</v>
      </c>
      <c r="K63" s="38">
        <f ca="1"/>
        <v>1.1921300386779356E-3</v>
      </c>
      <c r="L63" s="38">
        <f ca="1"/>
        <v>7.0622549075145911E-4</v>
      </c>
      <c r="O63"/>
      <c r="P63"/>
    </row>
    <row r="64" spans="1:16" s="7" customFormat="1" x14ac:dyDescent="0.25">
      <c r="A64" s="7" t="str">
        <v>AF</v>
      </c>
      <c r="C64" s="38">
        <f ca="1"/>
        <v>0.80475870711138031</v>
      </c>
      <c r="D64" s="38">
        <f ca="1"/>
        <v>0.49846515632730204</v>
      </c>
      <c r="E64" s="38">
        <f ca="1"/>
        <v>0.29112613682009247</v>
      </c>
      <c r="F64" s="38">
        <f ca="1"/>
        <v>0.16558434792637963</v>
      </c>
      <c r="G64" s="38">
        <f ca="1"/>
        <v>4.1642963924242618E-2</v>
      </c>
      <c r="H64" s="38">
        <f ca="1"/>
        <v>1.3330623878605681E-2</v>
      </c>
      <c r="I64" s="38">
        <f ca="1"/>
        <v>1.735544835471909E-3</v>
      </c>
      <c r="J64" s="38">
        <f ca="1"/>
        <v>4.9115946746200706E-4</v>
      </c>
      <c r="K64" s="38">
        <f ca="1"/>
        <v>2.0376450549714484E-4</v>
      </c>
      <c r="L64" s="38">
        <f ca="1"/>
        <v>1.019508035743646E-4</v>
      </c>
      <c r="O64" s="4"/>
      <c r="P64" s="4"/>
    </row>
    <row r="65" spans="1:12" s="7" customFormat="1" ht="13" thickBot="1" x14ac:dyDescent="0.3">
      <c r="A65" s="7" t="str">
        <v>LA</v>
      </c>
      <c r="C65" s="39">
        <f ca="1"/>
        <v>0.79938650531895439</v>
      </c>
      <c r="D65" s="39">
        <f ca="1"/>
        <v>0.50741638366165753</v>
      </c>
      <c r="E65" s="39">
        <f ca="1"/>
        <v>0.31922770730865768</v>
      </c>
      <c r="F65" s="39">
        <f ca="1"/>
        <v>0.20308445725770133</v>
      </c>
      <c r="G65" s="39">
        <f ca="1"/>
        <v>7.3308174683160254E-2</v>
      </c>
      <c r="H65" s="39">
        <f ca="1"/>
        <v>3.0365557958492898E-2</v>
      </c>
      <c r="I65" s="39">
        <f ca="1"/>
        <v>9.0897246979649328E-3</v>
      </c>
      <c r="J65" s="39">
        <f ca="1"/>
        <v>4.1232884915010327E-3</v>
      </c>
      <c r="K65" s="39">
        <f ca="1"/>
        <v>2.2088506868621072E-3</v>
      </c>
      <c r="L65" s="39">
        <f ca="1"/>
        <v>1.2644105327518764E-3</v>
      </c>
    </row>
    <row r="66" spans="1:12" s="7" customFormat="1" ht="13.5" thickTop="1" x14ac:dyDescent="0.3">
      <c r="A66" s="2" t="s">
        <v>972</v>
      </c>
      <c r="C66" s="2"/>
      <c r="D66"/>
      <c r="E66"/>
      <c r="F66"/>
      <c r="G66"/>
      <c r="H66"/>
      <c r="I66"/>
      <c r="J66"/>
      <c r="K66"/>
      <c r="L66"/>
    </row>
    <row r="67" spans="1:12" s="7" customFormat="1" x14ac:dyDescent="0.25">
      <c r="A67" s="1" t="str">
        <f t="array" ref="A67:A74">R_CODE</f>
        <v>EU</v>
      </c>
      <c r="C67" s="37">
        <f t="array" aca="1" ref="C67:L74" ca="1">(1+PTP/100)^(-(Y-Y_0))</f>
        <v>0.94989716554843162</v>
      </c>
      <c r="D67" s="37">
        <f ca="1"/>
        <v>0.85709660585982594</v>
      </c>
      <c r="E67" s="37">
        <f ca="1"/>
        <v>0.77336223163935591</v>
      </c>
      <c r="F67" s="37">
        <f ca="1"/>
        <v>0.69780831849895275</v>
      </c>
      <c r="G67" s="37">
        <f ca="1"/>
        <v>0.53965859845085662</v>
      </c>
      <c r="H67" s="37">
        <f ca="1"/>
        <v>0.41735157802132161</v>
      </c>
      <c r="I67" s="37">
        <f ca="1"/>
        <v>0.24961344692990878</v>
      </c>
      <c r="J67" s="37">
        <f ca="1"/>
        <v>0.14929109213778335</v>
      </c>
      <c r="K67" s="37">
        <f ca="1"/>
        <v>8.9289381104338192E-2</v>
      </c>
      <c r="L67" s="37">
        <f ca="1"/>
        <v>5.3403009274241894E-2</v>
      </c>
    </row>
    <row r="68" spans="1:12" s="7" customFormat="1" x14ac:dyDescent="0.25">
      <c r="A68" s="1" t="str">
        <v>US</v>
      </c>
      <c r="C68" s="38">
        <f ca="1"/>
        <v>0.94989716554843162</v>
      </c>
      <c r="D68" s="38">
        <f ca="1"/>
        <v>0.85709660585982594</v>
      </c>
      <c r="E68" s="38">
        <f ca="1"/>
        <v>0.77336223163935591</v>
      </c>
      <c r="F68" s="38">
        <f ca="1"/>
        <v>0.69780831849895275</v>
      </c>
      <c r="G68" s="38">
        <f ca="1"/>
        <v>0.53965859845085662</v>
      </c>
      <c r="H68" s="38">
        <f ca="1"/>
        <v>0.41735157802132161</v>
      </c>
      <c r="I68" s="38">
        <f ca="1"/>
        <v>0.24961344692990878</v>
      </c>
      <c r="J68" s="38">
        <f ca="1"/>
        <v>0.14929109213778335</v>
      </c>
      <c r="K68" s="38">
        <f ca="1"/>
        <v>8.9289381104338192E-2</v>
      </c>
      <c r="L68" s="38">
        <f ca="1"/>
        <v>5.3403009274241894E-2</v>
      </c>
    </row>
    <row r="69" spans="1:12" s="7" customFormat="1" x14ac:dyDescent="0.25">
      <c r="A69" s="1" t="str">
        <v>OT</v>
      </c>
      <c r="C69" s="38">
        <f ca="1"/>
        <v>0.94989716554843162</v>
      </c>
      <c r="D69" s="38">
        <f ca="1"/>
        <v>0.85709660585982594</v>
      </c>
      <c r="E69" s="38">
        <f ca="1"/>
        <v>0.77336223163935591</v>
      </c>
      <c r="F69" s="38">
        <f ca="1"/>
        <v>0.69780831849895275</v>
      </c>
      <c r="G69" s="38">
        <f ca="1"/>
        <v>0.53965859845085662</v>
      </c>
      <c r="H69" s="38">
        <f ca="1"/>
        <v>0.41735157802132161</v>
      </c>
      <c r="I69" s="38">
        <f ca="1"/>
        <v>0.24961344692990878</v>
      </c>
      <c r="J69" s="38">
        <f ca="1"/>
        <v>0.14929109213778335</v>
      </c>
      <c r="K69" s="38">
        <f ca="1"/>
        <v>8.9289381104338192E-2</v>
      </c>
      <c r="L69" s="38">
        <f ca="1"/>
        <v>5.3403009274241894E-2</v>
      </c>
    </row>
    <row r="70" spans="1:12" s="7" customFormat="1" x14ac:dyDescent="0.25">
      <c r="A70" s="1" t="str">
        <v>EE</v>
      </c>
      <c r="C70" s="38">
        <f ca="1"/>
        <v>0.94989716554843162</v>
      </c>
      <c r="D70" s="38">
        <f ca="1"/>
        <v>0.85709660585982594</v>
      </c>
      <c r="E70" s="38">
        <f ca="1"/>
        <v>0.77336223163935591</v>
      </c>
      <c r="F70" s="38">
        <f ca="1"/>
        <v>0.69780831849895275</v>
      </c>
      <c r="G70" s="38">
        <f ca="1"/>
        <v>0.53965859845085662</v>
      </c>
      <c r="H70" s="38">
        <f ca="1"/>
        <v>0.41735157802132161</v>
      </c>
      <c r="I70" s="38">
        <f ca="1"/>
        <v>0.24961344692990878</v>
      </c>
      <c r="J70" s="38">
        <f ca="1"/>
        <v>0.14929109213778335</v>
      </c>
      <c r="K70" s="38">
        <f ca="1"/>
        <v>8.9289381104338192E-2</v>
      </c>
      <c r="L70" s="38">
        <f ca="1"/>
        <v>5.3403009274241894E-2</v>
      </c>
    </row>
    <row r="71" spans="1:12" s="7" customFormat="1" x14ac:dyDescent="0.25">
      <c r="A71" s="1" t="str">
        <v>CA</v>
      </c>
      <c r="C71" s="38">
        <f ca="1"/>
        <v>0.94989716554843162</v>
      </c>
      <c r="D71" s="38">
        <f ca="1"/>
        <v>0.85709660585982594</v>
      </c>
      <c r="E71" s="38">
        <f ca="1"/>
        <v>0.77336223163935591</v>
      </c>
      <c r="F71" s="38">
        <f ca="1"/>
        <v>0.69780831849895275</v>
      </c>
      <c r="G71" s="38">
        <f ca="1"/>
        <v>0.53965859845085662</v>
      </c>
      <c r="H71" s="38">
        <f ca="1"/>
        <v>0.41735157802132161</v>
      </c>
      <c r="I71" s="38">
        <f ca="1"/>
        <v>0.24961344692990878</v>
      </c>
      <c r="J71" s="38">
        <f ca="1"/>
        <v>0.14929109213778335</v>
      </c>
      <c r="K71" s="38">
        <f ca="1"/>
        <v>8.9289381104338192E-2</v>
      </c>
      <c r="L71" s="38">
        <f ca="1"/>
        <v>5.3403009274241894E-2</v>
      </c>
    </row>
    <row r="72" spans="1:12" s="7" customFormat="1" x14ac:dyDescent="0.25">
      <c r="A72" s="1" t="str">
        <v>IA</v>
      </c>
      <c r="C72" s="38">
        <f ca="1"/>
        <v>0.94989716554843162</v>
      </c>
      <c r="D72" s="38">
        <f ca="1"/>
        <v>0.85709660585982594</v>
      </c>
      <c r="E72" s="38">
        <f ca="1"/>
        <v>0.77336223163935591</v>
      </c>
      <c r="F72" s="38">
        <f ca="1"/>
        <v>0.69780831849895275</v>
      </c>
      <c r="G72" s="38">
        <f ca="1"/>
        <v>0.53965859845085662</v>
      </c>
      <c r="H72" s="38">
        <f ca="1"/>
        <v>0.41735157802132161</v>
      </c>
      <c r="I72" s="38">
        <f ca="1"/>
        <v>0.24961344692990878</v>
      </c>
      <c r="J72" s="38">
        <f ca="1"/>
        <v>0.14929109213778335</v>
      </c>
      <c r="K72" s="38">
        <f ca="1"/>
        <v>8.9289381104338192E-2</v>
      </c>
      <c r="L72" s="38">
        <f ca="1"/>
        <v>5.3403009274241894E-2</v>
      </c>
    </row>
    <row r="73" spans="1:12" s="7" customFormat="1" x14ac:dyDescent="0.25">
      <c r="A73" s="1" t="str">
        <v>AF</v>
      </c>
      <c r="C73" s="38">
        <f ca="1"/>
        <v>0.94989716554843162</v>
      </c>
      <c r="D73" s="38">
        <f ca="1"/>
        <v>0.85709660585982594</v>
      </c>
      <c r="E73" s="38">
        <f ca="1"/>
        <v>0.77336223163935591</v>
      </c>
      <c r="F73" s="38">
        <f ca="1"/>
        <v>0.69780831849895275</v>
      </c>
      <c r="G73" s="38">
        <f ca="1"/>
        <v>0.53965859845085662</v>
      </c>
      <c r="H73" s="38">
        <f ca="1"/>
        <v>0.41735157802132161</v>
      </c>
      <c r="I73" s="38">
        <f ca="1"/>
        <v>0.24961344692990878</v>
      </c>
      <c r="J73" s="38">
        <f ca="1"/>
        <v>0.14929109213778335</v>
      </c>
      <c r="K73" s="38">
        <f ca="1"/>
        <v>8.9289381104338192E-2</v>
      </c>
      <c r="L73" s="38">
        <f ca="1"/>
        <v>5.3403009274241894E-2</v>
      </c>
    </row>
    <row r="74" spans="1:12" s="7" customFormat="1" ht="13" thickBot="1" x14ac:dyDescent="0.3">
      <c r="A74" s="1" t="str">
        <v>LA</v>
      </c>
      <c r="C74" s="39">
        <f ca="1"/>
        <v>0.94989716554843162</v>
      </c>
      <c r="D74" s="39">
        <f ca="1"/>
        <v>0.85709660585982594</v>
      </c>
      <c r="E74" s="39">
        <f ca="1"/>
        <v>0.77336223163935591</v>
      </c>
      <c r="F74" s="39">
        <f ca="1"/>
        <v>0.69780831849895275</v>
      </c>
      <c r="G74" s="39">
        <f ca="1"/>
        <v>0.53965859845085662</v>
      </c>
      <c r="H74" s="39">
        <f ca="1"/>
        <v>0.41735157802132161</v>
      </c>
      <c r="I74" s="39">
        <f ca="1"/>
        <v>0.24961344692990878</v>
      </c>
      <c r="J74" s="39">
        <f ca="1"/>
        <v>0.14929109213778335</v>
      </c>
      <c r="K74" s="39">
        <f ca="1"/>
        <v>8.9289381104338192E-2</v>
      </c>
      <c r="L74" s="39">
        <f ca="1"/>
        <v>5.3403009274241894E-2</v>
      </c>
    </row>
    <row r="75" spans="1:12" ht="13" thickTop="1" x14ac:dyDescent="0.25"/>
  </sheetData>
  <pageMargins left="0.7" right="0.7" top="0.75" bottom="0.75" header="0.3" footer="0.3"/>
  <pageSetup paperSize="9" orientation="portrait" verticalDpi="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4"/>
  <sheetViews>
    <sheetView topLeftCell="A25" workbookViewId="0">
      <selection activeCell="C26" sqref="C26:L33"/>
    </sheetView>
  </sheetViews>
  <sheetFormatPr defaultRowHeight="12.5" x14ac:dyDescent="0.25"/>
  <cols>
    <col min="1" max="1" width="15.6328125" customWidth="1"/>
    <col min="2" max="13" width="10.6328125" customWidth="1"/>
  </cols>
  <sheetData>
    <row r="1" spans="1:16" ht="13" x14ac:dyDescent="0.3">
      <c r="A1" s="2" t="str">
        <f>MODEL_NAME</f>
        <v>PAGE-ICE Nonlinear Arctic Feedbacks</v>
      </c>
      <c r="B1" t="s">
        <v>39</v>
      </c>
      <c r="C1" s="51" t="str">
        <f>VERSION</f>
        <v>6.22</v>
      </c>
    </row>
    <row r="3" spans="1:16" ht="13" x14ac:dyDescent="0.3">
      <c r="A3" s="2" t="s">
        <v>23</v>
      </c>
      <c r="B3" s="3">
        <f>Y_0</f>
        <v>2015</v>
      </c>
      <c r="C3">
        <f t="array" ref="C3:L3">Y</f>
        <v>2020</v>
      </c>
      <c r="D3">
        <v>2030</v>
      </c>
      <c r="E3">
        <v>2040</v>
      </c>
      <c r="F3">
        <v>2050</v>
      </c>
      <c r="G3">
        <v>2075</v>
      </c>
      <c r="H3">
        <v>2100</v>
      </c>
      <c r="I3">
        <v>2150</v>
      </c>
      <c r="J3">
        <v>2200</v>
      </c>
      <c r="K3">
        <v>2250</v>
      </c>
      <c r="L3">
        <v>2300</v>
      </c>
    </row>
    <row r="4" spans="1:16" s="1" customFormat="1" ht="13" x14ac:dyDescent="0.3">
      <c r="A4" s="1" t="str">
        <f t="array" ref="A4:A11">R_CODE</f>
        <v>EU</v>
      </c>
      <c r="B4" s="27">
        <f t="array" ref="B4:B11">GDP_0</f>
        <v>17276714.501653694</v>
      </c>
      <c r="C4" s="223">
        <f t="array" ref="C4:C11">GDP_0*(1+(GRW_1_B/100))^YP_1</f>
        <v>18731423.564890079</v>
      </c>
      <c r="D4" s="223">
        <f t="array" ref="D4:L11">GDP_B*(1+(GRW_NOT_1_B/100))^YP_NOT_1</f>
        <v>21867428.061993372</v>
      </c>
      <c r="E4" s="223">
        <v>25831705.570067737</v>
      </c>
      <c r="F4" s="223">
        <v>30335069.039375324</v>
      </c>
      <c r="G4" s="223">
        <v>44123065.92197375</v>
      </c>
      <c r="H4" s="223">
        <v>62001449.738553688</v>
      </c>
      <c r="I4" s="223">
        <v>118558912.93674922</v>
      </c>
      <c r="J4" s="223">
        <v>202277183.92186263</v>
      </c>
      <c r="K4" s="223">
        <v>314131714.20856023</v>
      </c>
      <c r="L4" s="223">
        <v>451434145.58386606</v>
      </c>
      <c r="N4" s="1" t="str">
        <f t="shared" ref="N4:N12" si="0">CURRENCY_NAME</f>
        <v>$M(2015)</v>
      </c>
      <c r="P4" s="242" t="s">
        <v>1043</v>
      </c>
    </row>
    <row r="5" spans="1:16" s="1" customFormat="1" x14ac:dyDescent="0.25">
      <c r="A5" s="1" t="str">
        <v>US</v>
      </c>
      <c r="B5" s="28">
        <v>16755755.949456695</v>
      </c>
      <c r="C5" s="224">
        <v>19143275.262853682</v>
      </c>
      <c r="D5" s="224">
        <v>23565337.552096885</v>
      </c>
      <c r="E5" s="224">
        <v>27947127.743669879</v>
      </c>
      <c r="F5" s="224">
        <v>32658159.410065465</v>
      </c>
      <c r="G5" s="224">
        <v>47736586.333880916</v>
      </c>
      <c r="H5" s="224">
        <v>68415206.699179992</v>
      </c>
      <c r="I5" s="224">
        <v>137889326.30684021</v>
      </c>
      <c r="J5" s="224">
        <v>258883782.98618203</v>
      </c>
      <c r="K5" s="224">
        <v>456010697.53892392</v>
      </c>
      <c r="L5" s="224">
        <v>758459591.59247458</v>
      </c>
      <c r="N5" s="1" t="str">
        <f t="shared" si="0"/>
        <v>$M(2015)</v>
      </c>
    </row>
    <row r="6" spans="1:16" s="1" customFormat="1" x14ac:dyDescent="0.25">
      <c r="A6" s="1" t="str">
        <v>OT</v>
      </c>
      <c r="B6" s="28">
        <v>9422720.364817122</v>
      </c>
      <c r="C6" s="224">
        <v>10490429.50757218</v>
      </c>
      <c r="D6" s="224">
        <v>12700286.318448115</v>
      </c>
      <c r="E6" s="224">
        <v>15002681.426624313</v>
      </c>
      <c r="F6" s="224">
        <v>17479961.75354597</v>
      </c>
      <c r="G6" s="224">
        <v>24321566.548301283</v>
      </c>
      <c r="H6" s="224">
        <v>31657301.462677762</v>
      </c>
      <c r="I6" s="224">
        <v>50698615.154507525</v>
      </c>
      <c r="J6" s="224">
        <v>68411794.847596586</v>
      </c>
      <c r="K6" s="224">
        <v>82771835.687275872</v>
      </c>
      <c r="L6" s="224">
        <v>93429211.224456131</v>
      </c>
      <c r="N6" s="1" t="str">
        <f t="shared" si="0"/>
        <v>$M(2015)</v>
      </c>
    </row>
    <row r="7" spans="1:16" s="1" customFormat="1" x14ac:dyDescent="0.25">
      <c r="A7" s="1" t="str">
        <v>EE</v>
      </c>
      <c r="B7" s="28">
        <v>4163916.6260164022</v>
      </c>
      <c r="C7" s="224">
        <v>5117395.7550775306</v>
      </c>
      <c r="D7" s="224">
        <v>7488044.4560304591</v>
      </c>
      <c r="E7" s="224">
        <v>10043782.259802442</v>
      </c>
      <c r="F7" s="224">
        <v>11970024.359144682</v>
      </c>
      <c r="G7" s="224">
        <v>16049514.926583558</v>
      </c>
      <c r="H7" s="224">
        <v>19490400.417706288</v>
      </c>
      <c r="I7" s="224">
        <v>26735770.3510602</v>
      </c>
      <c r="J7" s="224">
        <v>30702910.526379555</v>
      </c>
      <c r="K7" s="224">
        <v>32617791.539630771</v>
      </c>
      <c r="L7" s="224">
        <v>33491851.314030562</v>
      </c>
      <c r="N7" s="1" t="str">
        <f t="shared" si="0"/>
        <v>$M(2015)</v>
      </c>
    </row>
    <row r="8" spans="1:16" s="1" customFormat="1" x14ac:dyDescent="0.25">
      <c r="A8" s="1" t="str">
        <v>CA</v>
      </c>
      <c r="B8" s="28">
        <v>15042627.818163713</v>
      </c>
      <c r="C8" s="224">
        <v>22965021.496021774</v>
      </c>
      <c r="D8" s="224">
        <v>42665313.897144251</v>
      </c>
      <c r="E8" s="224">
        <v>62731289.944488041</v>
      </c>
      <c r="F8" s="224">
        <v>78748185.410229355</v>
      </c>
      <c r="G8" s="224">
        <v>92594466.928344637</v>
      </c>
      <c r="H8" s="224">
        <v>90987602.37637113</v>
      </c>
      <c r="I8" s="224">
        <v>87857044.909002155</v>
      </c>
      <c r="J8" s="224">
        <v>84834198.709987745</v>
      </c>
      <c r="K8" s="224">
        <v>81915357.820420742</v>
      </c>
      <c r="L8" s="224">
        <v>79096943.790164724</v>
      </c>
      <c r="N8" s="1" t="str">
        <f t="shared" si="0"/>
        <v>$M(2015)</v>
      </c>
    </row>
    <row r="9" spans="1:16" s="1" customFormat="1" x14ac:dyDescent="0.25">
      <c r="A9" s="1" t="str">
        <v>IA</v>
      </c>
      <c r="B9" s="28">
        <v>11780218.688261595</v>
      </c>
      <c r="C9" s="224">
        <v>16208232.723884216</v>
      </c>
      <c r="D9" s="224">
        <v>29802391.88893456</v>
      </c>
      <c r="E9" s="224">
        <v>50906790.550765634</v>
      </c>
      <c r="F9" s="224">
        <v>78528716.197879061</v>
      </c>
      <c r="G9" s="224">
        <v>158154005.96206793</v>
      </c>
      <c r="H9" s="224">
        <v>225548962.63353491</v>
      </c>
      <c r="I9" s="224">
        <v>373657223.32912058</v>
      </c>
      <c r="J9" s="224">
        <v>424879694.24340373</v>
      </c>
      <c r="K9" s="224">
        <v>438959891.0411253</v>
      </c>
      <c r="L9" s="224">
        <v>442604127.55077767</v>
      </c>
      <c r="N9" s="1" t="str">
        <f t="shared" si="0"/>
        <v>$M(2015)</v>
      </c>
    </row>
    <row r="10" spans="1:16" s="1" customFormat="1" x14ac:dyDescent="0.25">
      <c r="A10" s="1" t="str">
        <v>AF</v>
      </c>
      <c r="B10" s="28">
        <v>7107101.8428517561</v>
      </c>
      <c r="C10" s="224">
        <v>8937551.0991703235</v>
      </c>
      <c r="D10" s="224">
        <v>14324332.578796295</v>
      </c>
      <c r="E10" s="224">
        <v>23668305.4836426</v>
      </c>
      <c r="F10" s="224">
        <v>38996056.250936314</v>
      </c>
      <c r="G10" s="224">
        <v>120036355.60992169</v>
      </c>
      <c r="H10" s="224">
        <v>264458330.9794299</v>
      </c>
      <c r="I10" s="224">
        <v>993044145.69706297</v>
      </c>
      <c r="J10" s="224">
        <v>1899685638.8535347</v>
      </c>
      <c r="K10" s="224">
        <v>2608084913.9902325</v>
      </c>
      <c r="L10" s="224">
        <v>3044079942.7480454</v>
      </c>
      <c r="N10" s="1" t="str">
        <f t="shared" si="0"/>
        <v>$M(2015)</v>
      </c>
    </row>
    <row r="11" spans="1:16" s="1" customFormat="1" ht="13" thickBot="1" x14ac:dyDescent="0.3">
      <c r="A11" s="1" t="str">
        <v>LA</v>
      </c>
      <c r="B11" s="36">
        <v>7712450.7265316742</v>
      </c>
      <c r="C11" s="287">
        <v>9315901.9037707523</v>
      </c>
      <c r="D11" s="287">
        <v>13423012.287676685</v>
      </c>
      <c r="E11" s="287">
        <v>19044536.411233906</v>
      </c>
      <c r="F11" s="287">
        <v>25994635.976157788</v>
      </c>
      <c r="G11" s="287">
        <v>47145787.407814175</v>
      </c>
      <c r="H11" s="287">
        <v>68743734.377072021</v>
      </c>
      <c r="I11" s="287">
        <v>125253616.17998604</v>
      </c>
      <c r="J11" s="287">
        <v>159151925.95828125</v>
      </c>
      <c r="K11" s="287">
        <v>175085544.78693852</v>
      </c>
      <c r="L11" s="287">
        <v>181862649.49359435</v>
      </c>
      <c r="N11" s="1" t="str">
        <f t="shared" si="0"/>
        <v>$M(2015)</v>
      </c>
    </row>
    <row r="12" spans="1:16" s="1" customFormat="1" ht="14" thickTop="1" thickBot="1" x14ac:dyDescent="0.35">
      <c r="A12" s="44" t="s">
        <v>206</v>
      </c>
      <c r="B12" s="36">
        <f t="shared" ref="B12:L12" si="1">SUM(B4:B11)</f>
        <v>89261506.517752647</v>
      </c>
      <c r="C12" s="287">
        <f t="shared" si="1"/>
        <v>110909231.31324053</v>
      </c>
      <c r="D12" s="287">
        <f t="shared" si="1"/>
        <v>165836147.04112062</v>
      </c>
      <c r="E12" s="287">
        <f t="shared" si="1"/>
        <v>235176219.39029455</v>
      </c>
      <c r="F12" s="287">
        <f t="shared" si="1"/>
        <v>314710808.39733398</v>
      </c>
      <c r="G12" s="287">
        <f t="shared" si="1"/>
        <v>550161349.63888788</v>
      </c>
      <c r="H12" s="287">
        <f t="shared" si="1"/>
        <v>831302988.68452561</v>
      </c>
      <c r="I12" s="287">
        <f t="shared" si="1"/>
        <v>1913694654.8643289</v>
      </c>
      <c r="J12" s="287">
        <f t="shared" si="1"/>
        <v>3128827130.0472283</v>
      </c>
      <c r="K12" s="287">
        <f t="shared" si="1"/>
        <v>4189577746.6131082</v>
      </c>
      <c r="L12" s="287">
        <f t="shared" si="1"/>
        <v>5084458463.2974091</v>
      </c>
      <c r="N12" s="1" t="str">
        <f t="shared" si="0"/>
        <v>$M(2015)</v>
      </c>
    </row>
    <row r="13" spans="1:16" s="1" customFormat="1" ht="14" thickTop="1" thickBot="1" x14ac:dyDescent="0.35">
      <c r="A13" s="44" t="s">
        <v>207</v>
      </c>
      <c r="B13" s="44"/>
      <c r="C13" s="259">
        <f>((GDP_G_1_B/GDP_G_0)^(1/YP_1)-1)*100</f>
        <v>4.4385170614256175</v>
      </c>
      <c r="D13" s="259">
        <f t="array" ref="D13:L13">((GDP_G_NOT_1_B/GDP_G_B)^(1/YP_NOT_1)-1)*100</f>
        <v>4.104894976960205</v>
      </c>
      <c r="E13" s="259">
        <v>3.5550828710536164</v>
      </c>
      <c r="F13" s="259">
        <v>2.9560389237787144</v>
      </c>
      <c r="G13" s="259">
        <v>2.2593756351800831</v>
      </c>
      <c r="H13" s="259">
        <v>1.6648374507476138</v>
      </c>
      <c r="I13" s="259">
        <v>1.6815753332093397</v>
      </c>
      <c r="J13" s="259">
        <v>0.98809467021059305</v>
      </c>
      <c r="K13" s="259">
        <v>0.58559139582521347</v>
      </c>
      <c r="L13" s="259">
        <v>0.387927648087949</v>
      </c>
      <c r="N13" s="1" t="s">
        <v>40</v>
      </c>
    </row>
    <row r="14" spans="1:16" s="1" customFormat="1" ht="13.5" thickTop="1" x14ac:dyDescent="0.3">
      <c r="A14" s="2" t="s">
        <v>139</v>
      </c>
      <c r="B14" s="2"/>
      <c r="C14"/>
      <c r="D14"/>
      <c r="E14"/>
      <c r="F14"/>
      <c r="G14"/>
      <c r="H14"/>
      <c r="I14"/>
      <c r="J14"/>
      <c r="K14"/>
      <c r="L14"/>
      <c r="M14"/>
      <c r="N14"/>
    </row>
    <row r="15" spans="1:16" s="1" customFormat="1" ht="13" x14ac:dyDescent="0.3">
      <c r="A15" s="1" t="str">
        <f t="array" ref="A15:A22">R_CODE</f>
        <v>EU</v>
      </c>
      <c r="B15" s="27">
        <f t="array" ref="B15:B22">POP_0</f>
        <v>503.70991113625911</v>
      </c>
      <c r="C15" s="223">
        <f t="array" ref="C15:C22">POP_0*(1+(POP_GRW_1_B/100))^YP_1</f>
        <v>508.25964994041669</v>
      </c>
      <c r="D15" s="223">
        <f t="array" ref="D15:L22">POP_B*(1+(POP_GRW_NOT_1_B/100))^YP_NOT_1</f>
        <v>514.39180657938289</v>
      </c>
      <c r="E15" s="223">
        <v>515.93706695344201</v>
      </c>
      <c r="F15" s="223">
        <v>513.87702947288631</v>
      </c>
      <c r="G15" s="223">
        <v>488.79047823809788</v>
      </c>
      <c r="H15" s="223">
        <v>451.15260568321332</v>
      </c>
      <c r="I15" s="223">
        <v>451.15260568321332</v>
      </c>
      <c r="J15" s="223">
        <v>451.15260568321332</v>
      </c>
      <c r="K15" s="223">
        <v>451.15260568321332</v>
      </c>
      <c r="L15" s="223">
        <v>451.15260568321332</v>
      </c>
      <c r="N15" s="1" t="str">
        <f t="shared" ref="N15:N23" si="2">POP_UNIT_NAME</f>
        <v>million</v>
      </c>
      <c r="P15" s="242" t="s">
        <v>1042</v>
      </c>
    </row>
    <row r="16" spans="1:16" s="1" customFormat="1" x14ac:dyDescent="0.25">
      <c r="A16" s="1" t="str">
        <v>US</v>
      </c>
      <c r="B16" s="28">
        <v>317.53104237015043</v>
      </c>
      <c r="C16" s="224">
        <v>329.78202710017212</v>
      </c>
      <c r="D16" s="224">
        <v>353.60767987949828</v>
      </c>
      <c r="E16" s="224">
        <v>375.03324719437416</v>
      </c>
      <c r="F16" s="224">
        <v>393.42869666087915</v>
      </c>
      <c r="G16" s="224">
        <v>430.40999721018369</v>
      </c>
      <c r="H16" s="224">
        <v>438.00578329251925</v>
      </c>
      <c r="I16" s="224">
        <v>438.00578329251925</v>
      </c>
      <c r="J16" s="224">
        <v>438.00578329251925</v>
      </c>
      <c r="K16" s="224">
        <v>438.00578329251925</v>
      </c>
      <c r="L16" s="224">
        <v>438.00578329251925</v>
      </c>
      <c r="N16" s="1" t="str">
        <f t="shared" si="2"/>
        <v>million</v>
      </c>
    </row>
    <row r="17" spans="1:16" s="1" customFormat="1" x14ac:dyDescent="0.25">
      <c r="A17" s="1" t="str">
        <v>OT</v>
      </c>
      <c r="B17" s="28">
        <v>276.85575414398255</v>
      </c>
      <c r="C17" s="224">
        <v>282.01562764376195</v>
      </c>
      <c r="D17" s="224">
        <v>287.706974694466</v>
      </c>
      <c r="E17" s="224">
        <v>288.85987629459839</v>
      </c>
      <c r="F17" s="224">
        <v>285.9842416234884</v>
      </c>
      <c r="G17" s="224">
        <v>261.32747653955175</v>
      </c>
      <c r="H17" s="224">
        <v>224.2602695591805</v>
      </c>
      <c r="I17" s="224">
        <v>224.2602695591805</v>
      </c>
      <c r="J17" s="224">
        <v>224.2602695591805</v>
      </c>
      <c r="K17" s="224">
        <v>224.2602695591805</v>
      </c>
      <c r="L17" s="224">
        <v>224.2602695591805</v>
      </c>
      <c r="N17" s="1" t="str">
        <f t="shared" si="2"/>
        <v>million</v>
      </c>
    </row>
    <row r="18" spans="1:16" s="1" customFormat="1" x14ac:dyDescent="0.25">
      <c r="A18" s="1" t="str">
        <v>EE</v>
      </c>
      <c r="B18" s="28">
        <v>307.4627436558867</v>
      </c>
      <c r="C18" s="224">
        <v>306.69485506937389</v>
      </c>
      <c r="D18" s="224">
        <v>300.01397601963532</v>
      </c>
      <c r="E18" s="224">
        <v>291.13409543896387</v>
      </c>
      <c r="F18" s="224">
        <v>279.13499625913238</v>
      </c>
      <c r="G18" s="224">
        <v>235.95282201818279</v>
      </c>
      <c r="H18" s="224">
        <v>192.05595371324264</v>
      </c>
      <c r="I18" s="224">
        <v>192.05595371324264</v>
      </c>
      <c r="J18" s="224">
        <v>192.05595371324264</v>
      </c>
      <c r="K18" s="224">
        <v>192.05595371324264</v>
      </c>
      <c r="L18" s="224">
        <v>192.05595371324264</v>
      </c>
      <c r="N18" s="1" t="str">
        <f t="shared" si="2"/>
        <v>million</v>
      </c>
    </row>
    <row r="19" spans="1:16" s="1" customFormat="1" x14ac:dyDescent="0.25">
      <c r="A19" s="1" t="str">
        <v>CA</v>
      </c>
      <c r="B19" s="28">
        <v>1551.0220066521085</v>
      </c>
      <c r="C19" s="224">
        <v>1565.812814095447</v>
      </c>
      <c r="D19" s="224">
        <v>1554.8865861993577</v>
      </c>
      <c r="E19" s="224">
        <v>1499.8088281862672</v>
      </c>
      <c r="F19" s="224">
        <v>1402.2978246858254</v>
      </c>
      <c r="G19" s="224">
        <v>1066.2162737339925</v>
      </c>
      <c r="H19" s="224">
        <v>743.81378148906072</v>
      </c>
      <c r="I19" s="224">
        <v>743.81378148906072</v>
      </c>
      <c r="J19" s="224">
        <v>743.81378148906072</v>
      </c>
      <c r="K19" s="224">
        <v>743.81378148906072</v>
      </c>
      <c r="L19" s="224">
        <v>743.81378148906072</v>
      </c>
      <c r="N19" s="1" t="str">
        <f t="shared" si="2"/>
        <v>million</v>
      </c>
    </row>
    <row r="20" spans="1:16" s="1" customFormat="1" x14ac:dyDescent="0.25">
      <c r="A20" s="1" t="str">
        <v>IA</v>
      </c>
      <c r="B20" s="28">
        <v>2212.9144884903135</v>
      </c>
      <c r="C20" s="224">
        <v>2318.8952673540048</v>
      </c>
      <c r="D20" s="224">
        <v>2479.0302164281702</v>
      </c>
      <c r="E20" s="224">
        <v>2577.4269345340854</v>
      </c>
      <c r="F20" s="224">
        <v>2603.3174979246187</v>
      </c>
      <c r="G20" s="224">
        <v>2390.8328165439275</v>
      </c>
      <c r="H20" s="224">
        <v>1946.0401991499709</v>
      </c>
      <c r="I20" s="224">
        <v>1946.0401991499709</v>
      </c>
      <c r="J20" s="224">
        <v>1946.0401991499709</v>
      </c>
      <c r="K20" s="224">
        <v>1946.0401991499709</v>
      </c>
      <c r="L20" s="224">
        <v>1946.0401991499709</v>
      </c>
      <c r="N20" s="1" t="str">
        <f t="shared" si="2"/>
        <v>million</v>
      </c>
    </row>
    <row r="21" spans="1:16" s="1" customFormat="1" x14ac:dyDescent="0.25">
      <c r="A21" s="1" t="str">
        <v>AF</v>
      </c>
      <c r="B21" s="28">
        <v>1322.8725553904035</v>
      </c>
      <c r="C21" s="224">
        <v>1444.1652118387431</v>
      </c>
      <c r="D21" s="224">
        <v>1677.6646627169848</v>
      </c>
      <c r="E21" s="224">
        <v>1908.9722291410465</v>
      </c>
      <c r="F21" s="224">
        <v>2114.9647841090391</v>
      </c>
      <c r="G21" s="224">
        <v>2468.3740109268997</v>
      </c>
      <c r="H21" s="224">
        <v>2530.8295820200815</v>
      </c>
      <c r="I21" s="224">
        <v>2530.8295820200815</v>
      </c>
      <c r="J21" s="224">
        <v>2530.8295820200815</v>
      </c>
      <c r="K21" s="224">
        <v>2530.8295820200815</v>
      </c>
      <c r="L21" s="224">
        <v>2530.8295820200815</v>
      </c>
      <c r="N21" s="1" t="str">
        <f t="shared" si="2"/>
        <v>million</v>
      </c>
    </row>
    <row r="22" spans="1:16" s="1" customFormat="1" ht="13" thickBot="1" x14ac:dyDescent="0.3">
      <c r="A22" s="1" t="str">
        <v>LA</v>
      </c>
      <c r="B22" s="36">
        <v>608.72716292867517</v>
      </c>
      <c r="C22" s="287">
        <v>633.78324706768512</v>
      </c>
      <c r="D22" s="287">
        <v>674.19245057755575</v>
      </c>
      <c r="E22" s="287">
        <v>700.25432292495304</v>
      </c>
      <c r="F22" s="287">
        <v>705.87656791676932</v>
      </c>
      <c r="G22" s="287">
        <v>659.74216517734123</v>
      </c>
      <c r="H22" s="287">
        <v>557.68007510411474</v>
      </c>
      <c r="I22" s="287">
        <v>557.68007510411474</v>
      </c>
      <c r="J22" s="287">
        <v>557.68007510411474</v>
      </c>
      <c r="K22" s="287">
        <v>557.68007510411474</v>
      </c>
      <c r="L22" s="287">
        <v>557.68007510411474</v>
      </c>
      <c r="N22" s="1" t="str">
        <f t="shared" si="2"/>
        <v>million</v>
      </c>
    </row>
    <row r="23" spans="1:16" s="1" customFormat="1" ht="14" thickTop="1" thickBot="1" x14ac:dyDescent="0.35">
      <c r="A23" s="44" t="s">
        <v>206</v>
      </c>
      <c r="B23" s="36">
        <f t="shared" ref="B23:L23" si="3">SUM(B15:B22)</f>
        <v>7101.0956647677795</v>
      </c>
      <c r="C23" s="287">
        <f t="shared" si="3"/>
        <v>7389.4087001096041</v>
      </c>
      <c r="D23" s="287">
        <f t="shared" si="3"/>
        <v>7841.4943530950513</v>
      </c>
      <c r="E23" s="287">
        <f t="shared" si="3"/>
        <v>8157.4266006677308</v>
      </c>
      <c r="F23" s="287">
        <f t="shared" si="3"/>
        <v>8298.8816386526396</v>
      </c>
      <c r="G23" s="287">
        <f t="shared" si="3"/>
        <v>8001.6460403881765</v>
      </c>
      <c r="H23" s="287">
        <f t="shared" si="3"/>
        <v>7083.838250011383</v>
      </c>
      <c r="I23" s="287">
        <f t="shared" si="3"/>
        <v>7083.838250011383</v>
      </c>
      <c r="J23" s="287">
        <f t="shared" si="3"/>
        <v>7083.838250011383</v>
      </c>
      <c r="K23" s="287">
        <f t="shared" si="3"/>
        <v>7083.838250011383</v>
      </c>
      <c r="L23" s="287">
        <f t="shared" si="3"/>
        <v>7083.838250011383</v>
      </c>
      <c r="N23" s="1" t="str">
        <f t="shared" si="2"/>
        <v>million</v>
      </c>
    </row>
    <row r="24" spans="1:16" s="1" customFormat="1" ht="14" thickTop="1" thickBot="1" x14ac:dyDescent="0.35">
      <c r="A24" s="44" t="s">
        <v>207</v>
      </c>
      <c r="B24" s="44"/>
      <c r="C24" s="259">
        <f>((POP_G_1_B/POP_G_0)^(1/YP_1)-1)*100</f>
        <v>0.79914882567964085</v>
      </c>
      <c r="D24" s="259">
        <f t="array" ref="D24:L24">((POP_G_NOT_1_B/POP_G_B)^(1/YP_NOT_1)-1)*100</f>
        <v>0.59558363062952591</v>
      </c>
      <c r="E24" s="259">
        <v>0.3957744187373935</v>
      </c>
      <c r="F24" s="259">
        <v>0.17206798456930184</v>
      </c>
      <c r="G24" s="259">
        <v>-0.14578757782912621</v>
      </c>
      <c r="H24" s="259">
        <v>-0.4861400517377934</v>
      </c>
      <c r="I24" s="259">
        <v>0</v>
      </c>
      <c r="J24" s="259">
        <v>0</v>
      </c>
      <c r="K24" s="259">
        <v>0</v>
      </c>
      <c r="L24" s="259">
        <v>0</v>
      </c>
      <c r="N24" s="1" t="s">
        <v>40</v>
      </c>
    </row>
    <row r="25" spans="1:16" s="1" customFormat="1" ht="13.5" thickTop="1" x14ac:dyDescent="0.3">
      <c r="A25" s="2" t="s">
        <v>141</v>
      </c>
      <c r="B25" s="2"/>
      <c r="C25"/>
      <c r="D25"/>
      <c r="E25"/>
      <c r="F25"/>
      <c r="G25"/>
      <c r="H25"/>
      <c r="I25"/>
      <c r="J25"/>
      <c r="K25"/>
      <c r="L25"/>
      <c r="M25"/>
      <c r="N25"/>
    </row>
    <row r="26" spans="1:16" s="1" customFormat="1" ht="13" x14ac:dyDescent="0.3">
      <c r="A26" s="1" t="str">
        <f t="array" ref="A26:A33">R_CODE</f>
        <v>EU</v>
      </c>
      <c r="B26" s="27">
        <f t="array" ref="B26:B33">GDP_0/POP_0</f>
        <v>34298.936986729554</v>
      </c>
      <c r="C26" s="223">
        <f t="array" ref="C26:L33">GDP_B/POP_B</f>
        <v>36854.044123089378</v>
      </c>
      <c r="D26" s="223">
        <v>42511.229343655395</v>
      </c>
      <c r="E26" s="223">
        <v>50067.551305436216</v>
      </c>
      <c r="F26" s="223">
        <v>59031.766939440313</v>
      </c>
      <c r="G26" s="223">
        <v>90269.896584361617</v>
      </c>
      <c r="H26" s="223">
        <v>137428.99621439705</v>
      </c>
      <c r="I26" s="223">
        <v>262791.15191456513</v>
      </c>
      <c r="J26" s="223">
        <v>448356.45715830353</v>
      </c>
      <c r="K26" s="223">
        <v>696287.04400997004</v>
      </c>
      <c r="L26" s="223">
        <v>1000624.0458264147</v>
      </c>
      <c r="N26" s="1" t="str">
        <f t="shared" ref="N26:N34" si="4">CURRENCY_NAME&amp;"/"&amp;POP_UNIT_NAME</f>
        <v>$M(2015)/million</v>
      </c>
      <c r="P26" s="242" t="s">
        <v>1041</v>
      </c>
    </row>
    <row r="27" spans="1:16" s="1" customFormat="1" x14ac:dyDescent="0.25">
      <c r="A27" s="1" t="str">
        <v>US</v>
      </c>
      <c r="B27" s="28">
        <v>52768.87520787424</v>
      </c>
      <c r="C27" s="224">
        <v>58048.267309118288</v>
      </c>
      <c r="D27" s="224">
        <v>66642.606744648292</v>
      </c>
      <c r="E27" s="224">
        <v>74519.067183356412</v>
      </c>
      <c r="F27" s="224">
        <v>83009.093356033409</v>
      </c>
      <c r="G27" s="224">
        <v>110909.56679282134</v>
      </c>
      <c r="H27" s="224">
        <v>156197.03964842251</v>
      </c>
      <c r="I27" s="224">
        <v>314811.65675557242</v>
      </c>
      <c r="J27" s="224">
        <v>591051.06110731012</v>
      </c>
      <c r="K27" s="224">
        <v>1041106.5673860754</v>
      </c>
      <c r="L27" s="224">
        <v>1731620.0391033248</v>
      </c>
      <c r="N27" s="1" t="str">
        <f t="shared" si="4"/>
        <v>$M(2015)/million</v>
      </c>
    </row>
    <row r="28" spans="1:16" s="1" customFormat="1" x14ac:dyDescent="0.25">
      <c r="A28" s="1" t="str">
        <v>OT</v>
      </c>
      <c r="B28" s="28">
        <v>34034.764399069376</v>
      </c>
      <c r="C28" s="224">
        <v>37198.043226255315</v>
      </c>
      <c r="D28" s="224">
        <v>44143.129765746351</v>
      </c>
      <c r="E28" s="224">
        <v>51937.574782188116</v>
      </c>
      <c r="F28" s="224">
        <v>61122.115170804253</v>
      </c>
      <c r="G28" s="224">
        <v>93069.304729693162</v>
      </c>
      <c r="H28" s="224">
        <v>141163.21863389027</v>
      </c>
      <c r="I28" s="224">
        <v>226070.42814210372</v>
      </c>
      <c r="J28" s="224">
        <v>305055.34922467958</v>
      </c>
      <c r="K28" s="224">
        <v>369088.27341542568</v>
      </c>
      <c r="L28" s="224">
        <v>416610.62571674521</v>
      </c>
      <c r="N28" s="1" t="str">
        <f t="shared" si="4"/>
        <v>$M(2015)/million</v>
      </c>
    </row>
    <row r="29" spans="1:16" s="1" customFormat="1" x14ac:dyDescent="0.25">
      <c r="A29" s="1" t="str">
        <v>EE</v>
      </c>
      <c r="B29" s="28">
        <v>13542.833113714327</v>
      </c>
      <c r="C29" s="224">
        <v>16685.626349747483</v>
      </c>
      <c r="D29" s="224">
        <v>24958.985429200078</v>
      </c>
      <c r="E29" s="224">
        <v>34498.818301094921</v>
      </c>
      <c r="F29" s="224">
        <v>42882.56406241667</v>
      </c>
      <c r="G29" s="224">
        <v>68020.01683771667</v>
      </c>
      <c r="H29" s="224">
        <v>101482.92745356525</v>
      </c>
      <c r="I29" s="224">
        <v>139208.23506976091</v>
      </c>
      <c r="J29" s="224">
        <v>159864.40374674273</v>
      </c>
      <c r="K29" s="224">
        <v>169834.83671811683</v>
      </c>
      <c r="L29" s="224">
        <v>174385.90507866786</v>
      </c>
      <c r="N29" s="1" t="str">
        <f t="shared" si="4"/>
        <v>$M(2015)/million</v>
      </c>
    </row>
    <row r="30" spans="1:16" s="1" customFormat="1" x14ac:dyDescent="0.25">
      <c r="A30" s="1" t="str">
        <v>CA</v>
      </c>
      <c r="B30" s="28">
        <v>9698.5263611013015</v>
      </c>
      <c r="C30" s="224">
        <v>14666.51779145671</v>
      </c>
      <c r="D30" s="224">
        <v>27439.502196383328</v>
      </c>
      <c r="E30" s="224">
        <v>41826.190622140537</v>
      </c>
      <c r="F30" s="224">
        <v>56156.533957308471</v>
      </c>
      <c r="G30" s="224">
        <v>86843.982041345007</v>
      </c>
      <c r="H30" s="224">
        <v>122325.78185661015</v>
      </c>
      <c r="I30" s="224">
        <v>118116.98989109718</v>
      </c>
      <c r="J30" s="224">
        <v>114053.00738063215</v>
      </c>
      <c r="K30" s="224">
        <v>110128.85195059468</v>
      </c>
      <c r="L30" s="224">
        <v>106339.71265202755</v>
      </c>
      <c r="N30" s="1" t="str">
        <f t="shared" si="4"/>
        <v>$M(2015)/million</v>
      </c>
    </row>
    <row r="31" spans="1:16" s="1" customFormat="1" x14ac:dyDescent="0.25">
      <c r="A31" s="1" t="str">
        <v>IA</v>
      </c>
      <c r="B31" s="28">
        <v>5323.3953456096951</v>
      </c>
      <c r="C31" s="224">
        <v>6989.6355182865836</v>
      </c>
      <c r="D31" s="224">
        <v>12021.794527327047</v>
      </c>
      <c r="E31" s="224">
        <v>19751.012092208122</v>
      </c>
      <c r="F31" s="224">
        <v>30164.86320261845</v>
      </c>
      <c r="G31" s="224">
        <v>66150.173641454254</v>
      </c>
      <c r="H31" s="224">
        <v>115901.49203087097</v>
      </c>
      <c r="I31" s="224">
        <v>192008.99523675503</v>
      </c>
      <c r="J31" s="224">
        <v>218330.37900706826</v>
      </c>
      <c r="K31" s="224">
        <v>225565.68524784982</v>
      </c>
      <c r="L31" s="224">
        <v>227438.32719596793</v>
      </c>
      <c r="N31" s="1" t="str">
        <f t="shared" si="4"/>
        <v>$M(2015)/million</v>
      </c>
    </row>
    <row r="32" spans="1:16" s="1" customFormat="1" x14ac:dyDescent="0.25">
      <c r="A32" s="1" t="str">
        <v>AF</v>
      </c>
      <c r="B32" s="28">
        <v>5372.4765956417641</v>
      </c>
      <c r="C32" s="224">
        <v>6188.7317502897304</v>
      </c>
      <c r="D32" s="224">
        <v>8538.2573151406668</v>
      </c>
      <c r="E32" s="224">
        <v>12398.454583224764</v>
      </c>
      <c r="F32" s="224">
        <v>18438.15866057741</v>
      </c>
      <c r="G32" s="224">
        <v>48629.727536649443</v>
      </c>
      <c r="H32" s="224">
        <v>104494.72096352772</v>
      </c>
      <c r="I32" s="224">
        <v>392378.90719786263</v>
      </c>
      <c r="J32" s="224">
        <v>750617.76278797316</v>
      </c>
      <c r="K32" s="224">
        <v>1030525.6950207159</v>
      </c>
      <c r="L32" s="224">
        <v>1202799.2577510071</v>
      </c>
      <c r="N32" s="1" t="str">
        <f t="shared" si="4"/>
        <v>$M(2015)/million</v>
      </c>
    </row>
    <row r="33" spans="1:16" s="1" customFormat="1" ht="13" thickBot="1" x14ac:dyDescent="0.3">
      <c r="A33" s="1" t="str">
        <v>LA</v>
      </c>
      <c r="B33" s="36">
        <v>12669.79887906751</v>
      </c>
      <c r="C33" s="287">
        <v>14698.876858724947</v>
      </c>
      <c r="D33" s="287">
        <v>19909.763564064957</v>
      </c>
      <c r="E33" s="287">
        <v>27196.599560692648</v>
      </c>
      <c r="F33" s="287">
        <v>36826.036105540261</v>
      </c>
      <c r="G33" s="287">
        <v>71460.928065953165</v>
      </c>
      <c r="H33" s="287">
        <v>123267.33094102039</v>
      </c>
      <c r="I33" s="287">
        <v>224597.61747199256</v>
      </c>
      <c r="J33" s="287">
        <v>285382.12689160317</v>
      </c>
      <c r="K33" s="287">
        <v>313953.38044711627</v>
      </c>
      <c r="L33" s="287">
        <v>326105.69681845268</v>
      </c>
      <c r="N33" s="1" t="str">
        <f t="shared" si="4"/>
        <v>$M(2015)/million</v>
      </c>
    </row>
    <row r="34" spans="1:16" s="1" customFormat="1" ht="14" thickTop="1" thickBot="1" x14ac:dyDescent="0.35">
      <c r="A34" s="44" t="s">
        <v>142</v>
      </c>
      <c r="B34" s="36">
        <f>GDP_G_0/POP_G_0</f>
        <v>12570.103365967212</v>
      </c>
      <c r="C34" s="287">
        <f t="array" ref="C34:L34">GDP_G_B/POP_G_B</f>
        <v>15009.216002844105</v>
      </c>
      <c r="D34" s="287">
        <v>21148.538731736102</v>
      </c>
      <c r="E34" s="287">
        <v>28829.707075886417</v>
      </c>
      <c r="F34" s="287">
        <v>37922.074575873659</v>
      </c>
      <c r="G34" s="287">
        <v>68756.021806258053</v>
      </c>
      <c r="H34" s="287">
        <v>117352.05680101318</v>
      </c>
      <c r="I34" s="287">
        <v>270149.40027198585</v>
      </c>
      <c r="J34" s="287">
        <v>441685.28693356324</v>
      </c>
      <c r="K34" s="287">
        <v>591427.64116704324</v>
      </c>
      <c r="L34" s="287">
        <v>717754.73745313694</v>
      </c>
      <c r="N34" s="1" t="str">
        <f t="shared" si="4"/>
        <v>$M(2015)/million</v>
      </c>
    </row>
    <row r="35" spans="1:16" s="1" customFormat="1" ht="14" thickTop="1" thickBot="1" x14ac:dyDescent="0.35">
      <c r="A35" s="44" t="s">
        <v>143</v>
      </c>
      <c r="B35" s="44"/>
      <c r="C35" s="259">
        <f t="array" ref="C35:L35">GRW_G_B-POP_GRW_G_B</f>
        <v>3.6393682357459767</v>
      </c>
      <c r="D35" s="259">
        <v>3.5093113463306791</v>
      </c>
      <c r="E35" s="259">
        <v>3.1593084523162229</v>
      </c>
      <c r="F35" s="259">
        <v>2.7839709392094125</v>
      </c>
      <c r="G35" s="259">
        <v>2.4051632130092093</v>
      </c>
      <c r="H35" s="259">
        <v>2.1509775024854072</v>
      </c>
      <c r="I35" s="259">
        <v>1.6815753332093397</v>
      </c>
      <c r="J35" s="259">
        <v>0.98809467021059305</v>
      </c>
      <c r="K35" s="259">
        <v>0.58559139582521347</v>
      </c>
      <c r="L35" s="259">
        <v>0.387927648087949</v>
      </c>
      <c r="N35" s="1" t="s">
        <v>40</v>
      </c>
    </row>
    <row r="36" spans="1:16" s="1" customFormat="1" ht="13.5" thickTop="1" x14ac:dyDescent="0.3">
      <c r="A36" s="2" t="s">
        <v>219</v>
      </c>
      <c r="B36" s="2"/>
      <c r="C36"/>
      <c r="D36"/>
      <c r="E36"/>
      <c r="F36"/>
      <c r="G36"/>
      <c r="H36"/>
      <c r="I36"/>
      <c r="J36"/>
      <c r="K36"/>
      <c r="L36"/>
      <c r="M36"/>
      <c r="N36"/>
    </row>
    <row r="37" spans="1:16" s="1" customFormat="1" ht="13" x14ac:dyDescent="0.3">
      <c r="A37" s="1" t="str">
        <f t="array" ref="A37:A44">R_CODE</f>
        <v>EU</v>
      </c>
      <c r="B37" s="27">
        <f t="array" aca="1" ref="B37:B44" ca="1">GDP_PER_CAP_0*(1-SAVE/100)</f>
        <v>29154.09643872012</v>
      </c>
      <c r="C37" s="223">
        <f t="array" ref="C37:L44" ca="1">GDP_PER_CAP_B*(1-SAVE/100)</f>
        <v>31325.93750462597</v>
      </c>
      <c r="D37" s="223">
        <f ca="1"/>
        <v>36134.544942107088</v>
      </c>
      <c r="E37" s="223">
        <f ca="1"/>
        <v>42557.418609620785</v>
      </c>
      <c r="F37" s="223">
        <f ca="1"/>
        <v>50177.001898524264</v>
      </c>
      <c r="G37" s="223">
        <f ca="1"/>
        <v>76729.412096707369</v>
      </c>
      <c r="H37" s="223">
        <f ca="1"/>
        <v>116814.64678223748</v>
      </c>
      <c r="I37" s="223">
        <f ca="1"/>
        <v>223372.47912738036</v>
      </c>
      <c r="J37" s="223">
        <f ca="1"/>
        <v>381102.98858455801</v>
      </c>
      <c r="K37" s="223">
        <f ca="1"/>
        <v>591843.98740847455</v>
      </c>
      <c r="L37" s="223">
        <f ca="1"/>
        <v>850530.4389524525</v>
      </c>
      <c r="N37" s="1" t="str">
        <f t="shared" ref="N37:N45" si="5">CURRENCY_NAME&amp;"/"&amp;POP_UNIT_NAME</f>
        <v>$M(2015)/million</v>
      </c>
      <c r="P37" s="242" t="s">
        <v>1044</v>
      </c>
    </row>
    <row r="38" spans="1:16" s="1" customFormat="1" x14ac:dyDescent="0.25">
      <c r="A38" s="1" t="str">
        <v>US</v>
      </c>
      <c r="B38" s="28">
        <f ca="1"/>
        <v>44853.543926693106</v>
      </c>
      <c r="C38" s="224">
        <f ca="1"/>
        <v>49341.027212750545</v>
      </c>
      <c r="D38" s="224">
        <f ca="1"/>
        <v>56646.215732951045</v>
      </c>
      <c r="E38" s="224">
        <f ca="1"/>
        <v>63341.207105852947</v>
      </c>
      <c r="F38" s="224">
        <f ca="1"/>
        <v>70557.72935262839</v>
      </c>
      <c r="G38" s="224">
        <f ca="1"/>
        <v>94273.131773898131</v>
      </c>
      <c r="H38" s="224">
        <f ca="1"/>
        <v>132767.48370115913</v>
      </c>
      <c r="I38" s="224">
        <f ca="1"/>
        <v>267589.90824223653</v>
      </c>
      <c r="J38" s="224">
        <f ca="1"/>
        <v>502393.40194121358</v>
      </c>
      <c r="K38" s="224">
        <f ca="1"/>
        <v>884940.5822781641</v>
      </c>
      <c r="L38" s="224">
        <f ca="1"/>
        <v>1471877.0332378261</v>
      </c>
      <c r="N38" s="1" t="str">
        <f t="shared" si="5"/>
        <v>$M(2015)/million</v>
      </c>
    </row>
    <row r="39" spans="1:16" s="1" customFormat="1" x14ac:dyDescent="0.25">
      <c r="A39" s="1" t="str">
        <v>OT</v>
      </c>
      <c r="B39" s="28">
        <f ca="1"/>
        <v>28929.549739208967</v>
      </c>
      <c r="C39" s="224">
        <f ca="1"/>
        <v>31618.336742317017</v>
      </c>
      <c r="D39" s="224">
        <f ca="1"/>
        <v>37521.660300884396</v>
      </c>
      <c r="E39" s="224">
        <f ca="1"/>
        <v>44146.938564859898</v>
      </c>
      <c r="F39" s="224">
        <f ca="1"/>
        <v>51953.797895183612</v>
      </c>
      <c r="G39" s="224">
        <f ca="1"/>
        <v>79108.909020239182</v>
      </c>
      <c r="H39" s="224">
        <f ca="1"/>
        <v>119988.73583880672</v>
      </c>
      <c r="I39" s="224">
        <f ca="1"/>
        <v>192159.86392078816</v>
      </c>
      <c r="J39" s="224">
        <f ca="1"/>
        <v>259297.04684097762</v>
      </c>
      <c r="K39" s="224">
        <f ca="1"/>
        <v>313725.03240311181</v>
      </c>
      <c r="L39" s="224">
        <f ca="1"/>
        <v>354119.03185923339</v>
      </c>
      <c r="N39" s="1" t="str">
        <f t="shared" si="5"/>
        <v>$M(2015)/million</v>
      </c>
    </row>
    <row r="40" spans="1:16" s="1" customFormat="1" x14ac:dyDescent="0.25">
      <c r="A40" s="1" t="str">
        <v>EE</v>
      </c>
      <c r="B40" s="28">
        <f ca="1"/>
        <v>11511.408146657177</v>
      </c>
      <c r="C40" s="224">
        <f ca="1"/>
        <v>14182.78239728536</v>
      </c>
      <c r="D40" s="224">
        <f ca="1"/>
        <v>21215.137614820065</v>
      </c>
      <c r="E40" s="224">
        <f ca="1"/>
        <v>29323.995555930684</v>
      </c>
      <c r="F40" s="224">
        <f ca="1"/>
        <v>36450.179453054167</v>
      </c>
      <c r="G40" s="224">
        <f ca="1"/>
        <v>57817.014312059167</v>
      </c>
      <c r="H40" s="224">
        <f ca="1"/>
        <v>86260.488335530463</v>
      </c>
      <c r="I40" s="224">
        <f ca="1"/>
        <v>118326.99980929677</v>
      </c>
      <c r="J40" s="224">
        <f ca="1"/>
        <v>135884.74318473131</v>
      </c>
      <c r="K40" s="224">
        <f ca="1"/>
        <v>144359.61121039931</v>
      </c>
      <c r="L40" s="224">
        <f ca="1"/>
        <v>148228.01931686766</v>
      </c>
      <c r="N40" s="1" t="str">
        <f t="shared" si="5"/>
        <v>$M(2015)/million</v>
      </c>
    </row>
    <row r="41" spans="1:16" s="1" customFormat="1" x14ac:dyDescent="0.25">
      <c r="A41" s="1" t="str">
        <v>CA</v>
      </c>
      <c r="B41" s="28">
        <f ca="1"/>
        <v>8243.7474069361069</v>
      </c>
      <c r="C41" s="224">
        <f ca="1"/>
        <v>12466.540122738203</v>
      </c>
      <c r="D41" s="224">
        <f ca="1"/>
        <v>23323.576866925829</v>
      </c>
      <c r="E41" s="224">
        <f ca="1"/>
        <v>35552.262028819452</v>
      </c>
      <c r="F41" s="224">
        <f ca="1"/>
        <v>47733.053863712201</v>
      </c>
      <c r="G41" s="224">
        <f ca="1"/>
        <v>73817.384735143249</v>
      </c>
      <c r="H41" s="224">
        <f ca="1"/>
        <v>103976.91457811862</v>
      </c>
      <c r="I41" s="224">
        <f ca="1"/>
        <v>100399.44140743261</v>
      </c>
      <c r="J41" s="224">
        <f ca="1"/>
        <v>96945.056273537324</v>
      </c>
      <c r="K41" s="224">
        <f ca="1"/>
        <v>93609.524158005472</v>
      </c>
      <c r="L41" s="224">
        <f ca="1"/>
        <v>90388.755754223414</v>
      </c>
      <c r="N41" s="1" t="str">
        <f t="shared" si="5"/>
        <v>$M(2015)/million</v>
      </c>
    </row>
    <row r="42" spans="1:16" s="1" customFormat="1" x14ac:dyDescent="0.25">
      <c r="A42" s="1" t="str">
        <v>IA</v>
      </c>
      <c r="B42" s="28">
        <f ca="1"/>
        <v>4524.8860437682406</v>
      </c>
      <c r="C42" s="224">
        <f ca="1"/>
        <v>5941.1901905435961</v>
      </c>
      <c r="D42" s="224">
        <f ca="1"/>
        <v>10218.52534822799</v>
      </c>
      <c r="E42" s="224">
        <f ca="1"/>
        <v>16788.360278376902</v>
      </c>
      <c r="F42" s="224">
        <f ca="1"/>
        <v>25640.133722225681</v>
      </c>
      <c r="G42" s="224">
        <f ca="1"/>
        <v>56227.647595236114</v>
      </c>
      <c r="H42" s="224">
        <f ca="1"/>
        <v>98516.268226240325</v>
      </c>
      <c r="I42" s="224">
        <f ca="1"/>
        <v>163207.64595124178</v>
      </c>
      <c r="J42" s="224">
        <f ca="1"/>
        <v>185580.82215600801</v>
      </c>
      <c r="K42" s="224">
        <f ca="1"/>
        <v>191730.83246067233</v>
      </c>
      <c r="L42" s="224">
        <f ca="1"/>
        <v>193322.57811657272</v>
      </c>
      <c r="N42" s="1" t="str">
        <f t="shared" si="5"/>
        <v>$M(2015)/million</v>
      </c>
    </row>
    <row r="43" spans="1:16" s="1" customFormat="1" x14ac:dyDescent="0.25">
      <c r="A43" s="1" t="str">
        <v>AF</v>
      </c>
      <c r="B43" s="28">
        <f ca="1"/>
        <v>4566.6051062954994</v>
      </c>
      <c r="C43" s="224">
        <f ca="1"/>
        <v>5260.421987746271</v>
      </c>
      <c r="D43" s="224">
        <f ca="1"/>
        <v>7257.5187178695669</v>
      </c>
      <c r="E43" s="224">
        <f ca="1"/>
        <v>10538.68639574105</v>
      </c>
      <c r="F43" s="224">
        <f ca="1"/>
        <v>15672.434861490798</v>
      </c>
      <c r="G43" s="224">
        <f ca="1"/>
        <v>41335.268406152027</v>
      </c>
      <c r="H43" s="224">
        <f ca="1"/>
        <v>88820.51281899857</v>
      </c>
      <c r="I43" s="224">
        <f ca="1"/>
        <v>333522.0711181832</v>
      </c>
      <c r="J43" s="224">
        <f ca="1"/>
        <v>638025.0983697772</v>
      </c>
      <c r="K43" s="224">
        <f ca="1"/>
        <v>875946.84076760849</v>
      </c>
      <c r="L43" s="224">
        <f ca="1"/>
        <v>1022379.369088356</v>
      </c>
      <c r="N43" s="1" t="str">
        <f t="shared" si="5"/>
        <v>$M(2015)/million</v>
      </c>
    </row>
    <row r="44" spans="1:16" s="1" customFormat="1" ht="13" thickBot="1" x14ac:dyDescent="0.3">
      <c r="A44" s="1" t="str">
        <v>LA</v>
      </c>
      <c r="B44" s="36">
        <f ca="1"/>
        <v>10769.329047207382</v>
      </c>
      <c r="C44" s="287">
        <f ca="1"/>
        <v>12494.045329916205</v>
      </c>
      <c r="D44" s="287">
        <f ca="1"/>
        <v>16923.299029455215</v>
      </c>
      <c r="E44" s="287">
        <f ca="1"/>
        <v>23117.10962658875</v>
      </c>
      <c r="F44" s="287">
        <f ca="1"/>
        <v>31302.130689709222</v>
      </c>
      <c r="G44" s="287">
        <f ca="1"/>
        <v>60741.788856060186</v>
      </c>
      <c r="H44" s="287">
        <f ca="1"/>
        <v>104777.23129986733</v>
      </c>
      <c r="I44" s="287">
        <f ca="1"/>
        <v>190907.97485119366</v>
      </c>
      <c r="J44" s="287">
        <f ca="1"/>
        <v>242574.80785786267</v>
      </c>
      <c r="K44" s="287">
        <f ca="1"/>
        <v>266860.37338004884</v>
      </c>
      <c r="L44" s="287">
        <f ca="1"/>
        <v>277189.84229568479</v>
      </c>
      <c r="N44" s="1" t="str">
        <f t="shared" si="5"/>
        <v>$M(2015)/million</v>
      </c>
    </row>
    <row r="45" spans="1:16" s="1" customFormat="1" ht="14" thickTop="1" thickBot="1" x14ac:dyDescent="0.35">
      <c r="A45" s="44" t="s">
        <v>142</v>
      </c>
      <c r="B45" s="36">
        <f ca="1">GDP_PER_CAP_G_0*(1-SAVE/100)</f>
        <v>10684.58786107213</v>
      </c>
      <c r="C45" s="287">
        <f t="array" aca="1" ref="C45:L45" ca="1">GDP_PER_CAP_G_B*(1-SAVE/100)</f>
        <v>12757.83360241749</v>
      </c>
      <c r="D45" s="287">
        <f ca="1"/>
        <v>17976.257921975684</v>
      </c>
      <c r="E45" s="287">
        <f ca="1"/>
        <v>24505.251014503454</v>
      </c>
      <c r="F45" s="287">
        <f ca="1"/>
        <v>32233.763389492611</v>
      </c>
      <c r="G45" s="287">
        <f ca="1"/>
        <v>58442.618535319343</v>
      </c>
      <c r="H45" s="287">
        <f ca="1"/>
        <v>99749.248280861197</v>
      </c>
      <c r="I45" s="287">
        <f ca="1"/>
        <v>229626.99023118796</v>
      </c>
      <c r="J45" s="287">
        <f ca="1"/>
        <v>375432.49389352876</v>
      </c>
      <c r="K45" s="287">
        <f ca="1"/>
        <v>502713.49499198672</v>
      </c>
      <c r="L45" s="287">
        <f ca="1"/>
        <v>610091.52683516638</v>
      </c>
      <c r="N45" s="1" t="str">
        <f t="shared" si="5"/>
        <v>$M(2015)/million</v>
      </c>
    </row>
    <row r="46" spans="1:16" s="1" customFormat="1" ht="14" thickTop="1" thickBot="1" x14ac:dyDescent="0.35">
      <c r="A46" s="44" t="s">
        <v>143</v>
      </c>
      <c r="B46" s="44"/>
      <c r="C46" s="259">
        <f ca="1">((CONS_PER_CAP_G_1_B/CONS_PER_CAP_G_0)^(1/YP_1)-1)*100</f>
        <v>3.610514848731361</v>
      </c>
      <c r="D46" s="259">
        <f t="array" aca="1" ref="D46:L46" ca="1">((CONS_PER_CAP_G_NOT_1_B/CONS_PER_CAP_G_B)^(1/YP_NOT_1)-1)*100</f>
        <v>3.4885342076410586</v>
      </c>
      <c r="E46" s="259">
        <f ca="1"/>
        <v>3.1468540091529995</v>
      </c>
      <c r="F46" s="259">
        <f ca="1"/>
        <v>2.7791888449764768</v>
      </c>
      <c r="G46" s="259">
        <f ca="1"/>
        <v>2.4086747616019366</v>
      </c>
      <c r="H46" s="259">
        <f ca="1"/>
        <v>2.1614853484767993</v>
      </c>
      <c r="I46" s="259">
        <f ca="1"/>
        <v>1.6815753332093397</v>
      </c>
      <c r="J46" s="259">
        <f ca="1"/>
        <v>0.98809467021059305</v>
      </c>
      <c r="K46" s="259">
        <f ca="1"/>
        <v>0.58559139582521347</v>
      </c>
      <c r="L46" s="259">
        <f ca="1"/>
        <v>0.387927648087949</v>
      </c>
      <c r="N46" s="1" t="s">
        <v>40</v>
      </c>
    </row>
    <row r="47" spans="1:16" s="1" customFormat="1" ht="13.5" thickTop="1" x14ac:dyDescent="0.3">
      <c r="A47" s="44" t="s">
        <v>144</v>
      </c>
      <c r="B47" s="44"/>
      <c r="C47"/>
      <c r="D47"/>
      <c r="E47"/>
      <c r="F47"/>
      <c r="G47"/>
      <c r="H47"/>
      <c r="I47"/>
      <c r="J47"/>
      <c r="K47"/>
      <c r="L47"/>
    </row>
    <row r="48" spans="1:16" s="1" customFormat="1" ht="13" x14ac:dyDescent="0.3">
      <c r="A48" s="1" t="str">
        <f t="array" ref="A48:A55">R_CODE</f>
        <v>EU</v>
      </c>
      <c r="B48" s="29">
        <f t="array" aca="1" ref="B48:B55" ca="1">(CONS_PER_CAP_FOCUS_0/CONS_PER_CAP_0)^EMUC</f>
        <v>1</v>
      </c>
      <c r="C48" s="214">
        <f t="array" aca="1" ref="C48:L55" ca="1">(CONS_PER_CAP_FOCUS_0/CONS_PER_CAP_B)^EMUC</f>
        <v>0.91959110197069127</v>
      </c>
      <c r="D48" s="214">
        <f ca="1"/>
        <v>0.77846632209681232</v>
      </c>
      <c r="E48" s="214">
        <f ca="1"/>
        <v>0.64319850595599881</v>
      </c>
      <c r="F48" s="214">
        <f ca="1"/>
        <v>0.53075491412873965</v>
      </c>
      <c r="G48" s="214">
        <f ca="1"/>
        <v>0.32336573702496402</v>
      </c>
      <c r="H48" s="214">
        <f ca="1"/>
        <v>0.19803228574471099</v>
      </c>
      <c r="I48" s="214">
        <f ca="1"/>
        <v>9.2956887858512166E-2</v>
      </c>
      <c r="J48" s="214">
        <f ca="1"/>
        <v>4.984253281667634E-2</v>
      </c>
      <c r="K48" s="214">
        <f ca="1"/>
        <v>2.9824584621542083E-2</v>
      </c>
      <c r="L48" s="214">
        <f ca="1"/>
        <v>1.9536406329680015E-2</v>
      </c>
      <c r="P48" s="242" t="s">
        <v>1045</v>
      </c>
    </row>
    <row r="49" spans="1:16" s="1" customFormat="1" x14ac:dyDescent="0.25">
      <c r="A49" s="1" t="str">
        <v>US</v>
      </c>
      <c r="B49" s="26">
        <f ca="1"/>
        <v>0.60495066775794137</v>
      </c>
      <c r="C49" s="215">
        <f ca="1"/>
        <v>0.54126087167541348</v>
      </c>
      <c r="D49" s="215">
        <f ca="1"/>
        <v>0.460733861099483</v>
      </c>
      <c r="E49" s="215">
        <f ca="1"/>
        <v>0.40443505554929815</v>
      </c>
      <c r="F49" s="215">
        <f ca="1"/>
        <v>0.35659957526366948</v>
      </c>
      <c r="G49" s="215">
        <f ca="1"/>
        <v>0.25431009099202012</v>
      </c>
      <c r="H49" s="215">
        <f ca="1"/>
        <v>0.17055947035538568</v>
      </c>
      <c r="I49" s="215">
        <f ca="1"/>
        <v>7.5295351433049718E-2</v>
      </c>
      <c r="J49" s="215">
        <f ca="1"/>
        <v>3.610757057749963E-2</v>
      </c>
      <c r="K49" s="215">
        <f ca="1"/>
        <v>1.8653044228785633E-2</v>
      </c>
      <c r="L49" s="215">
        <f ca="1"/>
        <v>1.030305615461235E-2</v>
      </c>
    </row>
    <row r="50" spans="1:16" s="1" customFormat="1" x14ac:dyDescent="0.25">
      <c r="A50" s="1" t="str">
        <v>OT</v>
      </c>
      <c r="B50" s="26">
        <f ca="1"/>
        <v>1.009061331270162</v>
      </c>
      <c r="C50" s="215">
        <f ca="1"/>
        <v>0.90967723506153242</v>
      </c>
      <c r="D50" s="215">
        <f ca="1"/>
        <v>0.74499575000420071</v>
      </c>
      <c r="E50" s="215">
        <f ca="1"/>
        <v>0.61626214731717666</v>
      </c>
      <c r="F50" s="215">
        <f ca="1"/>
        <v>0.50963901348996599</v>
      </c>
      <c r="G50" s="215">
        <f ca="1"/>
        <v>0.31204691205146806</v>
      </c>
      <c r="H50" s="215">
        <f ca="1"/>
        <v>0.19193416735402352</v>
      </c>
      <c r="I50" s="215">
        <f ca="1"/>
        <v>0.11080084032252714</v>
      </c>
      <c r="J50" s="215">
        <f ca="1"/>
        <v>7.8112226680184263E-2</v>
      </c>
      <c r="K50" s="215">
        <f ca="1"/>
        <v>6.2542535262652771E-2</v>
      </c>
      <c r="L50" s="215">
        <f ca="1"/>
        <v>5.4301109600091192E-2</v>
      </c>
    </row>
    <row r="51" spans="1:16" s="1" customFormat="1" x14ac:dyDescent="0.25">
      <c r="A51" s="1" t="str">
        <v>EE</v>
      </c>
      <c r="B51" s="26">
        <f ca="1"/>
        <v>2.9568751619559466</v>
      </c>
      <c r="C51" s="215">
        <f ca="1"/>
        <v>2.3178989785547235</v>
      </c>
      <c r="D51" s="215">
        <f ca="1"/>
        <v>1.4489809918241421</v>
      </c>
      <c r="E51" s="215">
        <f ca="1"/>
        <v>0.99324376587313834</v>
      </c>
      <c r="F51" s="215">
        <f ca="1"/>
        <v>0.77060750525059629</v>
      </c>
      <c r="G51" s="215">
        <f ca="1"/>
        <v>0.4498674586599411</v>
      </c>
      <c r="H51" s="215">
        <f ca="1"/>
        <v>0.28207782907408885</v>
      </c>
      <c r="I51" s="215">
        <f ca="1"/>
        <v>0.19508251915775274</v>
      </c>
      <c r="J51" s="215">
        <f ca="1"/>
        <v>0.16600342026419831</v>
      </c>
      <c r="K51" s="215">
        <f ca="1"/>
        <v>0.15469022198653645</v>
      </c>
      <c r="L51" s="215">
        <f ca="1"/>
        <v>0.14999064086030886</v>
      </c>
    </row>
    <row r="52" spans="1:16" s="1" customFormat="1" x14ac:dyDescent="0.25">
      <c r="A52" s="1" t="str">
        <v>CA</v>
      </c>
      <c r="B52" s="26">
        <f ca="1"/>
        <v>4.3651991442695195</v>
      </c>
      <c r="C52" s="215">
        <f ca="1"/>
        <v>2.6942998158300173</v>
      </c>
      <c r="D52" s="215">
        <f ca="1"/>
        <v>1.2973440693063478</v>
      </c>
      <c r="E52" s="215">
        <f ca="1"/>
        <v>0.79336141091340173</v>
      </c>
      <c r="F52" s="215">
        <f ca="1"/>
        <v>0.56259226882417601</v>
      </c>
      <c r="G52" s="215">
        <f ca="1"/>
        <v>0.33829669377482752</v>
      </c>
      <c r="H52" s="215">
        <f ca="1"/>
        <v>0.22684180973127038</v>
      </c>
      <c r="I52" s="215">
        <f ca="1"/>
        <v>0.23629960977492889</v>
      </c>
      <c r="J52" s="215">
        <f ca="1"/>
        <v>0.24615173739766888</v>
      </c>
      <c r="K52" s="215">
        <f ca="1"/>
        <v>0.25641463344608356</v>
      </c>
      <c r="L52" s="215">
        <f ca="1"/>
        <v>0.26710542424110489</v>
      </c>
    </row>
    <row r="53" spans="1:16" s="1" customFormat="1" x14ac:dyDescent="0.25">
      <c r="A53" s="1" t="str">
        <v>IA</v>
      </c>
      <c r="B53" s="26">
        <f ca="1"/>
        <v>8.7890229077061548</v>
      </c>
      <c r="C53" s="215">
        <f ca="1"/>
        <v>6.3968154177534213</v>
      </c>
      <c r="D53" s="215">
        <f ca="1"/>
        <v>3.3977904083565771</v>
      </c>
      <c r="E53" s="215">
        <f ca="1"/>
        <v>1.9038812479479224</v>
      </c>
      <c r="F53" s="215">
        <f ca="1"/>
        <v>1.1616514804344902</v>
      </c>
      <c r="G53" s="215">
        <f ca="1"/>
        <v>0.46473774935003448</v>
      </c>
      <c r="H53" s="215">
        <f ca="1"/>
        <v>0.24157773541222208</v>
      </c>
      <c r="I53" s="215">
        <f ca="1"/>
        <v>0.13405579716912616</v>
      </c>
      <c r="J53" s="215">
        <f ca="1"/>
        <v>0.11539692606449324</v>
      </c>
      <c r="K53" s="215">
        <f ca="1"/>
        <v>0.1110901533244794</v>
      </c>
      <c r="L53" s="215">
        <f ca="1"/>
        <v>0.11002376672438928</v>
      </c>
    </row>
    <row r="54" spans="1:16" s="1" customFormat="1" x14ac:dyDescent="0.25">
      <c r="A54" s="1" t="str">
        <v>AF</v>
      </c>
      <c r="B54" s="26">
        <f ca="1"/>
        <v>8.6954183774140272</v>
      </c>
      <c r="C54" s="215">
        <f ca="1"/>
        <v>7.3726819951817397</v>
      </c>
      <c r="D54" s="215">
        <f ca="1"/>
        <v>5.0648119480831664</v>
      </c>
      <c r="E54" s="215">
        <f ca="1"/>
        <v>3.2776704744249958</v>
      </c>
      <c r="F54" s="215">
        <f ca="1"/>
        <v>2.0629575809767271</v>
      </c>
      <c r="G54" s="215">
        <f ca="1"/>
        <v>0.66543957866192149</v>
      </c>
      <c r="H54" s="215">
        <f ca="1"/>
        <v>0.27261559414020331</v>
      </c>
      <c r="I54" s="215">
        <f ca="1"/>
        <v>5.8233224892512619E-2</v>
      </c>
      <c r="J54" s="215">
        <f ca="1"/>
        <v>2.7321557929126977E-2</v>
      </c>
      <c r="K54" s="215">
        <f ca="1"/>
        <v>1.8876673958541697E-2</v>
      </c>
      <c r="L54" s="215">
        <f ca="1"/>
        <v>1.5761665036284039E-2</v>
      </c>
    </row>
    <row r="55" spans="1:16" s="1" customFormat="1" ht="13" thickBot="1" x14ac:dyDescent="0.3">
      <c r="A55" s="1" t="str">
        <v>LA</v>
      </c>
      <c r="B55" s="35">
        <f ca="1"/>
        <v>3.195921445427508</v>
      </c>
      <c r="C55" s="259">
        <f ca="1"/>
        <v>2.6873811106547656</v>
      </c>
      <c r="D55" s="259">
        <f ca="1"/>
        <v>1.88618223717234</v>
      </c>
      <c r="E55" s="259">
        <f ca="1"/>
        <v>1.3108723279965542</v>
      </c>
      <c r="F55" s="259">
        <f ca="1"/>
        <v>0.92040711381729667</v>
      </c>
      <c r="G55" s="259">
        <f ca="1"/>
        <v>0.42469845029347136</v>
      </c>
      <c r="H55" s="259">
        <f ca="1"/>
        <v>0.22482164050656414</v>
      </c>
      <c r="I55" s="259">
        <f ca="1"/>
        <v>0.11164898208972268</v>
      </c>
      <c r="J55" s="259">
        <f ca="1"/>
        <v>8.4429886412970542E-2</v>
      </c>
      <c r="K55" s="259">
        <f ca="1"/>
        <v>7.5535552961951108E-2</v>
      </c>
      <c r="L55" s="259">
        <f ca="1"/>
        <v>7.226189069105704E-2</v>
      </c>
    </row>
    <row r="56" spans="1:16" s="1" customFormat="1" ht="14" thickTop="1" thickBot="1" x14ac:dyDescent="0.35">
      <c r="A56" s="44" t="s">
        <v>142</v>
      </c>
      <c r="B56" s="35">
        <f ca="1">(CONS_PER_CAP_FOCUS_0/CONS_PER_CAP_G_0)^EMUC</f>
        <v>3.2255128761395779</v>
      </c>
      <c r="C56" s="259">
        <f t="array" ref="C56:L56" ca="1">(CONS_PER_CAP_FOCUS_0/CONS_PER_CAP_G_B)^EMUC</f>
        <v>2.6226666556639069</v>
      </c>
      <c r="D56" s="259">
        <f ca="1"/>
        <v>1.7579250088144971</v>
      </c>
      <c r="E56" s="259">
        <f ca="1"/>
        <v>1.224655213467104</v>
      </c>
      <c r="F56" s="259">
        <f ca="1"/>
        <v>0.88944684943063368</v>
      </c>
      <c r="G56" s="259">
        <f ca="1"/>
        <v>0.44425423133119246</v>
      </c>
      <c r="H56" s="259">
        <f ca="1"/>
        <v>0.23809756118746322</v>
      </c>
      <c r="I56" s="259">
        <f ca="1"/>
        <v>9.0009723587127249E-2</v>
      </c>
      <c r="J56" s="259">
        <f ca="1"/>
        <v>5.0721919718740571E-2</v>
      </c>
      <c r="K56" s="259">
        <f ca="1"/>
        <v>3.6080749407940586E-2</v>
      </c>
      <c r="L56" s="259">
        <f ca="1"/>
        <v>2.878648852845141E-2</v>
      </c>
    </row>
    <row r="57" spans="1:16" ht="13.5" thickTop="1" x14ac:dyDescent="0.3">
      <c r="A57" s="2" t="s">
        <v>362</v>
      </c>
    </row>
    <row r="58" spans="1:16" s="7" customFormat="1" ht="13" x14ac:dyDescent="0.3">
      <c r="A58" s="7" t="str">
        <f t="array" ref="A58:A65">R_CODE</f>
        <v>EU</v>
      </c>
      <c r="C58" s="288">
        <f t="array" aca="1" ref="C58:C65" ca="1">(1+(DR_1_B/100))^(-YP_1)</f>
        <v>0.87421700566854632</v>
      </c>
      <c r="D58" s="288">
        <f t="array" ref="D58:L65" ca="1">DFC_B*(1+(DR_NOT_1_B/100))^(-YP_NOT_1)</f>
        <v>0.66888431981432694</v>
      </c>
      <c r="E58" s="288">
        <f ca="1"/>
        <v>0.49973064015730667</v>
      </c>
      <c r="F58" s="288">
        <f ca="1"/>
        <v>0.37293131357283338</v>
      </c>
      <c r="G58" s="288">
        <f ca="1"/>
        <v>0.17689354726684206</v>
      </c>
      <c r="H58" s="288">
        <f ca="1"/>
        <v>8.4382877260228917E-2</v>
      </c>
      <c r="I58" s="288">
        <f ca="1"/>
        <v>2.389182887787477E-2</v>
      </c>
      <c r="J58" s="288">
        <f ca="1"/>
        <v>7.7147652216755028E-3</v>
      </c>
      <c r="K58" s="288">
        <f ca="1"/>
        <v>2.7764747843083463E-3</v>
      </c>
      <c r="L58" s="288">
        <f ca="1"/>
        <v>1.0927247070675007E-3</v>
      </c>
      <c r="M58" s="125"/>
      <c r="P58" s="294" t="s">
        <v>1046</v>
      </c>
    </row>
    <row r="59" spans="1:16" s="7" customFormat="1" x14ac:dyDescent="0.25">
      <c r="A59" s="7" t="str">
        <v>US</v>
      </c>
      <c r="C59" s="289">
        <f ca="1"/>
        <v>0.85029272560797298</v>
      </c>
      <c r="D59" s="289">
        <f ca="1"/>
        <v>0.65354251615097769</v>
      </c>
      <c r="E59" s="289">
        <f ca="1"/>
        <v>0.51799391251972193</v>
      </c>
      <c r="F59" s="289">
        <f ca="1"/>
        <v>0.41243551818072804</v>
      </c>
      <c r="G59" s="289">
        <f ca="1"/>
        <v>0.22805198626854056</v>
      </c>
      <c r="H59" s="289">
        <f ca="1"/>
        <v>0.11878597791221204</v>
      </c>
      <c r="I59" s="289">
        <f ca="1"/>
        <v>3.1654406946375752E-2</v>
      </c>
      <c r="J59" s="289">
        <f ca="1"/>
        <v>9.1537868051037828E-3</v>
      </c>
      <c r="K59" s="289">
        <f ca="1"/>
        <v>2.8490458347623935E-3</v>
      </c>
      <c r="L59" s="289">
        <f ca="1"/>
        <v>9.4736687693329003E-4</v>
      </c>
    </row>
    <row r="60" spans="1:16" s="7" customFormat="1" x14ac:dyDescent="0.25">
      <c r="A60" s="7" t="str">
        <v>OT</v>
      </c>
      <c r="C60" s="289">
        <f ca="1"/>
        <v>0.85704717312400958</v>
      </c>
      <c r="D60" s="289">
        <f ca="1"/>
        <v>0.63453345708472486</v>
      </c>
      <c r="E60" s="289">
        <f ca="1"/>
        <v>0.47460426371185266</v>
      </c>
      <c r="F60" s="289">
        <f ca="1"/>
        <v>0.35498397226892608</v>
      </c>
      <c r="G60" s="289">
        <f ca="1"/>
        <v>0.16933669669776671</v>
      </c>
      <c r="H60" s="289">
        <f ca="1"/>
        <v>8.1236869282486246E-2</v>
      </c>
      <c r="I60" s="289">
        <f ca="1"/>
        <v>2.8217702943988458E-2</v>
      </c>
      <c r="J60" s="289">
        <f ca="1"/>
        <v>1.1942241073822697E-2</v>
      </c>
      <c r="K60" s="289">
        <f ca="1"/>
        <v>5.7322319479061502E-3</v>
      </c>
      <c r="L60" s="289">
        <f ca="1"/>
        <v>2.9809995036800541E-3</v>
      </c>
    </row>
    <row r="61" spans="1:16" s="7" customFormat="1" x14ac:dyDescent="0.25">
      <c r="A61" s="7" t="str">
        <v>EE</v>
      </c>
      <c r="C61" s="289">
        <f ca="1"/>
        <v>0.74714069052612231</v>
      </c>
      <c r="D61" s="289">
        <f ca="1"/>
        <v>0.42448429072410693</v>
      </c>
      <c r="E61" s="289">
        <f ca="1"/>
        <v>0.26409676945913357</v>
      </c>
      <c r="F61" s="289">
        <f ca="1"/>
        <v>0.18563276459134515</v>
      </c>
      <c r="G61" s="289">
        <f ca="1"/>
        <v>8.4632848975098263E-2</v>
      </c>
      <c r="H61" s="289">
        <f ca="1"/>
        <v>4.1414706851519843E-2</v>
      </c>
      <c r="I61" s="289">
        <f ca="1"/>
        <v>1.7198286856801779E-2</v>
      </c>
      <c r="J61" s="289">
        <f ca="1"/>
        <v>8.7676174981060843E-3</v>
      </c>
      <c r="K61" s="289">
        <f ca="1"/>
        <v>4.8900094431816475E-3</v>
      </c>
      <c r="L61" s="289">
        <f ca="1"/>
        <v>2.8367070835740404E-3</v>
      </c>
    </row>
    <row r="62" spans="1:16" s="7" customFormat="1" x14ac:dyDescent="0.25">
      <c r="A62" s="7" t="str">
        <v>CA</v>
      </c>
      <c r="C62" s="289">
        <f ca="1"/>
        <v>0.59043095454277483</v>
      </c>
      <c r="D62" s="289">
        <f ca="1"/>
        <v>0.2594601948528289</v>
      </c>
      <c r="E62" s="289">
        <f ca="1"/>
        <v>0.14435831672360078</v>
      </c>
      <c r="F62" s="289">
        <f ca="1"/>
        <v>9.2971143138941434E-2</v>
      </c>
      <c r="G62" s="289">
        <f ca="1"/>
        <v>4.3726383265830657E-2</v>
      </c>
      <c r="H62" s="289">
        <f ca="1"/>
        <v>2.2905685797523414E-2</v>
      </c>
      <c r="I62" s="289">
        <f ca="1"/>
        <v>1.4264896725869079E-2</v>
      </c>
      <c r="J62" s="289">
        <f ca="1"/>
        <v>8.8837016450173962E-3</v>
      </c>
      <c r="K62" s="289">
        <f ca="1"/>
        <v>5.5324729252729053E-3</v>
      </c>
      <c r="L62" s="289">
        <f ca="1"/>
        <v>3.4454395129360294E-3</v>
      </c>
    </row>
    <row r="63" spans="1:16" s="7" customFormat="1" x14ac:dyDescent="0.25">
      <c r="A63" s="7" t="str">
        <v>IA</v>
      </c>
      <c r="C63" s="289">
        <f ca="1"/>
        <v>0.69252296168739569</v>
      </c>
      <c r="D63" s="289">
        <f ca="1"/>
        <v>0.3335692904632353</v>
      </c>
      <c r="E63" s="289">
        <f ca="1"/>
        <v>0.16964897123712419</v>
      </c>
      <c r="F63" s="289">
        <f ca="1"/>
        <v>9.3974802836956875E-2</v>
      </c>
      <c r="G63" s="289">
        <f ca="1"/>
        <v>2.9502013391821881E-2</v>
      </c>
      <c r="H63" s="289">
        <f ca="1"/>
        <v>1.2015617964197419E-2</v>
      </c>
      <c r="I63" s="289">
        <f ca="1"/>
        <v>4.0137797155003381E-3</v>
      </c>
      <c r="J63" s="289">
        <f ca="1"/>
        <v>2.0696962653337448E-3</v>
      </c>
      <c r="K63" s="289">
        <f ca="1"/>
        <v>1.1921300386779356E-3</v>
      </c>
      <c r="L63" s="289">
        <f ca="1"/>
        <v>7.0622549075145911E-4</v>
      </c>
    </row>
    <row r="64" spans="1:16" s="7" customFormat="1" x14ac:dyDescent="0.25">
      <c r="A64" s="7" t="str">
        <v>AF</v>
      </c>
      <c r="C64" s="289">
        <f ca="1"/>
        <v>0.80475870711138031</v>
      </c>
      <c r="D64" s="289">
        <f ca="1"/>
        <v>0.49846515632730204</v>
      </c>
      <c r="E64" s="289">
        <f ca="1"/>
        <v>0.29112613682009247</v>
      </c>
      <c r="F64" s="289">
        <f ca="1"/>
        <v>0.16558434792637963</v>
      </c>
      <c r="G64" s="289">
        <f ca="1"/>
        <v>4.1642963924242618E-2</v>
      </c>
      <c r="H64" s="289">
        <f ca="1"/>
        <v>1.3330623878605681E-2</v>
      </c>
      <c r="I64" s="289">
        <f ca="1"/>
        <v>1.735544835471909E-3</v>
      </c>
      <c r="J64" s="289">
        <f ca="1"/>
        <v>4.9115946746200706E-4</v>
      </c>
      <c r="K64" s="289">
        <f ca="1"/>
        <v>2.0376450549714484E-4</v>
      </c>
      <c r="L64" s="289">
        <f ca="1"/>
        <v>1.019508035743646E-4</v>
      </c>
    </row>
    <row r="65" spans="1:16" s="7" customFormat="1" ht="13" thickBot="1" x14ac:dyDescent="0.3">
      <c r="A65" s="7" t="str">
        <v>LA</v>
      </c>
      <c r="C65" s="290">
        <f ca="1"/>
        <v>0.79938650531895439</v>
      </c>
      <c r="D65" s="290">
        <f ca="1"/>
        <v>0.50741638366165753</v>
      </c>
      <c r="E65" s="290">
        <f ca="1"/>
        <v>0.31922770730865768</v>
      </c>
      <c r="F65" s="290">
        <f ca="1"/>
        <v>0.20308445725770133</v>
      </c>
      <c r="G65" s="290">
        <f ca="1"/>
        <v>7.3308174683160254E-2</v>
      </c>
      <c r="H65" s="290">
        <f ca="1"/>
        <v>3.0365557958492898E-2</v>
      </c>
      <c r="I65" s="290">
        <f ca="1"/>
        <v>9.0897246979649328E-3</v>
      </c>
      <c r="J65" s="290">
        <f ca="1"/>
        <v>4.1232884915010327E-3</v>
      </c>
      <c r="K65" s="290">
        <f ca="1"/>
        <v>2.2088506868621072E-3</v>
      </c>
      <c r="L65" s="290">
        <f ca="1"/>
        <v>1.2644105327518764E-3</v>
      </c>
    </row>
    <row r="66" spans="1:16" s="7" customFormat="1" ht="13.5" thickTop="1" x14ac:dyDescent="0.3">
      <c r="A66" s="2" t="s">
        <v>972</v>
      </c>
      <c r="C66" s="291"/>
      <c r="D66" s="291"/>
      <c r="E66" s="291"/>
      <c r="F66" s="291"/>
      <c r="G66" s="291"/>
      <c r="H66" s="291"/>
      <c r="I66" s="291"/>
      <c r="J66" s="291"/>
      <c r="K66" s="291"/>
      <c r="L66" s="291"/>
    </row>
    <row r="67" spans="1:16" s="7" customFormat="1" ht="13" x14ac:dyDescent="0.3">
      <c r="A67" s="1" t="str">
        <f t="array" ref="A67:A74">R_CODE</f>
        <v>EU</v>
      </c>
      <c r="C67" s="292" t="s">
        <v>1039</v>
      </c>
      <c r="D67" s="38"/>
      <c r="E67" s="38"/>
      <c r="F67" s="38"/>
      <c r="G67" s="38"/>
      <c r="H67" s="38"/>
      <c r="I67" s="38"/>
      <c r="J67" s="38"/>
      <c r="K67" s="38"/>
      <c r="L67" s="38"/>
      <c r="P67" s="294" t="s">
        <v>1047</v>
      </c>
    </row>
    <row r="68" spans="1:16" s="7" customFormat="1" x14ac:dyDescent="0.25">
      <c r="A68" s="1" t="str">
        <v>US</v>
      </c>
      <c r="C68" s="38"/>
      <c r="D68" s="38"/>
      <c r="E68" s="38"/>
      <c r="F68" s="38"/>
      <c r="G68" s="38"/>
      <c r="H68" s="38"/>
      <c r="I68" s="38"/>
      <c r="J68" s="38"/>
      <c r="K68" s="38"/>
      <c r="L68" s="38"/>
    </row>
    <row r="69" spans="1:16" s="7" customFormat="1" x14ac:dyDescent="0.25">
      <c r="A69" s="1" t="str">
        <v>OT</v>
      </c>
      <c r="C69" s="38"/>
      <c r="D69" s="38"/>
      <c r="E69" s="38"/>
      <c r="F69" s="38"/>
      <c r="G69" s="38"/>
      <c r="H69" s="38"/>
      <c r="I69" s="38"/>
      <c r="J69" s="38"/>
      <c r="K69" s="38"/>
      <c r="L69" s="38"/>
    </row>
    <row r="70" spans="1:16" s="7" customFormat="1" x14ac:dyDescent="0.25">
      <c r="A70" s="1" t="str">
        <v>EE</v>
      </c>
      <c r="C70" s="38"/>
      <c r="D70" s="38"/>
      <c r="E70" s="38"/>
      <c r="F70" s="38"/>
      <c r="G70" s="38"/>
      <c r="H70" s="38"/>
      <c r="I70" s="38"/>
      <c r="J70" s="38"/>
      <c r="K70" s="38"/>
      <c r="L70" s="38"/>
    </row>
    <row r="71" spans="1:16" s="7" customFormat="1" x14ac:dyDescent="0.25">
      <c r="A71" s="1" t="str">
        <v>CA</v>
      </c>
      <c r="C71" s="38"/>
      <c r="D71" s="38"/>
      <c r="E71" s="38"/>
      <c r="F71" s="38"/>
      <c r="G71" s="38"/>
      <c r="H71" s="38"/>
      <c r="I71" s="38"/>
      <c r="J71" s="38"/>
      <c r="K71" s="38"/>
      <c r="L71" s="38"/>
    </row>
    <row r="72" spans="1:16" s="7" customFormat="1" x14ac:dyDescent="0.25">
      <c r="A72" s="1" t="str">
        <v>IA</v>
      </c>
      <c r="C72" s="38"/>
      <c r="D72" s="38"/>
      <c r="E72" s="38"/>
      <c r="F72" s="38"/>
      <c r="G72" s="38"/>
      <c r="H72" s="38"/>
      <c r="I72" s="38"/>
      <c r="J72" s="38"/>
      <c r="K72" s="38"/>
      <c r="L72" s="38"/>
    </row>
    <row r="73" spans="1:16" s="7" customFormat="1" x14ac:dyDescent="0.25">
      <c r="A73" s="1" t="str">
        <v>AF</v>
      </c>
      <c r="C73" s="38"/>
      <c r="D73" s="38"/>
      <c r="E73" s="38"/>
      <c r="F73" s="38"/>
      <c r="G73" s="38"/>
      <c r="H73" s="38"/>
      <c r="I73" s="38"/>
      <c r="J73" s="38"/>
      <c r="K73" s="38"/>
      <c r="L73" s="38"/>
    </row>
    <row r="74" spans="1:16" s="7" customFormat="1" x14ac:dyDescent="0.25">
      <c r="A74" s="1" t="str">
        <v>LA</v>
      </c>
      <c r="C74" s="38"/>
      <c r="D74" s="38"/>
      <c r="E74" s="38"/>
      <c r="F74" s="38"/>
      <c r="G74" s="38"/>
      <c r="H74" s="38"/>
      <c r="I74" s="38"/>
      <c r="J74" s="38"/>
      <c r="K74" s="38"/>
      <c r="L74" s="38"/>
    </row>
  </sheetData>
  <pageMargins left="0.7" right="0.7" top="0.75" bottom="0.75" header="0.3" footer="0.3"/>
  <pageSetup paperSize="9" orientation="portrait" verticalDpi="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workbookViewId="0">
      <selection activeCell="B48" sqref="B48"/>
    </sheetView>
  </sheetViews>
  <sheetFormatPr defaultRowHeight="12.5" x14ac:dyDescent="0.25"/>
  <cols>
    <col min="1" max="1" width="15.6328125" customWidth="1"/>
    <col min="2" max="13" width="10.6328125" customWidth="1"/>
  </cols>
  <sheetData>
    <row r="1" spans="1:14" ht="13" x14ac:dyDescent="0.3">
      <c r="A1" s="2" t="str">
        <f>MODEL_NAME</f>
        <v>PAGE-ICE Nonlinear Arctic Feedbacks</v>
      </c>
      <c r="B1" t="s">
        <v>39</v>
      </c>
      <c r="C1" s="51" t="str">
        <f>VERSION</f>
        <v>6.22</v>
      </c>
    </row>
    <row r="3" spans="1:14" ht="13" x14ac:dyDescent="0.3">
      <c r="A3" s="2" t="s">
        <v>23</v>
      </c>
      <c r="B3" s="3">
        <f>Y_0</f>
        <v>2015</v>
      </c>
      <c r="C3">
        <f t="array" ref="C3:L3">Y</f>
        <v>2020</v>
      </c>
      <c r="D3">
        <v>2030</v>
      </c>
      <c r="E3">
        <v>2040</v>
      </c>
      <c r="F3">
        <v>2050</v>
      </c>
      <c r="G3">
        <v>2075</v>
      </c>
      <c r="H3">
        <v>2100</v>
      </c>
      <c r="I3">
        <v>2150</v>
      </c>
      <c r="J3">
        <v>2200</v>
      </c>
      <c r="K3">
        <v>2250</v>
      </c>
      <c r="L3">
        <v>2300</v>
      </c>
    </row>
    <row r="4" spans="1:14" s="1" customFormat="1" x14ac:dyDescent="0.25">
      <c r="A4" s="1" t="str">
        <f t="array" ref="A4:A11">R_CODE</f>
        <v>EU</v>
      </c>
      <c r="B4" s="27">
        <f>'Economy A'!B4-'Economy B'!B4</f>
        <v>0</v>
      </c>
      <c r="C4" s="27">
        <f>'Economy A'!C4-'Economy B'!C4</f>
        <v>0</v>
      </c>
      <c r="D4" s="27">
        <f>'Economy A'!D4-'Economy B'!D4</f>
        <v>0</v>
      </c>
      <c r="E4" s="27">
        <f>'Economy A'!E4-'Economy B'!E4</f>
        <v>0</v>
      </c>
      <c r="F4" s="27">
        <f>'Economy A'!F4-'Economy B'!F4</f>
        <v>0</v>
      </c>
      <c r="G4" s="27">
        <f>'Economy A'!G4-'Economy B'!G4</f>
        <v>0</v>
      </c>
      <c r="H4" s="27">
        <f>'Economy A'!H4-'Economy B'!H4</f>
        <v>0</v>
      </c>
      <c r="I4" s="27">
        <f>'Economy A'!I4-'Economy B'!I4</f>
        <v>0</v>
      </c>
      <c r="J4" s="27">
        <f>'Economy A'!J4-'Economy B'!J4</f>
        <v>0</v>
      </c>
      <c r="K4" s="27">
        <f>'Economy A'!K4-'Economy B'!K4</f>
        <v>0</v>
      </c>
      <c r="L4" s="27">
        <f>'Economy A'!L4-'Economy B'!L4</f>
        <v>0</v>
      </c>
      <c r="N4" s="1" t="str">
        <f t="shared" ref="N4:N12" si="0">CURRENCY_NAME</f>
        <v>$M(2015)</v>
      </c>
    </row>
    <row r="5" spans="1:14" s="1" customFormat="1" x14ac:dyDescent="0.25">
      <c r="A5" s="1" t="str">
        <v>US</v>
      </c>
      <c r="B5" s="28">
        <f>'Economy A'!B5-'Economy B'!B5</f>
        <v>0</v>
      </c>
      <c r="C5" s="28">
        <f>'Economy A'!C5-'Economy B'!C5</f>
        <v>0</v>
      </c>
      <c r="D5" s="28">
        <f>'Economy A'!D5-'Economy B'!D5</f>
        <v>0</v>
      </c>
      <c r="E5" s="28">
        <f>'Economy A'!E5-'Economy B'!E5</f>
        <v>0</v>
      </c>
      <c r="F5" s="28">
        <f>'Economy A'!F5-'Economy B'!F5</f>
        <v>0</v>
      </c>
      <c r="G5" s="28">
        <f>'Economy A'!G5-'Economy B'!G5</f>
        <v>0</v>
      </c>
      <c r="H5" s="28">
        <f>'Economy A'!H5-'Economy B'!H5</f>
        <v>0</v>
      </c>
      <c r="I5" s="28">
        <f>'Economy A'!I5-'Economy B'!I5</f>
        <v>0</v>
      </c>
      <c r="J5" s="28">
        <f>'Economy A'!J5-'Economy B'!J5</f>
        <v>0</v>
      </c>
      <c r="K5" s="28">
        <f>'Economy A'!K5-'Economy B'!K5</f>
        <v>0</v>
      </c>
      <c r="L5" s="28">
        <f>'Economy A'!L5-'Economy B'!L5</f>
        <v>0</v>
      </c>
      <c r="N5" s="1" t="str">
        <f t="shared" si="0"/>
        <v>$M(2015)</v>
      </c>
    </row>
    <row r="6" spans="1:14" s="1" customFormat="1" x14ac:dyDescent="0.25">
      <c r="A6" s="1" t="str">
        <v>OT</v>
      </c>
      <c r="B6" s="28">
        <f>'Economy A'!B6-'Economy B'!B6</f>
        <v>0</v>
      </c>
      <c r="C6" s="28">
        <f>'Economy A'!C6-'Economy B'!C6</f>
        <v>0</v>
      </c>
      <c r="D6" s="28">
        <f>'Economy A'!D6-'Economy B'!D6</f>
        <v>0</v>
      </c>
      <c r="E6" s="28">
        <f>'Economy A'!E6-'Economy B'!E6</f>
        <v>0</v>
      </c>
      <c r="F6" s="28">
        <f>'Economy A'!F6-'Economy B'!F6</f>
        <v>0</v>
      </c>
      <c r="G6" s="28">
        <f>'Economy A'!G6-'Economy B'!G6</f>
        <v>0</v>
      </c>
      <c r="H6" s="28">
        <f>'Economy A'!H6-'Economy B'!H6</f>
        <v>0</v>
      </c>
      <c r="I6" s="28">
        <f>'Economy A'!I6-'Economy B'!I6</f>
        <v>0</v>
      </c>
      <c r="J6" s="28">
        <f>'Economy A'!J6-'Economy B'!J6</f>
        <v>0</v>
      </c>
      <c r="K6" s="28">
        <f>'Economy A'!K6-'Economy B'!K6</f>
        <v>0</v>
      </c>
      <c r="L6" s="28">
        <f>'Economy A'!L6-'Economy B'!L6</f>
        <v>0</v>
      </c>
      <c r="N6" s="1" t="str">
        <f t="shared" si="0"/>
        <v>$M(2015)</v>
      </c>
    </row>
    <row r="7" spans="1:14" s="1" customFormat="1" x14ac:dyDescent="0.25">
      <c r="A7" s="1" t="str">
        <v>EE</v>
      </c>
      <c r="B7" s="28">
        <f>'Economy A'!B7-'Economy B'!B7</f>
        <v>0</v>
      </c>
      <c r="C7" s="28">
        <f>'Economy A'!C7-'Economy B'!C7</f>
        <v>0</v>
      </c>
      <c r="D7" s="28">
        <f>'Economy A'!D7-'Economy B'!D7</f>
        <v>0</v>
      </c>
      <c r="E7" s="28">
        <f>'Economy A'!E7-'Economy B'!E7</f>
        <v>0</v>
      </c>
      <c r="F7" s="28">
        <f>'Economy A'!F7-'Economy B'!F7</f>
        <v>0</v>
      </c>
      <c r="G7" s="28">
        <f>'Economy A'!G7-'Economy B'!G7</f>
        <v>0</v>
      </c>
      <c r="H7" s="28">
        <f>'Economy A'!H7-'Economy B'!H7</f>
        <v>0</v>
      </c>
      <c r="I7" s="28">
        <f>'Economy A'!I7-'Economy B'!I7</f>
        <v>0</v>
      </c>
      <c r="J7" s="28">
        <f>'Economy A'!J7-'Economy B'!J7</f>
        <v>0</v>
      </c>
      <c r="K7" s="28">
        <f>'Economy A'!K7-'Economy B'!K7</f>
        <v>0</v>
      </c>
      <c r="L7" s="28">
        <f>'Economy A'!L7-'Economy B'!L7</f>
        <v>0</v>
      </c>
      <c r="N7" s="1" t="str">
        <f t="shared" si="0"/>
        <v>$M(2015)</v>
      </c>
    </row>
    <row r="8" spans="1:14" s="1" customFormat="1" x14ac:dyDescent="0.25">
      <c r="A8" s="1" t="str">
        <v>CA</v>
      </c>
      <c r="B8" s="28">
        <f>'Economy A'!B8-'Economy B'!B8</f>
        <v>0</v>
      </c>
      <c r="C8" s="28">
        <f>'Economy A'!C8-'Economy B'!C8</f>
        <v>0</v>
      </c>
      <c r="D8" s="28">
        <f>'Economy A'!D8-'Economy B'!D8</f>
        <v>0</v>
      </c>
      <c r="E8" s="28">
        <f>'Economy A'!E8-'Economy B'!E8</f>
        <v>0</v>
      </c>
      <c r="F8" s="28">
        <f>'Economy A'!F8-'Economy B'!F8</f>
        <v>0</v>
      </c>
      <c r="G8" s="28">
        <f>'Economy A'!G8-'Economy B'!G8</f>
        <v>0</v>
      </c>
      <c r="H8" s="28">
        <f>'Economy A'!H8-'Economy B'!H8</f>
        <v>0</v>
      </c>
      <c r="I8" s="28">
        <f>'Economy A'!I8-'Economy B'!I8</f>
        <v>0</v>
      </c>
      <c r="J8" s="28">
        <f>'Economy A'!J8-'Economy B'!J8</f>
        <v>0</v>
      </c>
      <c r="K8" s="28">
        <f>'Economy A'!K8-'Economy B'!K8</f>
        <v>0</v>
      </c>
      <c r="L8" s="28">
        <f>'Economy A'!L8-'Economy B'!L8</f>
        <v>0</v>
      </c>
      <c r="N8" s="1" t="str">
        <f t="shared" si="0"/>
        <v>$M(2015)</v>
      </c>
    </row>
    <row r="9" spans="1:14" s="1" customFormat="1" x14ac:dyDescent="0.25">
      <c r="A9" s="1" t="str">
        <v>IA</v>
      </c>
      <c r="B9" s="28">
        <f>'Economy A'!B9-'Economy B'!B9</f>
        <v>0</v>
      </c>
      <c r="C9" s="28">
        <f>'Economy A'!C9-'Economy B'!C9</f>
        <v>0</v>
      </c>
      <c r="D9" s="28">
        <f>'Economy A'!D9-'Economy B'!D9</f>
        <v>0</v>
      </c>
      <c r="E9" s="28">
        <f>'Economy A'!E9-'Economy B'!E9</f>
        <v>0</v>
      </c>
      <c r="F9" s="28">
        <f>'Economy A'!F9-'Economy B'!F9</f>
        <v>0</v>
      </c>
      <c r="G9" s="28">
        <f>'Economy A'!G9-'Economy B'!G9</f>
        <v>0</v>
      </c>
      <c r="H9" s="28">
        <f>'Economy A'!H9-'Economy B'!H9</f>
        <v>0</v>
      </c>
      <c r="I9" s="28">
        <f>'Economy A'!I9-'Economy B'!I9</f>
        <v>0</v>
      </c>
      <c r="J9" s="28">
        <f>'Economy A'!J9-'Economy B'!J9</f>
        <v>0</v>
      </c>
      <c r="K9" s="28">
        <f>'Economy A'!K9-'Economy B'!K9</f>
        <v>0</v>
      </c>
      <c r="L9" s="28">
        <f>'Economy A'!L9-'Economy B'!L9</f>
        <v>0</v>
      </c>
      <c r="N9" s="1" t="str">
        <f t="shared" si="0"/>
        <v>$M(2015)</v>
      </c>
    </row>
    <row r="10" spans="1:14" s="1" customFormat="1" x14ac:dyDescent="0.25">
      <c r="A10" s="1" t="str">
        <v>AF</v>
      </c>
      <c r="B10" s="28">
        <f>'Economy A'!B10-'Economy B'!B10</f>
        <v>0</v>
      </c>
      <c r="C10" s="28">
        <f>'Economy A'!C10-'Economy B'!C10</f>
        <v>0</v>
      </c>
      <c r="D10" s="28">
        <f>'Economy A'!D10-'Economy B'!D10</f>
        <v>0</v>
      </c>
      <c r="E10" s="28">
        <f>'Economy A'!E10-'Economy B'!E10</f>
        <v>0</v>
      </c>
      <c r="F10" s="28">
        <f>'Economy A'!F10-'Economy B'!F10</f>
        <v>0</v>
      </c>
      <c r="G10" s="28">
        <f>'Economy A'!G10-'Economy B'!G10</f>
        <v>0</v>
      </c>
      <c r="H10" s="28">
        <f>'Economy A'!H10-'Economy B'!H10</f>
        <v>0</v>
      </c>
      <c r="I10" s="28">
        <f>'Economy A'!I10-'Economy B'!I10</f>
        <v>0</v>
      </c>
      <c r="J10" s="28">
        <f>'Economy A'!J10-'Economy B'!J10</f>
        <v>0</v>
      </c>
      <c r="K10" s="28">
        <f>'Economy A'!K10-'Economy B'!K10</f>
        <v>0</v>
      </c>
      <c r="L10" s="28">
        <f>'Economy A'!L10-'Economy B'!L10</f>
        <v>0</v>
      </c>
      <c r="N10" s="1" t="str">
        <f t="shared" si="0"/>
        <v>$M(2015)</v>
      </c>
    </row>
    <row r="11" spans="1:14" s="1" customFormat="1" x14ac:dyDescent="0.25">
      <c r="A11" s="1" t="str">
        <v>LA</v>
      </c>
      <c r="B11" s="28">
        <f>'Economy A'!B11-'Economy B'!B11</f>
        <v>0</v>
      </c>
      <c r="C11" s="28">
        <f>'Economy A'!C11-'Economy B'!C11</f>
        <v>0</v>
      </c>
      <c r="D11" s="28">
        <f>'Economy A'!D11-'Economy B'!D11</f>
        <v>0</v>
      </c>
      <c r="E11" s="28">
        <f>'Economy A'!E11-'Economy B'!E11</f>
        <v>0</v>
      </c>
      <c r="F11" s="28">
        <f>'Economy A'!F11-'Economy B'!F11</f>
        <v>0</v>
      </c>
      <c r="G11" s="28">
        <f>'Economy A'!G11-'Economy B'!G11</f>
        <v>0</v>
      </c>
      <c r="H11" s="28">
        <f>'Economy A'!H11-'Economy B'!H11</f>
        <v>0</v>
      </c>
      <c r="I11" s="28">
        <f>'Economy A'!I11-'Economy B'!I11</f>
        <v>0</v>
      </c>
      <c r="J11" s="28">
        <f>'Economy A'!J11-'Economy B'!J11</f>
        <v>0</v>
      </c>
      <c r="K11" s="28">
        <f>'Economy A'!K11-'Economy B'!K11</f>
        <v>0</v>
      </c>
      <c r="L11" s="28">
        <f>'Economy A'!L11-'Economy B'!L11</f>
        <v>0</v>
      </c>
      <c r="N11" s="1" t="str">
        <f t="shared" si="0"/>
        <v>$M(2015)</v>
      </c>
    </row>
    <row r="12" spans="1:14" s="1" customFormat="1" ht="13" x14ac:dyDescent="0.3">
      <c r="A12" s="44" t="s">
        <v>206</v>
      </c>
      <c r="B12" s="40">
        <f>'Economy A'!B12-'Economy B'!B12</f>
        <v>0</v>
      </c>
      <c r="C12" s="40">
        <f>'Economy A'!C12-'Economy B'!C12</f>
        <v>0</v>
      </c>
      <c r="D12" s="40">
        <f>'Economy A'!D12-'Economy B'!D12</f>
        <v>0</v>
      </c>
      <c r="E12" s="40">
        <f>'Economy A'!E12-'Economy B'!E12</f>
        <v>0</v>
      </c>
      <c r="F12" s="40">
        <f>'Economy A'!F12-'Economy B'!F12</f>
        <v>0</v>
      </c>
      <c r="G12" s="40">
        <f>'Economy A'!G12-'Economy B'!G12</f>
        <v>0</v>
      </c>
      <c r="H12" s="40">
        <f>'Economy A'!H12-'Economy B'!H12</f>
        <v>0</v>
      </c>
      <c r="I12" s="40">
        <f>'Economy A'!I12-'Economy B'!I12</f>
        <v>0</v>
      </c>
      <c r="J12" s="40">
        <f>'Economy A'!J12-'Economy B'!J12</f>
        <v>0</v>
      </c>
      <c r="K12" s="40">
        <f>'Economy A'!K12-'Economy B'!K12</f>
        <v>0</v>
      </c>
      <c r="L12" s="40">
        <f>'Economy A'!L12-'Economy B'!L12</f>
        <v>0</v>
      </c>
      <c r="N12" s="1" t="str">
        <f t="shared" si="0"/>
        <v>$M(2015)</v>
      </c>
    </row>
    <row r="13" spans="1:14" s="1" customFormat="1" ht="13.5" thickBot="1" x14ac:dyDescent="0.35">
      <c r="A13" s="44" t="s">
        <v>207</v>
      </c>
      <c r="B13" s="44"/>
      <c r="C13" s="35">
        <f>'Economy A'!C13-'Economy B'!C13</f>
        <v>0</v>
      </c>
      <c r="D13" s="35">
        <f>'Economy A'!D13-'Economy B'!D13</f>
        <v>0</v>
      </c>
      <c r="E13" s="35">
        <f>'Economy A'!E13-'Economy B'!E13</f>
        <v>0</v>
      </c>
      <c r="F13" s="35">
        <f>'Economy A'!F13-'Economy B'!F13</f>
        <v>0</v>
      </c>
      <c r="G13" s="35">
        <f>'Economy A'!G13-'Economy B'!G13</f>
        <v>0</v>
      </c>
      <c r="H13" s="35">
        <f>'Economy A'!H13-'Economy B'!H13</f>
        <v>0</v>
      </c>
      <c r="I13" s="35">
        <f>'Economy A'!I13-'Economy B'!I13</f>
        <v>0</v>
      </c>
      <c r="J13" s="35">
        <f>'Economy A'!J13-'Economy B'!J13</f>
        <v>0</v>
      </c>
      <c r="K13" s="35">
        <f>'Economy A'!K13-'Economy B'!K13</f>
        <v>0</v>
      </c>
      <c r="L13" s="35">
        <f>'Economy A'!L13-'Economy B'!L13</f>
        <v>0</v>
      </c>
      <c r="N13" s="1" t="s">
        <v>40</v>
      </c>
    </row>
    <row r="14" spans="1:14" s="1" customFormat="1" ht="13.5" thickTop="1" x14ac:dyDescent="0.3">
      <c r="A14" s="2" t="s">
        <v>139</v>
      </c>
      <c r="B14" s="2"/>
      <c r="C14"/>
      <c r="D14"/>
      <c r="E14"/>
      <c r="F14"/>
      <c r="G14"/>
      <c r="H14"/>
      <c r="I14"/>
      <c r="J14"/>
      <c r="K14"/>
      <c r="L14"/>
      <c r="M14"/>
      <c r="N14"/>
    </row>
    <row r="15" spans="1:14" s="1" customFormat="1" x14ac:dyDescent="0.25">
      <c r="A15" s="1" t="str">
        <f t="array" ref="A15:A22">R_CODE</f>
        <v>EU</v>
      </c>
      <c r="B15" s="27">
        <f>'Economy A'!B15-'Economy B'!B15</f>
        <v>0</v>
      </c>
      <c r="C15" s="27">
        <f>'Economy A'!C15-'Economy B'!C15</f>
        <v>0</v>
      </c>
      <c r="D15" s="27">
        <f>'Economy A'!D15-'Economy B'!D15</f>
        <v>0</v>
      </c>
      <c r="E15" s="27">
        <f>'Economy A'!E15-'Economy B'!E15</f>
        <v>0</v>
      </c>
      <c r="F15" s="27">
        <f>'Economy A'!F15-'Economy B'!F15</f>
        <v>0</v>
      </c>
      <c r="G15" s="27">
        <f>'Economy A'!G15-'Economy B'!G15</f>
        <v>0</v>
      </c>
      <c r="H15" s="27">
        <f>'Economy A'!H15-'Economy B'!H15</f>
        <v>0</v>
      </c>
      <c r="I15" s="27">
        <f>'Economy A'!I15-'Economy B'!I15</f>
        <v>0</v>
      </c>
      <c r="J15" s="27">
        <f>'Economy A'!J15-'Economy B'!J15</f>
        <v>0</v>
      </c>
      <c r="K15" s="27">
        <f>'Economy A'!K15-'Economy B'!K15</f>
        <v>0</v>
      </c>
      <c r="L15" s="27">
        <f>'Economy A'!L15-'Economy B'!L15</f>
        <v>0</v>
      </c>
      <c r="N15" s="1" t="str">
        <f t="shared" ref="N15:N23" si="1">POP_UNIT_NAME</f>
        <v>million</v>
      </c>
    </row>
    <row r="16" spans="1:14" s="1" customFormat="1" x14ac:dyDescent="0.25">
      <c r="A16" s="1" t="str">
        <v>US</v>
      </c>
      <c r="B16" s="28">
        <f>'Economy A'!B16-'Economy B'!B16</f>
        <v>0</v>
      </c>
      <c r="C16" s="28">
        <f>'Economy A'!C16-'Economy B'!C16</f>
        <v>0</v>
      </c>
      <c r="D16" s="28">
        <f>'Economy A'!D16-'Economy B'!D16</f>
        <v>0</v>
      </c>
      <c r="E16" s="28">
        <f>'Economy A'!E16-'Economy B'!E16</f>
        <v>0</v>
      </c>
      <c r="F16" s="28">
        <f>'Economy A'!F16-'Economy B'!F16</f>
        <v>0</v>
      </c>
      <c r="G16" s="28">
        <f>'Economy A'!G16-'Economy B'!G16</f>
        <v>0</v>
      </c>
      <c r="H16" s="28">
        <f>'Economy A'!H16-'Economy B'!H16</f>
        <v>0</v>
      </c>
      <c r="I16" s="28">
        <f>'Economy A'!I16-'Economy B'!I16</f>
        <v>0</v>
      </c>
      <c r="J16" s="28">
        <f>'Economy A'!J16-'Economy B'!J16</f>
        <v>0</v>
      </c>
      <c r="K16" s="28">
        <f>'Economy A'!K16-'Economy B'!K16</f>
        <v>0</v>
      </c>
      <c r="L16" s="28">
        <f>'Economy A'!L16-'Economy B'!L16</f>
        <v>0</v>
      </c>
      <c r="N16" s="1" t="str">
        <f t="shared" si="1"/>
        <v>million</v>
      </c>
    </row>
    <row r="17" spans="1:14" s="1" customFormat="1" x14ac:dyDescent="0.25">
      <c r="A17" s="1" t="str">
        <v>OT</v>
      </c>
      <c r="B17" s="28">
        <f>'Economy A'!B17-'Economy B'!B17</f>
        <v>0</v>
      </c>
      <c r="C17" s="28">
        <f>'Economy A'!C17-'Economy B'!C17</f>
        <v>0</v>
      </c>
      <c r="D17" s="28">
        <f>'Economy A'!D17-'Economy B'!D17</f>
        <v>0</v>
      </c>
      <c r="E17" s="28">
        <f>'Economy A'!E17-'Economy B'!E17</f>
        <v>0</v>
      </c>
      <c r="F17" s="28">
        <f>'Economy A'!F17-'Economy B'!F17</f>
        <v>0</v>
      </c>
      <c r="G17" s="28">
        <f>'Economy A'!G17-'Economy B'!G17</f>
        <v>0</v>
      </c>
      <c r="H17" s="28">
        <f>'Economy A'!H17-'Economy B'!H17</f>
        <v>0</v>
      </c>
      <c r="I17" s="28">
        <f>'Economy A'!I17-'Economy B'!I17</f>
        <v>0</v>
      </c>
      <c r="J17" s="28">
        <f>'Economy A'!J17-'Economy B'!J17</f>
        <v>0</v>
      </c>
      <c r="K17" s="28">
        <f>'Economy A'!K17-'Economy B'!K17</f>
        <v>0</v>
      </c>
      <c r="L17" s="28">
        <f>'Economy A'!L17-'Economy B'!L17</f>
        <v>0</v>
      </c>
      <c r="N17" s="1" t="str">
        <f t="shared" si="1"/>
        <v>million</v>
      </c>
    </row>
    <row r="18" spans="1:14" s="1" customFormat="1" x14ac:dyDescent="0.25">
      <c r="A18" s="1" t="str">
        <v>EE</v>
      </c>
      <c r="B18" s="28">
        <f>'Economy A'!B18-'Economy B'!B18</f>
        <v>0</v>
      </c>
      <c r="C18" s="28">
        <f>'Economy A'!C18-'Economy B'!C18</f>
        <v>0</v>
      </c>
      <c r="D18" s="28">
        <f>'Economy A'!D18-'Economy B'!D18</f>
        <v>0</v>
      </c>
      <c r="E18" s="28">
        <f>'Economy A'!E18-'Economy B'!E18</f>
        <v>0</v>
      </c>
      <c r="F18" s="28">
        <f>'Economy A'!F18-'Economy B'!F18</f>
        <v>0</v>
      </c>
      <c r="G18" s="28">
        <f>'Economy A'!G18-'Economy B'!G18</f>
        <v>0</v>
      </c>
      <c r="H18" s="28">
        <f>'Economy A'!H18-'Economy B'!H18</f>
        <v>0</v>
      </c>
      <c r="I18" s="28">
        <f>'Economy A'!I18-'Economy B'!I18</f>
        <v>0</v>
      </c>
      <c r="J18" s="28">
        <f>'Economy A'!J18-'Economy B'!J18</f>
        <v>0</v>
      </c>
      <c r="K18" s="28">
        <f>'Economy A'!K18-'Economy B'!K18</f>
        <v>0</v>
      </c>
      <c r="L18" s="28">
        <f>'Economy A'!L18-'Economy B'!L18</f>
        <v>0</v>
      </c>
      <c r="N18" s="1" t="str">
        <f t="shared" si="1"/>
        <v>million</v>
      </c>
    </row>
    <row r="19" spans="1:14" s="1" customFormat="1" x14ac:dyDescent="0.25">
      <c r="A19" s="1" t="str">
        <v>CA</v>
      </c>
      <c r="B19" s="28">
        <f>'Economy A'!B19-'Economy B'!B19</f>
        <v>0</v>
      </c>
      <c r="C19" s="28">
        <f>'Economy A'!C19-'Economy B'!C19</f>
        <v>0</v>
      </c>
      <c r="D19" s="28">
        <f>'Economy A'!D19-'Economy B'!D19</f>
        <v>0</v>
      </c>
      <c r="E19" s="28">
        <f>'Economy A'!E19-'Economy B'!E19</f>
        <v>0</v>
      </c>
      <c r="F19" s="28">
        <f>'Economy A'!F19-'Economy B'!F19</f>
        <v>0</v>
      </c>
      <c r="G19" s="28">
        <f>'Economy A'!G19-'Economy B'!G19</f>
        <v>0</v>
      </c>
      <c r="H19" s="28">
        <f>'Economy A'!H19-'Economy B'!H19</f>
        <v>0</v>
      </c>
      <c r="I19" s="28">
        <f>'Economy A'!I19-'Economy B'!I19</f>
        <v>0</v>
      </c>
      <c r="J19" s="28">
        <f>'Economy A'!J19-'Economy B'!J19</f>
        <v>0</v>
      </c>
      <c r="K19" s="28">
        <f>'Economy A'!K19-'Economy B'!K19</f>
        <v>0</v>
      </c>
      <c r="L19" s="28">
        <f>'Economy A'!L19-'Economy B'!L19</f>
        <v>0</v>
      </c>
      <c r="N19" s="1" t="str">
        <f t="shared" si="1"/>
        <v>million</v>
      </c>
    </row>
    <row r="20" spans="1:14" s="1" customFormat="1" x14ac:dyDescent="0.25">
      <c r="A20" s="1" t="str">
        <v>IA</v>
      </c>
      <c r="B20" s="28">
        <f>'Economy A'!B20-'Economy B'!B20</f>
        <v>0</v>
      </c>
      <c r="C20" s="28">
        <f>'Economy A'!C20-'Economy B'!C20</f>
        <v>0</v>
      </c>
      <c r="D20" s="28">
        <f>'Economy A'!D20-'Economy B'!D20</f>
        <v>0</v>
      </c>
      <c r="E20" s="28">
        <f>'Economy A'!E20-'Economy B'!E20</f>
        <v>0</v>
      </c>
      <c r="F20" s="28">
        <f>'Economy A'!F20-'Economy B'!F20</f>
        <v>0</v>
      </c>
      <c r="G20" s="28">
        <f>'Economy A'!G20-'Economy B'!G20</f>
        <v>0</v>
      </c>
      <c r="H20" s="28">
        <f>'Economy A'!H20-'Economy B'!H20</f>
        <v>0</v>
      </c>
      <c r="I20" s="28">
        <f>'Economy A'!I20-'Economy B'!I20</f>
        <v>0</v>
      </c>
      <c r="J20" s="28">
        <f>'Economy A'!J20-'Economy B'!J20</f>
        <v>0</v>
      </c>
      <c r="K20" s="28">
        <f>'Economy A'!K20-'Economy B'!K20</f>
        <v>0</v>
      </c>
      <c r="L20" s="28">
        <f>'Economy A'!L20-'Economy B'!L20</f>
        <v>0</v>
      </c>
      <c r="N20" s="1" t="str">
        <f t="shared" si="1"/>
        <v>million</v>
      </c>
    </row>
    <row r="21" spans="1:14" s="1" customFormat="1" x14ac:dyDescent="0.25">
      <c r="A21" s="1" t="str">
        <v>AF</v>
      </c>
      <c r="B21" s="28">
        <f>'Economy A'!B21-'Economy B'!B21</f>
        <v>0</v>
      </c>
      <c r="C21" s="28">
        <f>'Economy A'!C21-'Economy B'!C21</f>
        <v>0</v>
      </c>
      <c r="D21" s="28">
        <f>'Economy A'!D21-'Economy B'!D21</f>
        <v>0</v>
      </c>
      <c r="E21" s="28">
        <f>'Economy A'!E21-'Economy B'!E21</f>
        <v>0</v>
      </c>
      <c r="F21" s="28">
        <f>'Economy A'!F21-'Economy B'!F21</f>
        <v>0</v>
      </c>
      <c r="G21" s="28">
        <f>'Economy A'!G21-'Economy B'!G21</f>
        <v>0</v>
      </c>
      <c r="H21" s="28">
        <f>'Economy A'!H21-'Economy B'!H21</f>
        <v>0</v>
      </c>
      <c r="I21" s="28">
        <f>'Economy A'!I21-'Economy B'!I21</f>
        <v>0</v>
      </c>
      <c r="J21" s="28">
        <f>'Economy A'!J21-'Economy B'!J21</f>
        <v>0</v>
      </c>
      <c r="K21" s="28">
        <f>'Economy A'!K21-'Economy B'!K21</f>
        <v>0</v>
      </c>
      <c r="L21" s="28">
        <f>'Economy A'!L21-'Economy B'!L21</f>
        <v>0</v>
      </c>
      <c r="N21" s="1" t="str">
        <f t="shared" si="1"/>
        <v>million</v>
      </c>
    </row>
    <row r="22" spans="1:14" s="1" customFormat="1" x14ac:dyDescent="0.25">
      <c r="A22" s="1" t="str">
        <v>LA</v>
      </c>
      <c r="B22" s="28">
        <f>'Economy A'!B22-'Economy B'!B22</f>
        <v>0</v>
      </c>
      <c r="C22" s="28">
        <f>'Economy A'!C22-'Economy B'!C22</f>
        <v>0</v>
      </c>
      <c r="D22" s="28">
        <f>'Economy A'!D22-'Economy B'!D22</f>
        <v>0</v>
      </c>
      <c r="E22" s="28">
        <f>'Economy A'!E22-'Economy B'!E22</f>
        <v>0</v>
      </c>
      <c r="F22" s="28">
        <f>'Economy A'!F22-'Economy B'!F22</f>
        <v>0</v>
      </c>
      <c r="G22" s="28">
        <f>'Economy A'!G22-'Economy B'!G22</f>
        <v>0</v>
      </c>
      <c r="H22" s="28">
        <f>'Economy A'!H22-'Economy B'!H22</f>
        <v>0</v>
      </c>
      <c r="I22" s="28">
        <f>'Economy A'!I22-'Economy B'!I22</f>
        <v>0</v>
      </c>
      <c r="J22" s="28">
        <f>'Economy A'!J22-'Economy B'!J22</f>
        <v>0</v>
      </c>
      <c r="K22" s="28">
        <f>'Economy A'!K22-'Economy B'!K22</f>
        <v>0</v>
      </c>
      <c r="L22" s="28">
        <f>'Economy A'!L22-'Economy B'!L22</f>
        <v>0</v>
      </c>
      <c r="N22" s="1" t="str">
        <f t="shared" si="1"/>
        <v>million</v>
      </c>
    </row>
    <row r="23" spans="1:14" s="1" customFormat="1" ht="13" x14ac:dyDescent="0.3">
      <c r="A23" s="44" t="s">
        <v>206</v>
      </c>
      <c r="B23" s="40">
        <f>'Economy A'!B23-'Economy B'!B23</f>
        <v>0</v>
      </c>
      <c r="C23" s="40">
        <f>'Economy A'!C23-'Economy B'!C23</f>
        <v>0</v>
      </c>
      <c r="D23" s="40">
        <f>'Economy A'!D23-'Economy B'!D23</f>
        <v>0</v>
      </c>
      <c r="E23" s="40">
        <f>'Economy A'!E23-'Economy B'!E23</f>
        <v>0</v>
      </c>
      <c r="F23" s="40">
        <f>'Economy A'!F23-'Economy B'!F23</f>
        <v>0</v>
      </c>
      <c r="G23" s="40">
        <f>'Economy A'!G23-'Economy B'!G23</f>
        <v>0</v>
      </c>
      <c r="H23" s="40">
        <f>'Economy A'!H23-'Economy B'!H23</f>
        <v>0</v>
      </c>
      <c r="I23" s="40">
        <f>'Economy A'!I23-'Economy B'!I23</f>
        <v>0</v>
      </c>
      <c r="J23" s="40">
        <f>'Economy A'!J23-'Economy B'!J23</f>
        <v>0</v>
      </c>
      <c r="K23" s="40">
        <f>'Economy A'!K23-'Economy B'!K23</f>
        <v>0</v>
      </c>
      <c r="L23" s="40">
        <f>'Economy A'!L23-'Economy B'!L23</f>
        <v>0</v>
      </c>
      <c r="N23" s="1" t="str">
        <f t="shared" si="1"/>
        <v>million</v>
      </c>
    </row>
    <row r="24" spans="1:14" s="1" customFormat="1" ht="13.5" thickBot="1" x14ac:dyDescent="0.35">
      <c r="A24" s="44" t="s">
        <v>207</v>
      </c>
      <c r="B24" s="44"/>
      <c r="C24" s="35">
        <f>'Economy A'!C24-'Economy B'!C24</f>
        <v>0</v>
      </c>
      <c r="D24" s="35">
        <f>'Economy A'!D24-'Economy B'!D24</f>
        <v>0</v>
      </c>
      <c r="E24" s="35">
        <f>'Economy A'!E24-'Economy B'!E24</f>
        <v>0</v>
      </c>
      <c r="F24" s="35">
        <f>'Economy A'!F24-'Economy B'!F24</f>
        <v>0</v>
      </c>
      <c r="G24" s="35">
        <f>'Economy A'!G24-'Economy B'!G24</f>
        <v>0</v>
      </c>
      <c r="H24" s="35">
        <f>'Economy A'!H24-'Economy B'!H24</f>
        <v>0</v>
      </c>
      <c r="I24" s="35">
        <f>'Economy A'!I24-'Economy B'!I24</f>
        <v>0</v>
      </c>
      <c r="J24" s="35">
        <f>'Economy A'!J24-'Economy B'!J24</f>
        <v>0</v>
      </c>
      <c r="K24" s="35">
        <f>'Economy A'!K24-'Economy B'!K24</f>
        <v>0</v>
      </c>
      <c r="L24" s="35">
        <f>'Economy A'!L24-'Economy B'!L24</f>
        <v>0</v>
      </c>
      <c r="N24" s="1" t="s">
        <v>40</v>
      </c>
    </row>
    <row r="25" spans="1:14" s="1" customFormat="1" ht="13.5" thickTop="1" x14ac:dyDescent="0.3">
      <c r="A25" s="2" t="s">
        <v>141</v>
      </c>
      <c r="B25" s="2"/>
      <c r="C25"/>
      <c r="D25"/>
      <c r="E25"/>
      <c r="F25"/>
      <c r="G25"/>
      <c r="H25"/>
      <c r="I25"/>
      <c r="J25"/>
      <c r="K25"/>
      <c r="L25"/>
      <c r="M25"/>
      <c r="N25"/>
    </row>
    <row r="26" spans="1:14" s="1" customFormat="1" x14ac:dyDescent="0.25">
      <c r="A26" s="1" t="str">
        <f t="array" ref="A26:A33">R_CODE</f>
        <v>EU</v>
      </c>
      <c r="B26" s="27">
        <f>'Economy A'!B26-'Economy B'!B26</f>
        <v>0</v>
      </c>
      <c r="C26" s="27">
        <f>'Economy A'!C26-'Economy B'!C26</f>
        <v>0</v>
      </c>
      <c r="D26" s="27">
        <f>'Economy A'!D26-'Economy B'!D26</f>
        <v>0</v>
      </c>
      <c r="E26" s="27">
        <f>'Economy A'!E26-'Economy B'!E26</f>
        <v>0</v>
      </c>
      <c r="F26" s="27">
        <f>'Economy A'!F26-'Economy B'!F26</f>
        <v>0</v>
      </c>
      <c r="G26" s="27">
        <f>'Economy A'!G26-'Economy B'!G26</f>
        <v>0</v>
      </c>
      <c r="H26" s="27">
        <f>'Economy A'!H26-'Economy B'!H26</f>
        <v>0</v>
      </c>
      <c r="I26" s="27">
        <f>'Economy A'!I26-'Economy B'!I26</f>
        <v>0</v>
      </c>
      <c r="J26" s="27">
        <f>'Economy A'!J26-'Economy B'!J26</f>
        <v>0</v>
      </c>
      <c r="K26" s="27">
        <f>'Economy A'!K26-'Economy B'!K26</f>
        <v>0</v>
      </c>
      <c r="L26" s="27">
        <f>'Economy A'!L26-'Economy B'!L26</f>
        <v>0</v>
      </c>
      <c r="N26" s="1" t="str">
        <f t="shared" ref="N26:N34" si="2">CURRENCY_NAME&amp;"/"&amp;POP_UNIT_NAME</f>
        <v>$M(2015)/million</v>
      </c>
    </row>
    <row r="27" spans="1:14" s="1" customFormat="1" x14ac:dyDescent="0.25">
      <c r="A27" s="1" t="str">
        <v>US</v>
      </c>
      <c r="B27" s="28">
        <f>'Economy A'!B27-'Economy B'!B27</f>
        <v>0</v>
      </c>
      <c r="C27" s="28">
        <f>'Economy A'!C27-'Economy B'!C27</f>
        <v>0</v>
      </c>
      <c r="D27" s="28">
        <f>'Economy A'!D27-'Economy B'!D27</f>
        <v>0</v>
      </c>
      <c r="E27" s="28">
        <f>'Economy A'!E27-'Economy B'!E27</f>
        <v>0</v>
      </c>
      <c r="F27" s="28">
        <f>'Economy A'!F27-'Economy B'!F27</f>
        <v>0</v>
      </c>
      <c r="G27" s="28">
        <f>'Economy A'!G27-'Economy B'!G27</f>
        <v>0</v>
      </c>
      <c r="H27" s="28">
        <f>'Economy A'!H27-'Economy B'!H27</f>
        <v>0</v>
      </c>
      <c r="I27" s="28">
        <f>'Economy A'!I27-'Economy B'!I27</f>
        <v>0</v>
      </c>
      <c r="J27" s="28">
        <f>'Economy A'!J27-'Economy B'!J27</f>
        <v>0</v>
      </c>
      <c r="K27" s="28">
        <f>'Economy A'!K27-'Economy B'!K27</f>
        <v>0</v>
      </c>
      <c r="L27" s="28">
        <f>'Economy A'!L27-'Economy B'!L27</f>
        <v>0</v>
      </c>
      <c r="N27" s="1" t="str">
        <f t="shared" si="2"/>
        <v>$M(2015)/million</v>
      </c>
    </row>
    <row r="28" spans="1:14" s="1" customFormat="1" x14ac:dyDescent="0.25">
      <c r="A28" s="1" t="str">
        <v>OT</v>
      </c>
      <c r="B28" s="28">
        <f>'Economy A'!B28-'Economy B'!B28</f>
        <v>0</v>
      </c>
      <c r="C28" s="28">
        <f>'Economy A'!C28-'Economy B'!C28</f>
        <v>0</v>
      </c>
      <c r="D28" s="28">
        <f>'Economy A'!D28-'Economy B'!D28</f>
        <v>0</v>
      </c>
      <c r="E28" s="28">
        <f>'Economy A'!E28-'Economy B'!E28</f>
        <v>0</v>
      </c>
      <c r="F28" s="28">
        <f>'Economy A'!F28-'Economy B'!F28</f>
        <v>0</v>
      </c>
      <c r="G28" s="28">
        <f>'Economy A'!G28-'Economy B'!G28</f>
        <v>0</v>
      </c>
      <c r="H28" s="28">
        <f>'Economy A'!H28-'Economy B'!H28</f>
        <v>0</v>
      </c>
      <c r="I28" s="28">
        <f>'Economy A'!I28-'Economy B'!I28</f>
        <v>0</v>
      </c>
      <c r="J28" s="28">
        <f>'Economy A'!J28-'Economy B'!J28</f>
        <v>0</v>
      </c>
      <c r="K28" s="28">
        <f>'Economy A'!K28-'Economy B'!K28</f>
        <v>0</v>
      </c>
      <c r="L28" s="28">
        <f>'Economy A'!L28-'Economy B'!L28</f>
        <v>0</v>
      </c>
      <c r="N28" s="1" t="str">
        <f t="shared" si="2"/>
        <v>$M(2015)/million</v>
      </c>
    </row>
    <row r="29" spans="1:14" s="1" customFormat="1" x14ac:dyDescent="0.25">
      <c r="A29" s="1" t="str">
        <v>EE</v>
      </c>
      <c r="B29" s="28">
        <f>'Economy A'!B29-'Economy B'!B29</f>
        <v>0</v>
      </c>
      <c r="C29" s="28">
        <f>'Economy A'!C29-'Economy B'!C29</f>
        <v>0</v>
      </c>
      <c r="D29" s="28">
        <f>'Economy A'!D29-'Economy B'!D29</f>
        <v>0</v>
      </c>
      <c r="E29" s="28">
        <f>'Economy A'!E29-'Economy B'!E29</f>
        <v>0</v>
      </c>
      <c r="F29" s="28">
        <f>'Economy A'!F29-'Economy B'!F29</f>
        <v>0</v>
      </c>
      <c r="G29" s="28">
        <f>'Economy A'!G29-'Economy B'!G29</f>
        <v>0</v>
      </c>
      <c r="H29" s="28">
        <f>'Economy A'!H29-'Economy B'!H29</f>
        <v>0</v>
      </c>
      <c r="I29" s="28">
        <f>'Economy A'!I29-'Economy B'!I29</f>
        <v>0</v>
      </c>
      <c r="J29" s="28">
        <f>'Economy A'!J29-'Economy B'!J29</f>
        <v>0</v>
      </c>
      <c r="K29" s="28">
        <f>'Economy A'!K29-'Economy B'!K29</f>
        <v>0</v>
      </c>
      <c r="L29" s="28">
        <f>'Economy A'!L29-'Economy B'!L29</f>
        <v>0</v>
      </c>
      <c r="N29" s="1" t="str">
        <f t="shared" si="2"/>
        <v>$M(2015)/million</v>
      </c>
    </row>
    <row r="30" spans="1:14" s="1" customFormat="1" x14ac:dyDescent="0.25">
      <c r="A30" s="1" t="str">
        <v>CA</v>
      </c>
      <c r="B30" s="28">
        <f>'Economy A'!B30-'Economy B'!B30</f>
        <v>0</v>
      </c>
      <c r="C30" s="28">
        <f>'Economy A'!C30-'Economy B'!C30</f>
        <v>0</v>
      </c>
      <c r="D30" s="28">
        <f>'Economy A'!D30-'Economy B'!D30</f>
        <v>0</v>
      </c>
      <c r="E30" s="28">
        <f>'Economy A'!E30-'Economy B'!E30</f>
        <v>0</v>
      </c>
      <c r="F30" s="28">
        <f>'Economy A'!F30-'Economy B'!F30</f>
        <v>0</v>
      </c>
      <c r="G30" s="28">
        <f>'Economy A'!G30-'Economy B'!G30</f>
        <v>0</v>
      </c>
      <c r="H30" s="28">
        <f>'Economy A'!H30-'Economy B'!H30</f>
        <v>0</v>
      </c>
      <c r="I30" s="28">
        <f>'Economy A'!I30-'Economy B'!I30</f>
        <v>0</v>
      </c>
      <c r="J30" s="28">
        <f>'Economy A'!J30-'Economy B'!J30</f>
        <v>0</v>
      </c>
      <c r="K30" s="28">
        <f>'Economy A'!K30-'Economy B'!K30</f>
        <v>0</v>
      </c>
      <c r="L30" s="28">
        <f>'Economy A'!L30-'Economy B'!L30</f>
        <v>0</v>
      </c>
      <c r="N30" s="1" t="str">
        <f t="shared" si="2"/>
        <v>$M(2015)/million</v>
      </c>
    </row>
    <row r="31" spans="1:14" s="1" customFormat="1" x14ac:dyDescent="0.25">
      <c r="A31" s="1" t="str">
        <v>IA</v>
      </c>
      <c r="B31" s="28">
        <f>'Economy A'!B31-'Economy B'!B31</f>
        <v>0</v>
      </c>
      <c r="C31" s="28">
        <f>'Economy A'!C31-'Economy B'!C31</f>
        <v>0</v>
      </c>
      <c r="D31" s="28">
        <f>'Economy A'!D31-'Economy B'!D31</f>
        <v>0</v>
      </c>
      <c r="E31" s="28">
        <f>'Economy A'!E31-'Economy B'!E31</f>
        <v>0</v>
      </c>
      <c r="F31" s="28">
        <f>'Economy A'!F31-'Economy B'!F31</f>
        <v>0</v>
      </c>
      <c r="G31" s="28">
        <f>'Economy A'!G31-'Economy B'!G31</f>
        <v>0</v>
      </c>
      <c r="H31" s="28">
        <f>'Economy A'!H31-'Economy B'!H31</f>
        <v>0</v>
      </c>
      <c r="I31" s="28">
        <f>'Economy A'!I31-'Economy B'!I31</f>
        <v>0</v>
      </c>
      <c r="J31" s="28">
        <f>'Economy A'!J31-'Economy B'!J31</f>
        <v>0</v>
      </c>
      <c r="K31" s="28">
        <f>'Economy A'!K31-'Economy B'!K31</f>
        <v>0</v>
      </c>
      <c r="L31" s="28">
        <f>'Economy A'!L31-'Economy B'!L31</f>
        <v>0</v>
      </c>
      <c r="N31" s="1" t="str">
        <f t="shared" si="2"/>
        <v>$M(2015)/million</v>
      </c>
    </row>
    <row r="32" spans="1:14" s="1" customFormat="1" x14ac:dyDescent="0.25">
      <c r="A32" s="1" t="str">
        <v>AF</v>
      </c>
      <c r="B32" s="28">
        <f>'Economy A'!B32-'Economy B'!B32</f>
        <v>0</v>
      </c>
      <c r="C32" s="28">
        <f>'Economy A'!C32-'Economy B'!C32</f>
        <v>0</v>
      </c>
      <c r="D32" s="28">
        <f>'Economy A'!D32-'Economy B'!D32</f>
        <v>0</v>
      </c>
      <c r="E32" s="28">
        <f>'Economy A'!E32-'Economy B'!E32</f>
        <v>0</v>
      </c>
      <c r="F32" s="28">
        <f>'Economy A'!F32-'Economy B'!F32</f>
        <v>0</v>
      </c>
      <c r="G32" s="28">
        <f>'Economy A'!G32-'Economy B'!G32</f>
        <v>0</v>
      </c>
      <c r="H32" s="28">
        <f>'Economy A'!H32-'Economy B'!H32</f>
        <v>0</v>
      </c>
      <c r="I32" s="28">
        <f>'Economy A'!I32-'Economy B'!I32</f>
        <v>0</v>
      </c>
      <c r="J32" s="28">
        <f>'Economy A'!J32-'Economy B'!J32</f>
        <v>0</v>
      </c>
      <c r="K32" s="28">
        <f>'Economy A'!K32-'Economy B'!K32</f>
        <v>0</v>
      </c>
      <c r="L32" s="28">
        <f>'Economy A'!L32-'Economy B'!L32</f>
        <v>0</v>
      </c>
      <c r="N32" s="1" t="str">
        <f t="shared" si="2"/>
        <v>$M(2015)/million</v>
      </c>
    </row>
    <row r="33" spans="1:14" s="1" customFormat="1" x14ac:dyDescent="0.25">
      <c r="A33" s="1" t="str">
        <v>LA</v>
      </c>
      <c r="B33" s="28">
        <f>'Economy A'!B33-'Economy B'!B33</f>
        <v>0</v>
      </c>
      <c r="C33" s="28">
        <f>'Economy A'!C33-'Economy B'!C33</f>
        <v>0</v>
      </c>
      <c r="D33" s="28">
        <f>'Economy A'!D33-'Economy B'!D33</f>
        <v>0</v>
      </c>
      <c r="E33" s="28">
        <f>'Economy A'!E33-'Economy B'!E33</f>
        <v>0</v>
      </c>
      <c r="F33" s="28">
        <f>'Economy A'!F33-'Economy B'!F33</f>
        <v>0</v>
      </c>
      <c r="G33" s="28">
        <f>'Economy A'!G33-'Economy B'!G33</f>
        <v>0</v>
      </c>
      <c r="H33" s="28">
        <f>'Economy A'!H33-'Economy B'!H33</f>
        <v>0</v>
      </c>
      <c r="I33" s="28">
        <f>'Economy A'!I33-'Economy B'!I33</f>
        <v>0</v>
      </c>
      <c r="J33" s="28">
        <f>'Economy A'!J33-'Economy B'!J33</f>
        <v>0</v>
      </c>
      <c r="K33" s="28">
        <f>'Economy A'!K33-'Economy B'!K33</f>
        <v>0</v>
      </c>
      <c r="L33" s="28">
        <f>'Economy A'!L33-'Economy B'!L33</f>
        <v>0</v>
      </c>
      <c r="N33" s="1" t="str">
        <f t="shared" si="2"/>
        <v>$M(2015)/million</v>
      </c>
    </row>
    <row r="34" spans="1:14" s="1" customFormat="1" ht="13" x14ac:dyDescent="0.3">
      <c r="A34" s="44" t="s">
        <v>142</v>
      </c>
      <c r="B34" s="40">
        <f>'Economy A'!B34-'Economy B'!B34</f>
        <v>0</v>
      </c>
      <c r="C34" s="40">
        <f>'Economy A'!C34-'Economy B'!C34</f>
        <v>0</v>
      </c>
      <c r="D34" s="40">
        <f>'Economy A'!D34-'Economy B'!D34</f>
        <v>0</v>
      </c>
      <c r="E34" s="40">
        <f>'Economy A'!E34-'Economy B'!E34</f>
        <v>0</v>
      </c>
      <c r="F34" s="40">
        <f>'Economy A'!F34-'Economy B'!F34</f>
        <v>0</v>
      </c>
      <c r="G34" s="40">
        <f>'Economy A'!G34-'Economy B'!G34</f>
        <v>0</v>
      </c>
      <c r="H34" s="40">
        <f>'Economy A'!H34-'Economy B'!H34</f>
        <v>0</v>
      </c>
      <c r="I34" s="40">
        <f>'Economy A'!I34-'Economy B'!I34</f>
        <v>0</v>
      </c>
      <c r="J34" s="40">
        <f>'Economy A'!J34-'Economy B'!J34</f>
        <v>0</v>
      </c>
      <c r="K34" s="40">
        <f>'Economy A'!K34-'Economy B'!K34</f>
        <v>0</v>
      </c>
      <c r="L34" s="40">
        <f>'Economy A'!L34-'Economy B'!L34</f>
        <v>0</v>
      </c>
      <c r="N34" s="1" t="str">
        <f t="shared" si="2"/>
        <v>$M(2015)/million</v>
      </c>
    </row>
    <row r="35" spans="1:14" s="1" customFormat="1" ht="13.5" thickBot="1" x14ac:dyDescent="0.35">
      <c r="A35" s="44" t="s">
        <v>143</v>
      </c>
      <c r="B35" s="44"/>
      <c r="C35" s="35">
        <f>'Economy A'!C35-'Economy B'!C35</f>
        <v>0</v>
      </c>
      <c r="D35" s="35">
        <f>'Economy A'!D35-'Economy B'!D35</f>
        <v>0</v>
      </c>
      <c r="E35" s="35">
        <f>'Economy A'!E35-'Economy B'!E35</f>
        <v>0</v>
      </c>
      <c r="F35" s="35">
        <f>'Economy A'!F35-'Economy B'!F35</f>
        <v>0</v>
      </c>
      <c r="G35" s="35">
        <f>'Economy A'!G35-'Economy B'!G35</f>
        <v>0</v>
      </c>
      <c r="H35" s="35">
        <f>'Economy A'!H35-'Economy B'!H35</f>
        <v>0</v>
      </c>
      <c r="I35" s="35">
        <f>'Economy A'!I35-'Economy B'!I35</f>
        <v>0</v>
      </c>
      <c r="J35" s="35">
        <f>'Economy A'!J35-'Economy B'!J35</f>
        <v>0</v>
      </c>
      <c r="K35" s="35">
        <f>'Economy A'!K35-'Economy B'!K35</f>
        <v>0</v>
      </c>
      <c r="L35" s="35">
        <f>'Economy A'!L35-'Economy B'!L35</f>
        <v>0</v>
      </c>
      <c r="N35" s="1" t="s">
        <v>40</v>
      </c>
    </row>
    <row r="36" spans="1:14" s="1" customFormat="1" ht="13.5" thickTop="1" x14ac:dyDescent="0.3">
      <c r="A36" s="2" t="s">
        <v>219</v>
      </c>
      <c r="B36" s="2"/>
      <c r="C36"/>
      <c r="D36"/>
      <c r="E36"/>
      <c r="F36"/>
      <c r="G36"/>
      <c r="H36"/>
      <c r="I36"/>
      <c r="J36"/>
      <c r="K36"/>
      <c r="L36"/>
      <c r="M36"/>
      <c r="N36"/>
    </row>
    <row r="37" spans="1:14" s="1" customFormat="1" x14ac:dyDescent="0.25">
      <c r="A37" s="1" t="str">
        <f t="array" ref="A37:A44">R_CODE</f>
        <v>EU</v>
      </c>
      <c r="B37" s="27">
        <f ca="1">'Economy A'!B37-'Economy B'!B37</f>
        <v>0</v>
      </c>
      <c r="C37" s="27">
        <f ca="1">'Economy A'!C37-'Economy B'!C37</f>
        <v>0</v>
      </c>
      <c r="D37" s="27">
        <f ca="1">'Economy A'!D37-'Economy B'!D37</f>
        <v>0</v>
      </c>
      <c r="E37" s="27">
        <f ca="1">'Economy A'!E37-'Economy B'!E37</f>
        <v>0</v>
      </c>
      <c r="F37" s="27">
        <f ca="1">'Economy A'!F37-'Economy B'!F37</f>
        <v>0</v>
      </c>
      <c r="G37" s="27">
        <f ca="1">'Economy A'!G37-'Economy B'!G37</f>
        <v>0</v>
      </c>
      <c r="H37" s="27">
        <f ca="1">'Economy A'!H37-'Economy B'!H37</f>
        <v>0</v>
      </c>
      <c r="I37" s="27">
        <f ca="1">'Economy A'!I37-'Economy B'!I37</f>
        <v>0</v>
      </c>
      <c r="J37" s="27">
        <f ca="1">'Economy A'!J37-'Economy B'!J37</f>
        <v>0</v>
      </c>
      <c r="K37" s="27">
        <f ca="1">'Economy A'!K37-'Economy B'!K37</f>
        <v>0</v>
      </c>
      <c r="L37" s="27">
        <f ca="1">'Economy A'!L37-'Economy B'!L37</f>
        <v>0</v>
      </c>
      <c r="N37" s="1" t="str">
        <f t="shared" ref="N37:N45" si="3">CURRENCY_NAME&amp;"/"&amp;POP_UNIT_NAME</f>
        <v>$M(2015)/million</v>
      </c>
    </row>
    <row r="38" spans="1:14" s="1" customFormat="1" x14ac:dyDescent="0.25">
      <c r="A38" s="1" t="str">
        <v>US</v>
      </c>
      <c r="B38" s="28">
        <f ca="1">'Economy A'!B38-'Economy B'!B38</f>
        <v>0</v>
      </c>
      <c r="C38" s="28">
        <f ca="1">'Economy A'!C38-'Economy B'!C38</f>
        <v>0</v>
      </c>
      <c r="D38" s="28">
        <f ca="1">'Economy A'!D38-'Economy B'!D38</f>
        <v>0</v>
      </c>
      <c r="E38" s="28">
        <f ca="1">'Economy A'!E38-'Economy B'!E38</f>
        <v>0</v>
      </c>
      <c r="F38" s="28">
        <f ca="1">'Economy A'!F38-'Economy B'!F38</f>
        <v>0</v>
      </c>
      <c r="G38" s="28">
        <f ca="1">'Economy A'!G38-'Economy B'!G38</f>
        <v>0</v>
      </c>
      <c r="H38" s="28">
        <f ca="1">'Economy A'!H38-'Economy B'!H38</f>
        <v>0</v>
      </c>
      <c r="I38" s="28">
        <f ca="1">'Economy A'!I38-'Economy B'!I38</f>
        <v>0</v>
      </c>
      <c r="J38" s="28">
        <f ca="1">'Economy A'!J38-'Economy B'!J38</f>
        <v>0</v>
      </c>
      <c r="K38" s="28">
        <f ca="1">'Economy A'!K38-'Economy B'!K38</f>
        <v>0</v>
      </c>
      <c r="L38" s="28">
        <f ca="1">'Economy A'!L38-'Economy B'!L38</f>
        <v>0</v>
      </c>
      <c r="N38" s="1" t="str">
        <f t="shared" si="3"/>
        <v>$M(2015)/million</v>
      </c>
    </row>
    <row r="39" spans="1:14" s="1" customFormat="1" x14ac:dyDescent="0.25">
      <c r="A39" s="1" t="str">
        <v>OT</v>
      </c>
      <c r="B39" s="28">
        <f ca="1">'Economy A'!B39-'Economy B'!B39</f>
        <v>0</v>
      </c>
      <c r="C39" s="28">
        <f ca="1">'Economy A'!C39-'Economy B'!C39</f>
        <v>0</v>
      </c>
      <c r="D39" s="28">
        <f ca="1">'Economy A'!D39-'Economy B'!D39</f>
        <v>0</v>
      </c>
      <c r="E39" s="28">
        <f ca="1">'Economy A'!E39-'Economy B'!E39</f>
        <v>0</v>
      </c>
      <c r="F39" s="28">
        <f ca="1">'Economy A'!F39-'Economy B'!F39</f>
        <v>0</v>
      </c>
      <c r="G39" s="28">
        <f ca="1">'Economy A'!G39-'Economy B'!G39</f>
        <v>0</v>
      </c>
      <c r="H39" s="28">
        <f ca="1">'Economy A'!H39-'Economy B'!H39</f>
        <v>0</v>
      </c>
      <c r="I39" s="28">
        <f ca="1">'Economy A'!I39-'Economy B'!I39</f>
        <v>0</v>
      </c>
      <c r="J39" s="28">
        <f ca="1">'Economy A'!J39-'Economy B'!J39</f>
        <v>0</v>
      </c>
      <c r="K39" s="28">
        <f ca="1">'Economy A'!K39-'Economy B'!K39</f>
        <v>0</v>
      </c>
      <c r="L39" s="28">
        <f ca="1">'Economy A'!L39-'Economy B'!L39</f>
        <v>0</v>
      </c>
      <c r="N39" s="1" t="str">
        <f t="shared" si="3"/>
        <v>$M(2015)/million</v>
      </c>
    </row>
    <row r="40" spans="1:14" s="1" customFormat="1" x14ac:dyDescent="0.25">
      <c r="A40" s="1" t="str">
        <v>EE</v>
      </c>
      <c r="B40" s="28">
        <f ca="1">'Economy A'!B40-'Economy B'!B40</f>
        <v>0</v>
      </c>
      <c r="C40" s="28">
        <f ca="1">'Economy A'!C40-'Economy B'!C40</f>
        <v>0</v>
      </c>
      <c r="D40" s="28">
        <f ca="1">'Economy A'!D40-'Economy B'!D40</f>
        <v>0</v>
      </c>
      <c r="E40" s="28">
        <f ca="1">'Economy A'!E40-'Economy B'!E40</f>
        <v>0</v>
      </c>
      <c r="F40" s="28">
        <f ca="1">'Economy A'!F40-'Economy B'!F40</f>
        <v>0</v>
      </c>
      <c r="G40" s="28">
        <f ca="1">'Economy A'!G40-'Economy B'!G40</f>
        <v>0</v>
      </c>
      <c r="H40" s="28">
        <f ca="1">'Economy A'!H40-'Economy B'!H40</f>
        <v>0</v>
      </c>
      <c r="I40" s="28">
        <f ca="1">'Economy A'!I40-'Economy B'!I40</f>
        <v>0</v>
      </c>
      <c r="J40" s="28">
        <f ca="1">'Economy A'!J40-'Economy B'!J40</f>
        <v>0</v>
      </c>
      <c r="K40" s="28">
        <f ca="1">'Economy A'!K40-'Economy B'!K40</f>
        <v>0</v>
      </c>
      <c r="L40" s="28">
        <f ca="1">'Economy A'!L40-'Economy B'!L40</f>
        <v>0</v>
      </c>
      <c r="N40" s="1" t="str">
        <f t="shared" si="3"/>
        <v>$M(2015)/million</v>
      </c>
    </row>
    <row r="41" spans="1:14" s="1" customFormat="1" x14ac:dyDescent="0.25">
      <c r="A41" s="1" t="str">
        <v>CA</v>
      </c>
      <c r="B41" s="28">
        <f ca="1">'Economy A'!B41-'Economy B'!B41</f>
        <v>0</v>
      </c>
      <c r="C41" s="28">
        <f ca="1">'Economy A'!C41-'Economy B'!C41</f>
        <v>0</v>
      </c>
      <c r="D41" s="28">
        <f ca="1">'Economy A'!D41-'Economy B'!D41</f>
        <v>0</v>
      </c>
      <c r="E41" s="28">
        <f ca="1">'Economy A'!E41-'Economy B'!E41</f>
        <v>0</v>
      </c>
      <c r="F41" s="28">
        <f ca="1">'Economy A'!F41-'Economy B'!F41</f>
        <v>0</v>
      </c>
      <c r="G41" s="28">
        <f ca="1">'Economy A'!G41-'Economy B'!G41</f>
        <v>0</v>
      </c>
      <c r="H41" s="28">
        <f ca="1">'Economy A'!H41-'Economy B'!H41</f>
        <v>0</v>
      </c>
      <c r="I41" s="28">
        <f ca="1">'Economy A'!I41-'Economy B'!I41</f>
        <v>0</v>
      </c>
      <c r="J41" s="28">
        <f ca="1">'Economy A'!J41-'Economy B'!J41</f>
        <v>0</v>
      </c>
      <c r="K41" s="28">
        <f ca="1">'Economy A'!K41-'Economy B'!K41</f>
        <v>0</v>
      </c>
      <c r="L41" s="28">
        <f ca="1">'Economy A'!L41-'Economy B'!L41</f>
        <v>0</v>
      </c>
      <c r="N41" s="1" t="str">
        <f t="shared" si="3"/>
        <v>$M(2015)/million</v>
      </c>
    </row>
    <row r="42" spans="1:14" s="1" customFormat="1" x14ac:dyDescent="0.25">
      <c r="A42" s="1" t="str">
        <v>IA</v>
      </c>
      <c r="B42" s="28">
        <f ca="1">'Economy A'!B42-'Economy B'!B42</f>
        <v>0</v>
      </c>
      <c r="C42" s="28">
        <f ca="1">'Economy A'!C42-'Economy B'!C42</f>
        <v>0</v>
      </c>
      <c r="D42" s="28">
        <f ca="1">'Economy A'!D42-'Economy B'!D42</f>
        <v>0</v>
      </c>
      <c r="E42" s="28">
        <f ca="1">'Economy A'!E42-'Economy B'!E42</f>
        <v>0</v>
      </c>
      <c r="F42" s="28">
        <f ca="1">'Economy A'!F42-'Economy B'!F42</f>
        <v>0</v>
      </c>
      <c r="G42" s="28">
        <f ca="1">'Economy A'!G42-'Economy B'!G42</f>
        <v>0</v>
      </c>
      <c r="H42" s="28">
        <f ca="1">'Economy A'!H42-'Economy B'!H42</f>
        <v>0</v>
      </c>
      <c r="I42" s="28">
        <f ca="1">'Economy A'!I42-'Economy B'!I42</f>
        <v>0</v>
      </c>
      <c r="J42" s="28">
        <f ca="1">'Economy A'!J42-'Economy B'!J42</f>
        <v>0</v>
      </c>
      <c r="K42" s="28">
        <f ca="1">'Economy A'!K42-'Economy B'!K42</f>
        <v>0</v>
      </c>
      <c r="L42" s="28">
        <f ca="1">'Economy A'!L42-'Economy B'!L42</f>
        <v>0</v>
      </c>
      <c r="N42" s="1" t="str">
        <f t="shared" si="3"/>
        <v>$M(2015)/million</v>
      </c>
    </row>
    <row r="43" spans="1:14" s="1" customFormat="1" x14ac:dyDescent="0.25">
      <c r="A43" s="1" t="str">
        <v>AF</v>
      </c>
      <c r="B43" s="28">
        <f ca="1">'Economy A'!B43-'Economy B'!B43</f>
        <v>0</v>
      </c>
      <c r="C43" s="28">
        <f ca="1">'Economy A'!C43-'Economy B'!C43</f>
        <v>0</v>
      </c>
      <c r="D43" s="28">
        <f ca="1">'Economy A'!D43-'Economy B'!D43</f>
        <v>0</v>
      </c>
      <c r="E43" s="28">
        <f ca="1">'Economy A'!E43-'Economy B'!E43</f>
        <v>0</v>
      </c>
      <c r="F43" s="28">
        <f ca="1">'Economy A'!F43-'Economy B'!F43</f>
        <v>0</v>
      </c>
      <c r="G43" s="28">
        <f ca="1">'Economy A'!G43-'Economy B'!G43</f>
        <v>0</v>
      </c>
      <c r="H43" s="28">
        <f ca="1">'Economy A'!H43-'Economy B'!H43</f>
        <v>0</v>
      </c>
      <c r="I43" s="28">
        <f ca="1">'Economy A'!I43-'Economy B'!I43</f>
        <v>0</v>
      </c>
      <c r="J43" s="28">
        <f ca="1">'Economy A'!J43-'Economy B'!J43</f>
        <v>0</v>
      </c>
      <c r="K43" s="28">
        <f ca="1">'Economy A'!K43-'Economy B'!K43</f>
        <v>0</v>
      </c>
      <c r="L43" s="28">
        <f ca="1">'Economy A'!L43-'Economy B'!L43</f>
        <v>0</v>
      </c>
      <c r="N43" s="1" t="str">
        <f t="shared" si="3"/>
        <v>$M(2015)/million</v>
      </c>
    </row>
    <row r="44" spans="1:14" s="1" customFormat="1" x14ac:dyDescent="0.25">
      <c r="A44" s="1" t="str">
        <v>LA</v>
      </c>
      <c r="B44" s="28">
        <f ca="1">'Economy A'!B44-'Economy B'!B44</f>
        <v>0</v>
      </c>
      <c r="C44" s="28">
        <f ca="1">'Economy A'!C44-'Economy B'!C44</f>
        <v>0</v>
      </c>
      <c r="D44" s="28">
        <f ca="1">'Economy A'!D44-'Economy B'!D44</f>
        <v>0</v>
      </c>
      <c r="E44" s="28">
        <f ca="1">'Economy A'!E44-'Economy B'!E44</f>
        <v>0</v>
      </c>
      <c r="F44" s="28">
        <f ca="1">'Economy A'!F44-'Economy B'!F44</f>
        <v>0</v>
      </c>
      <c r="G44" s="28">
        <f ca="1">'Economy A'!G44-'Economy B'!G44</f>
        <v>0</v>
      </c>
      <c r="H44" s="28">
        <f ca="1">'Economy A'!H44-'Economy B'!H44</f>
        <v>0</v>
      </c>
      <c r="I44" s="28">
        <f ca="1">'Economy A'!I44-'Economy B'!I44</f>
        <v>0</v>
      </c>
      <c r="J44" s="28">
        <f ca="1">'Economy A'!J44-'Economy B'!J44</f>
        <v>0</v>
      </c>
      <c r="K44" s="28">
        <f ca="1">'Economy A'!K44-'Economy B'!K44</f>
        <v>0</v>
      </c>
      <c r="L44" s="28">
        <f ca="1">'Economy A'!L44-'Economy B'!L44</f>
        <v>0</v>
      </c>
      <c r="N44" s="1" t="str">
        <f t="shared" si="3"/>
        <v>$M(2015)/million</v>
      </c>
    </row>
    <row r="45" spans="1:14" s="1" customFormat="1" ht="13" x14ac:dyDescent="0.3">
      <c r="A45" s="44" t="s">
        <v>142</v>
      </c>
      <c r="B45" s="40">
        <f ca="1">'Economy A'!B45-'Economy B'!B45</f>
        <v>0</v>
      </c>
      <c r="C45" s="40">
        <f ca="1">'Economy A'!C45-'Economy B'!C45</f>
        <v>0</v>
      </c>
      <c r="D45" s="40">
        <f ca="1">'Economy A'!D45-'Economy B'!D45</f>
        <v>0</v>
      </c>
      <c r="E45" s="40">
        <f ca="1">'Economy A'!E45-'Economy B'!E45</f>
        <v>0</v>
      </c>
      <c r="F45" s="40">
        <f ca="1">'Economy A'!F45-'Economy B'!F45</f>
        <v>0</v>
      </c>
      <c r="G45" s="40">
        <f ca="1">'Economy A'!G45-'Economy B'!G45</f>
        <v>0</v>
      </c>
      <c r="H45" s="40">
        <f ca="1">'Economy A'!H45-'Economy B'!H45</f>
        <v>0</v>
      </c>
      <c r="I45" s="40">
        <f ca="1">'Economy A'!I45-'Economy B'!I45</f>
        <v>0</v>
      </c>
      <c r="J45" s="40">
        <f ca="1">'Economy A'!J45-'Economy B'!J45</f>
        <v>0</v>
      </c>
      <c r="K45" s="40">
        <f ca="1">'Economy A'!K45-'Economy B'!K45</f>
        <v>0</v>
      </c>
      <c r="L45" s="40">
        <f ca="1">'Economy A'!L45-'Economy B'!L45</f>
        <v>0</v>
      </c>
      <c r="N45" s="1" t="str">
        <f t="shared" si="3"/>
        <v>$M(2015)/million</v>
      </c>
    </row>
    <row r="46" spans="1:14" s="1" customFormat="1" ht="13.5" thickBot="1" x14ac:dyDescent="0.35">
      <c r="A46" s="44" t="s">
        <v>143</v>
      </c>
      <c r="B46" s="44"/>
      <c r="C46" s="35">
        <f ca="1">'Economy A'!C46-'Economy B'!C46</f>
        <v>0</v>
      </c>
      <c r="D46" s="35">
        <f ca="1">'Economy A'!D46-'Economy B'!D46</f>
        <v>0</v>
      </c>
      <c r="E46" s="35">
        <f ca="1">'Economy A'!E46-'Economy B'!E46</f>
        <v>0</v>
      </c>
      <c r="F46" s="35">
        <f ca="1">'Economy A'!F46-'Economy B'!F46</f>
        <v>0</v>
      </c>
      <c r="G46" s="35">
        <f ca="1">'Economy A'!G46-'Economy B'!G46</f>
        <v>0</v>
      </c>
      <c r="H46" s="35">
        <f ca="1">'Economy A'!H46-'Economy B'!H46</f>
        <v>0</v>
      </c>
      <c r="I46" s="35">
        <f ca="1">'Economy A'!I46-'Economy B'!I46</f>
        <v>0</v>
      </c>
      <c r="J46" s="35">
        <f ca="1">'Economy A'!J46-'Economy B'!J46</f>
        <v>0</v>
      </c>
      <c r="K46" s="35">
        <f ca="1">'Economy A'!K46-'Economy B'!K46</f>
        <v>0</v>
      </c>
      <c r="L46" s="35">
        <f ca="1">'Economy A'!L46-'Economy B'!L46</f>
        <v>0</v>
      </c>
      <c r="N46" s="1" t="s">
        <v>40</v>
      </c>
    </row>
    <row r="47" spans="1:14" s="1" customFormat="1" ht="13.5" thickTop="1" x14ac:dyDescent="0.3">
      <c r="A47" s="44" t="s">
        <v>144</v>
      </c>
      <c r="B47" s="44"/>
      <c r="C47"/>
      <c r="D47"/>
      <c r="E47"/>
      <c r="F47"/>
      <c r="G47"/>
      <c r="H47"/>
      <c r="I47"/>
      <c r="J47"/>
      <c r="K47"/>
      <c r="L47"/>
    </row>
    <row r="48" spans="1:14" s="1" customFormat="1" x14ac:dyDescent="0.25">
      <c r="A48" s="1" t="str">
        <f t="array" ref="A48:A55">R_CODE</f>
        <v>EU</v>
      </c>
      <c r="B48" s="29">
        <f ca="1">'Economy A'!B48-'Economy B'!B48</f>
        <v>0</v>
      </c>
      <c r="C48" s="29">
        <f ca="1">'Economy A'!C48-'Economy B'!C48</f>
        <v>0</v>
      </c>
      <c r="D48" s="29">
        <f ca="1">'Economy A'!D48-'Economy B'!D48</f>
        <v>0</v>
      </c>
      <c r="E48" s="29">
        <f ca="1">'Economy A'!E48-'Economy B'!E48</f>
        <v>0</v>
      </c>
      <c r="F48" s="29">
        <f ca="1">'Economy A'!F48-'Economy B'!F48</f>
        <v>0</v>
      </c>
      <c r="G48" s="29">
        <f ca="1">'Economy A'!G48-'Economy B'!G48</f>
        <v>0</v>
      </c>
      <c r="H48" s="29">
        <f ca="1">'Economy A'!H48-'Economy B'!H48</f>
        <v>0</v>
      </c>
      <c r="I48" s="29">
        <f ca="1">'Economy A'!I48-'Economy B'!I48</f>
        <v>0</v>
      </c>
      <c r="J48" s="29">
        <f ca="1">'Economy A'!J48-'Economy B'!J48</f>
        <v>0</v>
      </c>
      <c r="K48" s="29">
        <f ca="1">'Economy A'!K48-'Economy B'!K48</f>
        <v>0</v>
      </c>
      <c r="L48" s="29">
        <f ca="1">'Economy A'!L48-'Economy B'!L48</f>
        <v>0</v>
      </c>
    </row>
    <row r="49" spans="1:14" s="1" customFormat="1" x14ac:dyDescent="0.25">
      <c r="A49" s="1" t="str">
        <v>US</v>
      </c>
      <c r="B49" s="26">
        <f ca="1">'Economy A'!B49-'Economy B'!B49</f>
        <v>0</v>
      </c>
      <c r="C49" s="26">
        <f ca="1">'Economy A'!C49-'Economy B'!C49</f>
        <v>0</v>
      </c>
      <c r="D49" s="26">
        <f ca="1">'Economy A'!D49-'Economy B'!D49</f>
        <v>0</v>
      </c>
      <c r="E49" s="26">
        <f ca="1">'Economy A'!E49-'Economy B'!E49</f>
        <v>0</v>
      </c>
      <c r="F49" s="26">
        <f ca="1">'Economy A'!F49-'Economy B'!F49</f>
        <v>0</v>
      </c>
      <c r="G49" s="26">
        <f ca="1">'Economy A'!G49-'Economy B'!G49</f>
        <v>0</v>
      </c>
      <c r="H49" s="26">
        <f ca="1">'Economy A'!H49-'Economy B'!H49</f>
        <v>0</v>
      </c>
      <c r="I49" s="26">
        <f ca="1">'Economy A'!I49-'Economy B'!I49</f>
        <v>0</v>
      </c>
      <c r="J49" s="26">
        <f ca="1">'Economy A'!J49-'Economy B'!J49</f>
        <v>0</v>
      </c>
      <c r="K49" s="26">
        <f ca="1">'Economy A'!K49-'Economy B'!K49</f>
        <v>0</v>
      </c>
      <c r="L49" s="26">
        <f ca="1">'Economy A'!L49-'Economy B'!L49</f>
        <v>0</v>
      </c>
    </row>
    <row r="50" spans="1:14" s="1" customFormat="1" x14ac:dyDescent="0.25">
      <c r="A50" s="1" t="str">
        <v>OT</v>
      </c>
      <c r="B50" s="26">
        <f ca="1">'Economy A'!B50-'Economy B'!B50</f>
        <v>0</v>
      </c>
      <c r="C50" s="26">
        <f ca="1">'Economy A'!C50-'Economy B'!C50</f>
        <v>0</v>
      </c>
      <c r="D50" s="26">
        <f ca="1">'Economy A'!D50-'Economy B'!D50</f>
        <v>0</v>
      </c>
      <c r="E50" s="26">
        <f ca="1">'Economy A'!E50-'Economy B'!E50</f>
        <v>0</v>
      </c>
      <c r="F50" s="26">
        <f ca="1">'Economy A'!F50-'Economy B'!F50</f>
        <v>0</v>
      </c>
      <c r="G50" s="26">
        <f ca="1">'Economy A'!G50-'Economy B'!G50</f>
        <v>0</v>
      </c>
      <c r="H50" s="26">
        <f ca="1">'Economy A'!H50-'Economy B'!H50</f>
        <v>0</v>
      </c>
      <c r="I50" s="26">
        <f ca="1">'Economy A'!I50-'Economy B'!I50</f>
        <v>0</v>
      </c>
      <c r="J50" s="26">
        <f ca="1">'Economy A'!J50-'Economy B'!J50</f>
        <v>0</v>
      </c>
      <c r="K50" s="26">
        <f ca="1">'Economy A'!K50-'Economy B'!K50</f>
        <v>0</v>
      </c>
      <c r="L50" s="26">
        <f ca="1">'Economy A'!L50-'Economy B'!L50</f>
        <v>0</v>
      </c>
    </row>
    <row r="51" spans="1:14" s="1" customFormat="1" x14ac:dyDescent="0.25">
      <c r="A51" s="1" t="str">
        <v>EE</v>
      </c>
      <c r="B51" s="26">
        <f ca="1">'Economy A'!B51-'Economy B'!B51</f>
        <v>0</v>
      </c>
      <c r="C51" s="26">
        <f ca="1">'Economy A'!C51-'Economy B'!C51</f>
        <v>0</v>
      </c>
      <c r="D51" s="26">
        <f ca="1">'Economy A'!D51-'Economy B'!D51</f>
        <v>0</v>
      </c>
      <c r="E51" s="26">
        <f ca="1">'Economy A'!E51-'Economy B'!E51</f>
        <v>0</v>
      </c>
      <c r="F51" s="26">
        <f ca="1">'Economy A'!F51-'Economy B'!F51</f>
        <v>0</v>
      </c>
      <c r="G51" s="26">
        <f ca="1">'Economy A'!G51-'Economy B'!G51</f>
        <v>0</v>
      </c>
      <c r="H51" s="26">
        <f ca="1">'Economy A'!H51-'Economy B'!H51</f>
        <v>0</v>
      </c>
      <c r="I51" s="26">
        <f ca="1">'Economy A'!I51-'Economy B'!I51</f>
        <v>0</v>
      </c>
      <c r="J51" s="26">
        <f ca="1">'Economy A'!J51-'Economy B'!J51</f>
        <v>0</v>
      </c>
      <c r="K51" s="26">
        <f ca="1">'Economy A'!K51-'Economy B'!K51</f>
        <v>0</v>
      </c>
      <c r="L51" s="26">
        <f ca="1">'Economy A'!L51-'Economy B'!L51</f>
        <v>0</v>
      </c>
    </row>
    <row r="52" spans="1:14" s="1" customFormat="1" x14ac:dyDescent="0.25">
      <c r="A52" s="1" t="str">
        <v>CA</v>
      </c>
      <c r="B52" s="26">
        <f ca="1">'Economy A'!B52-'Economy B'!B52</f>
        <v>0</v>
      </c>
      <c r="C52" s="26">
        <f ca="1">'Economy A'!C52-'Economy B'!C52</f>
        <v>0</v>
      </c>
      <c r="D52" s="26">
        <f ca="1">'Economy A'!D52-'Economy B'!D52</f>
        <v>0</v>
      </c>
      <c r="E52" s="26">
        <f ca="1">'Economy A'!E52-'Economy B'!E52</f>
        <v>0</v>
      </c>
      <c r="F52" s="26">
        <f ca="1">'Economy A'!F52-'Economy B'!F52</f>
        <v>0</v>
      </c>
      <c r="G52" s="26">
        <f ca="1">'Economy A'!G52-'Economy B'!G52</f>
        <v>0</v>
      </c>
      <c r="H52" s="26">
        <f ca="1">'Economy A'!H52-'Economy B'!H52</f>
        <v>0</v>
      </c>
      <c r="I52" s="26">
        <f ca="1">'Economy A'!I52-'Economy B'!I52</f>
        <v>0</v>
      </c>
      <c r="J52" s="26">
        <f ca="1">'Economy A'!J52-'Economy B'!J52</f>
        <v>0</v>
      </c>
      <c r="K52" s="26">
        <f ca="1">'Economy A'!K52-'Economy B'!K52</f>
        <v>0</v>
      </c>
      <c r="L52" s="26">
        <f ca="1">'Economy A'!L52-'Economy B'!L52</f>
        <v>0</v>
      </c>
    </row>
    <row r="53" spans="1:14" s="1" customFormat="1" x14ac:dyDescent="0.25">
      <c r="A53" s="1" t="str">
        <v>IA</v>
      </c>
      <c r="B53" s="26">
        <f ca="1">'Economy A'!B53-'Economy B'!B53</f>
        <v>0</v>
      </c>
      <c r="C53" s="26">
        <f ca="1">'Economy A'!C53-'Economy B'!C53</f>
        <v>0</v>
      </c>
      <c r="D53" s="26">
        <f ca="1">'Economy A'!D53-'Economy B'!D53</f>
        <v>0</v>
      </c>
      <c r="E53" s="26">
        <f ca="1">'Economy A'!E53-'Economy B'!E53</f>
        <v>0</v>
      </c>
      <c r="F53" s="26">
        <f ca="1">'Economy A'!F53-'Economy B'!F53</f>
        <v>0</v>
      </c>
      <c r="G53" s="26">
        <f ca="1">'Economy A'!G53-'Economy B'!G53</f>
        <v>0</v>
      </c>
      <c r="H53" s="26">
        <f ca="1">'Economy A'!H53-'Economy B'!H53</f>
        <v>0</v>
      </c>
      <c r="I53" s="26">
        <f ca="1">'Economy A'!I53-'Economy B'!I53</f>
        <v>0</v>
      </c>
      <c r="J53" s="26">
        <f ca="1">'Economy A'!J53-'Economy B'!J53</f>
        <v>0</v>
      </c>
      <c r="K53" s="26">
        <f ca="1">'Economy A'!K53-'Economy B'!K53</f>
        <v>0</v>
      </c>
      <c r="L53" s="26">
        <f ca="1">'Economy A'!L53-'Economy B'!L53</f>
        <v>0</v>
      </c>
    </row>
    <row r="54" spans="1:14" s="1" customFormat="1" x14ac:dyDescent="0.25">
      <c r="A54" s="1" t="str">
        <v>AF</v>
      </c>
      <c r="B54" s="26">
        <f ca="1">'Economy A'!B54-'Economy B'!B54</f>
        <v>0</v>
      </c>
      <c r="C54" s="26">
        <f ca="1">'Economy A'!C54-'Economy B'!C54</f>
        <v>0</v>
      </c>
      <c r="D54" s="26">
        <f ca="1">'Economy A'!D54-'Economy B'!D54</f>
        <v>0</v>
      </c>
      <c r="E54" s="26">
        <f ca="1">'Economy A'!E54-'Economy B'!E54</f>
        <v>0</v>
      </c>
      <c r="F54" s="26">
        <f ca="1">'Economy A'!F54-'Economy B'!F54</f>
        <v>0</v>
      </c>
      <c r="G54" s="26">
        <f ca="1">'Economy A'!G54-'Economy B'!G54</f>
        <v>0</v>
      </c>
      <c r="H54" s="26">
        <f ca="1">'Economy A'!H54-'Economy B'!H54</f>
        <v>0</v>
      </c>
      <c r="I54" s="26">
        <f ca="1">'Economy A'!I54-'Economy B'!I54</f>
        <v>0</v>
      </c>
      <c r="J54" s="26">
        <f ca="1">'Economy A'!J54-'Economy B'!J54</f>
        <v>0</v>
      </c>
      <c r="K54" s="26">
        <f ca="1">'Economy A'!K54-'Economy B'!K54</f>
        <v>0</v>
      </c>
      <c r="L54" s="26">
        <f ca="1">'Economy A'!L54-'Economy B'!L54</f>
        <v>0</v>
      </c>
    </row>
    <row r="55" spans="1:14" s="1" customFormat="1" x14ac:dyDescent="0.25">
      <c r="A55" s="1" t="str">
        <v>LA</v>
      </c>
      <c r="B55" s="26">
        <f ca="1">'Economy A'!B55-'Economy B'!B55</f>
        <v>0</v>
      </c>
      <c r="C55" s="26">
        <f ca="1">'Economy A'!C55-'Economy B'!C55</f>
        <v>0</v>
      </c>
      <c r="D55" s="26">
        <f ca="1">'Economy A'!D55-'Economy B'!D55</f>
        <v>0</v>
      </c>
      <c r="E55" s="26">
        <f ca="1">'Economy A'!E55-'Economy B'!E55</f>
        <v>0</v>
      </c>
      <c r="F55" s="26">
        <f ca="1">'Economy A'!F55-'Economy B'!F55</f>
        <v>0</v>
      </c>
      <c r="G55" s="26">
        <f ca="1">'Economy A'!G55-'Economy B'!G55</f>
        <v>0</v>
      </c>
      <c r="H55" s="26">
        <f ca="1">'Economy A'!H55-'Economy B'!H55</f>
        <v>0</v>
      </c>
      <c r="I55" s="26">
        <f ca="1">'Economy A'!I55-'Economy B'!I55</f>
        <v>0</v>
      </c>
      <c r="J55" s="26">
        <f ca="1">'Economy A'!J55-'Economy B'!J55</f>
        <v>0</v>
      </c>
      <c r="K55" s="26">
        <f ca="1">'Economy A'!K55-'Economy B'!K55</f>
        <v>0</v>
      </c>
      <c r="L55" s="26">
        <f ca="1">'Economy A'!L55-'Economy B'!L55</f>
        <v>0</v>
      </c>
    </row>
    <row r="56" spans="1:14" s="1" customFormat="1" ht="13" x14ac:dyDescent="0.3">
      <c r="A56" s="44" t="s">
        <v>142</v>
      </c>
      <c r="B56" s="30">
        <f ca="1">'Economy A'!B56-'Economy B'!B56</f>
        <v>0</v>
      </c>
      <c r="C56" s="30">
        <f ca="1">'Economy A'!C56-'Economy B'!C56</f>
        <v>0</v>
      </c>
      <c r="D56" s="30">
        <f ca="1">'Economy A'!D56-'Economy B'!D56</f>
        <v>0</v>
      </c>
      <c r="E56" s="30">
        <f ca="1">'Economy A'!E56-'Economy B'!E56</f>
        <v>0</v>
      </c>
      <c r="F56" s="30">
        <f ca="1">'Economy A'!F56-'Economy B'!F56</f>
        <v>0</v>
      </c>
      <c r="G56" s="30">
        <f ca="1">'Economy A'!G56-'Economy B'!G56</f>
        <v>0</v>
      </c>
      <c r="H56" s="30">
        <f ca="1">'Economy A'!H56-'Economy B'!H56</f>
        <v>0</v>
      </c>
      <c r="I56" s="30">
        <f ca="1">'Economy A'!I56-'Economy B'!I56</f>
        <v>0</v>
      </c>
      <c r="J56" s="30">
        <f ca="1">'Economy A'!J56-'Economy B'!J56</f>
        <v>0</v>
      </c>
      <c r="K56" s="30">
        <f ca="1">'Economy A'!K56-'Economy B'!K56</f>
        <v>0</v>
      </c>
      <c r="L56" s="30">
        <f ca="1">'Economy A'!L56-'Economy B'!L56</f>
        <v>0</v>
      </c>
    </row>
    <row r="57" spans="1:14" ht="13" x14ac:dyDescent="0.3">
      <c r="A57" s="2" t="s">
        <v>362</v>
      </c>
    </row>
    <row r="58" spans="1:14" x14ac:dyDescent="0.25">
      <c r="A58" s="7" t="str">
        <f t="array" ref="A58:A65">R_CODE</f>
        <v>EU</v>
      </c>
      <c r="B58" s="7"/>
      <c r="C58" s="27">
        <f ca="1">'Economy A'!C58-'Economy B'!C58</f>
        <v>0</v>
      </c>
      <c r="D58" s="27">
        <f ca="1">'Economy A'!D58-'Economy B'!D58</f>
        <v>0</v>
      </c>
      <c r="E58" s="27">
        <f ca="1">'Economy A'!E58-'Economy B'!E58</f>
        <v>0</v>
      </c>
      <c r="F58" s="27">
        <f ca="1">'Economy A'!F58-'Economy B'!F58</f>
        <v>0</v>
      </c>
      <c r="G58" s="27">
        <f ca="1">'Economy A'!G58-'Economy B'!G58</f>
        <v>0</v>
      </c>
      <c r="H58" s="27">
        <f ca="1">'Economy A'!H58-'Economy B'!H58</f>
        <v>0</v>
      </c>
      <c r="I58" s="27">
        <f ca="1">'Economy A'!I58-'Economy B'!I58</f>
        <v>0</v>
      </c>
      <c r="J58" s="27">
        <f ca="1">'Economy A'!J58-'Economy B'!J58</f>
        <v>0</v>
      </c>
      <c r="K58" s="27">
        <f ca="1">'Economy A'!K58-'Economy B'!K58</f>
        <v>0</v>
      </c>
      <c r="L58" s="27">
        <f ca="1">'Economy A'!L58-'Economy B'!L58</f>
        <v>0</v>
      </c>
      <c r="M58" s="7"/>
      <c r="N58" s="7"/>
    </row>
    <row r="59" spans="1:14" x14ac:dyDescent="0.25">
      <c r="A59" s="7" t="str">
        <v>US</v>
      </c>
      <c r="B59" s="7"/>
      <c r="C59" s="28">
        <f ca="1">'Economy A'!C59-'Economy B'!C59</f>
        <v>0</v>
      </c>
      <c r="D59" s="28">
        <f ca="1">'Economy A'!D59-'Economy B'!D59</f>
        <v>0</v>
      </c>
      <c r="E59" s="28">
        <f ca="1">'Economy A'!E59-'Economy B'!E59</f>
        <v>0</v>
      </c>
      <c r="F59" s="28">
        <f ca="1">'Economy A'!F59-'Economy B'!F59</f>
        <v>0</v>
      </c>
      <c r="G59" s="28">
        <f ca="1">'Economy A'!G59-'Economy B'!G59</f>
        <v>0</v>
      </c>
      <c r="H59" s="28">
        <f ca="1">'Economy A'!H59-'Economy B'!H59</f>
        <v>0</v>
      </c>
      <c r="I59" s="28">
        <f ca="1">'Economy A'!I59-'Economy B'!I59</f>
        <v>0</v>
      </c>
      <c r="J59" s="28">
        <f ca="1">'Economy A'!J59-'Economy B'!J59</f>
        <v>0</v>
      </c>
      <c r="K59" s="28">
        <f ca="1">'Economy A'!K59-'Economy B'!K59</f>
        <v>0</v>
      </c>
      <c r="L59" s="28">
        <f ca="1">'Economy A'!L59-'Economy B'!L59</f>
        <v>0</v>
      </c>
      <c r="M59" s="7"/>
      <c r="N59" s="7"/>
    </row>
    <row r="60" spans="1:14" x14ac:dyDescent="0.25">
      <c r="A60" s="7" t="str">
        <v>OT</v>
      </c>
      <c r="B60" s="7"/>
      <c r="C60" s="28">
        <f ca="1">'Economy A'!C60-'Economy B'!C60</f>
        <v>0</v>
      </c>
      <c r="D60" s="28">
        <f ca="1">'Economy A'!D60-'Economy B'!D60</f>
        <v>0</v>
      </c>
      <c r="E60" s="28">
        <f ca="1">'Economy A'!E60-'Economy B'!E60</f>
        <v>0</v>
      </c>
      <c r="F60" s="28">
        <f ca="1">'Economy A'!F60-'Economy B'!F60</f>
        <v>0</v>
      </c>
      <c r="G60" s="28">
        <f ca="1">'Economy A'!G60-'Economy B'!G60</f>
        <v>0</v>
      </c>
      <c r="H60" s="28">
        <f ca="1">'Economy A'!H60-'Economy B'!H60</f>
        <v>0</v>
      </c>
      <c r="I60" s="28">
        <f ca="1">'Economy A'!I60-'Economy B'!I60</f>
        <v>0</v>
      </c>
      <c r="J60" s="28">
        <f ca="1">'Economy A'!J60-'Economy B'!J60</f>
        <v>0</v>
      </c>
      <c r="K60" s="28">
        <f ca="1">'Economy A'!K60-'Economy B'!K60</f>
        <v>0</v>
      </c>
      <c r="L60" s="28">
        <f ca="1">'Economy A'!L60-'Economy B'!L60</f>
        <v>0</v>
      </c>
      <c r="M60" s="7"/>
      <c r="N60" s="7"/>
    </row>
    <row r="61" spans="1:14" x14ac:dyDescent="0.25">
      <c r="A61" s="7" t="str">
        <v>EE</v>
      </c>
      <c r="B61" s="7"/>
      <c r="C61" s="28">
        <f ca="1">'Economy A'!C61-'Economy B'!C61</f>
        <v>0</v>
      </c>
      <c r="D61" s="28">
        <f ca="1">'Economy A'!D61-'Economy B'!D61</f>
        <v>0</v>
      </c>
      <c r="E61" s="28">
        <f ca="1">'Economy A'!E61-'Economy B'!E61</f>
        <v>0</v>
      </c>
      <c r="F61" s="28">
        <f ca="1">'Economy A'!F61-'Economy B'!F61</f>
        <v>0</v>
      </c>
      <c r="G61" s="28">
        <f ca="1">'Economy A'!G61-'Economy B'!G61</f>
        <v>0</v>
      </c>
      <c r="H61" s="28">
        <f ca="1">'Economy A'!H61-'Economy B'!H61</f>
        <v>0</v>
      </c>
      <c r="I61" s="28">
        <f ca="1">'Economy A'!I61-'Economy B'!I61</f>
        <v>0</v>
      </c>
      <c r="J61" s="28">
        <f ca="1">'Economy A'!J61-'Economy B'!J61</f>
        <v>0</v>
      </c>
      <c r="K61" s="28">
        <f ca="1">'Economy A'!K61-'Economy B'!K61</f>
        <v>0</v>
      </c>
      <c r="L61" s="28">
        <f ca="1">'Economy A'!L61-'Economy B'!L61</f>
        <v>0</v>
      </c>
      <c r="M61" s="7"/>
      <c r="N61" s="7"/>
    </row>
    <row r="62" spans="1:14" x14ac:dyDescent="0.25">
      <c r="A62" s="7" t="str">
        <v>CA</v>
      </c>
      <c r="B62" s="7"/>
      <c r="C62" s="28">
        <f ca="1">'Economy A'!C62-'Economy B'!C62</f>
        <v>0</v>
      </c>
      <c r="D62" s="28">
        <f ca="1">'Economy A'!D62-'Economy B'!D62</f>
        <v>0</v>
      </c>
      <c r="E62" s="28">
        <f ca="1">'Economy A'!E62-'Economy B'!E62</f>
        <v>0</v>
      </c>
      <c r="F62" s="28">
        <f ca="1">'Economy A'!F62-'Economy B'!F62</f>
        <v>0</v>
      </c>
      <c r="G62" s="28">
        <f ca="1">'Economy A'!G62-'Economy B'!G62</f>
        <v>0</v>
      </c>
      <c r="H62" s="28">
        <f ca="1">'Economy A'!H62-'Economy B'!H62</f>
        <v>0</v>
      </c>
      <c r="I62" s="28">
        <f ca="1">'Economy A'!I62-'Economy B'!I62</f>
        <v>0</v>
      </c>
      <c r="J62" s="28">
        <f ca="1">'Economy A'!J62-'Economy B'!J62</f>
        <v>0</v>
      </c>
      <c r="K62" s="28">
        <f ca="1">'Economy A'!K62-'Economy B'!K62</f>
        <v>0</v>
      </c>
      <c r="L62" s="28">
        <f ca="1">'Economy A'!L62-'Economy B'!L62</f>
        <v>0</v>
      </c>
      <c r="M62" s="7"/>
      <c r="N62" s="7"/>
    </row>
    <row r="63" spans="1:14" x14ac:dyDescent="0.25">
      <c r="A63" s="7" t="str">
        <v>IA</v>
      </c>
      <c r="B63" s="7"/>
      <c r="C63" s="28">
        <f ca="1">'Economy A'!C63-'Economy B'!C63</f>
        <v>0</v>
      </c>
      <c r="D63" s="28">
        <f ca="1">'Economy A'!D63-'Economy B'!D63</f>
        <v>0</v>
      </c>
      <c r="E63" s="28">
        <f ca="1">'Economy A'!E63-'Economy B'!E63</f>
        <v>0</v>
      </c>
      <c r="F63" s="28">
        <f ca="1">'Economy A'!F63-'Economy B'!F63</f>
        <v>0</v>
      </c>
      <c r="G63" s="28">
        <f ca="1">'Economy A'!G63-'Economy B'!G63</f>
        <v>0</v>
      </c>
      <c r="H63" s="28">
        <f ca="1">'Economy A'!H63-'Economy B'!H63</f>
        <v>0</v>
      </c>
      <c r="I63" s="28">
        <f ca="1">'Economy A'!I63-'Economy B'!I63</f>
        <v>0</v>
      </c>
      <c r="J63" s="28">
        <f ca="1">'Economy A'!J63-'Economy B'!J63</f>
        <v>0</v>
      </c>
      <c r="K63" s="28">
        <f ca="1">'Economy A'!K63-'Economy B'!K63</f>
        <v>0</v>
      </c>
      <c r="L63" s="28">
        <f ca="1">'Economy A'!L63-'Economy B'!L63</f>
        <v>0</v>
      </c>
      <c r="M63" s="7"/>
      <c r="N63" s="7"/>
    </row>
    <row r="64" spans="1:14" x14ac:dyDescent="0.25">
      <c r="A64" s="7" t="str">
        <v>AF</v>
      </c>
      <c r="B64" s="7"/>
      <c r="C64" s="28">
        <f ca="1">'Economy A'!C64-'Economy B'!C64</f>
        <v>0</v>
      </c>
      <c r="D64" s="28">
        <f ca="1">'Economy A'!D64-'Economy B'!D64</f>
        <v>0</v>
      </c>
      <c r="E64" s="28">
        <f ca="1">'Economy A'!E64-'Economy B'!E64</f>
        <v>0</v>
      </c>
      <c r="F64" s="28">
        <f ca="1">'Economy A'!F64-'Economy B'!F64</f>
        <v>0</v>
      </c>
      <c r="G64" s="28">
        <f ca="1">'Economy A'!G64-'Economy B'!G64</f>
        <v>0</v>
      </c>
      <c r="H64" s="28">
        <f ca="1">'Economy A'!H64-'Economy B'!H64</f>
        <v>0</v>
      </c>
      <c r="I64" s="28">
        <f ca="1">'Economy A'!I64-'Economy B'!I64</f>
        <v>0</v>
      </c>
      <c r="J64" s="28">
        <f ca="1">'Economy A'!J64-'Economy B'!J64</f>
        <v>0</v>
      </c>
      <c r="K64" s="28">
        <f ca="1">'Economy A'!K64-'Economy B'!K64</f>
        <v>0</v>
      </c>
      <c r="L64" s="28">
        <f ca="1">'Economy A'!L64-'Economy B'!L64</f>
        <v>0</v>
      </c>
      <c r="M64" s="7"/>
      <c r="N64" s="7"/>
    </row>
    <row r="65" spans="1:14" ht="13" thickBot="1" x14ac:dyDescent="0.3">
      <c r="A65" s="7" t="str">
        <v>LA</v>
      </c>
      <c r="B65" s="7"/>
      <c r="C65" s="36">
        <f ca="1">'Economy A'!C65-'Economy B'!C65</f>
        <v>0</v>
      </c>
      <c r="D65" s="36">
        <f ca="1">'Economy A'!D65-'Economy B'!D65</f>
        <v>0</v>
      </c>
      <c r="E65" s="36">
        <f ca="1">'Economy A'!E65-'Economy B'!E65</f>
        <v>0</v>
      </c>
      <c r="F65" s="36">
        <f ca="1">'Economy A'!F65-'Economy B'!F65</f>
        <v>0</v>
      </c>
      <c r="G65" s="36">
        <f ca="1">'Economy A'!G65-'Economy B'!G65</f>
        <v>0</v>
      </c>
      <c r="H65" s="36">
        <f ca="1">'Economy A'!H65-'Economy B'!H65</f>
        <v>0</v>
      </c>
      <c r="I65" s="36">
        <f ca="1">'Economy A'!I65-'Economy B'!I65</f>
        <v>0</v>
      </c>
      <c r="J65" s="36">
        <f ca="1">'Economy A'!J65-'Economy B'!J65</f>
        <v>0</v>
      </c>
      <c r="K65" s="36">
        <f ca="1">'Economy A'!K65-'Economy B'!K65</f>
        <v>0</v>
      </c>
      <c r="L65" s="36">
        <f ca="1">'Economy A'!L65-'Economy B'!L65</f>
        <v>0</v>
      </c>
      <c r="M65" s="7"/>
      <c r="N65" s="7"/>
    </row>
    <row r="66" spans="1:14" ht="13.5" thickTop="1" x14ac:dyDescent="0.3">
      <c r="A66" s="2" t="s">
        <v>972</v>
      </c>
      <c r="B66" s="7"/>
      <c r="C66" s="2"/>
      <c r="M66" s="7"/>
      <c r="N66" s="7"/>
    </row>
    <row r="67" spans="1:14" x14ac:dyDescent="0.25">
      <c r="A67" s="1" t="str">
        <f t="array" ref="A67:A74">R_CODE</f>
        <v>EU</v>
      </c>
      <c r="B67" s="7"/>
      <c r="C67" s="293" t="s">
        <v>1040</v>
      </c>
      <c r="D67" s="27"/>
      <c r="E67" s="27"/>
      <c r="F67" s="27"/>
      <c r="G67" s="27"/>
      <c r="H67" s="27"/>
      <c r="I67" s="27"/>
      <c r="J67" s="27"/>
      <c r="K67" s="27"/>
      <c r="L67" s="27"/>
      <c r="M67" s="7"/>
      <c r="N67" s="7"/>
    </row>
    <row r="68" spans="1:14" x14ac:dyDescent="0.25">
      <c r="A68" s="1" t="str">
        <v>US</v>
      </c>
      <c r="B68" s="7"/>
      <c r="C68" s="28"/>
      <c r="D68" s="28"/>
      <c r="E68" s="28"/>
      <c r="F68" s="28"/>
      <c r="G68" s="28"/>
      <c r="H68" s="28"/>
      <c r="I68" s="28"/>
      <c r="J68" s="28"/>
      <c r="K68" s="28"/>
      <c r="L68" s="28"/>
      <c r="M68" s="7"/>
      <c r="N68" s="7"/>
    </row>
    <row r="69" spans="1:14" x14ac:dyDescent="0.25">
      <c r="A69" s="1" t="str">
        <v>OT</v>
      </c>
      <c r="B69" s="7"/>
      <c r="C69" s="28"/>
      <c r="D69" s="28"/>
      <c r="E69" s="28"/>
      <c r="F69" s="28"/>
      <c r="G69" s="28"/>
      <c r="H69" s="28"/>
      <c r="I69" s="28"/>
      <c r="J69" s="28"/>
      <c r="K69" s="28"/>
      <c r="L69" s="28"/>
      <c r="M69" s="7"/>
      <c r="N69" s="7"/>
    </row>
    <row r="70" spans="1:14" x14ac:dyDescent="0.25">
      <c r="A70" s="1" t="str">
        <v>EE</v>
      </c>
      <c r="B70" s="7"/>
      <c r="C70" s="28"/>
      <c r="D70" s="28"/>
      <c r="E70" s="28"/>
      <c r="F70" s="28"/>
      <c r="G70" s="28"/>
      <c r="H70" s="28"/>
      <c r="I70" s="28"/>
      <c r="J70" s="28"/>
      <c r="K70" s="28"/>
      <c r="L70" s="28"/>
      <c r="M70" s="7"/>
      <c r="N70" s="7"/>
    </row>
    <row r="71" spans="1:14" x14ac:dyDescent="0.25">
      <c r="A71" s="1" t="str">
        <v>CA</v>
      </c>
      <c r="B71" s="7"/>
      <c r="C71" s="28"/>
      <c r="D71" s="28"/>
      <c r="E71" s="28"/>
      <c r="F71" s="28"/>
      <c r="G71" s="28"/>
      <c r="H71" s="28"/>
      <c r="I71" s="28"/>
      <c r="J71" s="28"/>
      <c r="K71" s="28"/>
      <c r="L71" s="28"/>
      <c r="M71" s="7"/>
      <c r="N71" s="7"/>
    </row>
    <row r="72" spans="1:14" x14ac:dyDescent="0.25">
      <c r="A72" s="1" t="str">
        <v>IA</v>
      </c>
      <c r="B72" s="7"/>
      <c r="C72" s="28"/>
      <c r="D72" s="28"/>
      <c r="E72" s="28"/>
      <c r="F72" s="28"/>
      <c r="G72" s="28"/>
      <c r="H72" s="28"/>
      <c r="I72" s="28"/>
      <c r="J72" s="28"/>
      <c r="K72" s="28"/>
      <c r="L72" s="28"/>
      <c r="M72" s="7"/>
      <c r="N72" s="7"/>
    </row>
    <row r="73" spans="1:14" x14ac:dyDescent="0.25">
      <c r="A73" s="1" t="str">
        <v>AF</v>
      </c>
      <c r="B73" s="7"/>
      <c r="C73" s="28"/>
      <c r="D73" s="28"/>
      <c r="E73" s="28"/>
      <c r="F73" s="28"/>
      <c r="G73" s="28"/>
      <c r="H73" s="28"/>
      <c r="I73" s="28"/>
      <c r="J73" s="28"/>
      <c r="K73" s="28"/>
      <c r="L73" s="28"/>
      <c r="M73" s="7"/>
      <c r="N73" s="7"/>
    </row>
    <row r="74" spans="1:14" ht="13" thickBot="1" x14ac:dyDescent="0.3">
      <c r="A74" s="1" t="str">
        <v>LA</v>
      </c>
      <c r="B74" s="7"/>
      <c r="C74" s="36"/>
      <c r="D74" s="36"/>
      <c r="E74" s="36"/>
      <c r="F74" s="36"/>
      <c r="G74" s="36"/>
      <c r="H74" s="36"/>
      <c r="I74" s="36"/>
      <c r="J74" s="36"/>
      <c r="K74" s="36"/>
      <c r="L74" s="36"/>
      <c r="M74" s="7"/>
      <c r="N74" s="7"/>
    </row>
    <row r="75" spans="1:14" ht="13" thickTop="1" x14ac:dyDescent="0.25"/>
  </sheetData>
  <pageMargins left="0.7" right="0.7" top="0.75" bottom="0.75" header="0.3" footer="0.3"/>
  <pageSetup paperSize="9" orientation="portrait" verticalDpi="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X721"/>
  <sheetViews>
    <sheetView topLeftCell="A647" workbookViewId="0">
      <selection activeCell="B660" sqref="B660"/>
    </sheetView>
  </sheetViews>
  <sheetFormatPr defaultRowHeight="12.5" x14ac:dyDescent="0.25"/>
  <cols>
    <col min="1" max="1" width="21.54296875" bestFit="1" customWidth="1"/>
    <col min="2" max="11" width="10.1796875" bestFit="1" customWidth="1"/>
    <col min="12" max="12" width="10.81640625" customWidth="1"/>
    <col min="13" max="13" width="7.1796875" bestFit="1" customWidth="1"/>
    <col min="15" max="15" width="9.54296875" bestFit="1" customWidth="1"/>
  </cols>
  <sheetData>
    <row r="1" spans="1:5" ht="13" x14ac:dyDescent="0.3">
      <c r="A1" s="2" t="str">
        <f>MODEL_NAME</f>
        <v>PAGE-ICE Nonlinear Arctic Feedbacks</v>
      </c>
      <c r="B1" t="s">
        <v>39</v>
      </c>
      <c r="C1" s="51" t="str">
        <f>VERSION</f>
        <v>6.22</v>
      </c>
    </row>
    <row r="2" spans="1:5" s="3" customFormat="1" x14ac:dyDescent="0.25">
      <c r="A2" s="4" t="str">
        <f>"Uncertainty in BAU emissions in "&amp;Y_LAST</f>
        <v>Uncertainty in BAU emissions in 2300</v>
      </c>
      <c r="B2" s="4"/>
      <c r="C2" s="4"/>
      <c r="D2" s="4"/>
      <c r="E2" s="4"/>
    </row>
    <row r="3" spans="1:5" x14ac:dyDescent="0.25">
      <c r="A3" s="4"/>
      <c r="B3" s="58" t="s">
        <v>14</v>
      </c>
      <c r="C3" s="58" t="s">
        <v>15</v>
      </c>
      <c r="D3" s="58" t="s">
        <v>146</v>
      </c>
      <c r="E3" s="4" t="str">
        <f>GLIN_NAME</f>
        <v>Lin</v>
      </c>
    </row>
    <row r="4" spans="1:5" ht="15.5" x14ac:dyDescent="0.4">
      <c r="A4" s="4"/>
      <c r="B4" s="4" t="s">
        <v>99</v>
      </c>
      <c r="C4" s="4" t="s">
        <v>100</v>
      </c>
      <c r="D4" s="4" t="s">
        <v>100</v>
      </c>
      <c r="E4" s="4" t="s">
        <v>126</v>
      </c>
    </row>
    <row r="5" spans="1:5" x14ac:dyDescent="0.25">
      <c r="A5" s="14" t="str">
        <f t="array" ref="A5:A12">R_CODE</f>
        <v>EU</v>
      </c>
      <c r="B5" s="26">
        <f ca="1">EMIT_CO2_1</f>
        <v>-22</v>
      </c>
      <c r="C5" s="26">
        <f ca="1">EMIT_CH4_1</f>
        <v>-30.333333333333332</v>
      </c>
      <c r="D5" s="26">
        <f ca="1">EMIT_N2O_1</f>
        <v>-7</v>
      </c>
      <c r="E5" s="26">
        <f ca="1">EMIT_GLIN_1</f>
        <v>0</v>
      </c>
    </row>
    <row r="6" spans="1:5" x14ac:dyDescent="0.25">
      <c r="A6" s="14" t="str">
        <v>US</v>
      </c>
      <c r="B6" s="26">
        <f t="array" aca="1" ref="B6:B12" ca="1">EMIT_CO2_1*EMITF</f>
        <v>-22</v>
      </c>
      <c r="C6" s="26">
        <f t="array" aca="1" ref="C6:C12" ca="1">EMIT_CH4_1*EMITF</f>
        <v>-30.333333333333332</v>
      </c>
      <c r="D6" s="26">
        <f t="array" aca="1" ref="D6:D12" ca="1">EMIT_N2O_1*EMITF</f>
        <v>-7</v>
      </c>
      <c r="E6" s="26">
        <f t="array" aca="1" ref="E6:E12" ca="1">EMIT_GLIN_1*EMITF</f>
        <v>0</v>
      </c>
    </row>
    <row r="7" spans="1:5" x14ac:dyDescent="0.25">
      <c r="A7" s="14" t="str">
        <v>OT</v>
      </c>
      <c r="B7" s="26">
        <f ca="1"/>
        <v>-22</v>
      </c>
      <c r="C7" s="26">
        <f ca="1"/>
        <v>-30.333333333333332</v>
      </c>
      <c r="D7" s="26">
        <f ca="1"/>
        <v>-7</v>
      </c>
      <c r="E7" s="26">
        <f ca="1"/>
        <v>0</v>
      </c>
    </row>
    <row r="8" spans="1:5" x14ac:dyDescent="0.25">
      <c r="A8" s="14" t="str">
        <v>EE</v>
      </c>
      <c r="B8" s="26">
        <f ca="1"/>
        <v>-22</v>
      </c>
      <c r="C8" s="26">
        <f ca="1"/>
        <v>-30.333333333333332</v>
      </c>
      <c r="D8" s="26">
        <f ca="1"/>
        <v>-7</v>
      </c>
      <c r="E8" s="26">
        <f ca="1"/>
        <v>0</v>
      </c>
    </row>
    <row r="9" spans="1:5" x14ac:dyDescent="0.25">
      <c r="A9" s="14" t="str">
        <v>CA</v>
      </c>
      <c r="B9" s="26">
        <f ca="1"/>
        <v>-22</v>
      </c>
      <c r="C9" s="26">
        <f ca="1"/>
        <v>-30.333333333333332</v>
      </c>
      <c r="D9" s="26">
        <f ca="1"/>
        <v>-7</v>
      </c>
      <c r="E9" s="26">
        <f ca="1"/>
        <v>0</v>
      </c>
    </row>
    <row r="10" spans="1:5" x14ac:dyDescent="0.25">
      <c r="A10" s="14" t="str">
        <v>IA</v>
      </c>
      <c r="B10" s="26">
        <f ca="1"/>
        <v>-22</v>
      </c>
      <c r="C10" s="26">
        <f ca="1"/>
        <v>-30.333333333333332</v>
      </c>
      <c r="D10" s="26">
        <f ca="1"/>
        <v>-7</v>
      </c>
      <c r="E10" s="26">
        <f ca="1"/>
        <v>0</v>
      </c>
    </row>
    <row r="11" spans="1:5" x14ac:dyDescent="0.25">
      <c r="A11" s="14" t="str">
        <v>AF</v>
      </c>
      <c r="B11" s="26">
        <f ca="1"/>
        <v>-22</v>
      </c>
      <c r="C11" s="26">
        <f ca="1"/>
        <v>-30.333333333333332</v>
      </c>
      <c r="D11" s="26">
        <f ca="1"/>
        <v>-7</v>
      </c>
      <c r="E11" s="26">
        <f ca="1"/>
        <v>0</v>
      </c>
    </row>
    <row r="12" spans="1:5" x14ac:dyDescent="0.25">
      <c r="A12" s="14" t="str">
        <v>LA</v>
      </c>
      <c r="B12" s="26">
        <f ca="1"/>
        <v>-22</v>
      </c>
      <c r="C12" s="26">
        <f ca="1"/>
        <v>-30.333333333333332</v>
      </c>
      <c r="D12" s="26">
        <f ca="1"/>
        <v>-7</v>
      </c>
      <c r="E12" s="26">
        <f ca="1"/>
        <v>0</v>
      </c>
    </row>
    <row r="13" spans="1:5" x14ac:dyDescent="0.25">
      <c r="A13" s="4"/>
      <c r="B13" s="4" t="str">
        <f>'Library data'!$G$131</f>
        <v>% relative to RCP8.5</v>
      </c>
      <c r="C13" s="4" t="str">
        <f>'Library data'!$G$138</f>
        <v>% relative to RCP8.5</v>
      </c>
      <c r="D13" s="4" t="str">
        <f>'Library data'!$G$138</f>
        <v>% relative to RCP8.5</v>
      </c>
      <c r="E13" s="4" t="str">
        <f>'Library data'!$G$138</f>
        <v>% relative to RCP8.5</v>
      </c>
    </row>
    <row r="15" spans="1:5" s="3" customFormat="1" x14ac:dyDescent="0.25">
      <c r="A15" s="58" t="s">
        <v>275</v>
      </c>
      <c r="B15" s="4"/>
      <c r="C15" s="4"/>
      <c r="D15" s="4"/>
      <c r="E15" s="4"/>
    </row>
    <row r="16" spans="1:5" x14ac:dyDescent="0.25">
      <c r="A16" s="4"/>
      <c r="B16" s="58" t="s">
        <v>14</v>
      </c>
      <c r="C16" s="58" t="s">
        <v>15</v>
      </c>
      <c r="D16" s="58" t="s">
        <v>146</v>
      </c>
      <c r="E16" s="4" t="str">
        <f>GLIN_NAME</f>
        <v>Lin</v>
      </c>
    </row>
    <row r="17" spans="1:5" ht="13" x14ac:dyDescent="0.3">
      <c r="A17" s="4"/>
      <c r="B17" s="71" t="s">
        <v>281</v>
      </c>
      <c r="C17" s="71" t="s">
        <v>282</v>
      </c>
      <c r="D17" s="71" t="s">
        <v>283</v>
      </c>
      <c r="E17" s="71" t="s">
        <v>284</v>
      </c>
    </row>
    <row r="18" spans="1:5" x14ac:dyDescent="0.25">
      <c r="A18" s="14" t="str">
        <f t="array" ref="A18:A25">R_CODE</f>
        <v>EU</v>
      </c>
      <c r="B18" s="26">
        <f ca="1">Q0_PROP_INIT_CO2_1</f>
        <v>10</v>
      </c>
      <c r="C18" s="26">
        <f ca="1">Q0_PROP_INIT_CH4_1</f>
        <v>10</v>
      </c>
      <c r="D18" s="26">
        <f ca="1">Q0_PROP_INIT_N2O_1</f>
        <v>10</v>
      </c>
      <c r="E18" s="26">
        <f ca="1">Q0_PROP_INIT_GLIN_1</f>
        <v>10</v>
      </c>
    </row>
    <row r="19" spans="1:5" x14ac:dyDescent="0.25">
      <c r="A19" s="14" t="str">
        <v>US</v>
      </c>
      <c r="B19" s="26">
        <f t="array" aca="1" ref="B19:B25" ca="1">Q0_PROP_INIT_CO2_1*Q0F</f>
        <v>10.833333333333332</v>
      </c>
      <c r="C19" s="26">
        <f t="array" aca="1" ref="C19:C25" ca="1">Q0_PROP_INIT_CH4_1*Q0F</f>
        <v>10.833333333333332</v>
      </c>
      <c r="D19" s="26">
        <f t="array" aca="1" ref="D19:D25" ca="1">Q0_PROP_INIT_N2O_1*Q0F</f>
        <v>10.833333333333332</v>
      </c>
      <c r="E19" s="26">
        <f t="array" aca="1" ref="E19:E25" ca="1">Q0_PROP_INIT_GLIN_1*Q0F</f>
        <v>10.833333333333332</v>
      </c>
    </row>
    <row r="20" spans="1:5" x14ac:dyDescent="0.25">
      <c r="A20" s="14" t="str">
        <v>OT</v>
      </c>
      <c r="B20" s="26">
        <f ca="1"/>
        <v>10</v>
      </c>
      <c r="C20" s="26">
        <f ca="1"/>
        <v>10</v>
      </c>
      <c r="D20" s="26">
        <f ca="1"/>
        <v>10</v>
      </c>
      <c r="E20" s="26">
        <f ca="1"/>
        <v>10</v>
      </c>
    </row>
    <row r="21" spans="1:5" x14ac:dyDescent="0.25">
      <c r="A21" s="14" t="str">
        <v>EE</v>
      </c>
      <c r="B21" s="26">
        <f ca="1"/>
        <v>7.0000000000000009</v>
      </c>
      <c r="C21" s="26">
        <f ca="1"/>
        <v>7.0000000000000009</v>
      </c>
      <c r="D21" s="26">
        <f ca="1"/>
        <v>7.0000000000000009</v>
      </c>
      <c r="E21" s="26">
        <f ca="1"/>
        <v>7.0000000000000009</v>
      </c>
    </row>
    <row r="22" spans="1:5" x14ac:dyDescent="0.25">
      <c r="A22" s="14" t="str">
        <v>CA</v>
      </c>
      <c r="B22" s="26">
        <f ca="1"/>
        <v>7.0000000000000009</v>
      </c>
      <c r="C22" s="26">
        <f ca="1"/>
        <v>7.0000000000000009</v>
      </c>
      <c r="D22" s="26">
        <f ca="1"/>
        <v>7.0000000000000009</v>
      </c>
      <c r="E22" s="26">
        <f ca="1"/>
        <v>7.0000000000000009</v>
      </c>
    </row>
    <row r="23" spans="1:5" x14ac:dyDescent="0.25">
      <c r="A23" s="14" t="str">
        <v>IA</v>
      </c>
      <c r="B23" s="26">
        <f ca="1"/>
        <v>7.0000000000000009</v>
      </c>
      <c r="C23" s="26">
        <f ca="1"/>
        <v>7.0000000000000009</v>
      </c>
      <c r="D23" s="26">
        <f ca="1"/>
        <v>7.0000000000000009</v>
      </c>
      <c r="E23" s="26">
        <f ca="1"/>
        <v>7.0000000000000009</v>
      </c>
    </row>
    <row r="24" spans="1:5" x14ac:dyDescent="0.25">
      <c r="A24" s="14" t="str">
        <v>AF</v>
      </c>
      <c r="B24" s="26">
        <f ca="1"/>
        <v>7.0000000000000009</v>
      </c>
      <c r="C24" s="26">
        <f ca="1"/>
        <v>7.0000000000000009</v>
      </c>
      <c r="D24" s="26">
        <f ca="1"/>
        <v>7.0000000000000009</v>
      </c>
      <c r="E24" s="26">
        <f ca="1"/>
        <v>7.0000000000000009</v>
      </c>
    </row>
    <row r="25" spans="1:5" x14ac:dyDescent="0.25">
      <c r="A25" s="14" t="str">
        <v>LA</v>
      </c>
      <c r="B25" s="26">
        <f ca="1"/>
        <v>7.0000000000000009</v>
      </c>
      <c r="C25" s="26">
        <f ca="1"/>
        <v>7.0000000000000009</v>
      </c>
      <c r="D25" s="26">
        <f ca="1"/>
        <v>7.0000000000000009</v>
      </c>
      <c r="E25" s="26">
        <f ca="1"/>
        <v>7.0000000000000009</v>
      </c>
    </row>
    <row r="26" spans="1:5" x14ac:dyDescent="0.25">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5">
      <c r="A28" s="58" t="s">
        <v>276</v>
      </c>
      <c r="B28" s="4"/>
      <c r="C28" s="4"/>
      <c r="D28" s="4"/>
      <c r="E28" s="4"/>
    </row>
    <row r="29" spans="1:5" x14ac:dyDescent="0.25">
      <c r="A29" s="4"/>
      <c r="B29" s="58" t="s">
        <v>14</v>
      </c>
      <c r="C29" s="58" t="s">
        <v>15</v>
      </c>
      <c r="D29" s="58" t="s">
        <v>146</v>
      </c>
      <c r="E29" s="4" t="str">
        <f>GLIN_NAME</f>
        <v>Lin</v>
      </c>
    </row>
    <row r="30" spans="1:5" ht="13.5" x14ac:dyDescent="0.35">
      <c r="A30" s="4"/>
      <c r="B30" s="72" t="s">
        <v>277</v>
      </c>
      <c r="C30" s="72" t="s">
        <v>278</v>
      </c>
      <c r="D30" s="72" t="s">
        <v>279</v>
      </c>
      <c r="E30" s="72" t="s">
        <v>280</v>
      </c>
    </row>
    <row r="31" spans="1:5" x14ac:dyDescent="0.25">
      <c r="A31" s="14" t="str">
        <f t="array" ref="A31:A38">R_CODE</f>
        <v>EU</v>
      </c>
      <c r="B31" s="26">
        <f ca="1">CMAX_INIT_CO2_1</f>
        <v>150</v>
      </c>
      <c r="C31" s="26">
        <f ca="1">CMAX_INIT_CH4_1</f>
        <v>7283.333333333333</v>
      </c>
      <c r="D31" s="26">
        <f ca="1">CMAX_INIT_N2O_1</f>
        <v>31433.333333333332</v>
      </c>
      <c r="E31" s="26">
        <f ca="1">CMAX_INIT_GLIN_1</f>
        <v>383.33333333333331</v>
      </c>
    </row>
    <row r="32" spans="1:5" x14ac:dyDescent="0.25">
      <c r="A32" s="14" t="str">
        <v>US</v>
      </c>
      <c r="B32" s="26">
        <f t="array" aca="1" ref="B32:B38" ca="1">CMAX_INIT_CO2_1*CMAXF</f>
        <v>150</v>
      </c>
      <c r="C32" s="26">
        <f t="array" aca="1" ref="C32:C38" ca="1">CMAX_INIT_CH4_1*CMAXF</f>
        <v>7283.333333333333</v>
      </c>
      <c r="D32" s="26">
        <f t="array" aca="1" ref="D32:D38" ca="1">CMAX_INIT_N2O_1*CMAXF</f>
        <v>31433.333333333332</v>
      </c>
      <c r="E32" s="26">
        <f t="array" aca="1" ref="E32:E38" ca="1">CMAX_INIT_GLIN_1*CMAXF</f>
        <v>383.33333333333331</v>
      </c>
    </row>
    <row r="33" spans="1:13" x14ac:dyDescent="0.25">
      <c r="A33" s="14" t="str">
        <v>OT</v>
      </c>
      <c r="B33" s="26">
        <f ca="1"/>
        <v>185</v>
      </c>
      <c r="C33" s="26">
        <f ca="1"/>
        <v>8982.7777777777774</v>
      </c>
      <c r="D33" s="26">
        <f ca="1"/>
        <v>38767.777777777781</v>
      </c>
      <c r="E33" s="26">
        <f ca="1"/>
        <v>472.77777777777777</v>
      </c>
    </row>
    <row r="34" spans="1:13" x14ac:dyDescent="0.25">
      <c r="A34" s="14" t="str">
        <v>EE</v>
      </c>
      <c r="B34" s="26">
        <f ca="1"/>
        <v>105.00000000000001</v>
      </c>
      <c r="C34" s="26">
        <f ca="1"/>
        <v>5098.3333333333339</v>
      </c>
      <c r="D34" s="26">
        <f ca="1"/>
        <v>22003.333333333336</v>
      </c>
      <c r="E34" s="26">
        <f ca="1"/>
        <v>268.33333333333337</v>
      </c>
    </row>
    <row r="35" spans="1:13" x14ac:dyDescent="0.25">
      <c r="A35" s="14" t="str">
        <v>CA</v>
      </c>
      <c r="B35" s="26">
        <f ca="1"/>
        <v>150</v>
      </c>
      <c r="C35" s="26">
        <f ca="1"/>
        <v>7283.333333333333</v>
      </c>
      <c r="D35" s="26">
        <f ca="1"/>
        <v>31433.333333333332</v>
      </c>
      <c r="E35" s="26">
        <f ca="1"/>
        <v>383.33333333333331</v>
      </c>
    </row>
    <row r="36" spans="1:13" x14ac:dyDescent="0.25">
      <c r="A36" s="14" t="str">
        <v>IA</v>
      </c>
      <c r="B36" s="26">
        <f ca="1"/>
        <v>185</v>
      </c>
      <c r="C36" s="26">
        <f ca="1"/>
        <v>8982.7777777777774</v>
      </c>
      <c r="D36" s="26">
        <f ca="1"/>
        <v>38767.777777777781</v>
      </c>
      <c r="E36" s="26">
        <f ca="1"/>
        <v>472.77777777777777</v>
      </c>
    </row>
    <row r="37" spans="1:13" x14ac:dyDescent="0.25">
      <c r="A37" s="14" t="str">
        <v>AF</v>
      </c>
      <c r="B37" s="26">
        <f ca="1"/>
        <v>185</v>
      </c>
      <c r="C37" s="26">
        <f ca="1"/>
        <v>8982.7777777777774</v>
      </c>
      <c r="D37" s="26">
        <f ca="1"/>
        <v>38767.777777777781</v>
      </c>
      <c r="E37" s="26">
        <f ca="1"/>
        <v>472.77777777777777</v>
      </c>
    </row>
    <row r="38" spans="1:13" x14ac:dyDescent="0.25">
      <c r="A38" s="14" t="str">
        <v>LA</v>
      </c>
      <c r="B38" s="26">
        <f ca="1"/>
        <v>105.00000000000001</v>
      </c>
      <c r="C38" s="26">
        <f ca="1"/>
        <v>5098.3333333333339</v>
      </c>
      <c r="D38" s="26">
        <f ca="1"/>
        <v>22003.333333333336</v>
      </c>
      <c r="E38" s="26">
        <f ca="1"/>
        <v>268.33333333333337</v>
      </c>
    </row>
    <row r="39" spans="1:13" x14ac:dyDescent="0.25">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5">
      <c r="A40" s="4"/>
      <c r="B40" s="4"/>
      <c r="C40" s="4"/>
      <c r="D40" s="4"/>
      <c r="E40" s="4"/>
    </row>
    <row r="41" spans="1:13" x14ac:dyDescent="0.25">
      <c r="B41">
        <f t="array" ref="B41:K41">Y</f>
        <v>2020</v>
      </c>
      <c r="C41">
        <v>2030</v>
      </c>
      <c r="D41">
        <v>2040</v>
      </c>
      <c r="E41">
        <v>2050</v>
      </c>
      <c r="F41">
        <v>2075</v>
      </c>
      <c r="G41">
        <v>2100</v>
      </c>
      <c r="H41">
        <v>2150</v>
      </c>
      <c r="I41">
        <v>2200</v>
      </c>
      <c r="J41">
        <v>2250</v>
      </c>
      <c r="K41">
        <v>2300</v>
      </c>
    </row>
    <row r="42" spans="1:13" s="4" customFormat="1" x14ac:dyDescent="0.25">
      <c r="A42" s="4" t="s">
        <v>59</v>
      </c>
      <c r="B42" s="12">
        <f t="array" ref="B42:K42">YP</f>
        <v>5</v>
      </c>
      <c r="C42" s="12">
        <v>10</v>
      </c>
      <c r="D42" s="12">
        <v>10</v>
      </c>
      <c r="E42" s="12">
        <v>10</v>
      </c>
      <c r="F42" s="12">
        <v>25</v>
      </c>
      <c r="G42" s="12">
        <v>25</v>
      </c>
      <c r="H42" s="12">
        <v>50</v>
      </c>
      <c r="I42" s="12">
        <v>50</v>
      </c>
      <c r="J42" s="12">
        <v>50</v>
      </c>
      <c r="K42" s="12">
        <v>50</v>
      </c>
      <c r="M42" s="4" t="s">
        <v>41</v>
      </c>
    </row>
    <row r="43" spans="1:13" s="4" customFormat="1" x14ac:dyDescent="0.25">
      <c r="A43" s="4" t="s">
        <v>84</v>
      </c>
      <c r="B43" s="14">
        <f t="array" ref="B43:K43">Y_HI</f>
        <v>2025</v>
      </c>
      <c r="C43" s="14">
        <v>2035</v>
      </c>
      <c r="D43" s="14">
        <v>2045</v>
      </c>
      <c r="E43" s="14">
        <v>2062.5</v>
      </c>
      <c r="F43" s="14">
        <v>2087.5</v>
      </c>
      <c r="G43" s="14">
        <v>2125</v>
      </c>
      <c r="H43" s="14">
        <v>2175</v>
      </c>
      <c r="I43" s="14">
        <v>2225</v>
      </c>
      <c r="J43" s="14">
        <v>2275</v>
      </c>
      <c r="K43" s="14">
        <v>2300</v>
      </c>
    </row>
    <row r="44" spans="1:13" s="4" customFormat="1" x14ac:dyDescent="0.25">
      <c r="A44" s="4" t="s">
        <v>85</v>
      </c>
      <c r="B44" s="14">
        <f t="array" ref="B44:K44">Y_LO</f>
        <v>2015</v>
      </c>
      <c r="C44" s="14">
        <v>2025</v>
      </c>
      <c r="D44" s="14">
        <v>2035</v>
      </c>
      <c r="E44" s="14">
        <v>2045</v>
      </c>
      <c r="F44" s="14">
        <v>2062.5</v>
      </c>
      <c r="G44" s="14">
        <v>2087.5</v>
      </c>
      <c r="H44" s="14">
        <v>2125</v>
      </c>
      <c r="I44" s="14">
        <v>2175</v>
      </c>
      <c r="J44" s="14">
        <v>2225</v>
      </c>
      <c r="K44" s="14">
        <v>2275</v>
      </c>
    </row>
    <row r="45" spans="1:13" s="4" customFormat="1" x14ac:dyDescent="0.25">
      <c r="A45" s="4" t="s">
        <v>83</v>
      </c>
      <c r="B45" s="65">
        <f t="array" ref="B45:K45">YAGG</f>
        <v>10</v>
      </c>
      <c r="C45" s="65">
        <v>10</v>
      </c>
      <c r="D45" s="65">
        <v>10</v>
      </c>
      <c r="E45" s="65">
        <v>17.5</v>
      </c>
      <c r="F45" s="65">
        <v>25</v>
      </c>
      <c r="G45" s="65">
        <v>37.5</v>
      </c>
      <c r="H45" s="65">
        <v>50</v>
      </c>
      <c r="I45" s="65">
        <v>50</v>
      </c>
      <c r="J45" s="65">
        <v>50</v>
      </c>
      <c r="K45" s="65">
        <v>25</v>
      </c>
      <c r="M45" s="4" t="s">
        <v>41</v>
      </c>
    </row>
    <row r="46" spans="1:13" ht="16" thickBot="1" x14ac:dyDescent="0.45">
      <c r="A46" t="s">
        <v>101</v>
      </c>
      <c r="B46" s="15">
        <f t="array" ref="B46:K46">Y-Y_0</f>
        <v>5</v>
      </c>
      <c r="C46" s="15">
        <v>15</v>
      </c>
      <c r="D46" s="15">
        <v>25</v>
      </c>
      <c r="E46" s="15">
        <v>35</v>
      </c>
      <c r="F46" s="15">
        <v>60</v>
      </c>
      <c r="G46" s="15">
        <v>85</v>
      </c>
      <c r="H46" s="15">
        <v>135</v>
      </c>
      <c r="I46" s="15">
        <v>185</v>
      </c>
      <c r="J46" s="15">
        <v>235</v>
      </c>
      <c r="K46" s="15">
        <v>285</v>
      </c>
      <c r="M46" t="s">
        <v>41</v>
      </c>
    </row>
    <row r="47" spans="1:13" ht="13" thickTop="1" x14ac:dyDescent="0.25"/>
    <row r="48" spans="1:13" s="2" customFormat="1" ht="15" x14ac:dyDescent="0.4">
      <c r="A48" s="2" t="s">
        <v>102</v>
      </c>
      <c r="B48" s="5" t="s">
        <v>103</v>
      </c>
    </row>
    <row r="49" spans="1:18" s="4" customFormat="1" x14ac:dyDescent="0.25">
      <c r="A49" s="4" t="str">
        <f t="array" ref="A49:A56">R_CODE&amp;" "&amp;'Base data'!$B$12</f>
        <v>EU CO2</v>
      </c>
      <c r="B49" s="12">
        <f t="array" aca="1" ref="B49:K56" ca="1">(1+(EMIT_CO2/100)*(YMINUSY0/YMINUSY0_LAST))*BAU_CO2</f>
        <v>110.68339416867038</v>
      </c>
      <c r="C49" s="12">
        <f ca="1"/>
        <v>129.1694081823909</v>
      </c>
      <c r="D49" s="12">
        <f ca="1"/>
        <v>140.68288133172564</v>
      </c>
      <c r="E49" s="12">
        <f ca="1"/>
        <v>153.40831760141373</v>
      </c>
      <c r="F49" s="12">
        <f ca="1"/>
        <v>176.78527385155107</v>
      </c>
      <c r="G49" s="12">
        <f ca="1"/>
        <v>165.49290989267865</v>
      </c>
      <c r="H49" s="12">
        <f ca="1"/>
        <v>158.65692788434419</v>
      </c>
      <c r="I49" s="12">
        <f ca="1"/>
        <v>151.82094587600974</v>
      </c>
      <c r="J49" s="12">
        <f ca="1"/>
        <v>144.98496386767528</v>
      </c>
      <c r="K49" s="12">
        <f ca="1"/>
        <v>138.14898185934084</v>
      </c>
      <c r="M49" s="4" t="str">
        <f>'Library data'!$G$131</f>
        <v>% relative to RCP8.5</v>
      </c>
    </row>
    <row r="50" spans="1:18" s="4" customFormat="1" x14ac:dyDescent="0.25">
      <c r="A50" s="4" t="str">
        <v>US CO2</v>
      </c>
      <c r="B50" s="14">
        <f ca="1"/>
        <v>110.6833941686704</v>
      </c>
      <c r="C50" s="14">
        <f ca="1"/>
        <v>129.16940818239092</v>
      </c>
      <c r="D50" s="14">
        <f ca="1"/>
        <v>140.68288133172567</v>
      </c>
      <c r="E50" s="14">
        <f ca="1"/>
        <v>153.40831760141376</v>
      </c>
      <c r="F50" s="14">
        <f ca="1"/>
        <v>176.78527385155112</v>
      </c>
      <c r="G50" s="14">
        <f ca="1"/>
        <v>165.49290989267868</v>
      </c>
      <c r="H50" s="14">
        <f ca="1"/>
        <v>158.65692788434424</v>
      </c>
      <c r="I50" s="14">
        <f ca="1"/>
        <v>151.82094587600977</v>
      </c>
      <c r="J50" s="14">
        <f ca="1"/>
        <v>144.98496386767533</v>
      </c>
      <c r="K50" s="14">
        <f ca="1"/>
        <v>138.14898185934086</v>
      </c>
      <c r="M50" s="4" t="str">
        <f>'Library data'!$G$131</f>
        <v>% relative to RCP8.5</v>
      </c>
    </row>
    <row r="51" spans="1:18" s="4" customFormat="1" x14ac:dyDescent="0.25">
      <c r="A51" s="4" t="str">
        <v>OT CO2</v>
      </c>
      <c r="B51" s="14">
        <f ca="1"/>
        <v>110.68339416867038</v>
      </c>
      <c r="C51" s="14">
        <f ca="1"/>
        <v>129.1694081823909</v>
      </c>
      <c r="D51" s="14">
        <f ca="1"/>
        <v>140.68288133172564</v>
      </c>
      <c r="E51" s="14">
        <f ca="1"/>
        <v>153.40831760141373</v>
      </c>
      <c r="F51" s="14">
        <f ca="1"/>
        <v>176.78527385155107</v>
      </c>
      <c r="G51" s="14">
        <f ca="1"/>
        <v>165.49290989267868</v>
      </c>
      <c r="H51" s="14">
        <f ca="1"/>
        <v>158.65692788434421</v>
      </c>
      <c r="I51" s="14">
        <f ca="1"/>
        <v>151.82094587600974</v>
      </c>
      <c r="J51" s="14">
        <f ca="1"/>
        <v>144.9849638676753</v>
      </c>
      <c r="K51" s="14">
        <f ca="1"/>
        <v>138.14898185934084</v>
      </c>
      <c r="M51" s="4" t="str">
        <f>'Library data'!$G$131</f>
        <v>% relative to RCP8.5</v>
      </c>
    </row>
    <row r="52" spans="1:18" s="4" customFormat="1" x14ac:dyDescent="0.25">
      <c r="A52" s="4" t="str">
        <v>EE CO2</v>
      </c>
      <c r="B52" s="14">
        <f ca="1"/>
        <v>125.51343305026488</v>
      </c>
      <c r="C52" s="14">
        <f ca="1"/>
        <v>153.85847295428374</v>
      </c>
      <c r="D52" s="14">
        <f ca="1"/>
        <v>189.32095943995546</v>
      </c>
      <c r="E52" s="14">
        <f ca="1"/>
        <v>228.97431889575128</v>
      </c>
      <c r="F52" s="14">
        <f ca="1"/>
        <v>307.75019845278922</v>
      </c>
      <c r="G52" s="14">
        <f ca="1"/>
        <v>402.40972615718607</v>
      </c>
      <c r="H52" s="14">
        <f ca="1"/>
        <v>385.78746935009235</v>
      </c>
      <c r="I52" s="14">
        <f ca="1"/>
        <v>369.16521254299869</v>
      </c>
      <c r="J52" s="14">
        <f ca="1"/>
        <v>352.54295573590502</v>
      </c>
      <c r="K52" s="14">
        <f ca="1"/>
        <v>335.9206989288113</v>
      </c>
      <c r="M52" s="4" t="str">
        <f>'Library data'!$G$131</f>
        <v>% relative to RCP8.5</v>
      </c>
    </row>
    <row r="53" spans="1:18" s="4" customFormat="1" x14ac:dyDescent="0.25">
      <c r="A53" s="4" t="str">
        <v>CA CO2</v>
      </c>
      <c r="B53" s="14">
        <f ca="1"/>
        <v>115.91476312110974</v>
      </c>
      <c r="C53" s="14">
        <f ca="1"/>
        <v>128.9650389031749</v>
      </c>
      <c r="D53" s="14">
        <f ca="1"/>
        <v>156.9429685108922</v>
      </c>
      <c r="E53" s="14">
        <f ca="1"/>
        <v>188.72108265454276</v>
      </c>
      <c r="F53" s="14">
        <f ca="1"/>
        <v>240.03306204589643</v>
      </c>
      <c r="G53" s="14">
        <f ca="1"/>
        <v>246.65943350382426</v>
      </c>
      <c r="H53" s="14">
        <f ca="1"/>
        <v>236.47072239401552</v>
      </c>
      <c r="I53" s="14">
        <f ca="1"/>
        <v>226.28201128420676</v>
      </c>
      <c r="J53" s="14">
        <f ca="1"/>
        <v>216.09330017439802</v>
      </c>
      <c r="K53" s="14">
        <f ca="1"/>
        <v>205.90458906458929</v>
      </c>
      <c r="M53" s="4" t="str">
        <f>'Library data'!$G$131</f>
        <v>% relative to RCP8.5</v>
      </c>
    </row>
    <row r="54" spans="1:18" s="4" customFormat="1" x14ac:dyDescent="0.25">
      <c r="A54" s="4" t="str">
        <v>IA CO2</v>
      </c>
      <c r="B54" s="14">
        <f ca="1"/>
        <v>115.91476312110977</v>
      </c>
      <c r="C54" s="14">
        <f ca="1"/>
        <v>128.96503890317493</v>
      </c>
      <c r="D54" s="14">
        <f ca="1"/>
        <v>156.94296851089229</v>
      </c>
      <c r="E54" s="14">
        <f ca="1"/>
        <v>188.72108265454276</v>
      </c>
      <c r="F54" s="14">
        <f ca="1"/>
        <v>240.03306204589643</v>
      </c>
      <c r="G54" s="14">
        <f ca="1"/>
        <v>246.65943350382426</v>
      </c>
      <c r="H54" s="14">
        <f ca="1"/>
        <v>236.47072239401552</v>
      </c>
      <c r="I54" s="14">
        <f ca="1"/>
        <v>226.28201128420676</v>
      </c>
      <c r="J54" s="14">
        <f ca="1"/>
        <v>216.09330017439802</v>
      </c>
      <c r="K54" s="14">
        <f ca="1"/>
        <v>205.90458906458929</v>
      </c>
      <c r="M54" s="4" t="str">
        <f>'Library data'!$G$131</f>
        <v>% relative to RCP8.5</v>
      </c>
    </row>
    <row r="55" spans="1:18" s="4" customFormat="1" x14ac:dyDescent="0.25">
      <c r="A55" s="4" t="str">
        <v>AF CO2</v>
      </c>
      <c r="B55" s="14">
        <f ca="1"/>
        <v>122.09757431448212</v>
      </c>
      <c r="C55" s="14">
        <f ca="1"/>
        <v>153.200752188168</v>
      </c>
      <c r="D55" s="14">
        <f ca="1"/>
        <v>200.22586784457488</v>
      </c>
      <c r="E55" s="14">
        <f ca="1"/>
        <v>256.14328539822998</v>
      </c>
      <c r="F55" s="14">
        <f ca="1"/>
        <v>377.34879148130511</v>
      </c>
      <c r="G55" s="14">
        <f ca="1"/>
        <v>446.06239320228917</v>
      </c>
      <c r="H55" s="14">
        <f ca="1"/>
        <v>427.63698454579207</v>
      </c>
      <c r="I55" s="14">
        <f ca="1"/>
        <v>409.21157588929498</v>
      </c>
      <c r="J55" s="14">
        <f ca="1"/>
        <v>390.78616723279782</v>
      </c>
      <c r="K55" s="14">
        <f ca="1"/>
        <v>372.36075857630073</v>
      </c>
      <c r="M55" s="4" t="str">
        <f>'Library data'!$G$131</f>
        <v>% relative to RCP8.5</v>
      </c>
    </row>
    <row r="56" spans="1:18" s="4" customFormat="1" ht="13" thickBot="1" x14ac:dyDescent="0.3">
      <c r="A56" s="4" t="str">
        <v>LA CO2</v>
      </c>
      <c r="B56" s="16">
        <f ca="1"/>
        <v>116.16374256982783</v>
      </c>
      <c r="C56" s="16">
        <f ca="1"/>
        <v>132.95940351034619</v>
      </c>
      <c r="D56" s="16">
        <f ca="1"/>
        <v>162.97089839628569</v>
      </c>
      <c r="E56" s="16">
        <f ca="1"/>
        <v>202.29287400115797</v>
      </c>
      <c r="F56" s="16">
        <f ca="1"/>
        <v>254.47068306080834</v>
      </c>
      <c r="G56" s="16">
        <f ca="1"/>
        <v>180.50338012516704</v>
      </c>
      <c r="H56" s="16">
        <f ca="1"/>
        <v>173.04736367238132</v>
      </c>
      <c r="I56" s="16">
        <f ca="1"/>
        <v>165.5913472195956</v>
      </c>
      <c r="J56" s="16">
        <f ca="1"/>
        <v>158.13533076680989</v>
      </c>
      <c r="K56" s="16">
        <f ca="1"/>
        <v>150.67931431402417</v>
      </c>
      <c r="M56" s="4" t="str">
        <f>'Library data'!$G$131</f>
        <v>% relative to RCP8.5</v>
      </c>
    </row>
    <row r="57" spans="1:18" s="5" customFormat="1" ht="15.5" thickTop="1" x14ac:dyDescent="0.4">
      <c r="A57" s="5" t="s">
        <v>102</v>
      </c>
      <c r="B57" s="5" t="s">
        <v>104</v>
      </c>
      <c r="Q57" s="2"/>
      <c r="R57" s="2"/>
    </row>
    <row r="58" spans="1:18" s="4" customFormat="1" x14ac:dyDescent="0.25">
      <c r="A58" s="4" t="str">
        <f t="array" ref="A58:A65">R_CODE&amp;" "&amp;'Base data'!$C$12</f>
        <v>EU CH4</v>
      </c>
      <c r="B58" s="12">
        <f t="array" aca="1" ref="B58:K65" ca="1">(1+(EMIT_CH4/100)*(YMINUSY0/YMINUSY0_LAST))*BAU_CH4</f>
        <v>102.50036452453737</v>
      </c>
      <c r="C58" s="12">
        <f ca="1"/>
        <v>108.65500084242386</v>
      </c>
      <c r="D58" s="12">
        <f ca="1"/>
        <v>115.45039777167159</v>
      </c>
      <c r="E58" s="12">
        <f ca="1"/>
        <v>123.54622845974082</v>
      </c>
      <c r="F58" s="12">
        <f ca="1"/>
        <v>145.32303356042758</v>
      </c>
      <c r="G58" s="12">
        <f ca="1"/>
        <v>164.1492244913027</v>
      </c>
      <c r="H58" s="12">
        <f ca="1"/>
        <v>154.54491700804638</v>
      </c>
      <c r="I58" s="12">
        <f ca="1"/>
        <v>144.94060952479006</v>
      </c>
      <c r="J58" s="12">
        <f ca="1"/>
        <v>135.33630204153374</v>
      </c>
      <c r="K58" s="12">
        <f ca="1"/>
        <v>125.73199455827744</v>
      </c>
      <c r="M58" s="4" t="str">
        <f>'Library data'!$G$138</f>
        <v>% relative to RCP8.5</v>
      </c>
    </row>
    <row r="59" spans="1:18" s="4" customFormat="1" x14ac:dyDescent="0.25">
      <c r="A59" s="4" t="str">
        <v>US CH4</v>
      </c>
      <c r="B59" s="14">
        <f ca="1"/>
        <v>102.50036452453737</v>
      </c>
      <c r="C59" s="14">
        <f ca="1"/>
        <v>108.65500084242386</v>
      </c>
      <c r="D59" s="14">
        <f ca="1"/>
        <v>115.45039777167159</v>
      </c>
      <c r="E59" s="14">
        <f ca="1"/>
        <v>123.54622845974082</v>
      </c>
      <c r="F59" s="14">
        <f ca="1"/>
        <v>145.32303356042758</v>
      </c>
      <c r="G59" s="14">
        <f ca="1"/>
        <v>164.1492244913027</v>
      </c>
      <c r="H59" s="14">
        <f ca="1"/>
        <v>154.54491700804638</v>
      </c>
      <c r="I59" s="14">
        <f ca="1"/>
        <v>144.94060952479006</v>
      </c>
      <c r="J59" s="14">
        <f ca="1"/>
        <v>135.33630204153374</v>
      </c>
      <c r="K59" s="14">
        <f ca="1"/>
        <v>125.73199455827744</v>
      </c>
      <c r="M59" s="4" t="str">
        <f>'Library data'!$G$138</f>
        <v>% relative to RCP8.5</v>
      </c>
    </row>
    <row r="60" spans="1:18" s="4" customFormat="1" x14ac:dyDescent="0.25">
      <c r="A60" s="4" t="str">
        <v>OT CH4</v>
      </c>
      <c r="B60" s="14">
        <f ca="1"/>
        <v>102.50036452453737</v>
      </c>
      <c r="C60" s="14">
        <f ca="1"/>
        <v>108.65500084242386</v>
      </c>
      <c r="D60" s="14">
        <f ca="1"/>
        <v>115.45039777167159</v>
      </c>
      <c r="E60" s="14">
        <f ca="1"/>
        <v>123.54622845974082</v>
      </c>
      <c r="F60" s="14">
        <f ca="1"/>
        <v>145.32303356042758</v>
      </c>
      <c r="G60" s="14">
        <f ca="1"/>
        <v>164.1492244913027</v>
      </c>
      <c r="H60" s="14">
        <f ca="1"/>
        <v>154.54491700804638</v>
      </c>
      <c r="I60" s="14">
        <f ca="1"/>
        <v>144.94060952479006</v>
      </c>
      <c r="J60" s="14">
        <f ca="1"/>
        <v>135.33630204153374</v>
      </c>
      <c r="K60" s="14">
        <f ca="1"/>
        <v>125.73199455827744</v>
      </c>
      <c r="M60" s="4" t="str">
        <f>'Library data'!$G$138</f>
        <v>% relative to RCP8.5</v>
      </c>
    </row>
    <row r="61" spans="1:18" s="4" customFormat="1" x14ac:dyDescent="0.25">
      <c r="A61" s="4" t="str">
        <v>EE CH4</v>
      </c>
      <c r="B61" s="14">
        <f ca="1"/>
        <v>122.15059454609255</v>
      </c>
      <c r="C61" s="14">
        <f ca="1"/>
        <v>131.13733885274053</v>
      </c>
      <c r="D61" s="14">
        <f ca="1"/>
        <v>154.49569202694823</v>
      </c>
      <c r="E61" s="14">
        <f ca="1"/>
        <v>174.23554705496088</v>
      </c>
      <c r="F61" s="14">
        <f ca="1"/>
        <v>194.54952679145853</v>
      </c>
      <c r="G61" s="14">
        <f ca="1"/>
        <v>254.9409212534608</v>
      </c>
      <c r="H61" s="14">
        <f ca="1"/>
        <v>240.02442679318631</v>
      </c>
      <c r="I61" s="14">
        <f ca="1"/>
        <v>225.10793233291179</v>
      </c>
      <c r="J61" s="14">
        <f ca="1"/>
        <v>210.19143787263729</v>
      </c>
      <c r="K61" s="14">
        <f ca="1"/>
        <v>195.2749434123628</v>
      </c>
      <c r="M61" s="4" t="str">
        <f>'Library data'!$G$138</f>
        <v>% relative to RCP8.5</v>
      </c>
    </row>
    <row r="62" spans="1:18" s="4" customFormat="1" x14ac:dyDescent="0.25">
      <c r="A62" s="4" t="str">
        <v>CA CH4</v>
      </c>
      <c r="B62" s="14">
        <f ca="1"/>
        <v>115.48672697106501</v>
      </c>
      <c r="C62" s="14">
        <f ca="1"/>
        <v>125.21094789190855</v>
      </c>
      <c r="D62" s="14">
        <f ca="1"/>
        <v>145.75841815513732</v>
      </c>
      <c r="E62" s="14">
        <f ca="1"/>
        <v>171.90629383288976</v>
      </c>
      <c r="F62" s="14">
        <f ca="1"/>
        <v>210.27219382756687</v>
      </c>
      <c r="G62" s="14">
        <f ca="1"/>
        <v>223.37193772918289</v>
      </c>
      <c r="H62" s="14">
        <f ca="1"/>
        <v>210.30253225541216</v>
      </c>
      <c r="I62" s="14">
        <f ca="1"/>
        <v>197.23312678164137</v>
      </c>
      <c r="J62" s="14">
        <f ca="1"/>
        <v>184.16372130787065</v>
      </c>
      <c r="K62" s="14">
        <f ca="1"/>
        <v>171.09431583409989</v>
      </c>
      <c r="M62" s="4" t="str">
        <f>'Library data'!$G$138</f>
        <v>% relative to RCP8.5</v>
      </c>
    </row>
    <row r="63" spans="1:18" s="4" customFormat="1" x14ac:dyDescent="0.25">
      <c r="A63" s="4" t="str">
        <v>IA CH4</v>
      </c>
      <c r="B63" s="14">
        <f ca="1"/>
        <v>115.48672697106501</v>
      </c>
      <c r="C63" s="14">
        <f ca="1"/>
        <v>125.21094789190855</v>
      </c>
      <c r="D63" s="14">
        <f ca="1"/>
        <v>145.75841815513732</v>
      </c>
      <c r="E63" s="14">
        <f ca="1"/>
        <v>171.90629383288976</v>
      </c>
      <c r="F63" s="14">
        <f ca="1"/>
        <v>210.27219382756687</v>
      </c>
      <c r="G63" s="14">
        <f ca="1"/>
        <v>223.37193772918289</v>
      </c>
      <c r="H63" s="14">
        <f ca="1"/>
        <v>210.30253225541216</v>
      </c>
      <c r="I63" s="14">
        <f ca="1"/>
        <v>197.23312678164137</v>
      </c>
      <c r="J63" s="14">
        <f ca="1"/>
        <v>184.16372130787065</v>
      </c>
      <c r="K63" s="14">
        <f ca="1"/>
        <v>171.09431583409989</v>
      </c>
      <c r="M63" s="4" t="str">
        <f>'Library data'!$G$138</f>
        <v>% relative to RCP8.5</v>
      </c>
    </row>
    <row r="64" spans="1:18" s="4" customFormat="1" x14ac:dyDescent="0.25">
      <c r="A64" s="4" t="str">
        <v>AF CH4</v>
      </c>
      <c r="B64" s="14">
        <f ca="1"/>
        <v>134.3691319788872</v>
      </c>
      <c r="C64" s="14">
        <f ca="1"/>
        <v>170.67040952020926</v>
      </c>
      <c r="D64" s="14">
        <f ca="1"/>
        <v>211.83435153156452</v>
      </c>
      <c r="E64" s="14">
        <f ca="1"/>
        <v>244.72351361678838</v>
      </c>
      <c r="F64" s="14">
        <f ca="1"/>
        <v>269.84406293907898</v>
      </c>
      <c r="G64" s="14">
        <f ca="1"/>
        <v>284.57973389701431</v>
      </c>
      <c r="H64" s="14">
        <f ca="1"/>
        <v>267.92908400012738</v>
      </c>
      <c r="I64" s="14">
        <f ca="1"/>
        <v>251.27843410324036</v>
      </c>
      <c r="J64" s="14">
        <f ca="1"/>
        <v>234.6277842063534</v>
      </c>
      <c r="K64" s="14">
        <f ca="1"/>
        <v>217.97713430946644</v>
      </c>
      <c r="M64" s="4" t="str">
        <f>'Library data'!$G$138</f>
        <v>% relative to RCP8.5</v>
      </c>
    </row>
    <row r="65" spans="1:18" s="4" customFormat="1" ht="13" thickBot="1" x14ac:dyDescent="0.3">
      <c r="A65" s="4" t="str">
        <v>LA CH4</v>
      </c>
      <c r="B65" s="16">
        <f ca="1"/>
        <v>124.39840917846843</v>
      </c>
      <c r="C65" s="16">
        <f ca="1"/>
        <v>145.68352017440563</v>
      </c>
      <c r="D65" s="16">
        <f ca="1"/>
        <v>164.21185156020633</v>
      </c>
      <c r="E65" s="16">
        <f ca="1"/>
        <v>177.36678097383924</v>
      </c>
      <c r="F65" s="16">
        <f ca="1"/>
        <v>174.4084272186642</v>
      </c>
      <c r="G65" s="16">
        <f ca="1"/>
        <v>164.42676926137833</v>
      </c>
      <c r="H65" s="16">
        <f ca="1"/>
        <v>154.80622274123081</v>
      </c>
      <c r="I65" s="16">
        <f ca="1"/>
        <v>145.18567622108327</v>
      </c>
      <c r="J65" s="16">
        <f ca="1"/>
        <v>135.56512970093576</v>
      </c>
      <c r="K65" s="16">
        <f ca="1"/>
        <v>125.94458318078826</v>
      </c>
      <c r="M65" s="4" t="str">
        <f>'Library data'!$G$138</f>
        <v>% relative to RCP8.5</v>
      </c>
    </row>
    <row r="66" spans="1:18" s="5" customFormat="1" ht="15.5" thickTop="1" x14ac:dyDescent="0.4">
      <c r="A66" s="5" t="s">
        <v>102</v>
      </c>
      <c r="B66" s="5" t="s">
        <v>127</v>
      </c>
      <c r="Q66" s="2"/>
      <c r="R66" s="2"/>
    </row>
    <row r="67" spans="1:18" s="4" customFormat="1" x14ac:dyDescent="0.25">
      <c r="A67" s="4" t="str">
        <f t="array" ref="A67:A74">R_CODE&amp;" "&amp;'Base data'!$D$12</f>
        <v>EU N2O</v>
      </c>
      <c r="B67" s="12">
        <f t="array" aca="1" ref="B67:K74" ca="1">(1+(EMIT_N2O/100)*(YMINUSY0/YMINUSY0_LAST))*BAU_N2O</f>
        <v>105.94287374534854</v>
      </c>
      <c r="C67" s="12">
        <f ca="1"/>
        <v>112.93384509533442</v>
      </c>
      <c r="D67" s="12">
        <f ca="1"/>
        <v>121.73413925153963</v>
      </c>
      <c r="E67" s="12">
        <f ca="1"/>
        <v>125.14093109449992</v>
      </c>
      <c r="F67" s="12">
        <f ca="1"/>
        <v>129.12572944199357</v>
      </c>
      <c r="G67" s="12">
        <f ca="1"/>
        <v>130.51096390167203</v>
      </c>
      <c r="H67" s="12">
        <f ca="1"/>
        <v>128.87402294608754</v>
      </c>
      <c r="I67" s="12">
        <f ca="1"/>
        <v>127.23708199050304</v>
      </c>
      <c r="J67" s="12">
        <f ca="1"/>
        <v>125.60014103491855</v>
      </c>
      <c r="K67" s="12">
        <f ca="1"/>
        <v>123.96320007933406</v>
      </c>
      <c r="M67" s="4" t="str">
        <f>'Library data'!$G$138</f>
        <v>% relative to RCP8.5</v>
      </c>
    </row>
    <row r="68" spans="1:18" s="4" customFormat="1" x14ac:dyDescent="0.25">
      <c r="A68" s="4" t="str">
        <v>US N2O</v>
      </c>
      <c r="B68" s="14">
        <f ca="1"/>
        <v>105.94287374534854</v>
      </c>
      <c r="C68" s="14">
        <f ca="1"/>
        <v>112.93384509533442</v>
      </c>
      <c r="D68" s="14">
        <f ca="1"/>
        <v>121.73413925153963</v>
      </c>
      <c r="E68" s="14">
        <f ca="1"/>
        <v>125.14093109449992</v>
      </c>
      <c r="F68" s="14">
        <f ca="1"/>
        <v>129.12572944199357</v>
      </c>
      <c r="G68" s="14">
        <f ca="1"/>
        <v>130.51096390167203</v>
      </c>
      <c r="H68" s="14">
        <f ca="1"/>
        <v>128.87402294608754</v>
      </c>
      <c r="I68" s="14">
        <f ca="1"/>
        <v>127.23708199050304</v>
      </c>
      <c r="J68" s="14">
        <f ca="1"/>
        <v>125.60014103491855</v>
      </c>
      <c r="K68" s="14">
        <f ca="1"/>
        <v>123.96320007933406</v>
      </c>
      <c r="M68" s="4" t="str">
        <f>'Library data'!$G$138</f>
        <v>% relative to RCP8.5</v>
      </c>
    </row>
    <row r="69" spans="1:18" s="4" customFormat="1" x14ac:dyDescent="0.25">
      <c r="A69" s="4" t="str">
        <v>OT N2O</v>
      </c>
      <c r="B69" s="14">
        <f ca="1"/>
        <v>105.94287374534854</v>
      </c>
      <c r="C69" s="14">
        <f ca="1"/>
        <v>112.93384509533442</v>
      </c>
      <c r="D69" s="14">
        <f ca="1"/>
        <v>121.73413925153963</v>
      </c>
      <c r="E69" s="14">
        <f ca="1"/>
        <v>125.14093109449992</v>
      </c>
      <c r="F69" s="14">
        <f ca="1"/>
        <v>129.12572944199357</v>
      </c>
      <c r="G69" s="14">
        <f ca="1"/>
        <v>130.51096390167203</v>
      </c>
      <c r="H69" s="14">
        <f ca="1"/>
        <v>128.87402294608754</v>
      </c>
      <c r="I69" s="14">
        <f ca="1"/>
        <v>127.23708199050304</v>
      </c>
      <c r="J69" s="14">
        <f ca="1"/>
        <v>125.60014103491855</v>
      </c>
      <c r="K69" s="14">
        <f ca="1"/>
        <v>123.96320007933406</v>
      </c>
      <c r="M69" s="4" t="str">
        <f>'Library data'!$G$138</f>
        <v>% relative to RCP8.5</v>
      </c>
    </row>
    <row r="70" spans="1:18" s="4" customFormat="1" x14ac:dyDescent="0.25">
      <c r="A70" s="4" t="str">
        <v>EE N2O</v>
      </c>
      <c r="B70" s="14">
        <f ca="1"/>
        <v>124.90439574236689</v>
      </c>
      <c r="C70" s="14">
        <f ca="1"/>
        <v>137.85146799622549</v>
      </c>
      <c r="D70" s="14">
        <f ca="1"/>
        <v>148.33794536087115</v>
      </c>
      <c r="E70" s="14">
        <f ca="1"/>
        <v>153.27410230061099</v>
      </c>
      <c r="F70" s="14">
        <f ca="1"/>
        <v>162.14166941179099</v>
      </c>
      <c r="G70" s="14">
        <f ca="1"/>
        <v>198.7592685676488</v>
      </c>
      <c r="H70" s="14">
        <f ca="1"/>
        <v>196.26631949046993</v>
      </c>
      <c r="I70" s="14">
        <f ca="1"/>
        <v>193.77337041329102</v>
      </c>
      <c r="J70" s="14">
        <f ca="1"/>
        <v>191.28042133611211</v>
      </c>
      <c r="K70" s="14">
        <f ca="1"/>
        <v>188.78747225893324</v>
      </c>
      <c r="M70" s="4" t="str">
        <f>'Library data'!$G$138</f>
        <v>% relative to RCP8.5</v>
      </c>
    </row>
    <row r="71" spans="1:18" s="4" customFormat="1" x14ac:dyDescent="0.25">
      <c r="A71" s="4" t="str">
        <v>CA N2O</v>
      </c>
      <c r="B71" s="14">
        <f ca="1"/>
        <v>116.1204189928448</v>
      </c>
      <c r="C71" s="14">
        <f ca="1"/>
        <v>129.84814711366852</v>
      </c>
      <c r="D71" s="14">
        <f ca="1"/>
        <v>144.56317494239408</v>
      </c>
      <c r="E71" s="14">
        <f ca="1"/>
        <v>153.42414779974879</v>
      </c>
      <c r="F71" s="14">
        <f ca="1"/>
        <v>167.303886993395</v>
      </c>
      <c r="G71" s="14">
        <f ca="1"/>
        <v>192.78736295930943</v>
      </c>
      <c r="H71" s="14">
        <f ca="1"/>
        <v>190.36931683726112</v>
      </c>
      <c r="I71" s="14">
        <f ca="1"/>
        <v>187.95127071521281</v>
      </c>
      <c r="J71" s="14">
        <f ca="1"/>
        <v>185.53322459316448</v>
      </c>
      <c r="K71" s="14">
        <f ca="1"/>
        <v>183.11517847111614</v>
      </c>
      <c r="M71" s="4" t="str">
        <f>'Library data'!$G$138</f>
        <v>% relative to RCP8.5</v>
      </c>
    </row>
    <row r="72" spans="1:18" s="4" customFormat="1" x14ac:dyDescent="0.25">
      <c r="A72" s="4" t="str">
        <v>IA N2O</v>
      </c>
      <c r="B72" s="14">
        <f ca="1"/>
        <v>116.1204189928448</v>
      </c>
      <c r="C72" s="14">
        <f ca="1"/>
        <v>129.84814711366852</v>
      </c>
      <c r="D72" s="14">
        <f ca="1"/>
        <v>144.56317494239408</v>
      </c>
      <c r="E72" s="14">
        <f ca="1"/>
        <v>153.42414779974879</v>
      </c>
      <c r="F72" s="14">
        <f ca="1"/>
        <v>167.303886993395</v>
      </c>
      <c r="G72" s="14">
        <f ca="1"/>
        <v>192.78736295930943</v>
      </c>
      <c r="H72" s="14">
        <f ca="1"/>
        <v>190.36931683726112</v>
      </c>
      <c r="I72" s="14">
        <f ca="1"/>
        <v>187.95127071521281</v>
      </c>
      <c r="J72" s="14">
        <f ca="1"/>
        <v>185.53322459316448</v>
      </c>
      <c r="K72" s="14">
        <f ca="1"/>
        <v>183.11517847111614</v>
      </c>
      <c r="M72" s="4" t="str">
        <f>'Library data'!$G$138</f>
        <v>% relative to RCP8.5</v>
      </c>
    </row>
    <row r="73" spans="1:18" s="4" customFormat="1" x14ac:dyDescent="0.25">
      <c r="A73" s="4" t="str">
        <v>AF N2O</v>
      </c>
      <c r="B73" s="14">
        <f ca="1"/>
        <v>125.00970905336567</v>
      </c>
      <c r="C73" s="14">
        <f ca="1"/>
        <v>151.53295296685121</v>
      </c>
      <c r="D73" s="14">
        <f ca="1"/>
        <v>175.2788974938197</v>
      </c>
      <c r="E73" s="14">
        <f ca="1"/>
        <v>194.58110008816664</v>
      </c>
      <c r="F73" s="14">
        <f ca="1"/>
        <v>245.12033727115946</v>
      </c>
      <c r="G73" s="14">
        <f ca="1"/>
        <v>283.44980996819174</v>
      </c>
      <c r="H73" s="14">
        <f ca="1"/>
        <v>279.89462510924653</v>
      </c>
      <c r="I73" s="14">
        <f ca="1"/>
        <v>276.33944025030127</v>
      </c>
      <c r="J73" s="14">
        <f ca="1"/>
        <v>272.784255391356</v>
      </c>
      <c r="K73" s="14">
        <f ca="1"/>
        <v>269.22907053241079</v>
      </c>
      <c r="M73" s="4" t="str">
        <f>'Library data'!$G$138</f>
        <v>% relative to RCP8.5</v>
      </c>
    </row>
    <row r="74" spans="1:18" s="4" customFormat="1" ht="13" thickBot="1" x14ac:dyDescent="0.3">
      <c r="A74" s="4" t="str">
        <v>LA N2O</v>
      </c>
      <c r="B74" s="16">
        <f ca="1"/>
        <v>127.09738901842542</v>
      </c>
      <c r="C74" s="16">
        <f ca="1"/>
        <v>145.21174163934754</v>
      </c>
      <c r="D74" s="16">
        <f ca="1"/>
        <v>163.46562512448767</v>
      </c>
      <c r="E74" s="16">
        <f ca="1"/>
        <v>172.81204687050712</v>
      </c>
      <c r="F74" s="16">
        <f ca="1"/>
        <v>183.66320980177997</v>
      </c>
      <c r="G74" s="16">
        <f ca="1"/>
        <v>177.93435515157529</v>
      </c>
      <c r="H74" s="16">
        <f ca="1"/>
        <v>175.70260369832135</v>
      </c>
      <c r="I74" s="16">
        <f ca="1"/>
        <v>173.47085224506739</v>
      </c>
      <c r="J74" s="16">
        <f ca="1"/>
        <v>171.23910079181343</v>
      </c>
      <c r="K74" s="16">
        <f ca="1"/>
        <v>169.00734933855949</v>
      </c>
      <c r="M74" s="4" t="str">
        <f>'Library data'!$G$138</f>
        <v>% relative to RCP8.5</v>
      </c>
    </row>
    <row r="75" spans="1:18" s="5" customFormat="1" ht="15.5" thickTop="1" x14ac:dyDescent="0.4">
      <c r="A75" s="5" t="s">
        <v>102</v>
      </c>
      <c r="B75" s="5" t="s">
        <v>262</v>
      </c>
      <c r="Q75" s="2"/>
      <c r="R75" s="2"/>
    </row>
    <row r="76" spans="1:18" s="4" customFormat="1" x14ac:dyDescent="0.25">
      <c r="A76" s="4" t="str">
        <f t="array" ref="A76:A83">R_CODE&amp;" "&amp;GLIN_NAME</f>
        <v>EU Lin</v>
      </c>
      <c r="B76" s="12">
        <f t="array" aca="1" ref="B76:K83" ca="1">(1+(EMIT_GLIN/100)*(YMINUSY0/YMINUSY0_LAST))*BAU_GLIN</f>
        <v>158.44197630558801</v>
      </c>
      <c r="C76" s="12">
        <f ca="1"/>
        <v>189.45542182789643</v>
      </c>
      <c r="D76" s="12">
        <f ca="1"/>
        <v>192.60343554329154</v>
      </c>
      <c r="E76" s="12">
        <f ca="1"/>
        <v>186.21753419957622</v>
      </c>
      <c r="F76" s="12">
        <f ca="1"/>
        <v>180.70514201793713</v>
      </c>
      <c r="G76" s="12">
        <f ca="1"/>
        <v>190.79541341790741</v>
      </c>
      <c r="H76" s="12">
        <f ca="1"/>
        <v>190.79541341790741</v>
      </c>
      <c r="I76" s="12">
        <f ca="1"/>
        <v>190.79541341790741</v>
      </c>
      <c r="J76" s="12">
        <f ca="1"/>
        <v>190.79541341790741</v>
      </c>
      <c r="K76" s="12">
        <f ca="1"/>
        <v>190.79541341790741</v>
      </c>
      <c r="M76" s="4" t="str">
        <f>'Library data'!$G$138</f>
        <v>% relative to RCP8.5</v>
      </c>
    </row>
    <row r="77" spans="1:18" s="4" customFormat="1" x14ac:dyDescent="0.25">
      <c r="A77" s="4" t="str">
        <v>US Lin</v>
      </c>
      <c r="B77" s="14">
        <f ca="1"/>
        <v>158.44197630558801</v>
      </c>
      <c r="C77" s="14">
        <f ca="1"/>
        <v>189.45542182789643</v>
      </c>
      <c r="D77" s="14">
        <f ca="1"/>
        <v>192.60343554329154</v>
      </c>
      <c r="E77" s="14">
        <f ca="1"/>
        <v>186.21753419957622</v>
      </c>
      <c r="F77" s="14">
        <f ca="1"/>
        <v>180.70514201793713</v>
      </c>
      <c r="G77" s="14">
        <f ca="1"/>
        <v>190.79541341790741</v>
      </c>
      <c r="H77" s="14">
        <f ca="1"/>
        <v>190.79541341790741</v>
      </c>
      <c r="I77" s="14">
        <f ca="1"/>
        <v>190.79541341790741</v>
      </c>
      <c r="J77" s="14">
        <f ca="1"/>
        <v>190.79541341790741</v>
      </c>
      <c r="K77" s="14">
        <f ca="1"/>
        <v>190.79541341790741</v>
      </c>
      <c r="M77" s="4" t="str">
        <f>'Library data'!$G$138</f>
        <v>% relative to RCP8.5</v>
      </c>
    </row>
    <row r="78" spans="1:18" s="4" customFormat="1" x14ac:dyDescent="0.25">
      <c r="A78" s="4" t="str">
        <v>OT Lin</v>
      </c>
      <c r="B78" s="14">
        <f ca="1"/>
        <v>158.44197630558801</v>
      </c>
      <c r="C78" s="14">
        <f ca="1"/>
        <v>189.45542182789643</v>
      </c>
      <c r="D78" s="14">
        <f ca="1"/>
        <v>192.60343554329154</v>
      </c>
      <c r="E78" s="14">
        <f ca="1"/>
        <v>186.21753419957622</v>
      </c>
      <c r="F78" s="14">
        <f ca="1"/>
        <v>180.70514201793713</v>
      </c>
      <c r="G78" s="14">
        <f ca="1"/>
        <v>190.79541341790741</v>
      </c>
      <c r="H78" s="14">
        <f ca="1"/>
        <v>190.79541341790741</v>
      </c>
      <c r="I78" s="14">
        <f ca="1"/>
        <v>190.79541341790741</v>
      </c>
      <c r="J78" s="14">
        <f ca="1"/>
        <v>190.79541341790741</v>
      </c>
      <c r="K78" s="14">
        <f ca="1"/>
        <v>190.79541341790741</v>
      </c>
      <c r="M78" s="4" t="str">
        <f>'Library data'!$G$138</f>
        <v>% relative to RCP8.5</v>
      </c>
    </row>
    <row r="79" spans="1:18" s="4" customFormat="1" x14ac:dyDescent="0.25">
      <c r="A79" s="4" t="str">
        <v>EE Lin</v>
      </c>
      <c r="B79" s="14">
        <f ca="1"/>
        <v>193.17948917513073</v>
      </c>
      <c r="C79" s="14">
        <f ca="1"/>
        <v>273.29714233827553</v>
      </c>
      <c r="D79" s="14">
        <f ca="1"/>
        <v>356.41838865756046</v>
      </c>
      <c r="E79" s="14">
        <f ca="1"/>
        <v>431.56918447030137</v>
      </c>
      <c r="F79" s="14">
        <f ca="1"/>
        <v>530.49545342517274</v>
      </c>
      <c r="G79" s="14">
        <f ca="1"/>
        <v>609.08342089219241</v>
      </c>
      <c r="H79" s="14">
        <f ca="1"/>
        <v>609.08342089219241</v>
      </c>
      <c r="I79" s="14">
        <f ca="1"/>
        <v>609.08342089219241</v>
      </c>
      <c r="J79" s="14">
        <f ca="1"/>
        <v>609.08342089219241</v>
      </c>
      <c r="K79" s="14">
        <f ca="1"/>
        <v>609.08342089219241</v>
      </c>
      <c r="M79" s="4" t="str">
        <f>'Library data'!$G$138</f>
        <v>% relative to RCP8.5</v>
      </c>
    </row>
    <row r="80" spans="1:18" s="4" customFormat="1" x14ac:dyDescent="0.25">
      <c r="A80" s="4" t="str">
        <v>CA Lin</v>
      </c>
      <c r="B80" s="14">
        <f ca="1"/>
        <v>182.94015377354361</v>
      </c>
      <c r="C80" s="14">
        <f ca="1"/>
        <v>239.80816757968762</v>
      </c>
      <c r="D80" s="14">
        <f ca="1"/>
        <v>326.15763673073633</v>
      </c>
      <c r="E80" s="14">
        <f ca="1"/>
        <v>378.81112754699683</v>
      </c>
      <c r="F80" s="14">
        <f ca="1"/>
        <v>488.99994420846127</v>
      </c>
      <c r="G80" s="14">
        <f ca="1"/>
        <v>547.76419178416825</v>
      </c>
      <c r="H80" s="14">
        <f ca="1"/>
        <v>547.76419178416825</v>
      </c>
      <c r="I80" s="14">
        <f ca="1"/>
        <v>547.76419178416825</v>
      </c>
      <c r="J80" s="14">
        <f ca="1"/>
        <v>547.76419178416825</v>
      </c>
      <c r="K80" s="14">
        <f ca="1"/>
        <v>547.76419178416825</v>
      </c>
      <c r="M80" s="4" t="str">
        <f>'Library data'!$G$138</f>
        <v>% relative to RCP8.5</v>
      </c>
    </row>
    <row r="81" spans="1:18" s="4" customFormat="1" x14ac:dyDescent="0.25">
      <c r="A81" s="4" t="str">
        <v>IA Lin</v>
      </c>
      <c r="B81" s="14">
        <f ca="1"/>
        <v>182.94015377354361</v>
      </c>
      <c r="C81" s="14">
        <f ca="1"/>
        <v>239.80816757968762</v>
      </c>
      <c r="D81" s="14">
        <f ca="1"/>
        <v>326.15763673073633</v>
      </c>
      <c r="E81" s="14">
        <f ca="1"/>
        <v>378.81112754699683</v>
      </c>
      <c r="F81" s="14">
        <f ca="1"/>
        <v>488.99994420846127</v>
      </c>
      <c r="G81" s="14">
        <f ca="1"/>
        <v>547.76419178416825</v>
      </c>
      <c r="H81" s="14">
        <f ca="1"/>
        <v>547.76419178416825</v>
      </c>
      <c r="I81" s="14">
        <f ca="1"/>
        <v>547.76419178416825</v>
      </c>
      <c r="J81" s="14">
        <f ca="1"/>
        <v>547.76419178416825</v>
      </c>
      <c r="K81" s="14">
        <f ca="1"/>
        <v>547.76419178416825</v>
      </c>
      <c r="M81" s="4" t="str">
        <f>'Library data'!$G$138</f>
        <v>% relative to RCP8.5</v>
      </c>
    </row>
    <row r="82" spans="1:18" s="4" customFormat="1" x14ac:dyDescent="0.25">
      <c r="A82" s="4" t="str">
        <v>AF Lin</v>
      </c>
      <c r="B82" s="14">
        <f ca="1"/>
        <v>195.62577543071907</v>
      </c>
      <c r="C82" s="14">
        <f ca="1"/>
        <v>250.62102627261527</v>
      </c>
      <c r="D82" s="14">
        <f ca="1"/>
        <v>299.43191888710635</v>
      </c>
      <c r="E82" s="14">
        <f ca="1"/>
        <v>364.05046378142049</v>
      </c>
      <c r="F82" s="14">
        <f ca="1"/>
        <v>537.2009052940615</v>
      </c>
      <c r="G82" s="14">
        <f ca="1"/>
        <v>636.11087125464121</v>
      </c>
      <c r="H82" s="14">
        <f ca="1"/>
        <v>636.11087125464121</v>
      </c>
      <c r="I82" s="14">
        <f ca="1"/>
        <v>636.11087125464121</v>
      </c>
      <c r="J82" s="14">
        <f ca="1"/>
        <v>636.11087125464121</v>
      </c>
      <c r="K82" s="14">
        <f ca="1"/>
        <v>636.11087125464121</v>
      </c>
      <c r="M82" s="4" t="str">
        <f>'Library data'!$G$138</f>
        <v>% relative to RCP8.5</v>
      </c>
    </row>
    <row r="83" spans="1:18" s="4" customFormat="1" ht="13" thickBot="1" x14ac:dyDescent="0.3">
      <c r="A83" s="4" t="str">
        <v>LA Lin</v>
      </c>
      <c r="B83" s="16">
        <f ca="1"/>
        <v>173.43900783842511</v>
      </c>
      <c r="C83" s="16">
        <f ca="1"/>
        <v>213.43178577876839</v>
      </c>
      <c r="D83" s="16">
        <f ca="1"/>
        <v>279.43580771888747</v>
      </c>
      <c r="E83" s="16">
        <f ca="1"/>
        <v>327.38032237780084</v>
      </c>
      <c r="F83" s="16">
        <f ca="1"/>
        <v>475.98384998038819</v>
      </c>
      <c r="G83" s="16">
        <f ca="1"/>
        <v>553.98116038575756</v>
      </c>
      <c r="H83" s="16">
        <f ca="1"/>
        <v>553.98116038575756</v>
      </c>
      <c r="I83" s="16">
        <f ca="1"/>
        <v>553.98116038575756</v>
      </c>
      <c r="J83" s="16">
        <f ca="1"/>
        <v>553.98116038575756</v>
      </c>
      <c r="K83" s="16">
        <f ca="1"/>
        <v>553.98116038575756</v>
      </c>
      <c r="M83" s="4" t="str">
        <f>'Library data'!$G$138</f>
        <v>% relative to RCP8.5</v>
      </c>
    </row>
    <row r="84" spans="1:18" s="2" customFormat="1" ht="15.5" thickTop="1" x14ac:dyDescent="0.4">
      <c r="A84" s="2" t="s">
        <v>105</v>
      </c>
      <c r="B84" s="2" t="s">
        <v>106</v>
      </c>
    </row>
    <row r="85" spans="1:18" s="6" customFormat="1" x14ac:dyDescent="0.25">
      <c r="A85" s="4" t="str">
        <f t="array" ref="A85:A92">R_CODE&amp;" "&amp;'Base data'!$B$12</f>
        <v>EU CO2</v>
      </c>
      <c r="B85" s="29">
        <f t="array" aca="1" ref="B85:B92" ca="1">IF(ZC_CO2_1&lt;er_co2_1_a,0,ZC_CO2_1-er_co2_1_a)</f>
        <v>16.991395810504258</v>
      </c>
      <c r="C85" s="29">
        <f t="array" aca="1" ref="C85:K92" ca="1">IF(ZC_CO2_NOT_1-er_co2_not_1_a&lt;0,0,ZC_CO2_NOT_1-er_co2_not_1_a)</f>
        <v>64.518861274796066</v>
      </c>
      <c r="D85" s="29">
        <f ca="1"/>
        <v>108.81260635197572</v>
      </c>
      <c r="E85" s="29">
        <f ca="1"/>
        <v>137.52349638970011</v>
      </c>
      <c r="F85" s="29">
        <f ca="1"/>
        <v>183.39348683436779</v>
      </c>
      <c r="G85" s="29">
        <f ca="1"/>
        <v>174.86383443853438</v>
      </c>
      <c r="H85" s="29">
        <f ca="1"/>
        <v>168.02785243019991</v>
      </c>
      <c r="I85" s="29">
        <f ca="1"/>
        <v>161.19187042186547</v>
      </c>
      <c r="J85" s="29">
        <f ca="1"/>
        <v>154.35588841353101</v>
      </c>
      <c r="K85" s="29">
        <f ca="1"/>
        <v>147.51990640519656</v>
      </c>
      <c r="M85" s="4" t="str">
        <f>'Library data'!$G$138</f>
        <v>% relative to RCP8.5</v>
      </c>
      <c r="Q85" s="4"/>
      <c r="R85" s="4"/>
    </row>
    <row r="86" spans="1:18" s="6" customFormat="1" x14ac:dyDescent="0.25">
      <c r="A86" s="4" t="str">
        <v>US CO2</v>
      </c>
      <c r="B86" s="26">
        <f ca="1"/>
        <v>16.991395810504287</v>
      </c>
      <c r="C86" s="26">
        <f ca="1"/>
        <v>64.518861274796095</v>
      </c>
      <c r="D86" s="26">
        <f ca="1"/>
        <v>108.81260635197575</v>
      </c>
      <c r="E86" s="26">
        <f ca="1"/>
        <v>137.52349638970014</v>
      </c>
      <c r="F86" s="26">
        <f ca="1"/>
        <v>183.39348683436785</v>
      </c>
      <c r="G86" s="26">
        <f ca="1"/>
        <v>174.86383443853441</v>
      </c>
      <c r="H86" s="26">
        <f ca="1"/>
        <v>168.02785243019997</v>
      </c>
      <c r="I86" s="26">
        <f ca="1"/>
        <v>161.1918704218655</v>
      </c>
      <c r="J86" s="26">
        <f ca="1"/>
        <v>154.35588841353106</v>
      </c>
      <c r="K86" s="26">
        <f ca="1"/>
        <v>147.51990640519659</v>
      </c>
      <c r="M86" s="4" t="str">
        <f>'Library data'!$G$138</f>
        <v>% relative to RCP8.5</v>
      </c>
      <c r="Q86" s="4"/>
      <c r="R86" s="4"/>
    </row>
    <row r="87" spans="1:18" s="6" customFormat="1" x14ac:dyDescent="0.25">
      <c r="A87" s="4" t="str">
        <v>OT CO2</v>
      </c>
      <c r="B87" s="26">
        <f ca="1"/>
        <v>16.991395810504258</v>
      </c>
      <c r="C87" s="26">
        <f ca="1"/>
        <v>64.518861274796066</v>
      </c>
      <c r="D87" s="26">
        <f ca="1"/>
        <v>108.81260635197572</v>
      </c>
      <c r="E87" s="26">
        <f ca="1"/>
        <v>137.52349638970011</v>
      </c>
      <c r="F87" s="26">
        <f ca="1"/>
        <v>183.39348683436779</v>
      </c>
      <c r="G87" s="26">
        <f ca="1"/>
        <v>174.86383443853441</v>
      </c>
      <c r="H87" s="26">
        <f ca="1"/>
        <v>168.02785243019994</v>
      </c>
      <c r="I87" s="26">
        <f ca="1"/>
        <v>161.19187042186547</v>
      </c>
      <c r="J87" s="26">
        <f ca="1"/>
        <v>154.35588841353103</v>
      </c>
      <c r="K87" s="26">
        <f ca="1"/>
        <v>147.51990640519656</v>
      </c>
      <c r="M87" s="4" t="str">
        <f>'Library data'!$G$138</f>
        <v>% relative to RCP8.5</v>
      </c>
      <c r="Q87" s="4"/>
      <c r="R87" s="4"/>
    </row>
    <row r="88" spans="1:18" s="6" customFormat="1" x14ac:dyDescent="0.25">
      <c r="A88" s="4" t="str">
        <v>EE CO2</v>
      </c>
      <c r="B88" s="26">
        <f ca="1"/>
        <v>30.740362395524087</v>
      </c>
      <c r="C88" s="26">
        <f ca="1"/>
        <v>90.46626865797721</v>
      </c>
      <c r="D88" s="26">
        <f ca="1"/>
        <v>150.21640676426114</v>
      </c>
      <c r="E88" s="26">
        <f ca="1"/>
        <v>197.82647193222252</v>
      </c>
      <c r="F88" s="26">
        <f ca="1"/>
        <v>304.70758439101564</v>
      </c>
      <c r="G88" s="26">
        <f ca="1"/>
        <v>407.03140421549449</v>
      </c>
      <c r="H88" s="26">
        <f ca="1"/>
        <v>390.40914740840077</v>
      </c>
      <c r="I88" s="26">
        <f ca="1"/>
        <v>373.78689060130711</v>
      </c>
      <c r="J88" s="26">
        <f ca="1"/>
        <v>357.16463379421344</v>
      </c>
      <c r="K88" s="26">
        <f ca="1"/>
        <v>340.54237698711972</v>
      </c>
      <c r="M88" s="4" t="str">
        <f>'Library data'!$G$138</f>
        <v>% relative to RCP8.5</v>
      </c>
      <c r="Q88" s="4"/>
      <c r="R88" s="4"/>
    </row>
    <row r="89" spans="1:18" s="6" customFormat="1" x14ac:dyDescent="0.25">
      <c r="A89" s="4" t="str">
        <v>CA CO2</v>
      </c>
      <c r="B89" s="26">
        <f ca="1"/>
        <v>10.143722160276269</v>
      </c>
      <c r="C89" s="26">
        <f ca="1"/>
        <v>46.549877950876763</v>
      </c>
      <c r="D89" s="26">
        <f ca="1"/>
        <v>104.81211991439024</v>
      </c>
      <c r="E89" s="26">
        <f ca="1"/>
        <v>154.80840822361631</v>
      </c>
      <c r="F89" s="26">
        <f ca="1"/>
        <v>242.70383868638288</v>
      </c>
      <c r="G89" s="26">
        <f ca="1"/>
        <v>250.90488103974357</v>
      </c>
      <c r="H89" s="26">
        <f ca="1"/>
        <v>240.71616992993484</v>
      </c>
      <c r="I89" s="26">
        <f ca="1"/>
        <v>230.52745882012607</v>
      </c>
      <c r="J89" s="26">
        <f ca="1"/>
        <v>220.33874771031734</v>
      </c>
      <c r="K89" s="26">
        <f ca="1"/>
        <v>210.1500366005086</v>
      </c>
      <c r="M89" s="4" t="str">
        <f>'Library data'!$G$138</f>
        <v>% relative to RCP8.5</v>
      </c>
      <c r="Q89" s="4"/>
      <c r="R89" s="4"/>
    </row>
    <row r="90" spans="1:18" s="6" customFormat="1" x14ac:dyDescent="0.25">
      <c r="A90" s="4" t="str">
        <v>IA CO2</v>
      </c>
      <c r="B90" s="26">
        <f ca="1"/>
        <v>10.143722160276297</v>
      </c>
      <c r="C90" s="26">
        <f ca="1"/>
        <v>46.549877950876791</v>
      </c>
      <c r="D90" s="26">
        <f ca="1"/>
        <v>104.81211991439032</v>
      </c>
      <c r="E90" s="26">
        <f ca="1"/>
        <v>154.80840822361631</v>
      </c>
      <c r="F90" s="26">
        <f ca="1"/>
        <v>242.70383868638288</v>
      </c>
      <c r="G90" s="26">
        <f ca="1"/>
        <v>250.90488103974357</v>
      </c>
      <c r="H90" s="26">
        <f ca="1"/>
        <v>240.71616992993484</v>
      </c>
      <c r="I90" s="26">
        <f ca="1"/>
        <v>230.52745882012607</v>
      </c>
      <c r="J90" s="26">
        <f ca="1"/>
        <v>220.33874771031734</v>
      </c>
      <c r="K90" s="26">
        <f ca="1"/>
        <v>210.1500366005086</v>
      </c>
      <c r="M90" s="4" t="str">
        <f>'Library data'!$G$138</f>
        <v>% relative to RCP8.5</v>
      </c>
      <c r="Q90" s="4"/>
      <c r="R90" s="4"/>
    </row>
    <row r="91" spans="1:18" s="6" customFormat="1" x14ac:dyDescent="0.25">
      <c r="A91" s="4" t="str">
        <v>AF CO2</v>
      </c>
      <c r="B91" s="26">
        <f ca="1"/>
        <v>36.80080580919693</v>
      </c>
      <c r="C91" s="26">
        <f ca="1"/>
        <v>76.727646682230755</v>
      </c>
      <c r="D91" s="26">
        <f ca="1"/>
        <v>145.87329125865881</v>
      </c>
      <c r="E91" s="26">
        <f ca="1"/>
        <v>214.29593309380664</v>
      </c>
      <c r="F91" s="26">
        <f ca="1"/>
        <v>355.4657152610967</v>
      </c>
      <c r="G91" s="26">
        <f ca="1"/>
        <v>446.06239320228917</v>
      </c>
      <c r="H91" s="26">
        <f ca="1"/>
        <v>427.63698454579207</v>
      </c>
      <c r="I91" s="26">
        <f ca="1"/>
        <v>409.21157588929498</v>
      </c>
      <c r="J91" s="26">
        <f ca="1"/>
        <v>390.78616723279782</v>
      </c>
      <c r="K91" s="26">
        <f ca="1"/>
        <v>372.36075857630073</v>
      </c>
      <c r="M91" s="4" t="str">
        <f>'Library data'!$G$138</f>
        <v>% relative to RCP8.5</v>
      </c>
      <c r="Q91" s="4"/>
      <c r="R91" s="4"/>
    </row>
    <row r="92" spans="1:18" s="6" customFormat="1" ht="13" thickBot="1" x14ac:dyDescent="0.3">
      <c r="A92" s="4" t="str">
        <v>LA CO2</v>
      </c>
      <c r="B92" s="35">
        <f ca="1"/>
        <v>31.163742569827832</v>
      </c>
      <c r="C92" s="35">
        <f ca="1"/>
        <v>79.380210958128345</v>
      </c>
      <c r="D92" s="35">
        <f ca="1"/>
        <v>118.45157207072467</v>
      </c>
      <c r="E92" s="35">
        <f ca="1"/>
        <v>166.62650370482362</v>
      </c>
      <c r="F92" s="35">
        <f ca="1"/>
        <v>239.74799921743536</v>
      </c>
      <c r="G92" s="35">
        <f ca="1"/>
        <v>180.50338012516704</v>
      </c>
      <c r="H92" s="35">
        <f ca="1"/>
        <v>173.04736367238132</v>
      </c>
      <c r="I92" s="35">
        <f ca="1"/>
        <v>165.5913472195956</v>
      </c>
      <c r="J92" s="35">
        <f ca="1"/>
        <v>158.13533076680989</v>
      </c>
      <c r="K92" s="35">
        <f ca="1"/>
        <v>150.67931431402417</v>
      </c>
      <c r="M92" s="4" t="str">
        <f>'Library data'!$G$138</f>
        <v>% relative to RCP8.5</v>
      </c>
      <c r="Q92" s="4"/>
      <c r="R92" s="4"/>
    </row>
    <row r="93" spans="1:18" s="8" customFormat="1" ht="15.5" thickTop="1" x14ac:dyDescent="0.4">
      <c r="A93" s="8" t="s">
        <v>105</v>
      </c>
      <c r="B93" s="8" t="s">
        <v>107</v>
      </c>
      <c r="Q93" s="2"/>
      <c r="R93" s="2"/>
    </row>
    <row r="94" spans="1:18" s="7" customFormat="1" x14ac:dyDescent="0.25">
      <c r="A94" s="4" t="str">
        <f t="array" ref="A94:A101">R_CODE&amp;" "&amp;'Base data'!$C$12</f>
        <v>EU CH4</v>
      </c>
      <c r="B94" s="29">
        <f t="array" aca="1" ref="B94:B101" ca="1">IF(ZC_CH4_1&lt;er_ch4_1_a,0,ZC_CH4_1-er_ch4_1_a)</f>
        <v>53.346542881419225</v>
      </c>
      <c r="C94" s="29">
        <f t="array" aca="1" ref="C94:K101" ca="1">IF(ZC_CH4_NOT_1-er_ch4_not_1_a&lt;0,0,ZC_CH4_NOT_1-er_ch4_not_1_a)</f>
        <v>67.745716071546525</v>
      </c>
      <c r="D94" s="29">
        <f ca="1"/>
        <v>79.34569809338177</v>
      </c>
      <c r="E94" s="29">
        <f ca="1"/>
        <v>94.509805115428378</v>
      </c>
      <c r="F94" s="29">
        <f ca="1"/>
        <v>121.84675160499131</v>
      </c>
      <c r="G94" s="29">
        <f ca="1"/>
        <v>145.16615703206534</v>
      </c>
      <c r="H94" s="29">
        <f ca="1"/>
        <v>135.56184954880902</v>
      </c>
      <c r="I94" s="29">
        <f ca="1"/>
        <v>125.95754206555269</v>
      </c>
      <c r="J94" s="29">
        <f ca="1"/>
        <v>116.35323458229637</v>
      </c>
      <c r="K94" s="29">
        <f ca="1"/>
        <v>106.74892709904006</v>
      </c>
      <c r="M94" s="4" t="str">
        <f>'Library data'!$G$138</f>
        <v>% relative to RCP8.5</v>
      </c>
      <c r="Q94" s="4"/>
      <c r="R94" s="4"/>
    </row>
    <row r="95" spans="1:18" s="7" customFormat="1" x14ac:dyDescent="0.25">
      <c r="A95" s="4" t="str">
        <v>US CH4</v>
      </c>
      <c r="B95" s="26">
        <f ca="1"/>
        <v>53.346542881419225</v>
      </c>
      <c r="C95" s="26">
        <f ca="1"/>
        <v>67.745716071546525</v>
      </c>
      <c r="D95" s="26">
        <f ca="1"/>
        <v>79.34569809338177</v>
      </c>
      <c r="E95" s="26">
        <f ca="1"/>
        <v>94.509805115428378</v>
      </c>
      <c r="F95" s="26">
        <f ca="1"/>
        <v>121.84675160499131</v>
      </c>
      <c r="G95" s="26">
        <f ca="1"/>
        <v>145.16615703206534</v>
      </c>
      <c r="H95" s="26">
        <f ca="1"/>
        <v>135.56184954880902</v>
      </c>
      <c r="I95" s="26">
        <f ca="1"/>
        <v>125.95754206555269</v>
      </c>
      <c r="J95" s="26">
        <f ca="1"/>
        <v>116.35323458229637</v>
      </c>
      <c r="K95" s="26">
        <f ca="1"/>
        <v>106.74892709904006</v>
      </c>
      <c r="M95" s="4" t="str">
        <f>'Library data'!$G$138</f>
        <v>% relative to RCP8.5</v>
      </c>
      <c r="Q95" s="4"/>
      <c r="R95" s="4"/>
    </row>
    <row r="96" spans="1:18" s="7" customFormat="1" x14ac:dyDescent="0.25">
      <c r="A96" s="4" t="str">
        <v>OT CH4</v>
      </c>
      <c r="B96" s="26">
        <f ca="1"/>
        <v>53.346542881419225</v>
      </c>
      <c r="C96" s="26">
        <f ca="1"/>
        <v>67.745716071546525</v>
      </c>
      <c r="D96" s="26">
        <f ca="1"/>
        <v>79.34569809338177</v>
      </c>
      <c r="E96" s="26">
        <f ca="1"/>
        <v>94.509805115428378</v>
      </c>
      <c r="F96" s="26">
        <f ca="1"/>
        <v>121.84675160499131</v>
      </c>
      <c r="G96" s="26">
        <f ca="1"/>
        <v>145.16615703206534</v>
      </c>
      <c r="H96" s="26">
        <f ca="1"/>
        <v>135.56184954880902</v>
      </c>
      <c r="I96" s="26">
        <f ca="1"/>
        <v>125.95754206555269</v>
      </c>
      <c r="J96" s="26">
        <f ca="1"/>
        <v>116.35323458229637</v>
      </c>
      <c r="K96" s="26">
        <f ca="1"/>
        <v>106.74892709904006</v>
      </c>
      <c r="M96" s="4" t="str">
        <f>'Library data'!$G$138</f>
        <v>% relative to RCP8.5</v>
      </c>
      <c r="Q96" s="4"/>
      <c r="R96" s="4"/>
    </row>
    <row r="97" spans="1:18" s="7" customFormat="1" x14ac:dyDescent="0.25">
      <c r="A97" s="4" t="str">
        <v>EE CH4</v>
      </c>
      <c r="B97" s="26">
        <f ca="1"/>
        <v>67.735943961936329</v>
      </c>
      <c r="C97" s="26">
        <f ca="1"/>
        <v>86.130877934075713</v>
      </c>
      <c r="D97" s="26">
        <f ca="1"/>
        <v>114.24368969209645</v>
      </c>
      <c r="E97" s="26">
        <f ca="1"/>
        <v>142.50450932496807</v>
      </c>
      <c r="F97" s="26">
        <f ca="1"/>
        <v>166.55066093559776</v>
      </c>
      <c r="G97" s="26">
        <f ca="1"/>
        <v>228.72955827671228</v>
      </c>
      <c r="H97" s="26">
        <f ca="1"/>
        <v>213.81306381643779</v>
      </c>
      <c r="I97" s="26">
        <f ca="1"/>
        <v>198.89656935616327</v>
      </c>
      <c r="J97" s="26">
        <f ca="1"/>
        <v>183.98007489588878</v>
      </c>
      <c r="K97" s="26">
        <f ca="1"/>
        <v>169.06358043561428</v>
      </c>
      <c r="M97" s="4" t="str">
        <f>'Library data'!$G$138</f>
        <v>% relative to RCP8.5</v>
      </c>
      <c r="Q97" s="4"/>
      <c r="R97" s="4"/>
    </row>
    <row r="98" spans="1:18" s="7" customFormat="1" x14ac:dyDescent="0.25">
      <c r="A98" s="4" t="str">
        <v>CA CH4</v>
      </c>
      <c r="B98" s="26">
        <f ca="1"/>
        <v>30.824998751333951</v>
      </c>
      <c r="C98" s="26">
        <f ca="1"/>
        <v>49.414770862448165</v>
      </c>
      <c r="D98" s="26">
        <f ca="1"/>
        <v>77.609483556640768</v>
      </c>
      <c r="E98" s="26">
        <f ca="1"/>
        <v>117.87022106775312</v>
      </c>
      <c r="F98" s="26">
        <f ca="1"/>
        <v>168.39701229442204</v>
      </c>
      <c r="G98" s="26">
        <f ca="1"/>
        <v>188.12732632486995</v>
      </c>
      <c r="H98" s="26">
        <f ca="1"/>
        <v>175.05792085109923</v>
      </c>
      <c r="I98" s="26">
        <f ca="1"/>
        <v>161.98851537732844</v>
      </c>
      <c r="J98" s="26">
        <f ca="1"/>
        <v>148.91910990355771</v>
      </c>
      <c r="K98" s="26">
        <f ca="1"/>
        <v>135.84970442978695</v>
      </c>
      <c r="M98" s="4" t="str">
        <f>'Library data'!$G$138</f>
        <v>% relative to RCP8.5</v>
      </c>
      <c r="Q98" s="4"/>
      <c r="R98" s="4"/>
    </row>
    <row r="99" spans="1:18" s="7" customFormat="1" x14ac:dyDescent="0.25">
      <c r="A99" s="4" t="str">
        <v>IA CH4</v>
      </c>
      <c r="B99" s="26">
        <f ca="1"/>
        <v>30.824998751333951</v>
      </c>
      <c r="C99" s="26">
        <f ca="1"/>
        <v>49.414770862448165</v>
      </c>
      <c r="D99" s="26">
        <f ca="1"/>
        <v>77.609483556640768</v>
      </c>
      <c r="E99" s="26">
        <f ca="1"/>
        <v>117.87022106775312</v>
      </c>
      <c r="F99" s="26">
        <f ca="1"/>
        <v>168.39701229442204</v>
      </c>
      <c r="G99" s="26">
        <f ca="1"/>
        <v>188.12732632486995</v>
      </c>
      <c r="H99" s="26">
        <f ca="1"/>
        <v>175.05792085109923</v>
      </c>
      <c r="I99" s="26">
        <f ca="1"/>
        <v>161.98851537732844</v>
      </c>
      <c r="J99" s="26">
        <f ca="1"/>
        <v>148.91910990355771</v>
      </c>
      <c r="K99" s="26">
        <f ca="1"/>
        <v>135.84970442978695</v>
      </c>
      <c r="M99" s="4" t="str">
        <f>'Library data'!$G$138</f>
        <v>% relative to RCP8.5</v>
      </c>
      <c r="Q99" s="4"/>
      <c r="R99" s="4"/>
    </row>
    <row r="100" spans="1:18" s="7" customFormat="1" x14ac:dyDescent="0.25">
      <c r="A100" s="4" t="str">
        <v>AF CH4</v>
      </c>
      <c r="B100" s="26">
        <f ca="1"/>
        <v>60.028458485874125</v>
      </c>
      <c r="C100" s="26">
        <f ca="1"/>
        <v>97.47702243797842</v>
      </c>
      <c r="D100" s="26">
        <f ca="1"/>
        <v>134.53663433052213</v>
      </c>
      <c r="E100" s="26">
        <f ca="1"/>
        <v>176.70601895153743</v>
      </c>
      <c r="F100" s="26">
        <f ca="1"/>
        <v>220.35479937771754</v>
      </c>
      <c r="G100" s="26">
        <f ca="1"/>
        <v>242.3997002649842</v>
      </c>
      <c r="H100" s="26">
        <f ca="1"/>
        <v>225.74905036809727</v>
      </c>
      <c r="I100" s="26">
        <f ca="1"/>
        <v>209.09840047121025</v>
      </c>
      <c r="J100" s="26">
        <f ca="1"/>
        <v>192.44775057432329</v>
      </c>
      <c r="K100" s="26">
        <f ca="1"/>
        <v>175.79710067743633</v>
      </c>
      <c r="M100" s="4" t="str">
        <f>'Library data'!$G$138</f>
        <v>% relative to RCP8.5</v>
      </c>
      <c r="Q100" s="4"/>
      <c r="R100" s="4"/>
    </row>
    <row r="101" spans="1:18" s="7" customFormat="1" ht="13" thickBot="1" x14ac:dyDescent="0.3">
      <c r="A101" s="4" t="str">
        <v>LA CH4</v>
      </c>
      <c r="B101" s="35">
        <f ca="1"/>
        <v>57.181237696893035</v>
      </c>
      <c r="C101" s="35">
        <f ca="1"/>
        <v>84.483586526092367</v>
      </c>
      <c r="D101" s="35">
        <f ca="1"/>
        <v>106.0180112329719</v>
      </c>
      <c r="E101" s="35">
        <f ca="1"/>
        <v>127.06634096100373</v>
      </c>
      <c r="F101" s="35">
        <f ca="1"/>
        <v>131.71378586609507</v>
      </c>
      <c r="G101" s="35">
        <f ca="1"/>
        <v>128.97656996819984</v>
      </c>
      <c r="H101" s="35">
        <f ca="1"/>
        <v>119.35602344805233</v>
      </c>
      <c r="I101" s="35">
        <f ca="1"/>
        <v>109.73547692790478</v>
      </c>
      <c r="J101" s="35">
        <f ca="1"/>
        <v>100.11493040775727</v>
      </c>
      <c r="K101" s="35">
        <f ca="1"/>
        <v>90.494383887609786</v>
      </c>
      <c r="M101" s="4" t="str">
        <f>'Library data'!$G$138</f>
        <v>% relative to RCP8.5</v>
      </c>
      <c r="Q101" s="4"/>
      <c r="R101" s="4"/>
    </row>
    <row r="102" spans="1:18" s="8" customFormat="1" ht="15.5" thickTop="1" x14ac:dyDescent="0.4">
      <c r="A102" s="8" t="s">
        <v>105</v>
      </c>
      <c r="B102" s="8" t="s">
        <v>128</v>
      </c>
      <c r="Q102" s="2"/>
      <c r="R102" s="2"/>
    </row>
    <row r="103" spans="1:18" s="7" customFormat="1" x14ac:dyDescent="0.25">
      <c r="A103" s="4" t="str">
        <f t="array" ref="A103:A110">R_CODE&amp;" "&amp;'Base data'!$D$12</f>
        <v>EU N2O</v>
      </c>
      <c r="B103" s="29">
        <f t="array" aca="1" ref="B103:B110" ca="1">IF(ZC_N2O_1&lt;er_n2o_1_a,0,ZC_N2O_1-er_n2o_1_a)</f>
        <v>28.367613892435003</v>
      </c>
      <c r="C103" s="29">
        <f t="array" aca="1" ref="C103:K110" ca="1">IF(ZC_N2O_NOT_1-er_n2o_not_1_a&lt;0,0,ZC_N2O_NOT_1-er_n2o_not_1_a)</f>
        <v>38.492759004843933</v>
      </c>
      <c r="D103" s="29">
        <f ca="1"/>
        <v>51.742326177144335</v>
      </c>
      <c r="E103" s="29">
        <f ca="1"/>
        <v>63.570098131209264</v>
      </c>
      <c r="F103" s="29">
        <f ca="1"/>
        <v>79.226975134378492</v>
      </c>
      <c r="G103" s="29">
        <f ca="1"/>
        <v>89.826610459262838</v>
      </c>
      <c r="H103" s="29">
        <f ca="1"/>
        <v>88.189669503678346</v>
      </c>
      <c r="I103" s="29">
        <f ca="1"/>
        <v>86.552728548093853</v>
      </c>
      <c r="J103" s="29">
        <f ca="1"/>
        <v>84.915787592509361</v>
      </c>
      <c r="K103" s="29">
        <f ca="1"/>
        <v>83.278846636924868</v>
      </c>
      <c r="M103" s="4" t="str">
        <f>'Library data'!$G$138</f>
        <v>% relative to RCP8.5</v>
      </c>
      <c r="Q103" s="4"/>
      <c r="R103" s="4"/>
    </row>
    <row r="104" spans="1:18" s="7" customFormat="1" x14ac:dyDescent="0.25">
      <c r="A104" s="4" t="str">
        <v>US N2O</v>
      </c>
      <c r="B104" s="26">
        <f ca="1"/>
        <v>28.367613892435003</v>
      </c>
      <c r="C104" s="26">
        <f ca="1"/>
        <v>38.492759004843933</v>
      </c>
      <c r="D104" s="26">
        <f ca="1"/>
        <v>51.742326177144335</v>
      </c>
      <c r="E104" s="26">
        <f ca="1"/>
        <v>63.570098131209264</v>
      </c>
      <c r="F104" s="26">
        <f ca="1"/>
        <v>79.226975134378492</v>
      </c>
      <c r="G104" s="26">
        <f ca="1"/>
        <v>89.826610459262838</v>
      </c>
      <c r="H104" s="26">
        <f ca="1"/>
        <v>88.189669503678346</v>
      </c>
      <c r="I104" s="26">
        <f ca="1"/>
        <v>86.552728548093853</v>
      </c>
      <c r="J104" s="26">
        <f ca="1"/>
        <v>84.915787592509361</v>
      </c>
      <c r="K104" s="26">
        <f ca="1"/>
        <v>83.278846636924868</v>
      </c>
      <c r="M104" s="4" t="str">
        <f>'Library data'!$G$138</f>
        <v>% relative to RCP8.5</v>
      </c>
      <c r="Q104" s="4"/>
      <c r="R104" s="4"/>
    </row>
    <row r="105" spans="1:18" s="7" customFormat="1" x14ac:dyDescent="0.25">
      <c r="A105" s="4" t="str">
        <v>OT N2O</v>
      </c>
      <c r="B105" s="26">
        <f ca="1"/>
        <v>28.367613892435003</v>
      </c>
      <c r="C105" s="26">
        <f ca="1"/>
        <v>38.492759004843933</v>
      </c>
      <c r="D105" s="26">
        <f ca="1"/>
        <v>51.742326177144335</v>
      </c>
      <c r="E105" s="26">
        <f ca="1"/>
        <v>63.570098131209264</v>
      </c>
      <c r="F105" s="26">
        <f ca="1"/>
        <v>79.226975134378492</v>
      </c>
      <c r="G105" s="26">
        <f ca="1"/>
        <v>89.826610459262838</v>
      </c>
      <c r="H105" s="26">
        <f ca="1"/>
        <v>88.189669503678346</v>
      </c>
      <c r="I105" s="26">
        <f ca="1"/>
        <v>86.552728548093853</v>
      </c>
      <c r="J105" s="26">
        <f ca="1"/>
        <v>84.915787592509361</v>
      </c>
      <c r="K105" s="26">
        <f ca="1"/>
        <v>83.278846636924868</v>
      </c>
      <c r="M105" s="4" t="str">
        <f>'Library data'!$G$138</f>
        <v>% relative to RCP8.5</v>
      </c>
      <c r="Q105" s="4"/>
      <c r="R105" s="4"/>
    </row>
    <row r="106" spans="1:18" s="7" customFormat="1" x14ac:dyDescent="0.25">
      <c r="A106" s="4" t="str">
        <v>EE N2O</v>
      </c>
      <c r="B106" s="26">
        <f ca="1"/>
        <v>0</v>
      </c>
      <c r="C106" s="26">
        <f ca="1"/>
        <v>9.1584190973443924</v>
      </c>
      <c r="D106" s="26">
        <f ca="1"/>
        <v>22.187701866520612</v>
      </c>
      <c r="E106" s="26">
        <f ca="1"/>
        <v>31.738873512732411</v>
      </c>
      <c r="F106" s="26">
        <f ca="1"/>
        <v>37.971111213788973</v>
      </c>
      <c r="G106" s="26">
        <f ca="1"/>
        <v>76.725884789531705</v>
      </c>
      <c r="H106" s="26">
        <f ca="1"/>
        <v>74.232935712352827</v>
      </c>
      <c r="I106" s="26">
        <f ca="1"/>
        <v>71.739986635173921</v>
      </c>
      <c r="J106" s="26">
        <f ca="1"/>
        <v>69.247037557995014</v>
      </c>
      <c r="K106" s="26">
        <f ca="1"/>
        <v>66.754088480816137</v>
      </c>
      <c r="M106" s="4" t="str">
        <f>'Library data'!$G$138</f>
        <v>% relative to RCP8.5</v>
      </c>
      <c r="Q106" s="4"/>
      <c r="R106" s="4"/>
    </row>
    <row r="107" spans="1:18" s="7" customFormat="1" x14ac:dyDescent="0.25">
      <c r="A107" s="4" t="str">
        <v>CA N2O</v>
      </c>
      <c r="B107" s="26">
        <f ca="1"/>
        <v>0</v>
      </c>
      <c r="C107" s="26">
        <f ca="1"/>
        <v>2.1640331408453903</v>
      </c>
      <c r="D107" s="26">
        <f ca="1"/>
        <v>20.898919046267153</v>
      </c>
      <c r="E107" s="26">
        <f ca="1"/>
        <v>47.722719594067712</v>
      </c>
      <c r="F107" s="26">
        <f ca="1"/>
        <v>72.629194663737607</v>
      </c>
      <c r="G107" s="26">
        <f ca="1"/>
        <v>107.42996462498562</v>
      </c>
      <c r="H107" s="26">
        <f ca="1"/>
        <v>105.01191850293731</v>
      </c>
      <c r="I107" s="26">
        <f ca="1"/>
        <v>102.593872380889</v>
      </c>
      <c r="J107" s="26">
        <f ca="1"/>
        <v>100.17582625884066</v>
      </c>
      <c r="K107" s="26">
        <f ca="1"/>
        <v>97.75778013679232</v>
      </c>
      <c r="M107" s="4" t="str">
        <f>'Library data'!$G$138</f>
        <v>% relative to RCP8.5</v>
      </c>
      <c r="Q107" s="4"/>
      <c r="R107" s="4"/>
    </row>
    <row r="108" spans="1:18" s="7" customFormat="1" x14ac:dyDescent="0.25">
      <c r="A108" s="4" t="str">
        <v>IA N2O</v>
      </c>
      <c r="B108" s="26">
        <f ca="1"/>
        <v>0</v>
      </c>
      <c r="C108" s="26">
        <f ca="1"/>
        <v>2.1640331408453903</v>
      </c>
      <c r="D108" s="26">
        <f ca="1"/>
        <v>20.898919046267153</v>
      </c>
      <c r="E108" s="26">
        <f ca="1"/>
        <v>47.722719594067712</v>
      </c>
      <c r="F108" s="26">
        <f ca="1"/>
        <v>72.629194663737607</v>
      </c>
      <c r="G108" s="26">
        <f ca="1"/>
        <v>107.42996462498562</v>
      </c>
      <c r="H108" s="26">
        <f ca="1"/>
        <v>105.01191850293731</v>
      </c>
      <c r="I108" s="26">
        <f ca="1"/>
        <v>102.593872380889</v>
      </c>
      <c r="J108" s="26">
        <f ca="1"/>
        <v>100.17582625884066</v>
      </c>
      <c r="K108" s="26">
        <f ca="1"/>
        <v>97.75778013679232</v>
      </c>
      <c r="M108" s="4" t="str">
        <f>'Library data'!$G$138</f>
        <v>% relative to RCP8.5</v>
      </c>
      <c r="Q108" s="4"/>
      <c r="R108" s="4"/>
    </row>
    <row r="109" spans="1:18" s="7" customFormat="1" x14ac:dyDescent="0.25">
      <c r="A109" s="4" t="str">
        <v>AF N2O</v>
      </c>
      <c r="B109" s="26">
        <f ca="1"/>
        <v>20.215716017215684</v>
      </c>
      <c r="C109" s="26">
        <f ca="1"/>
        <v>48.789609115606069</v>
      </c>
      <c r="D109" s="26">
        <f ca="1"/>
        <v>77.616928415591701</v>
      </c>
      <c r="E109" s="26">
        <f ca="1"/>
        <v>116.36325614679555</v>
      </c>
      <c r="F109" s="26">
        <f ca="1"/>
        <v>180.47122258822813</v>
      </c>
      <c r="G109" s="26">
        <f ca="1"/>
        <v>228.95583876450544</v>
      </c>
      <c r="H109" s="26">
        <f ca="1"/>
        <v>225.40065390556023</v>
      </c>
      <c r="I109" s="26">
        <f ca="1"/>
        <v>221.84546904661497</v>
      </c>
      <c r="J109" s="26">
        <f ca="1"/>
        <v>218.2902841876697</v>
      </c>
      <c r="K109" s="26">
        <f ca="1"/>
        <v>214.73509932872449</v>
      </c>
      <c r="M109" s="4" t="str">
        <f>'Library data'!$G$138</f>
        <v>% relative to RCP8.5</v>
      </c>
      <c r="Q109" s="4"/>
      <c r="R109" s="4"/>
    </row>
    <row r="110" spans="1:18" s="7" customFormat="1" ht="13" thickBot="1" x14ac:dyDescent="0.3">
      <c r="A110" s="4" t="str">
        <v>LA N2O</v>
      </c>
      <c r="B110" s="35">
        <f ca="1"/>
        <v>29.448770823009511</v>
      </c>
      <c r="C110" s="35">
        <f ca="1"/>
        <v>52.52966455584415</v>
      </c>
      <c r="D110" s="35">
        <f ca="1"/>
        <v>74.125608788140568</v>
      </c>
      <c r="E110" s="35">
        <f ca="1"/>
        <v>100.29001195047279</v>
      </c>
      <c r="F110" s="35">
        <f ca="1"/>
        <v>127.00580604683159</v>
      </c>
      <c r="G110" s="35">
        <f ca="1"/>
        <v>128.47649808623936</v>
      </c>
      <c r="H110" s="35">
        <f ca="1"/>
        <v>126.24474663298543</v>
      </c>
      <c r="I110" s="35">
        <f ca="1"/>
        <v>124.01299517973146</v>
      </c>
      <c r="J110" s="35">
        <f ca="1"/>
        <v>121.7812437264775</v>
      </c>
      <c r="K110" s="35">
        <f ca="1"/>
        <v>119.54949227322356</v>
      </c>
      <c r="M110" s="4" t="str">
        <f>'Library data'!$G$138</f>
        <v>% relative to RCP8.5</v>
      </c>
      <c r="Q110" s="4"/>
      <c r="R110" s="4"/>
    </row>
    <row r="111" spans="1:18" s="8" customFormat="1" ht="15.5" thickTop="1" x14ac:dyDescent="0.4">
      <c r="A111" s="8" t="s">
        <v>105</v>
      </c>
      <c r="B111" s="8" t="s">
        <v>263</v>
      </c>
      <c r="Q111" s="2"/>
      <c r="R111" s="2"/>
    </row>
    <row r="112" spans="1:18" s="7" customFormat="1" x14ac:dyDescent="0.25">
      <c r="A112" s="4" t="str">
        <f t="array" ref="A112:A119">R_CODE&amp;" "&amp;GLIN_NAME</f>
        <v>EU Lin</v>
      </c>
      <c r="B112" s="29">
        <f t="array" aca="1" ref="B112:B119" ca="1">IF(ZC_GLIN_1&lt;er_glin_1_a,0,ZC_GLIN_1-er_glin_1_a)</f>
        <v>68.441976305588014</v>
      </c>
      <c r="C112" s="29">
        <f t="array" aca="1" ref="C112:K119" ca="1">IF(ZC_GLIN_NOT_1-er_glin_not_1_a&lt;0,,ZC_GLIN_NOT_1-er_glin_not_1_a)</f>
        <v>126.01025936657199</v>
      </c>
      <c r="D112" s="29">
        <f ca="1"/>
        <v>149.73053878862328</v>
      </c>
      <c r="E112" s="29">
        <f ca="1"/>
        <v>167.61871095316585</v>
      </c>
      <c r="F112" s="29">
        <f ca="1"/>
        <v>163.19868104177041</v>
      </c>
      <c r="G112" s="29">
        <f ca="1"/>
        <v>174.31715714063463</v>
      </c>
      <c r="H112" s="29">
        <f ca="1"/>
        <v>174.31715714063463</v>
      </c>
      <c r="I112" s="29">
        <f ca="1"/>
        <v>174.31715714063463</v>
      </c>
      <c r="J112" s="29">
        <f ca="1"/>
        <v>174.31715714063463</v>
      </c>
      <c r="K112" s="29">
        <f ca="1"/>
        <v>174.31715714063463</v>
      </c>
      <c r="M112" s="4" t="str">
        <f>'Library data'!$G$138</f>
        <v>% relative to RCP8.5</v>
      </c>
      <c r="Q112" s="4"/>
      <c r="R112" s="4"/>
    </row>
    <row r="113" spans="1:18" s="7" customFormat="1" x14ac:dyDescent="0.25">
      <c r="A113" s="4" t="str">
        <v>US Lin</v>
      </c>
      <c r="B113" s="26">
        <f ca="1"/>
        <v>68.441976305588014</v>
      </c>
      <c r="C113" s="26">
        <f ca="1"/>
        <v>126.01025936657199</v>
      </c>
      <c r="D113" s="26">
        <f ca="1"/>
        <v>149.73053878862328</v>
      </c>
      <c r="E113" s="26">
        <f ca="1"/>
        <v>167.61871095316585</v>
      </c>
      <c r="F113" s="26">
        <f ca="1"/>
        <v>163.19868104177041</v>
      </c>
      <c r="G113" s="26">
        <f ca="1"/>
        <v>174.31715714063463</v>
      </c>
      <c r="H113" s="26">
        <f ca="1"/>
        <v>174.31715714063463</v>
      </c>
      <c r="I113" s="26">
        <f ca="1"/>
        <v>174.31715714063463</v>
      </c>
      <c r="J113" s="26">
        <f ca="1"/>
        <v>174.31715714063463</v>
      </c>
      <c r="K113" s="26">
        <f ca="1"/>
        <v>174.31715714063463</v>
      </c>
      <c r="M113" s="4" t="str">
        <f>'Library data'!$G$138</f>
        <v>% relative to RCP8.5</v>
      </c>
      <c r="Q113" s="4"/>
      <c r="R113" s="4"/>
    </row>
    <row r="114" spans="1:18" s="7" customFormat="1" x14ac:dyDescent="0.25">
      <c r="A114" s="4" t="str">
        <v>OT Lin</v>
      </c>
      <c r="B114" s="26">
        <f ca="1"/>
        <v>68.441976305588014</v>
      </c>
      <c r="C114" s="26">
        <f ca="1"/>
        <v>126.01025936657199</v>
      </c>
      <c r="D114" s="26">
        <f ca="1"/>
        <v>149.73053878862328</v>
      </c>
      <c r="E114" s="26">
        <f ca="1"/>
        <v>167.61871095316585</v>
      </c>
      <c r="F114" s="26">
        <f ca="1"/>
        <v>163.19868104177041</v>
      </c>
      <c r="G114" s="26">
        <f ca="1"/>
        <v>174.31715714063463</v>
      </c>
      <c r="H114" s="26">
        <f ca="1"/>
        <v>174.31715714063463</v>
      </c>
      <c r="I114" s="26">
        <f ca="1"/>
        <v>174.31715714063463</v>
      </c>
      <c r="J114" s="26">
        <f ca="1"/>
        <v>174.31715714063463</v>
      </c>
      <c r="K114" s="26">
        <f ca="1"/>
        <v>174.31715714063463</v>
      </c>
      <c r="M114" s="4" t="str">
        <f>'Library data'!$G$138</f>
        <v>% relative to RCP8.5</v>
      </c>
      <c r="Q114" s="4"/>
      <c r="R114" s="4"/>
    </row>
    <row r="115" spans="1:18" s="7" customFormat="1" x14ac:dyDescent="0.25">
      <c r="A115" s="4" t="str">
        <v>EE Lin</v>
      </c>
      <c r="B115" s="26">
        <f ca="1"/>
        <v>103.17948917513073</v>
      </c>
      <c r="C115" s="26">
        <f ca="1"/>
        <v>209.85197987695108</v>
      </c>
      <c r="D115" s="26">
        <f ca="1"/>
        <v>313.54549190289219</v>
      </c>
      <c r="E115" s="26">
        <f ca="1"/>
        <v>412.97036122389102</v>
      </c>
      <c r="F115" s="26">
        <f ca="1"/>
        <v>512.98899244900599</v>
      </c>
      <c r="G115" s="26">
        <f ca="1"/>
        <v>592.60516461491966</v>
      </c>
      <c r="H115" s="26">
        <f ca="1"/>
        <v>592.60516461491966</v>
      </c>
      <c r="I115" s="26">
        <f ca="1"/>
        <v>592.60516461491966</v>
      </c>
      <c r="J115" s="26">
        <f ca="1"/>
        <v>592.60516461491966</v>
      </c>
      <c r="K115" s="26">
        <f ca="1"/>
        <v>592.60516461491966</v>
      </c>
      <c r="M115" s="4" t="str">
        <f>'Library data'!$G$138</f>
        <v>% relative to RCP8.5</v>
      </c>
      <c r="Q115" s="4"/>
      <c r="R115" s="4"/>
    </row>
    <row r="116" spans="1:18" s="7" customFormat="1" x14ac:dyDescent="0.25">
      <c r="A116" s="4" t="str">
        <v>CA Lin</v>
      </c>
      <c r="B116" s="26">
        <f ca="1"/>
        <v>92.940153773543614</v>
      </c>
      <c r="C116" s="26">
        <f ca="1"/>
        <v>176.36300511836316</v>
      </c>
      <c r="D116" s="26">
        <f ca="1"/>
        <v>283.28473997606807</v>
      </c>
      <c r="E116" s="26">
        <f ca="1"/>
        <v>360.21230430058648</v>
      </c>
      <c r="F116" s="26">
        <f ca="1"/>
        <v>471.49348323229452</v>
      </c>
      <c r="G116" s="26">
        <f ca="1"/>
        <v>531.2859355068955</v>
      </c>
      <c r="H116" s="26">
        <f ca="1"/>
        <v>531.2859355068955</v>
      </c>
      <c r="I116" s="26">
        <f ca="1"/>
        <v>531.2859355068955</v>
      </c>
      <c r="J116" s="26">
        <f ca="1"/>
        <v>531.2859355068955</v>
      </c>
      <c r="K116" s="26">
        <f ca="1"/>
        <v>531.2859355068955</v>
      </c>
      <c r="M116" s="4" t="str">
        <f>'Library data'!$G$138</f>
        <v>% relative to RCP8.5</v>
      </c>
      <c r="Q116" s="4"/>
      <c r="R116" s="4"/>
    </row>
    <row r="117" spans="1:18" s="7" customFormat="1" x14ac:dyDescent="0.25">
      <c r="A117" s="4" t="str">
        <v>IA Lin</v>
      </c>
      <c r="B117" s="26">
        <f ca="1"/>
        <v>92.940153773543614</v>
      </c>
      <c r="C117" s="26">
        <f ca="1"/>
        <v>176.36300511836316</v>
      </c>
      <c r="D117" s="26">
        <f ca="1"/>
        <v>283.28473997606807</v>
      </c>
      <c r="E117" s="26">
        <f ca="1"/>
        <v>360.21230430058648</v>
      </c>
      <c r="F117" s="26">
        <f ca="1"/>
        <v>471.49348323229452</v>
      </c>
      <c r="G117" s="26">
        <f ca="1"/>
        <v>531.2859355068955</v>
      </c>
      <c r="H117" s="26">
        <f ca="1"/>
        <v>531.2859355068955</v>
      </c>
      <c r="I117" s="26">
        <f ca="1"/>
        <v>531.2859355068955</v>
      </c>
      <c r="J117" s="26">
        <f ca="1"/>
        <v>531.2859355068955</v>
      </c>
      <c r="K117" s="26">
        <f ca="1"/>
        <v>531.2859355068955</v>
      </c>
      <c r="M117" s="4" t="str">
        <f>'Library data'!$G$138</f>
        <v>% relative to RCP8.5</v>
      </c>
      <c r="Q117" s="4"/>
      <c r="R117" s="4"/>
    </row>
    <row r="118" spans="1:18" s="7" customFormat="1" x14ac:dyDescent="0.25">
      <c r="A118" s="4" t="str">
        <v>AF Lin</v>
      </c>
      <c r="B118" s="26">
        <f ca="1"/>
        <v>105.62577543071907</v>
      </c>
      <c r="C118" s="26">
        <f ca="1"/>
        <v>187.17586381129081</v>
      </c>
      <c r="D118" s="26">
        <f ca="1"/>
        <v>256.55902213243809</v>
      </c>
      <c r="E118" s="26">
        <f ca="1"/>
        <v>345.45164053501014</v>
      </c>
      <c r="F118" s="26">
        <f ca="1"/>
        <v>519.69444431789475</v>
      </c>
      <c r="G118" s="26">
        <f ca="1"/>
        <v>619.63261497736846</v>
      </c>
      <c r="H118" s="26">
        <f ca="1"/>
        <v>619.63261497736846</v>
      </c>
      <c r="I118" s="26">
        <f ca="1"/>
        <v>619.63261497736846</v>
      </c>
      <c r="J118" s="26">
        <f ca="1"/>
        <v>619.63261497736846</v>
      </c>
      <c r="K118" s="26">
        <f ca="1"/>
        <v>619.63261497736846</v>
      </c>
      <c r="M118" s="4" t="str">
        <f>'Library data'!$G$138</f>
        <v>% relative to RCP8.5</v>
      </c>
      <c r="Q118" s="4"/>
      <c r="R118" s="4"/>
    </row>
    <row r="119" spans="1:18" s="7" customFormat="1" ht="13" thickBot="1" x14ac:dyDescent="0.3">
      <c r="A119" s="4" t="str">
        <v>LA Lin</v>
      </c>
      <c r="B119" s="35">
        <f ca="1"/>
        <v>83.439007838425113</v>
      </c>
      <c r="C119" s="35">
        <f ca="1"/>
        <v>149.98662331744396</v>
      </c>
      <c r="D119" s="35">
        <f ca="1"/>
        <v>236.56291096421921</v>
      </c>
      <c r="E119" s="35">
        <f ca="1"/>
        <v>308.78149913139049</v>
      </c>
      <c r="F119" s="35">
        <f ca="1"/>
        <v>458.47738900422144</v>
      </c>
      <c r="G119" s="35">
        <f ca="1"/>
        <v>537.50290410848481</v>
      </c>
      <c r="H119" s="35">
        <f ca="1"/>
        <v>537.50290410848481</v>
      </c>
      <c r="I119" s="35">
        <f ca="1"/>
        <v>537.50290410848481</v>
      </c>
      <c r="J119" s="35">
        <f ca="1"/>
        <v>537.50290410848481</v>
      </c>
      <c r="K119" s="35">
        <f ca="1"/>
        <v>537.50290410848481</v>
      </c>
      <c r="M119" s="4" t="str">
        <f>'Library data'!$G$138</f>
        <v>% relative to RCP8.5</v>
      </c>
    </row>
    <row r="120" spans="1:18" s="2" customFormat="1" ht="15.5" thickTop="1" x14ac:dyDescent="0.4">
      <c r="A120" s="2" t="s">
        <v>105</v>
      </c>
      <c r="B120" s="2" t="s">
        <v>286</v>
      </c>
    </row>
    <row r="121" spans="1:18" s="6" customFormat="1" x14ac:dyDescent="0.25">
      <c r="A121" s="4" t="str">
        <f t="array" ref="A121:A128">R_CODE&amp;" "&amp;'Base data'!$B$12</f>
        <v>EU CO2</v>
      </c>
      <c r="B121" s="29">
        <f t="array" aca="1" ref="B121:K128" ca="1">cb_co2*E_CO2_0/100</f>
        <v>746.3972859794037</v>
      </c>
      <c r="C121" s="29">
        <f ca="1"/>
        <v>2834.1816933143568</v>
      </c>
      <c r="D121" s="29">
        <f ca="1"/>
        <v>4779.9153740654092</v>
      </c>
      <c r="E121" s="29">
        <f ca="1"/>
        <v>6041.1260857223351</v>
      </c>
      <c r="F121" s="29">
        <f ca="1"/>
        <v>8056.1010034766095</v>
      </c>
      <c r="G121" s="29">
        <f ca="1"/>
        <v>7681.4108091217731</v>
      </c>
      <c r="H121" s="29">
        <f ca="1"/>
        <v>7381.1200928716971</v>
      </c>
      <c r="I121" s="29">
        <f ca="1"/>
        <v>7080.8293766216211</v>
      </c>
      <c r="J121" s="29">
        <f ca="1"/>
        <v>6780.5386603715442</v>
      </c>
      <c r="K121" s="29">
        <f ca="1"/>
        <v>6480.2479441214691</v>
      </c>
      <c r="M121" s="4" t="str">
        <f t="shared" ref="M121:M128" si="0">EMIT_NAME</f>
        <v>Mtonne</v>
      </c>
      <c r="Q121" s="4"/>
      <c r="R121" s="4"/>
    </row>
    <row r="122" spans="1:18" s="6" customFormat="1" x14ac:dyDescent="0.25">
      <c r="A122" s="4" t="str">
        <v>US CO2</v>
      </c>
      <c r="B122" s="26">
        <f ca="1"/>
        <v>1048.7941934108144</v>
      </c>
      <c r="C122" s="26">
        <f ca="1"/>
        <v>3982.4278019967869</v>
      </c>
      <c r="D122" s="26">
        <f ca="1"/>
        <v>6716.4599650663913</v>
      </c>
      <c r="E122" s="26">
        <f ca="1"/>
        <v>8488.640137610324</v>
      </c>
      <c r="F122" s="26">
        <f ca="1"/>
        <v>11319.966072613026</v>
      </c>
      <c r="G122" s="26">
        <f ca="1"/>
        <v>10793.473134402951</v>
      </c>
      <c r="H122" s="26">
        <f ca="1"/>
        <v>10371.522029469614</v>
      </c>
      <c r="I122" s="26">
        <f ca="1"/>
        <v>9949.5709245362741</v>
      </c>
      <c r="J122" s="26">
        <f ca="1"/>
        <v>9527.6198196029382</v>
      </c>
      <c r="K122" s="26">
        <f ca="1"/>
        <v>9105.6687146695986</v>
      </c>
      <c r="M122" s="4" t="str">
        <f t="shared" si="0"/>
        <v>Mtonne</v>
      </c>
      <c r="Q122" s="4"/>
      <c r="R122" s="4"/>
    </row>
    <row r="123" spans="1:18" s="6" customFormat="1" x14ac:dyDescent="0.25">
      <c r="A123" s="4" t="str">
        <v>OT CO2</v>
      </c>
      <c r="B123" s="26">
        <f ca="1"/>
        <v>413.56237910520997</v>
      </c>
      <c r="C123" s="26">
        <f ca="1"/>
        <v>1570.35796608706</v>
      </c>
      <c r="D123" s="26">
        <f ca="1"/>
        <v>2648.4463584646646</v>
      </c>
      <c r="E123" s="26">
        <f ca="1"/>
        <v>3347.2555747674774</v>
      </c>
      <c r="F123" s="26">
        <f ca="1"/>
        <v>4463.7090191691723</v>
      </c>
      <c r="G123" s="26">
        <f ca="1"/>
        <v>4256.1013936920153</v>
      </c>
      <c r="H123" s="26">
        <f ca="1"/>
        <v>4089.7168885921183</v>
      </c>
      <c r="I123" s="26">
        <f ca="1"/>
        <v>3923.3323834922212</v>
      </c>
      <c r="J123" s="26">
        <f ca="1"/>
        <v>3756.9478783923246</v>
      </c>
      <c r="K123" s="26">
        <f ca="1"/>
        <v>3590.563373292428</v>
      </c>
      <c r="M123" s="4" t="str">
        <f t="shared" si="0"/>
        <v>Mtonne</v>
      </c>
      <c r="Q123" s="4"/>
      <c r="R123" s="4"/>
    </row>
    <row r="124" spans="1:18" s="6" customFormat="1" x14ac:dyDescent="0.25">
      <c r="A124" s="4" t="str">
        <v>EE CO2</v>
      </c>
      <c r="B124" s="26">
        <f ca="1"/>
        <v>1038.72513309294</v>
      </c>
      <c r="C124" s="26">
        <f ca="1"/>
        <v>3056.8796080901561</v>
      </c>
      <c r="D124" s="26">
        <f ca="1"/>
        <v>5075.8528836234354</v>
      </c>
      <c r="E124" s="26">
        <f ca="1"/>
        <v>6684.6098215492839</v>
      </c>
      <c r="F124" s="26">
        <f ca="1"/>
        <v>10296.151427189116</v>
      </c>
      <c r="G124" s="26">
        <f ca="1"/>
        <v>13753.700886047656</v>
      </c>
      <c r="H124" s="26">
        <f ca="1"/>
        <v>13192.030347096319</v>
      </c>
      <c r="I124" s="26">
        <f ca="1"/>
        <v>12630.359808144984</v>
      </c>
      <c r="J124" s="26">
        <f ca="1"/>
        <v>12068.689269193648</v>
      </c>
      <c r="K124" s="26">
        <f ca="1"/>
        <v>11507.018730242311</v>
      </c>
      <c r="M124" s="4" t="str">
        <f t="shared" si="0"/>
        <v>Mtonne</v>
      </c>
      <c r="Q124" s="4"/>
      <c r="R124" s="4"/>
    </row>
    <row r="125" spans="1:18" s="6" customFormat="1" x14ac:dyDescent="0.25">
      <c r="A125" s="4" t="str">
        <v>CA CO2</v>
      </c>
      <c r="B125" s="26">
        <f ca="1"/>
        <v>1005.2193568339079</v>
      </c>
      <c r="C125" s="26">
        <f ca="1"/>
        <v>4612.9850202051302</v>
      </c>
      <c r="D125" s="26">
        <f ca="1"/>
        <v>10386.638169304146</v>
      </c>
      <c r="E125" s="26">
        <f ca="1"/>
        <v>15341.154468567027</v>
      </c>
      <c r="F125" s="26">
        <f ca="1"/>
        <v>24051.387919599889</v>
      </c>
      <c r="G125" s="26">
        <f ca="1"/>
        <v>24864.092209953633</v>
      </c>
      <c r="H125" s="26">
        <f ca="1"/>
        <v>23854.414552488153</v>
      </c>
      <c r="I125" s="26">
        <f ca="1"/>
        <v>22844.73689502267</v>
      </c>
      <c r="J125" s="26">
        <f ca="1"/>
        <v>21835.059237557187</v>
      </c>
      <c r="K125" s="26">
        <f ca="1"/>
        <v>20825.381580091707</v>
      </c>
      <c r="M125" s="4" t="str">
        <f t="shared" si="0"/>
        <v>Mtonne</v>
      </c>
      <c r="Q125" s="4"/>
      <c r="R125" s="4"/>
    </row>
    <row r="126" spans="1:18" s="6" customFormat="1" x14ac:dyDescent="0.25">
      <c r="A126" s="4" t="str">
        <v>IA CO2</v>
      </c>
      <c r="B126" s="26">
        <f ca="1"/>
        <v>611.41530533390255</v>
      </c>
      <c r="C126" s="26">
        <f ca="1"/>
        <v>2805.8051463641423</v>
      </c>
      <c r="D126" s="26">
        <f ca="1"/>
        <v>6317.5758649135787</v>
      </c>
      <c r="E126" s="26">
        <f ca="1"/>
        <v>9331.114228755614</v>
      </c>
      <c r="F126" s="26">
        <f ca="1"/>
        <v>14629.032547565661</v>
      </c>
      <c r="G126" s="26">
        <f ca="1"/>
        <v>15123.352357918166</v>
      </c>
      <c r="H126" s="26">
        <f ca="1"/>
        <v>14509.225332775655</v>
      </c>
      <c r="I126" s="26">
        <f ca="1"/>
        <v>13895.098307633147</v>
      </c>
      <c r="J126" s="26">
        <f ca="1"/>
        <v>13280.971282490636</v>
      </c>
      <c r="K126" s="26">
        <f ca="1"/>
        <v>12666.844257348126</v>
      </c>
      <c r="M126" s="4" t="str">
        <f t="shared" si="0"/>
        <v>Mtonne</v>
      </c>
      <c r="Q126" s="4"/>
      <c r="R126" s="4"/>
    </row>
    <row r="127" spans="1:18" s="6" customFormat="1" x14ac:dyDescent="0.25">
      <c r="A127" s="4" t="str">
        <v>AF CO2</v>
      </c>
      <c r="B127" s="26">
        <f ca="1"/>
        <v>1908.2873847278941</v>
      </c>
      <c r="C127" s="26">
        <f ca="1"/>
        <v>3978.6737546645904</v>
      </c>
      <c r="D127" s="26">
        <f ca="1"/>
        <v>7564.1865811554899</v>
      </c>
      <c r="E127" s="26">
        <f ca="1"/>
        <v>11112.208462000739</v>
      </c>
      <c r="F127" s="26">
        <f ca="1"/>
        <v>18432.496930991281</v>
      </c>
      <c r="G127" s="26">
        <f ca="1"/>
        <v>23130.342367034089</v>
      </c>
      <c r="H127" s="26">
        <f ca="1"/>
        <v>22174.902013908388</v>
      </c>
      <c r="I127" s="26">
        <f ca="1"/>
        <v>21219.461660782687</v>
      </c>
      <c r="J127" s="26">
        <f ca="1"/>
        <v>20264.021307656978</v>
      </c>
      <c r="K127" s="26">
        <f ca="1"/>
        <v>19308.580954531273</v>
      </c>
      <c r="M127" s="4" t="str">
        <f t="shared" si="0"/>
        <v>Mtonne</v>
      </c>
      <c r="Q127" s="4"/>
      <c r="R127" s="4"/>
    </row>
    <row r="128" spans="1:18" s="6" customFormat="1" ht="13" thickBot="1" x14ac:dyDescent="0.3">
      <c r="A128" s="4" t="str">
        <v>LA CO2</v>
      </c>
      <c r="B128" s="35">
        <f ca="1"/>
        <v>1160.1766675642129</v>
      </c>
      <c r="C128" s="35">
        <f ca="1"/>
        <v>2955.1992484083194</v>
      </c>
      <c r="D128" s="35">
        <f ca="1"/>
        <v>4409.7640020235467</v>
      </c>
      <c r="E128" s="35">
        <f ca="1"/>
        <v>6203.2402354428204</v>
      </c>
      <c r="F128" s="35">
        <f ca="1"/>
        <v>8925.4374426957147</v>
      </c>
      <c r="G128" s="35">
        <f ca="1"/>
        <v>6719.8543168703127</v>
      </c>
      <c r="H128" s="35">
        <f ca="1"/>
        <v>6442.278659770901</v>
      </c>
      <c r="I128" s="35">
        <f ca="1"/>
        <v>6164.7030026714892</v>
      </c>
      <c r="J128" s="35">
        <f ca="1"/>
        <v>5887.1273455720766</v>
      </c>
      <c r="K128" s="35">
        <f ca="1"/>
        <v>5609.5516884726649</v>
      </c>
      <c r="M128" s="4" t="str">
        <f t="shared" si="0"/>
        <v>Mtonne</v>
      </c>
    </row>
    <row r="129" spans="1:18" s="8" customFormat="1" ht="15.5" thickTop="1" x14ac:dyDescent="0.4">
      <c r="A129" s="8" t="s">
        <v>105</v>
      </c>
      <c r="B129" s="2" t="s">
        <v>287</v>
      </c>
      <c r="C129" s="2"/>
      <c r="D129" s="2"/>
      <c r="E129" s="2"/>
      <c r="F129" s="2"/>
      <c r="G129" s="2"/>
      <c r="H129" s="2"/>
      <c r="I129" s="2"/>
      <c r="J129" s="2"/>
      <c r="K129" s="2"/>
      <c r="Q129" s="2"/>
      <c r="R129" s="2"/>
    </row>
    <row r="130" spans="1:18" s="7" customFormat="1" x14ac:dyDescent="0.25">
      <c r="A130" s="4" t="str">
        <f t="array" ref="A130:A137">R_CODE&amp;" "&amp;'Base data'!$C$12</f>
        <v>EU CH4</v>
      </c>
      <c r="B130" s="29">
        <f t="array" aca="1" ref="B130:K137" ca="1">cb_ch4*E_CH4_0/100</f>
        <v>12.645191392059239</v>
      </c>
      <c r="C130" s="29">
        <f ca="1"/>
        <v>16.058351665280753</v>
      </c>
      <c r="D130" s="29">
        <f ca="1"/>
        <v>18.807995501369771</v>
      </c>
      <c r="E130" s="29">
        <f ca="1"/>
        <v>22.402474641464845</v>
      </c>
      <c r="F130" s="29">
        <f ca="1"/>
        <v>28.882386961245309</v>
      </c>
      <c r="G130" s="29">
        <f ca="1"/>
        <v>34.409986855203634</v>
      </c>
      <c r="H130" s="29">
        <f ca="1"/>
        <v>32.133394975877493</v>
      </c>
      <c r="I130" s="29">
        <f ca="1"/>
        <v>29.856803096551342</v>
      </c>
      <c r="J130" s="29">
        <f ca="1"/>
        <v>27.580211217225198</v>
      </c>
      <c r="K130" s="29">
        <f ca="1"/>
        <v>25.303619337899054</v>
      </c>
      <c r="M130" s="4" t="str">
        <f t="shared" ref="M130:M137" si="1">EMIT_NAME</f>
        <v>Mtonne</v>
      </c>
      <c r="Q130" s="4"/>
      <c r="R130" s="4"/>
    </row>
    <row r="131" spans="1:18" s="7" customFormat="1" x14ac:dyDescent="0.25">
      <c r="A131" s="4" t="str">
        <v>US CH4</v>
      </c>
      <c r="B131" s="26">
        <f ca="1"/>
        <v>15.374396033644011</v>
      </c>
      <c r="C131" s="26">
        <f ca="1"/>
        <v>19.524216794740664</v>
      </c>
      <c r="D131" s="26">
        <f ca="1"/>
        <v>22.867314734250499</v>
      </c>
      <c r="E131" s="26">
        <f ca="1"/>
        <v>27.237588312647826</v>
      </c>
      <c r="F131" s="26">
        <f ca="1"/>
        <v>35.116056512832976</v>
      </c>
      <c r="G131" s="26">
        <f ca="1"/>
        <v>41.836675224749889</v>
      </c>
      <c r="H131" s="26">
        <f ca="1"/>
        <v>39.068727783344002</v>
      </c>
      <c r="I131" s="26">
        <f ca="1"/>
        <v>36.300780341938122</v>
      </c>
      <c r="J131" s="26">
        <f ca="1"/>
        <v>33.532832900532242</v>
      </c>
      <c r="K131" s="26">
        <f ca="1"/>
        <v>30.764885459126361</v>
      </c>
      <c r="M131" s="4" t="str">
        <f t="shared" si="1"/>
        <v>Mtonne</v>
      </c>
      <c r="Q131" s="4"/>
      <c r="R131" s="4"/>
    </row>
    <row r="132" spans="1:18" s="7" customFormat="1" x14ac:dyDescent="0.25">
      <c r="A132" s="4" t="str">
        <v>OT CH4</v>
      </c>
      <c r="B132" s="26">
        <f ca="1"/>
        <v>11.757679196095408</v>
      </c>
      <c r="C132" s="26">
        <f ca="1"/>
        <v>14.931284268027866</v>
      </c>
      <c r="D132" s="26">
        <f ca="1"/>
        <v>17.487942299203073</v>
      </c>
      <c r="E132" s="26">
        <f ca="1"/>
        <v>20.830140238004883</v>
      </c>
      <c r="F132" s="26">
        <f ca="1"/>
        <v>26.855255075147571</v>
      </c>
      <c r="G132" s="26">
        <f ca="1"/>
        <v>31.994896244860954</v>
      </c>
      <c r="H132" s="26">
        <f ca="1"/>
        <v>29.878088665786919</v>
      </c>
      <c r="I132" s="26">
        <f ca="1"/>
        <v>27.761281086712874</v>
      </c>
      <c r="J132" s="26">
        <f ca="1"/>
        <v>25.644473507638839</v>
      </c>
      <c r="K132" s="26">
        <f ca="1"/>
        <v>23.527665928564808</v>
      </c>
      <c r="M132" s="4" t="str">
        <f t="shared" si="1"/>
        <v>Mtonne</v>
      </c>
      <c r="Q132" s="4"/>
      <c r="R132" s="4"/>
    </row>
    <row r="133" spans="1:18" s="7" customFormat="1" x14ac:dyDescent="0.25">
      <c r="A133" s="4" t="str">
        <v>EE CH4</v>
      </c>
      <c r="B133" s="26">
        <f ca="1"/>
        <v>26.380680733398464</v>
      </c>
      <c r="C133" s="26">
        <f ca="1"/>
        <v>33.544836894027867</v>
      </c>
      <c r="D133" s="26">
        <f ca="1"/>
        <v>44.493752168955332</v>
      </c>
      <c r="E133" s="26">
        <f ca="1"/>
        <v>55.50031111523495</v>
      </c>
      <c r="F133" s="26">
        <f ca="1"/>
        <v>64.865410520410251</v>
      </c>
      <c r="G133" s="26">
        <f ca="1"/>
        <v>89.081824187465159</v>
      </c>
      <c r="H133" s="26">
        <f ca="1"/>
        <v>83.272393403727406</v>
      </c>
      <c r="I133" s="26">
        <f ca="1"/>
        <v>77.462962619989653</v>
      </c>
      <c r="J133" s="26">
        <f ca="1"/>
        <v>71.653531836251901</v>
      </c>
      <c r="K133" s="26">
        <f ca="1"/>
        <v>65.844101052514148</v>
      </c>
      <c r="M133" s="4" t="str">
        <f t="shared" si="1"/>
        <v>Mtonne</v>
      </c>
      <c r="Q133" s="4"/>
      <c r="R133" s="4"/>
    </row>
    <row r="134" spans="1:18" s="7" customFormat="1" x14ac:dyDescent="0.25">
      <c r="A134" s="4" t="str">
        <v>CA CH4</v>
      </c>
      <c r="B134" s="26">
        <f ca="1"/>
        <v>17.878499275773692</v>
      </c>
      <c r="C134" s="26">
        <f ca="1"/>
        <v>28.660567100219936</v>
      </c>
      <c r="D134" s="26">
        <f ca="1"/>
        <v>45.013500462851646</v>
      </c>
      <c r="E134" s="26">
        <f ca="1"/>
        <v>68.364728219296808</v>
      </c>
      <c r="F134" s="26">
        <f ca="1"/>
        <v>97.670267130764785</v>
      </c>
      <c r="G134" s="26">
        <f ca="1"/>
        <v>109.11384926842456</v>
      </c>
      <c r="H134" s="26">
        <f ca="1"/>
        <v>101.53359409363755</v>
      </c>
      <c r="I134" s="26">
        <f ca="1"/>
        <v>93.953338918850491</v>
      </c>
      <c r="J134" s="26">
        <f ca="1"/>
        <v>86.373083744063479</v>
      </c>
      <c r="K134" s="26">
        <f ca="1"/>
        <v>78.792828569276438</v>
      </c>
      <c r="M134" s="4" t="str">
        <f t="shared" si="1"/>
        <v>Mtonne</v>
      </c>
      <c r="Q134" s="4"/>
      <c r="R134" s="4"/>
    </row>
    <row r="135" spans="1:18" s="7" customFormat="1" x14ac:dyDescent="0.25">
      <c r="A135" s="4" t="str">
        <v>IA CH4</v>
      </c>
      <c r="B135" s="26">
        <f ca="1"/>
        <v>22.502249088473782</v>
      </c>
      <c r="C135" s="26">
        <f ca="1"/>
        <v>36.072782729587161</v>
      </c>
      <c r="D135" s="26">
        <f ca="1"/>
        <v>56.654922996347757</v>
      </c>
      <c r="E135" s="26">
        <f ca="1"/>
        <v>86.045261379459774</v>
      </c>
      <c r="F135" s="26">
        <f ca="1"/>
        <v>122.9298189749281</v>
      </c>
      <c r="G135" s="26">
        <f ca="1"/>
        <v>137.33294821715506</v>
      </c>
      <c r="H135" s="26">
        <f ca="1"/>
        <v>127.79228222130243</v>
      </c>
      <c r="I135" s="26">
        <f ca="1"/>
        <v>118.25161622544977</v>
      </c>
      <c r="J135" s="26">
        <f ca="1"/>
        <v>108.71095022959713</v>
      </c>
      <c r="K135" s="26">
        <f ca="1"/>
        <v>99.170284233744482</v>
      </c>
      <c r="M135" s="4" t="str">
        <f t="shared" si="1"/>
        <v>Mtonne</v>
      </c>
      <c r="Q135" s="4"/>
      <c r="R135" s="4"/>
    </row>
    <row r="136" spans="1:18" s="7" customFormat="1" x14ac:dyDescent="0.25">
      <c r="A136" s="4" t="str">
        <v>AF CH4</v>
      </c>
      <c r="B136" s="26">
        <f ca="1"/>
        <v>40.79560683383059</v>
      </c>
      <c r="C136" s="26">
        <f ca="1"/>
        <v>66.245817117693107</v>
      </c>
      <c r="D136" s="26">
        <f ca="1"/>
        <v>91.431693855446397</v>
      </c>
      <c r="E136" s="26">
        <f ca="1"/>
        <v>120.09019482009052</v>
      </c>
      <c r="F136" s="26">
        <f ca="1"/>
        <v>149.7540997404821</v>
      </c>
      <c r="G136" s="26">
        <f ca="1"/>
        <v>164.73591223362359</v>
      </c>
      <c r="H136" s="26">
        <f ca="1"/>
        <v>153.4200566568723</v>
      </c>
      <c r="I136" s="26">
        <f ca="1"/>
        <v>142.10420108012099</v>
      </c>
      <c r="J136" s="26">
        <f ca="1"/>
        <v>130.7883455033697</v>
      </c>
      <c r="K136" s="26">
        <f ca="1"/>
        <v>119.47248992661838</v>
      </c>
      <c r="M136" s="4" t="str">
        <f t="shared" si="1"/>
        <v>Mtonne</v>
      </c>
      <c r="Q136" s="4"/>
      <c r="R136" s="4"/>
    </row>
    <row r="137" spans="1:18" s="7" customFormat="1" ht="13" thickBot="1" x14ac:dyDescent="0.3">
      <c r="A137" s="4" t="str">
        <v>LA CH4</v>
      </c>
      <c r="B137" s="35">
        <f ca="1"/>
        <v>33.547414873490453</v>
      </c>
      <c r="C137" s="35">
        <f ca="1"/>
        <v>49.565312703003038</v>
      </c>
      <c r="D137" s="35">
        <f ca="1"/>
        <v>62.199251890067607</v>
      </c>
      <c r="E137" s="35">
        <f ca="1"/>
        <v>74.548006100728458</v>
      </c>
      <c r="F137" s="35">
        <f ca="1"/>
        <v>77.274595601278207</v>
      </c>
      <c r="G137" s="35">
        <f ca="1"/>
        <v>75.668710156619596</v>
      </c>
      <c r="H137" s="35">
        <f ca="1"/>
        <v>70.02447301834863</v>
      </c>
      <c r="I137" s="35">
        <f ca="1"/>
        <v>64.380235880077649</v>
      </c>
      <c r="J137" s="35">
        <f ca="1"/>
        <v>58.735998741806682</v>
      </c>
      <c r="K137" s="35">
        <f ca="1"/>
        <v>53.091761603535723</v>
      </c>
      <c r="M137" s="4" t="str">
        <f t="shared" si="1"/>
        <v>Mtonne</v>
      </c>
    </row>
    <row r="138" spans="1:18" s="8" customFormat="1" ht="15.5" thickTop="1" x14ac:dyDescent="0.4">
      <c r="A138" s="8" t="s">
        <v>105</v>
      </c>
      <c r="B138" s="8" t="s">
        <v>288</v>
      </c>
      <c r="Q138" s="2"/>
      <c r="R138" s="2"/>
    </row>
    <row r="139" spans="1:18" s="7" customFormat="1" x14ac:dyDescent="0.25">
      <c r="A139" s="4" t="str">
        <f t="array" ref="A139:A146">R_CODE&amp;" "&amp;'Base data'!$D$12</f>
        <v>EU N2O</v>
      </c>
      <c r="B139" s="29">
        <f t="array" aca="1" ref="B139:K146" ca="1">cb_n2o*E_N2O_0/100</f>
        <v>0.39707991053163033</v>
      </c>
      <c r="C139" s="29">
        <f ca="1"/>
        <v>0.5388081408508989</v>
      </c>
      <c r="D139" s="29">
        <f ca="1"/>
        <v>0.72427093540630905</v>
      </c>
      <c r="E139" s="29">
        <f ca="1"/>
        <v>0.88983193913109171</v>
      </c>
      <c r="F139" s="29">
        <f ca="1"/>
        <v>1.1089914124374145</v>
      </c>
      <c r="G139" s="29">
        <f ca="1"/>
        <v>1.2573613903436422</v>
      </c>
      <c r="H139" s="29">
        <f ca="1"/>
        <v>1.2344480649348248</v>
      </c>
      <c r="I139" s="29">
        <f ca="1"/>
        <v>1.2115347395260074</v>
      </c>
      <c r="J139" s="29">
        <f ca="1"/>
        <v>1.18862141411719</v>
      </c>
      <c r="K139" s="29">
        <f ca="1"/>
        <v>1.1657080887083726</v>
      </c>
      <c r="M139" s="4" t="str">
        <f t="shared" ref="M139:M146" si="2">EMIT_NAME</f>
        <v>Mtonne</v>
      </c>
      <c r="Q139" s="4"/>
      <c r="R139" s="4"/>
    </row>
    <row r="140" spans="1:18" s="7" customFormat="1" x14ac:dyDescent="0.25">
      <c r="A140" s="4" t="str">
        <v>US N2O</v>
      </c>
      <c r="B140" s="26">
        <f ca="1"/>
        <v>0.3502321460102793</v>
      </c>
      <c r="C140" s="26">
        <f ca="1"/>
        <v>0.47523918096326662</v>
      </c>
      <c r="D140" s="26">
        <f ca="1"/>
        <v>0.63882094579050197</v>
      </c>
      <c r="E140" s="26">
        <f ca="1"/>
        <v>0.78484894693645157</v>
      </c>
      <c r="F140" s="26">
        <f ca="1"/>
        <v>0.97815183287643848</v>
      </c>
      <c r="G140" s="26">
        <f ca="1"/>
        <v>1.1090170174082472</v>
      </c>
      <c r="H140" s="26">
        <f ca="1"/>
        <v>1.0888070220966795</v>
      </c>
      <c r="I140" s="26">
        <f ca="1"/>
        <v>1.0685970267851119</v>
      </c>
      <c r="J140" s="26">
        <f ca="1"/>
        <v>1.0483870314735442</v>
      </c>
      <c r="K140" s="26">
        <f ca="1"/>
        <v>1.0281770361619764</v>
      </c>
      <c r="M140" s="4" t="str">
        <f t="shared" si="2"/>
        <v>Mtonne</v>
      </c>
      <c r="Q140" s="4"/>
      <c r="R140" s="4"/>
    </row>
    <row r="141" spans="1:18" s="7" customFormat="1" x14ac:dyDescent="0.25">
      <c r="A141" s="4" t="str">
        <v>OT N2O</v>
      </c>
      <c r="B141" s="26">
        <f ca="1"/>
        <v>0.18825500988422927</v>
      </c>
      <c r="C141" s="26">
        <f ca="1"/>
        <v>0.25544815839659374</v>
      </c>
      <c r="D141" s="26">
        <f ca="1"/>
        <v>0.34337580040558008</v>
      </c>
      <c r="E141" s="26">
        <f ca="1"/>
        <v>0.42186803223600189</v>
      </c>
      <c r="F141" s="26">
        <f ca="1"/>
        <v>0.5257712207863019</v>
      </c>
      <c r="G141" s="26">
        <f ca="1"/>
        <v>0.59611321220023139</v>
      </c>
      <c r="H141" s="26">
        <f ca="1"/>
        <v>0.58525003784436358</v>
      </c>
      <c r="I141" s="26">
        <f ca="1"/>
        <v>0.57438686348849577</v>
      </c>
      <c r="J141" s="26">
        <f ca="1"/>
        <v>0.56352368913262796</v>
      </c>
      <c r="K141" s="26">
        <f ca="1"/>
        <v>0.55266051477676026</v>
      </c>
      <c r="M141" s="4" t="str">
        <f t="shared" si="2"/>
        <v>Mtonne</v>
      </c>
      <c r="Q141" s="4"/>
      <c r="R141" s="4"/>
    </row>
    <row r="142" spans="1:18" s="7" customFormat="1" x14ac:dyDescent="0.25">
      <c r="A142" s="4" t="str">
        <v>EE N2O</v>
      </c>
      <c r="B142" s="26">
        <f ca="1"/>
        <v>0</v>
      </c>
      <c r="C142" s="26">
        <f ca="1"/>
        <v>4.1662595631000353E-2</v>
      </c>
      <c r="D142" s="26">
        <f ca="1"/>
        <v>0.10093415042712792</v>
      </c>
      <c r="E142" s="26">
        <f ca="1"/>
        <v>0.14438341802111501</v>
      </c>
      <c r="F142" s="26">
        <f ca="1"/>
        <v>0.17273451185680591</v>
      </c>
      <c r="G142" s="26">
        <f ca="1"/>
        <v>0.34903398484394288</v>
      </c>
      <c r="H142" s="26">
        <f ca="1"/>
        <v>0.33769330167283806</v>
      </c>
      <c r="I142" s="26">
        <f ca="1"/>
        <v>0.32635261850173303</v>
      </c>
      <c r="J142" s="26">
        <f ca="1"/>
        <v>0.31501193533062799</v>
      </c>
      <c r="K142" s="26">
        <f ca="1"/>
        <v>0.30367125215952312</v>
      </c>
      <c r="M142" s="4" t="str">
        <f t="shared" si="2"/>
        <v>Mtonne</v>
      </c>
      <c r="Q142" s="4"/>
      <c r="R142" s="4"/>
    </row>
    <row r="143" spans="1:18" s="7" customFormat="1" x14ac:dyDescent="0.25">
      <c r="A143" s="4" t="str">
        <v>CA N2O</v>
      </c>
      <c r="B143" s="26">
        <f ca="1"/>
        <v>0</v>
      </c>
      <c r="C143" s="26">
        <f ca="1"/>
        <v>5.3882723939658421E-2</v>
      </c>
      <c r="D143" s="26">
        <f ca="1"/>
        <v>0.52036665444382679</v>
      </c>
      <c r="E143" s="26">
        <f ca="1"/>
        <v>1.1882582003953674</v>
      </c>
      <c r="F143" s="26">
        <f ca="1"/>
        <v>1.8084098492581651</v>
      </c>
      <c r="G143" s="26">
        <f ca="1"/>
        <v>2.6749216624630878</v>
      </c>
      <c r="H143" s="26">
        <f ca="1"/>
        <v>2.6147142149852773</v>
      </c>
      <c r="I143" s="26">
        <f ca="1"/>
        <v>2.5545067675074664</v>
      </c>
      <c r="J143" s="26">
        <f ca="1"/>
        <v>2.494299320029655</v>
      </c>
      <c r="K143" s="26">
        <f ca="1"/>
        <v>2.4340918725518437</v>
      </c>
      <c r="M143" s="4" t="str">
        <f t="shared" si="2"/>
        <v>Mtonne</v>
      </c>
      <c r="Q143" s="4"/>
      <c r="R143" s="4"/>
    </row>
    <row r="144" spans="1:18" s="7" customFormat="1" x14ac:dyDescent="0.25">
      <c r="A144" s="4" t="str">
        <v>IA N2O</v>
      </c>
      <c r="B144" s="26">
        <f ca="1"/>
        <v>0</v>
      </c>
      <c r="C144" s="26">
        <f ca="1"/>
        <v>2.2589470401233311E-2</v>
      </c>
      <c r="D144" s="26">
        <f ca="1"/>
        <v>0.2181553989644523</v>
      </c>
      <c r="E144" s="26">
        <f ca="1"/>
        <v>0.49815824970009998</v>
      </c>
      <c r="F144" s="26">
        <f ca="1"/>
        <v>0.75814691196502793</v>
      </c>
      <c r="G144" s="26">
        <f ca="1"/>
        <v>1.1214181337138016</v>
      </c>
      <c r="H144" s="26">
        <f ca="1"/>
        <v>1.0961771241045455</v>
      </c>
      <c r="I144" s="26">
        <f ca="1"/>
        <v>1.0709361144952894</v>
      </c>
      <c r="J144" s="26">
        <f ca="1"/>
        <v>1.045695104886033</v>
      </c>
      <c r="K144" s="26">
        <f ca="1"/>
        <v>1.0204540952767764</v>
      </c>
      <c r="M144" s="4" t="str">
        <f t="shared" si="2"/>
        <v>Mtonne</v>
      </c>
      <c r="Q144" s="4"/>
      <c r="R144" s="4"/>
    </row>
    <row r="145" spans="1:18" s="7" customFormat="1" x14ac:dyDescent="0.25">
      <c r="A145" s="4" t="str">
        <v>AF N2O</v>
      </c>
      <c r="B145" s="26">
        <f ca="1"/>
        <v>0.40558794100496648</v>
      </c>
      <c r="C145" s="26">
        <f ca="1"/>
        <v>0.97886600142107072</v>
      </c>
      <c r="D145" s="26">
        <f ca="1"/>
        <v>1.5572285521027778</v>
      </c>
      <c r="E145" s="26">
        <f ca="1"/>
        <v>2.3345961839303957</v>
      </c>
      <c r="F145" s="26">
        <f ca="1"/>
        <v>3.6207944115298214</v>
      </c>
      <c r="G145" s="26">
        <f ca="1"/>
        <v>4.5935413391482101</v>
      </c>
      <c r="H145" s="26">
        <f ca="1"/>
        <v>4.5222136599503191</v>
      </c>
      <c r="I145" s="26">
        <f ca="1"/>
        <v>4.4508859807524281</v>
      </c>
      <c r="J145" s="26">
        <f ca="1"/>
        <v>4.3795583015545363</v>
      </c>
      <c r="K145" s="26">
        <f ca="1"/>
        <v>4.3082306223566453</v>
      </c>
      <c r="M145" s="4" t="str">
        <f t="shared" si="2"/>
        <v>Mtonne</v>
      </c>
      <c r="Q145" s="4"/>
      <c r="R145" s="4"/>
    </row>
    <row r="146" spans="1:18" s="7" customFormat="1" ht="13" thickBot="1" x14ac:dyDescent="0.3">
      <c r="A146" s="4" t="str">
        <v>LA N2O</v>
      </c>
      <c r="B146" s="35">
        <f ca="1"/>
        <v>0.568305541388192</v>
      </c>
      <c r="C146" s="35">
        <f ca="1"/>
        <v>1.0137231069428492</v>
      </c>
      <c r="D146" s="35">
        <f ca="1"/>
        <v>1.4304839575904749</v>
      </c>
      <c r="E146" s="35">
        <f ca="1"/>
        <v>1.9354074192057247</v>
      </c>
      <c r="F146" s="35">
        <f ca="1"/>
        <v>2.4509716822711214</v>
      </c>
      <c r="G146" s="35">
        <f ca="1"/>
        <v>2.4793532551623705</v>
      </c>
      <c r="H146" s="35">
        <f ca="1"/>
        <v>2.436284675984377</v>
      </c>
      <c r="I146" s="35">
        <f ca="1"/>
        <v>2.3932160968063836</v>
      </c>
      <c r="J146" s="35">
        <f ca="1"/>
        <v>2.3501475176283897</v>
      </c>
      <c r="K146" s="35">
        <f ca="1"/>
        <v>2.3070789384503967</v>
      </c>
      <c r="M146" s="4" t="str">
        <f t="shared" si="2"/>
        <v>Mtonne</v>
      </c>
    </row>
    <row r="147" spans="1:18" s="8" customFormat="1" ht="15.5" thickTop="1" x14ac:dyDescent="0.4">
      <c r="A147" s="8" t="s">
        <v>105</v>
      </c>
      <c r="B147" s="8" t="s">
        <v>289</v>
      </c>
      <c r="Q147" s="2"/>
      <c r="R147" s="2"/>
    </row>
    <row r="148" spans="1:18" s="7" customFormat="1" x14ac:dyDescent="0.25">
      <c r="A148" s="4" t="str">
        <f t="array" ref="A148:A155">R_CODE&amp;" "&amp;GLIN_NAME</f>
        <v>EU Lin</v>
      </c>
      <c r="B148" s="29">
        <f t="array" aca="1" ref="B148:K155" ca="1">cb_glin*E_GLIN_0/100</f>
        <v>56.918699312148227</v>
      </c>
      <c r="C148" s="29">
        <f ca="1"/>
        <v>104.79446167813434</v>
      </c>
      <c r="D148" s="29">
        <f ca="1"/>
        <v>124.52106112633938</v>
      </c>
      <c r="E148" s="29">
        <f ca="1"/>
        <v>139.3974797752031</v>
      </c>
      <c r="F148" s="29">
        <f ca="1"/>
        <v>135.72163101896433</v>
      </c>
      <c r="G148" s="29">
        <f ca="1"/>
        <v>144.96813779800499</v>
      </c>
      <c r="H148" s="29">
        <f ca="1"/>
        <v>144.96813779800499</v>
      </c>
      <c r="I148" s="29">
        <f ca="1"/>
        <v>144.96813779800499</v>
      </c>
      <c r="J148" s="29">
        <f ca="1"/>
        <v>144.96813779800499</v>
      </c>
      <c r="K148" s="29">
        <f ca="1"/>
        <v>144.96813779800499</v>
      </c>
      <c r="M148" s="4" t="str">
        <f t="shared" ref="M148:M155" si="3">EMIT_NAME</f>
        <v>Mtonne</v>
      </c>
      <c r="Q148" s="4"/>
      <c r="R148" s="4"/>
    </row>
    <row r="149" spans="1:18" s="7" customFormat="1" x14ac:dyDescent="0.25">
      <c r="A149" s="4" t="str">
        <v>US Lin</v>
      </c>
      <c r="B149" s="26">
        <f ca="1"/>
        <v>148.1714230689914</v>
      </c>
      <c r="C149" s="26">
        <f ca="1"/>
        <v>272.80216702499354</v>
      </c>
      <c r="D149" s="26">
        <f ca="1"/>
        <v>324.15468118774567</v>
      </c>
      <c r="E149" s="26">
        <f ca="1"/>
        <v>362.88114802571437</v>
      </c>
      <c r="F149" s="26">
        <f ca="1"/>
        <v>353.31213559604993</v>
      </c>
      <c r="G149" s="26">
        <f ca="1"/>
        <v>377.38275007643233</v>
      </c>
      <c r="H149" s="26">
        <f ca="1"/>
        <v>377.38275007643233</v>
      </c>
      <c r="I149" s="26">
        <f ca="1"/>
        <v>377.38275007643233</v>
      </c>
      <c r="J149" s="26">
        <f ca="1"/>
        <v>377.38275007643233</v>
      </c>
      <c r="K149" s="26">
        <f ca="1"/>
        <v>377.38275007643233</v>
      </c>
      <c r="M149" s="4" t="str">
        <f t="shared" si="3"/>
        <v>Mtonne</v>
      </c>
      <c r="Q149" s="4"/>
      <c r="R149" s="4"/>
    </row>
    <row r="150" spans="1:18" s="7" customFormat="1" x14ac:dyDescent="0.25">
      <c r="A150" s="4" t="str">
        <v>OT Lin</v>
      </c>
      <c r="B150" s="26">
        <f ca="1"/>
        <v>53.366020770442077</v>
      </c>
      <c r="C150" s="26">
        <f ca="1"/>
        <v>98.253535061877386</v>
      </c>
      <c r="D150" s="26">
        <f ca="1"/>
        <v>116.7488648674623</v>
      </c>
      <c r="E150" s="26">
        <f ca="1"/>
        <v>130.6967462526508</v>
      </c>
      <c r="F150" s="26">
        <f ca="1"/>
        <v>127.2503319205409</v>
      </c>
      <c r="G150" s="26">
        <f ca="1"/>
        <v>135.91970207108122</v>
      </c>
      <c r="H150" s="26">
        <f ca="1"/>
        <v>135.91970207108122</v>
      </c>
      <c r="I150" s="26">
        <f ca="1"/>
        <v>135.91970207108122</v>
      </c>
      <c r="J150" s="26">
        <f ca="1"/>
        <v>135.91970207108122</v>
      </c>
      <c r="K150" s="26">
        <f ca="1"/>
        <v>135.91970207108122</v>
      </c>
      <c r="M150" s="4" t="str">
        <f t="shared" si="3"/>
        <v>Mtonne</v>
      </c>
      <c r="Q150" s="4"/>
      <c r="R150" s="4"/>
    </row>
    <row r="151" spans="1:18" s="7" customFormat="1" x14ac:dyDescent="0.25">
      <c r="A151" s="4" t="str">
        <v>EE Lin</v>
      </c>
      <c r="B151" s="26">
        <f ca="1"/>
        <v>28.771798422431548</v>
      </c>
      <c r="C151" s="26">
        <f ca="1"/>
        <v>58.517627019063482</v>
      </c>
      <c r="D151" s="26">
        <f ca="1"/>
        <v>87.432761699178357</v>
      </c>
      <c r="E151" s="26">
        <f ca="1"/>
        <v>115.15757717510022</v>
      </c>
      <c r="F151" s="26">
        <f ca="1"/>
        <v>143.04796429663426</v>
      </c>
      <c r="G151" s="26">
        <f ca="1"/>
        <v>165.2490865839832</v>
      </c>
      <c r="H151" s="26">
        <f ca="1"/>
        <v>165.2490865839832</v>
      </c>
      <c r="I151" s="26">
        <f ca="1"/>
        <v>165.2490865839832</v>
      </c>
      <c r="J151" s="26">
        <f ca="1"/>
        <v>165.2490865839832</v>
      </c>
      <c r="K151" s="26">
        <f ca="1"/>
        <v>165.2490865839832</v>
      </c>
      <c r="M151" s="4" t="str">
        <f t="shared" si="3"/>
        <v>Mtonne</v>
      </c>
      <c r="Q151" s="4"/>
      <c r="R151" s="4"/>
    </row>
    <row r="152" spans="1:18" s="7" customFormat="1" x14ac:dyDescent="0.25">
      <c r="A152" s="4" t="str">
        <v>CA Lin</v>
      </c>
      <c r="B152" s="26">
        <f ca="1"/>
        <v>83.795342316711583</v>
      </c>
      <c r="C152" s="26">
        <f ca="1"/>
        <v>159.00983359577808</v>
      </c>
      <c r="D152" s="26">
        <f ca="1"/>
        <v>255.41104458719437</v>
      </c>
      <c r="E152" s="26">
        <f ca="1"/>
        <v>324.76935016812229</v>
      </c>
      <c r="F152" s="26">
        <f ca="1"/>
        <v>425.10105937435475</v>
      </c>
      <c r="G152" s="26">
        <f ca="1"/>
        <v>479.01025580751229</v>
      </c>
      <c r="H152" s="26">
        <f ca="1"/>
        <v>479.01025580751229</v>
      </c>
      <c r="I152" s="26">
        <f ca="1"/>
        <v>479.01025580751229</v>
      </c>
      <c r="J152" s="26">
        <f ca="1"/>
        <v>479.01025580751229</v>
      </c>
      <c r="K152" s="26">
        <f ca="1"/>
        <v>479.01025580751229</v>
      </c>
      <c r="M152" s="4" t="str">
        <f t="shared" si="3"/>
        <v>Mtonne</v>
      </c>
      <c r="Q152" s="4"/>
      <c r="R152" s="4"/>
    </row>
    <row r="153" spans="1:18" s="7" customFormat="1" x14ac:dyDescent="0.25">
      <c r="A153" s="4" t="str">
        <v>IA Lin</v>
      </c>
      <c r="B153" s="26">
        <f ca="1"/>
        <v>58.533908602680476</v>
      </c>
      <c r="C153" s="26">
        <f ca="1"/>
        <v>111.0737996802298</v>
      </c>
      <c r="D153" s="26">
        <f ca="1"/>
        <v>178.41333810030173</v>
      </c>
      <c r="E153" s="26">
        <f ca="1"/>
        <v>226.86248345215688</v>
      </c>
      <c r="F153" s="26">
        <f ca="1"/>
        <v>296.94760911978119</v>
      </c>
      <c r="G153" s="26">
        <f ca="1"/>
        <v>334.60502407413333</v>
      </c>
      <c r="H153" s="26">
        <f ca="1"/>
        <v>334.60502407413333</v>
      </c>
      <c r="I153" s="26">
        <f ca="1"/>
        <v>334.60502407413333</v>
      </c>
      <c r="J153" s="26">
        <f ca="1"/>
        <v>334.60502407413333</v>
      </c>
      <c r="K153" s="26">
        <f ca="1"/>
        <v>334.60502407413333</v>
      </c>
      <c r="M153" s="4" t="str">
        <f t="shared" si="3"/>
        <v>Mtonne</v>
      </c>
      <c r="Q153" s="4"/>
      <c r="R153" s="4"/>
    </row>
    <row r="154" spans="1:18" s="7" customFormat="1" x14ac:dyDescent="0.25">
      <c r="A154" s="4" t="str">
        <v>AF Lin</v>
      </c>
      <c r="B154" s="26">
        <f ca="1"/>
        <v>41.320518944711552</v>
      </c>
      <c r="C154" s="26">
        <f ca="1"/>
        <v>73.222693940648298</v>
      </c>
      <c r="D154" s="26">
        <f ca="1"/>
        <v>100.36519865753291</v>
      </c>
      <c r="E154" s="26">
        <f ca="1"/>
        <v>135.1397516278702</v>
      </c>
      <c r="F154" s="26">
        <f ca="1"/>
        <v>203.30306730845197</v>
      </c>
      <c r="G154" s="26">
        <f ca="1"/>
        <v>242.398610580872</v>
      </c>
      <c r="H154" s="26">
        <f ca="1"/>
        <v>242.398610580872</v>
      </c>
      <c r="I154" s="26">
        <f ca="1"/>
        <v>242.398610580872</v>
      </c>
      <c r="J154" s="26">
        <f ca="1"/>
        <v>242.398610580872</v>
      </c>
      <c r="K154" s="26">
        <f ca="1"/>
        <v>242.398610580872</v>
      </c>
      <c r="M154" s="4" t="str">
        <f t="shared" si="3"/>
        <v>Mtonne</v>
      </c>
      <c r="Q154" s="4"/>
      <c r="R154" s="4"/>
    </row>
    <row r="155" spans="1:18" s="7" customFormat="1" ht="13" thickBot="1" x14ac:dyDescent="0.3">
      <c r="A155" s="4" t="str">
        <v>LA Lin</v>
      </c>
      <c r="B155" s="35">
        <f ca="1"/>
        <v>27.904099323091806</v>
      </c>
      <c r="C155" s="35">
        <f ca="1"/>
        <v>50.159292908774702</v>
      </c>
      <c r="D155" s="35">
        <f ca="1"/>
        <v>79.112577374935981</v>
      </c>
      <c r="E155" s="35">
        <f ca="1"/>
        <v>103.26428662215665</v>
      </c>
      <c r="F155" s="35">
        <f ca="1"/>
        <v>153.32635096691564</v>
      </c>
      <c r="G155" s="35">
        <f ca="1"/>
        <v>179.7544674996287</v>
      </c>
      <c r="H155" s="35">
        <f ca="1"/>
        <v>179.7544674996287</v>
      </c>
      <c r="I155" s="35">
        <f ca="1"/>
        <v>179.7544674996287</v>
      </c>
      <c r="J155" s="35">
        <f ca="1"/>
        <v>179.7544674996287</v>
      </c>
      <c r="K155" s="35">
        <f ca="1"/>
        <v>179.7544674996287</v>
      </c>
      <c r="M155" s="4" t="str">
        <f t="shared" si="3"/>
        <v>Mtonne</v>
      </c>
    </row>
    <row r="156" spans="1:18" s="2" customFormat="1" ht="15.5" thickTop="1" x14ac:dyDescent="0.4">
      <c r="A156" s="2" t="s">
        <v>285</v>
      </c>
      <c r="B156" s="2" t="s">
        <v>290</v>
      </c>
    </row>
    <row r="157" spans="1:18" s="6" customFormat="1" x14ac:dyDescent="0.25">
      <c r="A157" s="4" t="str">
        <f t="array" ref="A157:A164">R_CODE&amp;" "&amp;'Base data'!$B$12</f>
        <v>EU CO2</v>
      </c>
      <c r="B157" s="27">
        <f t="array" ref="B157:B164">0</f>
        <v>0</v>
      </c>
      <c r="C157" s="27">
        <f t="array" ref="C157:K164" ca="1">cumcbe_co2+cbe_co2*YAGG</f>
        <v>7463.9728597940375</v>
      </c>
      <c r="D157" s="27">
        <f ca="1"/>
        <v>35805.789792937605</v>
      </c>
      <c r="E157" s="27">
        <f ca="1"/>
        <v>83604.943533591693</v>
      </c>
      <c r="F157" s="27">
        <f ca="1"/>
        <v>189324.65003373256</v>
      </c>
      <c r="G157" s="27">
        <f ca="1"/>
        <v>390727.17512064776</v>
      </c>
      <c r="H157" s="27">
        <f ca="1"/>
        <v>678780.08046271419</v>
      </c>
      <c r="I157" s="27">
        <f ca="1"/>
        <v>1047836.085106299</v>
      </c>
      <c r="J157" s="27">
        <f ca="1"/>
        <v>1401877.5539373802</v>
      </c>
      <c r="K157" s="27">
        <f ca="1"/>
        <v>1740904.4869559575</v>
      </c>
      <c r="M157" s="4" t="str">
        <f t="shared" ref="M157:M165" si="4">EMIT_NAME</f>
        <v>Mtonne</v>
      </c>
      <c r="Q157" s="4"/>
      <c r="R157" s="4"/>
    </row>
    <row r="158" spans="1:18" s="6" customFormat="1" x14ac:dyDescent="0.25">
      <c r="A158" s="4" t="str">
        <v>US CO2</v>
      </c>
      <c r="B158" s="28">
        <v>0</v>
      </c>
      <c r="C158" s="28">
        <f ca="1"/>
        <v>10487.941934108145</v>
      </c>
      <c r="D158" s="28">
        <f ca="1"/>
        <v>50312.219954076012</v>
      </c>
      <c r="E158" s="28">
        <f ca="1"/>
        <v>117476.81960473993</v>
      </c>
      <c r="F158" s="28">
        <f ca="1"/>
        <v>266028.02201292058</v>
      </c>
      <c r="G158" s="28">
        <f ca="1"/>
        <v>549027.1738282463</v>
      </c>
      <c r="H158" s="28">
        <f ca="1"/>
        <v>953782.41636835691</v>
      </c>
      <c r="I158" s="28">
        <f ca="1"/>
        <v>1472358.5178418376</v>
      </c>
      <c r="J158" s="28">
        <f ca="1"/>
        <v>1969837.0640686513</v>
      </c>
      <c r="K158" s="28">
        <f ca="1"/>
        <v>2446218.0550487982</v>
      </c>
      <c r="M158" s="4" t="str">
        <f t="shared" si="4"/>
        <v>Mtonne</v>
      </c>
      <c r="Q158" s="4"/>
      <c r="R158" s="4"/>
    </row>
    <row r="159" spans="1:18" s="6" customFormat="1" x14ac:dyDescent="0.25">
      <c r="A159" s="4" t="str">
        <v>OT CO2</v>
      </c>
      <c r="B159" s="28">
        <v>0</v>
      </c>
      <c r="C159" s="28">
        <f ca="1"/>
        <v>4135.6237910520995</v>
      </c>
      <c r="D159" s="28">
        <f ca="1"/>
        <v>19839.203451922702</v>
      </c>
      <c r="E159" s="28">
        <f ca="1"/>
        <v>46323.66703656935</v>
      </c>
      <c r="F159" s="28">
        <f ca="1"/>
        <v>104900.6395950002</v>
      </c>
      <c r="G159" s="28">
        <f ca="1"/>
        <v>216493.36507422951</v>
      </c>
      <c r="H159" s="28">
        <f ca="1"/>
        <v>376097.16733768012</v>
      </c>
      <c r="I159" s="28">
        <f ca="1"/>
        <v>580583.01176728599</v>
      </c>
      <c r="J159" s="28">
        <f ca="1"/>
        <v>776749.63094189705</v>
      </c>
      <c r="K159" s="28">
        <f ca="1"/>
        <v>964597.02486151329</v>
      </c>
      <c r="M159" s="4" t="str">
        <f t="shared" si="4"/>
        <v>Mtonne</v>
      </c>
      <c r="Q159" s="4"/>
      <c r="R159" s="4"/>
    </row>
    <row r="160" spans="1:18" s="6" customFormat="1" x14ac:dyDescent="0.25">
      <c r="A160" s="4" t="str">
        <v>EE CO2</v>
      </c>
      <c r="B160" s="28">
        <v>0</v>
      </c>
      <c r="C160" s="28">
        <f ca="1"/>
        <v>10387.251330929401</v>
      </c>
      <c r="D160" s="28">
        <f ca="1"/>
        <v>40956.047411830965</v>
      </c>
      <c r="E160" s="28">
        <f ca="1"/>
        <v>91714.576248065321</v>
      </c>
      <c r="F160" s="28">
        <f ca="1"/>
        <v>208695.24812517781</v>
      </c>
      <c r="G160" s="28">
        <f ca="1"/>
        <v>466099.03380490572</v>
      </c>
      <c r="H160" s="28">
        <f ca="1"/>
        <v>981862.81703169283</v>
      </c>
      <c r="I160" s="28">
        <f ca="1"/>
        <v>1641464.3343865089</v>
      </c>
      <c r="J160" s="28">
        <f ca="1"/>
        <v>2272982.3247937579</v>
      </c>
      <c r="K160" s="28">
        <f ca="1"/>
        <v>2876416.7882534405</v>
      </c>
      <c r="M160" s="4" t="str">
        <f t="shared" si="4"/>
        <v>Mtonne</v>
      </c>
      <c r="Q160" s="4"/>
      <c r="R160" s="4"/>
    </row>
    <row r="161" spans="1:18" s="6" customFormat="1" x14ac:dyDescent="0.25">
      <c r="A161" s="4" t="str">
        <v>CA CO2</v>
      </c>
      <c r="B161" s="28">
        <v>0</v>
      </c>
      <c r="C161" s="28">
        <f ca="1"/>
        <v>10052.193568339078</v>
      </c>
      <c r="D161" s="28">
        <f ca="1"/>
        <v>56182.043770390381</v>
      </c>
      <c r="E161" s="28">
        <f ca="1"/>
        <v>160048.42546343183</v>
      </c>
      <c r="F161" s="28">
        <f ca="1"/>
        <v>428518.62866335479</v>
      </c>
      <c r="G161" s="28">
        <f ca="1"/>
        <v>1029803.326653352</v>
      </c>
      <c r="H161" s="28">
        <f ca="1"/>
        <v>1962206.7845266131</v>
      </c>
      <c r="I161" s="28">
        <f ca="1"/>
        <v>3154927.5121510206</v>
      </c>
      <c r="J161" s="28">
        <f ca="1"/>
        <v>4297164.3569021542</v>
      </c>
      <c r="K161" s="28">
        <f ca="1"/>
        <v>5388917.3187800134</v>
      </c>
      <c r="M161" s="4" t="str">
        <f t="shared" si="4"/>
        <v>Mtonne</v>
      </c>
      <c r="Q161" s="4"/>
      <c r="R161" s="4"/>
    </row>
    <row r="162" spans="1:18" s="6" customFormat="1" x14ac:dyDescent="0.25">
      <c r="A162" s="4" t="str">
        <v>IA CO2</v>
      </c>
      <c r="B162" s="28">
        <v>0</v>
      </c>
      <c r="C162" s="28">
        <f ca="1"/>
        <v>6114.1530533390251</v>
      </c>
      <c r="D162" s="28">
        <f ca="1"/>
        <v>34172.204516980448</v>
      </c>
      <c r="E162" s="28">
        <f ca="1"/>
        <v>97347.963166116242</v>
      </c>
      <c r="F162" s="28">
        <f ca="1"/>
        <v>260642.4621693395</v>
      </c>
      <c r="G162" s="28">
        <f ca="1"/>
        <v>626368.27585848107</v>
      </c>
      <c r="H162" s="28">
        <f ca="1"/>
        <v>1193493.9892804124</v>
      </c>
      <c r="I162" s="28">
        <f ca="1"/>
        <v>1918955.2559191952</v>
      </c>
      <c r="J162" s="28">
        <f ca="1"/>
        <v>2613710.1713008527</v>
      </c>
      <c r="K162" s="28">
        <f ca="1"/>
        <v>3277758.7354253847</v>
      </c>
      <c r="M162" s="4" t="str">
        <f t="shared" si="4"/>
        <v>Mtonne</v>
      </c>
      <c r="Q162" s="4"/>
      <c r="R162" s="4"/>
    </row>
    <row r="163" spans="1:18" s="6" customFormat="1" x14ac:dyDescent="0.25">
      <c r="A163" s="4" t="str">
        <v>AF CO2</v>
      </c>
      <c r="B163" s="28">
        <v>0</v>
      </c>
      <c r="C163" s="28">
        <f ca="1"/>
        <v>19082.873847278941</v>
      </c>
      <c r="D163" s="28">
        <f ca="1"/>
        <v>58869.611393924846</v>
      </c>
      <c r="E163" s="28">
        <f ca="1"/>
        <v>134511.47720547975</v>
      </c>
      <c r="F163" s="28">
        <f ca="1"/>
        <v>328975.12529049267</v>
      </c>
      <c r="G163" s="28">
        <f ca="1"/>
        <v>789787.54856527469</v>
      </c>
      <c r="H163" s="28">
        <f ca="1"/>
        <v>1657175.3873290531</v>
      </c>
      <c r="I163" s="28">
        <f ca="1"/>
        <v>2765920.4880244723</v>
      </c>
      <c r="J163" s="28">
        <f ca="1"/>
        <v>3826893.5710636065</v>
      </c>
      <c r="K163" s="28">
        <f ca="1"/>
        <v>4840094.6364464555</v>
      </c>
      <c r="M163" s="4" t="str">
        <f t="shared" si="4"/>
        <v>Mtonne</v>
      </c>
      <c r="Q163" s="4"/>
      <c r="R163" s="4"/>
    </row>
    <row r="164" spans="1:18" s="6" customFormat="1" ht="13" thickBot="1" x14ac:dyDescent="0.3">
      <c r="A164" s="4" t="str">
        <v>LA CO2</v>
      </c>
      <c r="B164" s="36">
        <v>0</v>
      </c>
      <c r="C164" s="36">
        <f ca="1"/>
        <v>11601.766675642129</v>
      </c>
      <c r="D164" s="36">
        <f ca="1"/>
        <v>41153.759159725327</v>
      </c>
      <c r="E164" s="36">
        <f ca="1"/>
        <v>85251.399179960805</v>
      </c>
      <c r="F164" s="36">
        <f ca="1"/>
        <v>193808.10330021015</v>
      </c>
      <c r="G164" s="36">
        <f ca="1"/>
        <v>416944.03936760302</v>
      </c>
      <c r="H164" s="36">
        <f ca="1"/>
        <v>668938.57625023974</v>
      </c>
      <c r="I164" s="36">
        <f ca="1"/>
        <v>991052.50923878478</v>
      </c>
      <c r="J164" s="36">
        <f ca="1"/>
        <v>1299287.6593723593</v>
      </c>
      <c r="K164" s="36">
        <f ca="1"/>
        <v>1593644.0266509631</v>
      </c>
      <c r="M164" s="4" t="str">
        <f t="shared" si="4"/>
        <v>Mtonne</v>
      </c>
    </row>
    <row r="165" spans="1:18" s="6" customFormat="1" ht="13" thickTop="1" x14ac:dyDescent="0.25">
      <c r="A165" s="58" t="s">
        <v>206</v>
      </c>
      <c r="B165" s="28">
        <f t="shared" ref="B165:K165" si="5">SUM(B157:B164)</f>
        <v>0</v>
      </c>
      <c r="C165" s="28">
        <f t="shared" ca="1" si="5"/>
        <v>79325.77706048284</v>
      </c>
      <c r="D165" s="28">
        <f t="shared" ca="1" si="5"/>
        <v>337290.87945178832</v>
      </c>
      <c r="E165" s="28">
        <f t="shared" ca="1" si="5"/>
        <v>816279.27143795497</v>
      </c>
      <c r="F165" s="28">
        <f t="shared" ca="1" si="5"/>
        <v>1980892.8791902279</v>
      </c>
      <c r="G165" s="28">
        <f t="shared" ca="1" si="5"/>
        <v>4485249.9382727398</v>
      </c>
      <c r="H165" s="28">
        <f t="shared" ca="1" si="5"/>
        <v>8472337.2185867634</v>
      </c>
      <c r="I165" s="28">
        <f t="shared" ca="1" si="5"/>
        <v>13573097.714435404</v>
      </c>
      <c r="J165" s="28">
        <f t="shared" ca="1" si="5"/>
        <v>18458502.33238066</v>
      </c>
      <c r="K165" s="28">
        <f t="shared" ca="1" si="5"/>
        <v>23128551.072422523</v>
      </c>
      <c r="M165" s="4" t="str">
        <f t="shared" si="4"/>
        <v>Mtonne</v>
      </c>
    </row>
    <row r="166" spans="1:18" s="8" customFormat="1" ht="15" x14ac:dyDescent="0.4">
      <c r="A166" s="2" t="s">
        <v>285</v>
      </c>
      <c r="B166" s="2" t="s">
        <v>291</v>
      </c>
      <c r="C166" s="2"/>
      <c r="D166" s="2"/>
      <c r="E166" s="2"/>
      <c r="F166" s="2"/>
      <c r="G166" s="2"/>
      <c r="H166" s="2"/>
      <c r="I166" s="2"/>
      <c r="J166" s="2"/>
      <c r="K166" s="2"/>
      <c r="Q166" s="2"/>
      <c r="R166" s="2"/>
    </row>
    <row r="167" spans="1:18" s="7" customFormat="1" x14ac:dyDescent="0.25">
      <c r="A167" s="4" t="str">
        <f t="array" ref="A167:A174">R_CODE&amp;" "&amp;'Base data'!$C$12</f>
        <v>EU CH4</v>
      </c>
      <c r="B167" s="29">
        <f t="array" ref="B167:B174">0</f>
        <v>0</v>
      </c>
      <c r="C167" s="29">
        <f t="array" ref="C167:K174" ca="1">cumcbe_ch4+cbe_ch4*YAGG</f>
        <v>126.45191392059239</v>
      </c>
      <c r="D167" s="29">
        <f ca="1"/>
        <v>287.03543057339994</v>
      </c>
      <c r="E167" s="29">
        <f ca="1"/>
        <v>475.11538558709765</v>
      </c>
      <c r="F167" s="29">
        <f ca="1"/>
        <v>867.15869181273251</v>
      </c>
      <c r="G167" s="29">
        <f ca="1"/>
        <v>1589.2183658438653</v>
      </c>
      <c r="H167" s="29">
        <f ca="1"/>
        <v>2879.5928729140014</v>
      </c>
      <c r="I167" s="29">
        <f ca="1"/>
        <v>4486.262621707876</v>
      </c>
      <c r="J167" s="29">
        <f ca="1"/>
        <v>5979.1027765354429</v>
      </c>
      <c r="K167" s="29">
        <f ca="1"/>
        <v>7358.1133373967023</v>
      </c>
      <c r="M167" s="4" t="str">
        <f t="shared" ref="M167:M175" si="6">EMIT_NAME</f>
        <v>Mtonne</v>
      </c>
      <c r="Q167" s="4"/>
      <c r="R167" s="4"/>
    </row>
    <row r="168" spans="1:18" s="7" customFormat="1" x14ac:dyDescent="0.25">
      <c r="A168" s="4" t="str">
        <v>US CH4</v>
      </c>
      <c r="B168" s="26">
        <v>0</v>
      </c>
      <c r="C168" s="26">
        <f ca="1"/>
        <v>153.74396033644013</v>
      </c>
      <c r="D168" s="26">
        <f ca="1"/>
        <v>348.98612828384677</v>
      </c>
      <c r="E168" s="26">
        <f ca="1"/>
        <v>577.6592756263517</v>
      </c>
      <c r="F168" s="26">
        <f ca="1"/>
        <v>1054.3170710976888</v>
      </c>
      <c r="G168" s="26">
        <f ca="1"/>
        <v>1932.2184839185131</v>
      </c>
      <c r="H168" s="26">
        <f ca="1"/>
        <v>3501.0938048466342</v>
      </c>
      <c r="I168" s="26">
        <f ca="1"/>
        <v>5454.5301940138343</v>
      </c>
      <c r="J168" s="26">
        <f ca="1"/>
        <v>7269.5692111107401</v>
      </c>
      <c r="K168" s="26">
        <f ca="1"/>
        <v>8946.2108561373516</v>
      </c>
      <c r="M168" s="4" t="str">
        <f t="shared" si="6"/>
        <v>Mtonne</v>
      </c>
      <c r="Q168" s="4"/>
      <c r="R168" s="4"/>
    </row>
    <row r="169" spans="1:18" s="7" customFormat="1" x14ac:dyDescent="0.25">
      <c r="A169" s="4" t="str">
        <v>OT CH4</v>
      </c>
      <c r="B169" s="26">
        <v>0</v>
      </c>
      <c r="C169" s="26">
        <f ca="1"/>
        <v>117.57679196095408</v>
      </c>
      <c r="D169" s="26">
        <f ca="1"/>
        <v>266.88963464123276</v>
      </c>
      <c r="E169" s="26">
        <f ca="1"/>
        <v>441.76905763326351</v>
      </c>
      <c r="F169" s="26">
        <f ca="1"/>
        <v>806.296511798349</v>
      </c>
      <c r="G169" s="26">
        <f ca="1"/>
        <v>1477.6778886770383</v>
      </c>
      <c r="H169" s="26">
        <f ca="1"/>
        <v>2677.4864978593241</v>
      </c>
      <c r="I169" s="26">
        <f ca="1"/>
        <v>4171.3909311486696</v>
      </c>
      <c r="J169" s="26">
        <f ca="1"/>
        <v>5559.4549854843135</v>
      </c>
      <c r="K169" s="26">
        <f ca="1"/>
        <v>6841.6786608662551</v>
      </c>
      <c r="M169" s="4" t="str">
        <f t="shared" si="6"/>
        <v>Mtonne</v>
      </c>
      <c r="Q169" s="4"/>
      <c r="R169" s="4"/>
    </row>
    <row r="170" spans="1:18" s="7" customFormat="1" x14ac:dyDescent="0.25">
      <c r="A170" s="4" t="str">
        <v>EE CH4</v>
      </c>
      <c r="B170" s="26">
        <v>0</v>
      </c>
      <c r="C170" s="26">
        <f ca="1"/>
        <v>263.80680733398464</v>
      </c>
      <c r="D170" s="26">
        <f ca="1"/>
        <v>599.25517627426325</v>
      </c>
      <c r="E170" s="26">
        <f ca="1"/>
        <v>1044.1926979638165</v>
      </c>
      <c r="F170" s="26">
        <f ca="1"/>
        <v>2015.448142480428</v>
      </c>
      <c r="G170" s="26">
        <f ca="1"/>
        <v>3637.0834054906845</v>
      </c>
      <c r="H170" s="26">
        <f ca="1"/>
        <v>6977.6518125206276</v>
      </c>
      <c r="I170" s="26">
        <f ca="1"/>
        <v>11141.271482706998</v>
      </c>
      <c r="J170" s="26">
        <f ca="1"/>
        <v>15014.419613706481</v>
      </c>
      <c r="K170" s="26">
        <f ca="1"/>
        <v>18597.096205519076</v>
      </c>
      <c r="M170" s="4" t="str">
        <f t="shared" si="6"/>
        <v>Mtonne</v>
      </c>
      <c r="Q170" s="4"/>
      <c r="R170" s="4"/>
    </row>
    <row r="171" spans="1:18" s="7" customFormat="1" x14ac:dyDescent="0.25">
      <c r="A171" s="4" t="str">
        <v>CA CH4</v>
      </c>
      <c r="B171" s="26">
        <v>0</v>
      </c>
      <c r="C171" s="26">
        <f ca="1"/>
        <v>178.78499275773692</v>
      </c>
      <c r="D171" s="26">
        <f ca="1"/>
        <v>465.39066375993627</v>
      </c>
      <c r="E171" s="26">
        <f ca="1"/>
        <v>915.52566838845269</v>
      </c>
      <c r="F171" s="26">
        <f ca="1"/>
        <v>2111.9084122261465</v>
      </c>
      <c r="G171" s="26">
        <f ca="1"/>
        <v>4553.6650904952658</v>
      </c>
      <c r="H171" s="26">
        <f ca="1"/>
        <v>8645.4344380611874</v>
      </c>
      <c r="I171" s="26">
        <f ca="1"/>
        <v>13722.114142743065</v>
      </c>
      <c r="J171" s="26">
        <f ca="1"/>
        <v>18419.781088685588</v>
      </c>
      <c r="K171" s="26">
        <f ca="1"/>
        <v>22738.435275888762</v>
      </c>
      <c r="M171" s="4" t="str">
        <f t="shared" si="6"/>
        <v>Mtonne</v>
      </c>
      <c r="Q171" s="4"/>
      <c r="R171" s="4"/>
    </row>
    <row r="172" spans="1:18" s="7" customFormat="1" x14ac:dyDescent="0.25">
      <c r="A172" s="4" t="str">
        <v>IA CH4</v>
      </c>
      <c r="B172" s="26">
        <v>0</v>
      </c>
      <c r="C172" s="26">
        <f ca="1"/>
        <v>225.02249088473781</v>
      </c>
      <c r="D172" s="26">
        <f ca="1"/>
        <v>585.75031818060938</v>
      </c>
      <c r="E172" s="26">
        <f ca="1"/>
        <v>1152.2995481440871</v>
      </c>
      <c r="F172" s="26">
        <f ca="1"/>
        <v>2658.0916222846331</v>
      </c>
      <c r="G172" s="26">
        <f ca="1"/>
        <v>5731.337096657835</v>
      </c>
      <c r="H172" s="26">
        <f ca="1"/>
        <v>10881.32265480115</v>
      </c>
      <c r="I172" s="26">
        <f ca="1"/>
        <v>17270.93676586627</v>
      </c>
      <c r="J172" s="26">
        <f ca="1"/>
        <v>23183.517577138758</v>
      </c>
      <c r="K172" s="26">
        <f ca="1"/>
        <v>28619.065088618616</v>
      </c>
      <c r="M172" s="4" t="str">
        <f t="shared" si="6"/>
        <v>Mtonne</v>
      </c>
      <c r="Q172" s="4"/>
      <c r="R172" s="4"/>
    </row>
    <row r="173" spans="1:18" s="7" customFormat="1" x14ac:dyDescent="0.25">
      <c r="A173" s="4" t="str">
        <v>AF CH4</v>
      </c>
      <c r="B173" s="26">
        <v>0</v>
      </c>
      <c r="C173" s="26">
        <f ca="1"/>
        <v>407.9560683383059</v>
      </c>
      <c r="D173" s="26">
        <f ca="1"/>
        <v>1070.4142395152369</v>
      </c>
      <c r="E173" s="26">
        <f ca="1"/>
        <v>1984.7311780697009</v>
      </c>
      <c r="F173" s="26">
        <f ca="1"/>
        <v>4086.309587421285</v>
      </c>
      <c r="G173" s="26">
        <f ca="1"/>
        <v>7830.1620809333381</v>
      </c>
      <c r="H173" s="26">
        <f ca="1"/>
        <v>14007.758789694224</v>
      </c>
      <c r="I173" s="26">
        <f ca="1"/>
        <v>21678.761622537841</v>
      </c>
      <c r="J173" s="26">
        <f ca="1"/>
        <v>28783.97167654389</v>
      </c>
      <c r="K173" s="26">
        <f ca="1"/>
        <v>35323.388951712375</v>
      </c>
      <c r="M173" s="4" t="str">
        <f t="shared" si="6"/>
        <v>Mtonne</v>
      </c>
      <c r="Q173" s="4"/>
      <c r="R173" s="4"/>
    </row>
    <row r="174" spans="1:18" s="7" customFormat="1" ht="13" thickBot="1" x14ac:dyDescent="0.3">
      <c r="A174" s="4" t="str">
        <v>LA CH4</v>
      </c>
      <c r="B174" s="35">
        <v>0</v>
      </c>
      <c r="C174" s="35">
        <f ca="1"/>
        <v>335.47414873490453</v>
      </c>
      <c r="D174" s="35">
        <f ca="1"/>
        <v>831.12727576493489</v>
      </c>
      <c r="E174" s="35">
        <f ca="1"/>
        <v>1453.1197946656109</v>
      </c>
      <c r="F174" s="35">
        <f ca="1"/>
        <v>2757.709901428359</v>
      </c>
      <c r="G174" s="35">
        <f ca="1"/>
        <v>4689.5747914603144</v>
      </c>
      <c r="H174" s="35">
        <f ca="1"/>
        <v>7527.1514223335489</v>
      </c>
      <c r="I174" s="35">
        <f ca="1"/>
        <v>11028.37507325098</v>
      </c>
      <c r="J174" s="35">
        <f ca="1"/>
        <v>14247.386867254863</v>
      </c>
      <c r="K174" s="35">
        <f ca="1"/>
        <v>17184.186804345198</v>
      </c>
      <c r="M174" s="4" t="str">
        <f t="shared" si="6"/>
        <v>Mtonne</v>
      </c>
    </row>
    <row r="175" spans="1:18" s="6" customFormat="1" ht="13" thickTop="1" x14ac:dyDescent="0.25">
      <c r="A175" s="58" t="s">
        <v>206</v>
      </c>
      <c r="B175" s="26">
        <f t="shared" ref="B175:K175" si="7">SUM(B167:B174)</f>
        <v>0</v>
      </c>
      <c r="C175" s="26">
        <f t="shared" ca="1" si="7"/>
        <v>1808.8171742676564</v>
      </c>
      <c r="D175" s="26">
        <f t="shared" ca="1" si="7"/>
        <v>4454.8488669934595</v>
      </c>
      <c r="E175" s="26">
        <f t="shared" ca="1" si="7"/>
        <v>8044.412606078381</v>
      </c>
      <c r="F175" s="26">
        <f t="shared" ca="1" si="7"/>
        <v>16357.239940549622</v>
      </c>
      <c r="G175" s="26">
        <f t="shared" ca="1" si="7"/>
        <v>31440.937203476853</v>
      </c>
      <c r="H175" s="26">
        <f t="shared" ca="1" si="7"/>
        <v>57097.4922930307</v>
      </c>
      <c r="I175" s="26">
        <f t="shared" ca="1" si="7"/>
        <v>88953.642833975537</v>
      </c>
      <c r="J175" s="26">
        <f t="shared" ca="1" si="7"/>
        <v>118457.20379646009</v>
      </c>
      <c r="K175" s="26">
        <f t="shared" ca="1" si="7"/>
        <v>145608.17518048434</v>
      </c>
      <c r="M175" s="4" t="str">
        <f t="shared" si="6"/>
        <v>Mtonne</v>
      </c>
    </row>
    <row r="176" spans="1:18" s="8" customFormat="1" ht="15" x14ac:dyDescent="0.4">
      <c r="A176" s="2" t="s">
        <v>285</v>
      </c>
      <c r="B176" s="8" t="s">
        <v>292</v>
      </c>
      <c r="Q176" s="2"/>
      <c r="R176" s="2"/>
    </row>
    <row r="177" spans="1:18" s="7" customFormat="1" x14ac:dyDescent="0.25">
      <c r="A177" s="4" t="str">
        <f t="array" ref="A177:A184">R_CODE&amp;" "&amp;'Base data'!$D$12</f>
        <v>EU N2O</v>
      </c>
      <c r="B177" s="29">
        <f t="array" ref="B177:B184">0</f>
        <v>0</v>
      </c>
      <c r="C177" s="29">
        <f t="array" ref="C177:K184" ca="1">cumcbe_n2o+cbe_n2o*YAGG</f>
        <v>3.9707991053163032</v>
      </c>
      <c r="D177" s="29">
        <f ca="1"/>
        <v>9.3588805138252926</v>
      </c>
      <c r="E177" s="29">
        <f ca="1"/>
        <v>16.601589867888382</v>
      </c>
      <c r="F177" s="29">
        <f ca="1"/>
        <v>32.173648802682486</v>
      </c>
      <c r="G177" s="29">
        <f ca="1"/>
        <v>59.898434113617853</v>
      </c>
      <c r="H177" s="29">
        <f ca="1"/>
        <v>107.04948625150445</v>
      </c>
      <c r="I177" s="29">
        <f ca="1"/>
        <v>168.77188949824568</v>
      </c>
      <c r="J177" s="29">
        <f ca="1"/>
        <v>229.34862647454605</v>
      </c>
      <c r="K177" s="29">
        <f ca="1"/>
        <v>288.77969718040555</v>
      </c>
      <c r="M177" s="4" t="str">
        <f t="shared" ref="M177:M185" si="8">EMIT_NAME</f>
        <v>Mtonne</v>
      </c>
      <c r="Q177" s="4"/>
      <c r="R177" s="4"/>
    </row>
    <row r="178" spans="1:18" s="7" customFormat="1" x14ac:dyDescent="0.25">
      <c r="A178" s="4" t="str">
        <v>US N2O</v>
      </c>
      <c r="B178" s="26">
        <v>0</v>
      </c>
      <c r="C178" s="26">
        <f ca="1"/>
        <v>3.502321460102793</v>
      </c>
      <c r="D178" s="26">
        <f ca="1"/>
        <v>8.2547132697354595</v>
      </c>
      <c r="E178" s="26">
        <f ca="1"/>
        <v>14.642922727640478</v>
      </c>
      <c r="F178" s="26">
        <f ca="1"/>
        <v>28.377779299028383</v>
      </c>
      <c r="G178" s="26">
        <f ca="1"/>
        <v>52.831575120939348</v>
      </c>
      <c r="H178" s="26">
        <f ca="1"/>
        <v>94.419713273748613</v>
      </c>
      <c r="I178" s="26">
        <f ca="1"/>
        <v>148.86006437858259</v>
      </c>
      <c r="J178" s="26">
        <f ca="1"/>
        <v>202.2899157178382</v>
      </c>
      <c r="K178" s="26">
        <f ca="1"/>
        <v>254.7092672915154</v>
      </c>
      <c r="M178" s="4" t="str">
        <f t="shared" si="8"/>
        <v>Mtonne</v>
      </c>
      <c r="Q178" s="4"/>
      <c r="R178" s="4"/>
    </row>
    <row r="179" spans="1:18" s="7" customFormat="1" x14ac:dyDescent="0.25">
      <c r="A179" s="4" t="str">
        <v>OT N2O</v>
      </c>
      <c r="B179" s="26">
        <v>0</v>
      </c>
      <c r="C179" s="26">
        <f ca="1"/>
        <v>1.8825500988422927</v>
      </c>
      <c r="D179" s="26">
        <f ca="1"/>
        <v>4.4370316828082306</v>
      </c>
      <c r="E179" s="26">
        <f ca="1"/>
        <v>7.8707896868640308</v>
      </c>
      <c r="F179" s="26">
        <f ca="1"/>
        <v>15.253480250994063</v>
      </c>
      <c r="G179" s="26">
        <f ca="1"/>
        <v>28.397760770651608</v>
      </c>
      <c r="H179" s="26">
        <f ca="1"/>
        <v>50.752006228160283</v>
      </c>
      <c r="I179" s="26">
        <f ca="1"/>
        <v>80.014508120378466</v>
      </c>
      <c r="J179" s="26">
        <f ca="1"/>
        <v>108.73385129480326</v>
      </c>
      <c r="K179" s="26">
        <f ca="1"/>
        <v>136.91003575143466</v>
      </c>
      <c r="M179" s="4" t="str">
        <f t="shared" si="8"/>
        <v>Mtonne</v>
      </c>
      <c r="Q179" s="4"/>
      <c r="R179" s="4"/>
    </row>
    <row r="180" spans="1:18" s="7" customFormat="1" x14ac:dyDescent="0.25">
      <c r="A180" s="4" t="str">
        <v>EE N2O</v>
      </c>
      <c r="B180" s="26">
        <v>0</v>
      </c>
      <c r="C180" s="26">
        <f ca="1"/>
        <v>0</v>
      </c>
      <c r="D180" s="26">
        <f ca="1"/>
        <v>0.41662595631000354</v>
      </c>
      <c r="E180" s="26">
        <f ca="1"/>
        <v>1.4259674605812829</v>
      </c>
      <c r="F180" s="26">
        <f ca="1"/>
        <v>3.9526772759507955</v>
      </c>
      <c r="G180" s="26">
        <f ca="1"/>
        <v>8.2710400723709441</v>
      </c>
      <c r="H180" s="26">
        <f ca="1"/>
        <v>21.3598145040188</v>
      </c>
      <c r="I180" s="26">
        <f ca="1"/>
        <v>38.244479587660706</v>
      </c>
      <c r="J180" s="26">
        <f ca="1"/>
        <v>54.562110512747353</v>
      </c>
      <c r="K180" s="26">
        <f ca="1"/>
        <v>70.312707279278754</v>
      </c>
      <c r="M180" s="4" t="str">
        <f t="shared" si="8"/>
        <v>Mtonne</v>
      </c>
      <c r="Q180" s="4"/>
      <c r="R180" s="4"/>
    </row>
    <row r="181" spans="1:18" s="7" customFormat="1" x14ac:dyDescent="0.25">
      <c r="A181" s="4" t="str">
        <v>CA N2O</v>
      </c>
      <c r="B181" s="26">
        <v>0</v>
      </c>
      <c r="C181" s="26">
        <f ca="1"/>
        <v>0</v>
      </c>
      <c r="D181" s="26">
        <f ca="1"/>
        <v>0.53882723939658417</v>
      </c>
      <c r="E181" s="26">
        <f ca="1"/>
        <v>5.7424937838348518</v>
      </c>
      <c r="F181" s="26">
        <f ca="1"/>
        <v>26.537012290753783</v>
      </c>
      <c r="G181" s="26">
        <f ca="1"/>
        <v>71.747258522207915</v>
      </c>
      <c r="H181" s="26">
        <f ca="1"/>
        <v>172.05682086457369</v>
      </c>
      <c r="I181" s="26">
        <f ca="1"/>
        <v>302.79253161383758</v>
      </c>
      <c r="J181" s="26">
        <f ca="1"/>
        <v>430.51786998921091</v>
      </c>
      <c r="K181" s="26">
        <f ca="1"/>
        <v>555.23283599069362</v>
      </c>
      <c r="M181" s="4" t="str">
        <f t="shared" si="8"/>
        <v>Mtonne</v>
      </c>
      <c r="Q181" s="4"/>
      <c r="R181" s="4"/>
    </row>
    <row r="182" spans="1:18" s="7" customFormat="1" x14ac:dyDescent="0.25">
      <c r="A182" s="4" t="str">
        <v>IA N2O</v>
      </c>
      <c r="B182" s="26">
        <v>0</v>
      </c>
      <c r="C182" s="26">
        <f ca="1"/>
        <v>0</v>
      </c>
      <c r="D182" s="26">
        <f ca="1"/>
        <v>0.22589470401233311</v>
      </c>
      <c r="E182" s="26">
        <f ca="1"/>
        <v>2.407448693656856</v>
      </c>
      <c r="F182" s="26">
        <f ca="1"/>
        <v>11.125218063408607</v>
      </c>
      <c r="G182" s="26">
        <f ca="1"/>
        <v>30.078890862534305</v>
      </c>
      <c r="H182" s="26">
        <f ca="1"/>
        <v>72.132070876801862</v>
      </c>
      <c r="I182" s="26">
        <f ca="1"/>
        <v>126.94092708202913</v>
      </c>
      <c r="J182" s="26">
        <f ca="1"/>
        <v>180.48773280679359</v>
      </c>
      <c r="K182" s="26">
        <f ca="1"/>
        <v>232.77248805109525</v>
      </c>
      <c r="M182" s="4" t="str">
        <f t="shared" si="8"/>
        <v>Mtonne</v>
      </c>
      <c r="Q182" s="4"/>
      <c r="R182" s="4"/>
    </row>
    <row r="183" spans="1:18" s="7" customFormat="1" x14ac:dyDescent="0.25">
      <c r="A183" s="4" t="str">
        <v>AF N2O</v>
      </c>
      <c r="B183" s="26">
        <v>0</v>
      </c>
      <c r="C183" s="26">
        <f ca="1"/>
        <v>4.0558794100496645</v>
      </c>
      <c r="D183" s="26">
        <f ca="1"/>
        <v>13.844539424260372</v>
      </c>
      <c r="E183" s="26">
        <f ca="1"/>
        <v>29.416824945288148</v>
      </c>
      <c r="F183" s="26">
        <f ca="1"/>
        <v>70.272258164070081</v>
      </c>
      <c r="G183" s="26">
        <f ca="1"/>
        <v>160.79211845231561</v>
      </c>
      <c r="H183" s="26">
        <f ca="1"/>
        <v>333.04991867037347</v>
      </c>
      <c r="I183" s="26">
        <f ca="1"/>
        <v>559.16060166788941</v>
      </c>
      <c r="J183" s="26">
        <f ca="1"/>
        <v>781.70490070551079</v>
      </c>
      <c r="K183" s="26">
        <f ca="1"/>
        <v>1000.6828157832376</v>
      </c>
      <c r="M183" s="4" t="str">
        <f t="shared" si="8"/>
        <v>Mtonne</v>
      </c>
      <c r="Q183" s="4"/>
      <c r="R183" s="4"/>
    </row>
    <row r="184" spans="1:18" s="7" customFormat="1" ht="13" thickBot="1" x14ac:dyDescent="0.3">
      <c r="A184" s="4" t="str">
        <v>LA N2O</v>
      </c>
      <c r="B184" s="35">
        <v>0</v>
      </c>
      <c r="C184" s="35">
        <f ca="1"/>
        <v>5.6830554138819203</v>
      </c>
      <c r="D184" s="35">
        <f ca="1"/>
        <v>15.820286483310412</v>
      </c>
      <c r="E184" s="35">
        <f ca="1"/>
        <v>30.125126059215162</v>
      </c>
      <c r="F184" s="35">
        <f ca="1"/>
        <v>63.994755895315343</v>
      </c>
      <c r="G184" s="35">
        <f ca="1"/>
        <v>125.26904795209339</v>
      </c>
      <c r="H184" s="35">
        <f ca="1"/>
        <v>218.24479502068226</v>
      </c>
      <c r="I184" s="35">
        <f ca="1"/>
        <v>340.05902881990113</v>
      </c>
      <c r="J184" s="35">
        <f ca="1"/>
        <v>459.71983366022027</v>
      </c>
      <c r="K184" s="35">
        <f ca="1"/>
        <v>577.2272095416397</v>
      </c>
      <c r="M184" s="4" t="str">
        <f t="shared" si="8"/>
        <v>Mtonne</v>
      </c>
    </row>
    <row r="185" spans="1:18" s="6" customFormat="1" ht="13" thickTop="1" x14ac:dyDescent="0.25">
      <c r="A185" s="58" t="s">
        <v>206</v>
      </c>
      <c r="B185" s="26">
        <f t="shared" ref="B185:K185" si="9">SUM(B177:B184)</f>
        <v>0</v>
      </c>
      <c r="C185" s="26">
        <f t="shared" ca="1" si="9"/>
        <v>19.094605488192975</v>
      </c>
      <c r="D185" s="26">
        <f t="shared" ca="1" si="9"/>
        <v>52.896799273658687</v>
      </c>
      <c r="E185" s="26">
        <f t="shared" ca="1" si="9"/>
        <v>108.23316322496919</v>
      </c>
      <c r="F185" s="26">
        <f t="shared" ca="1" si="9"/>
        <v>251.68683004220352</v>
      </c>
      <c r="G185" s="26">
        <f t="shared" ca="1" si="9"/>
        <v>537.28612586673103</v>
      </c>
      <c r="H185" s="26">
        <f t="shared" ca="1" si="9"/>
        <v>1069.0646256898635</v>
      </c>
      <c r="I185" s="26">
        <f t="shared" ca="1" si="9"/>
        <v>1764.8440307685248</v>
      </c>
      <c r="J185" s="26">
        <f t="shared" ca="1" si="9"/>
        <v>2447.3648411616705</v>
      </c>
      <c r="K185" s="26">
        <f t="shared" ca="1" si="9"/>
        <v>3116.6270568693008</v>
      </c>
      <c r="M185" s="4" t="str">
        <f t="shared" si="8"/>
        <v>Mtonne</v>
      </c>
    </row>
    <row r="186" spans="1:18" s="8" customFormat="1" ht="15" x14ac:dyDescent="0.4">
      <c r="A186" s="2" t="s">
        <v>285</v>
      </c>
      <c r="B186" s="8" t="s">
        <v>293</v>
      </c>
      <c r="Q186" s="2"/>
      <c r="R186" s="2"/>
    </row>
    <row r="187" spans="1:18" s="7" customFormat="1" x14ac:dyDescent="0.25">
      <c r="A187" s="4" t="str">
        <f t="array" ref="A187:A194">R_CODE&amp;" "&amp;GLIN_NAME</f>
        <v>EU Lin</v>
      </c>
      <c r="B187" s="29">
        <f t="array" ref="B187:B194">0</f>
        <v>0</v>
      </c>
      <c r="C187" s="29">
        <f t="array" ref="C187:K194" ca="1">cumcbe_glin+cbe_glin*YAGG</f>
        <v>569.18699312148226</v>
      </c>
      <c r="D187" s="29">
        <f ca="1"/>
        <v>1617.1316099028259</v>
      </c>
      <c r="E187" s="29">
        <f ca="1"/>
        <v>2862.3422211662196</v>
      </c>
      <c r="F187" s="29">
        <f ca="1"/>
        <v>5301.7981172322743</v>
      </c>
      <c r="G187" s="29">
        <f ca="1"/>
        <v>8694.8388927063825</v>
      </c>
      <c r="H187" s="29">
        <f ca="1"/>
        <v>14131.14406013157</v>
      </c>
      <c r="I187" s="29">
        <f ca="1"/>
        <v>21379.550950031819</v>
      </c>
      <c r="J187" s="29">
        <f ca="1"/>
        <v>28627.957839932067</v>
      </c>
      <c r="K187" s="29">
        <f ca="1"/>
        <v>35876.364729832319</v>
      </c>
      <c r="M187" s="4" t="str">
        <f t="shared" ref="M187:M195" si="10">EMIT_NAME</f>
        <v>Mtonne</v>
      </c>
      <c r="Q187" s="4"/>
      <c r="R187" s="4"/>
    </row>
    <row r="188" spans="1:18" s="7" customFormat="1" x14ac:dyDescent="0.25">
      <c r="A188" s="4" t="str">
        <v>US Lin</v>
      </c>
      <c r="B188" s="26">
        <v>0</v>
      </c>
      <c r="C188" s="26">
        <f ca="1"/>
        <v>1481.7142306899141</v>
      </c>
      <c r="D188" s="26">
        <f ca="1"/>
        <v>4209.7359009398497</v>
      </c>
      <c r="E188" s="26">
        <f ca="1"/>
        <v>7451.2827128173067</v>
      </c>
      <c r="F188" s="26">
        <f ca="1"/>
        <v>13801.702803267308</v>
      </c>
      <c r="G188" s="26">
        <f ca="1"/>
        <v>22634.506193168556</v>
      </c>
      <c r="H188" s="26">
        <f ca="1"/>
        <v>36786.359321034768</v>
      </c>
      <c r="I188" s="26">
        <f ca="1"/>
        <v>55655.496824856382</v>
      </c>
      <c r="J188" s="26">
        <f ca="1"/>
        <v>74524.634328678003</v>
      </c>
      <c r="K188" s="26">
        <f ca="1"/>
        <v>93393.771832499624</v>
      </c>
      <c r="M188" s="4" t="str">
        <f t="shared" si="10"/>
        <v>Mtonne</v>
      </c>
      <c r="Q188" s="4"/>
      <c r="R188" s="4"/>
    </row>
    <row r="189" spans="1:18" s="7" customFormat="1" x14ac:dyDescent="0.25">
      <c r="A189" s="4" t="str">
        <v>OT Lin</v>
      </c>
      <c r="B189" s="26">
        <v>0</v>
      </c>
      <c r="C189" s="26">
        <f ca="1"/>
        <v>533.66020770442083</v>
      </c>
      <c r="D189" s="26">
        <f ca="1"/>
        <v>1516.1955583231947</v>
      </c>
      <c r="E189" s="26">
        <f ca="1"/>
        <v>2683.6842069978175</v>
      </c>
      <c r="F189" s="26">
        <f ca="1"/>
        <v>4970.8772664192065</v>
      </c>
      <c r="G189" s="26">
        <f ca="1"/>
        <v>8152.1355644327286</v>
      </c>
      <c r="H189" s="26">
        <f ca="1"/>
        <v>13249.124392098274</v>
      </c>
      <c r="I189" s="26">
        <f ca="1"/>
        <v>20045.109495652334</v>
      </c>
      <c r="J189" s="26">
        <f ca="1"/>
        <v>26841.094599206393</v>
      </c>
      <c r="K189" s="26">
        <f ca="1"/>
        <v>33637.079702760457</v>
      </c>
      <c r="M189" s="4" t="str">
        <f t="shared" si="10"/>
        <v>Mtonne</v>
      </c>
      <c r="Q189" s="4"/>
      <c r="R189" s="4"/>
    </row>
    <row r="190" spans="1:18" s="7" customFormat="1" x14ac:dyDescent="0.25">
      <c r="A190" s="4" t="str">
        <v>EE Lin</v>
      </c>
      <c r="B190" s="26">
        <v>0</v>
      </c>
      <c r="C190" s="26">
        <f ca="1"/>
        <v>287.7179842243155</v>
      </c>
      <c r="D190" s="26">
        <f ca="1"/>
        <v>872.8942544149503</v>
      </c>
      <c r="E190" s="26">
        <f ca="1"/>
        <v>1747.221871406734</v>
      </c>
      <c r="F190" s="26">
        <f ca="1"/>
        <v>3762.479471970988</v>
      </c>
      <c r="G190" s="26">
        <f ca="1"/>
        <v>7338.6785793868439</v>
      </c>
      <c r="H190" s="26">
        <f ca="1"/>
        <v>13535.519326286214</v>
      </c>
      <c r="I190" s="26">
        <f ca="1"/>
        <v>21797.973655485373</v>
      </c>
      <c r="J190" s="26">
        <f ca="1"/>
        <v>30060.427984684531</v>
      </c>
      <c r="K190" s="26">
        <f ca="1"/>
        <v>38322.882313883689</v>
      </c>
      <c r="M190" s="4" t="str">
        <f t="shared" si="10"/>
        <v>Mtonne</v>
      </c>
      <c r="Q190" s="4"/>
      <c r="R190" s="4"/>
    </row>
    <row r="191" spans="1:18" s="7" customFormat="1" x14ac:dyDescent="0.25">
      <c r="A191" s="4" t="str">
        <v>CA Lin</v>
      </c>
      <c r="B191" s="26">
        <v>0</v>
      </c>
      <c r="C191" s="26">
        <f ca="1"/>
        <v>837.95342316711583</v>
      </c>
      <c r="D191" s="26">
        <f ca="1"/>
        <v>2428.0517591248968</v>
      </c>
      <c r="E191" s="26">
        <f ca="1"/>
        <v>4982.162204996841</v>
      </c>
      <c r="F191" s="26">
        <f ca="1"/>
        <v>10665.625832938982</v>
      </c>
      <c r="G191" s="26">
        <f ca="1"/>
        <v>21293.152317297849</v>
      </c>
      <c r="H191" s="26">
        <f ca="1"/>
        <v>39256.036910079558</v>
      </c>
      <c r="I191" s="26">
        <f ca="1"/>
        <v>63206.549700455173</v>
      </c>
      <c r="J191" s="26">
        <f ca="1"/>
        <v>87157.06249083078</v>
      </c>
      <c r="K191" s="26">
        <f ca="1"/>
        <v>111107.5752812064</v>
      </c>
      <c r="M191" s="4" t="str">
        <f t="shared" si="10"/>
        <v>Mtonne</v>
      </c>
      <c r="Q191" s="4"/>
      <c r="R191" s="4"/>
    </row>
    <row r="192" spans="1:18" s="7" customFormat="1" x14ac:dyDescent="0.25">
      <c r="A192" s="4" t="str">
        <v>IA Lin</v>
      </c>
      <c r="B192" s="26">
        <v>0</v>
      </c>
      <c r="C192" s="26">
        <f ca="1"/>
        <v>585.33908602680481</v>
      </c>
      <c r="D192" s="26">
        <f ca="1"/>
        <v>1696.0770828291027</v>
      </c>
      <c r="E192" s="26">
        <f ca="1"/>
        <v>3480.2104638321198</v>
      </c>
      <c r="F192" s="26">
        <f ca="1"/>
        <v>7450.3039242448649</v>
      </c>
      <c r="G192" s="26">
        <f ca="1"/>
        <v>14873.994152239395</v>
      </c>
      <c r="H192" s="26">
        <f ca="1"/>
        <v>27421.682555019397</v>
      </c>
      <c r="I192" s="26">
        <f ca="1"/>
        <v>44151.933758726067</v>
      </c>
      <c r="J192" s="26">
        <f ca="1"/>
        <v>60882.18496243273</v>
      </c>
      <c r="K192" s="26">
        <f ca="1"/>
        <v>77612.436166139392</v>
      </c>
      <c r="M192" s="4" t="str">
        <f t="shared" si="10"/>
        <v>Mtonne</v>
      </c>
      <c r="Q192" s="4"/>
      <c r="R192" s="4"/>
    </row>
    <row r="193" spans="1:18" s="7" customFormat="1" x14ac:dyDescent="0.25">
      <c r="A193" s="4" t="str">
        <v>AF Lin</v>
      </c>
      <c r="B193" s="26">
        <v>0</v>
      </c>
      <c r="C193" s="26">
        <f ca="1"/>
        <v>413.20518944711552</v>
      </c>
      <c r="D193" s="26">
        <f ca="1"/>
        <v>1145.4321288535984</v>
      </c>
      <c r="E193" s="26">
        <f ca="1"/>
        <v>2149.0841154289274</v>
      </c>
      <c r="F193" s="26">
        <f ca="1"/>
        <v>4514.0297689166564</v>
      </c>
      <c r="G193" s="26">
        <f ca="1"/>
        <v>9596.6064516279548</v>
      </c>
      <c r="H193" s="26">
        <f ca="1"/>
        <v>18686.554348410653</v>
      </c>
      <c r="I193" s="26">
        <f ca="1"/>
        <v>30806.484877454255</v>
      </c>
      <c r="J193" s="26">
        <f ca="1"/>
        <v>42926.415406497857</v>
      </c>
      <c r="K193" s="26">
        <f ca="1"/>
        <v>55046.34593554146</v>
      </c>
      <c r="M193" s="4" t="str">
        <f t="shared" si="10"/>
        <v>Mtonne</v>
      </c>
      <c r="Q193" s="4"/>
      <c r="R193" s="4"/>
    </row>
    <row r="194" spans="1:18" s="7" customFormat="1" ht="13" thickBot="1" x14ac:dyDescent="0.3">
      <c r="A194" s="4" t="str">
        <v>LA Lin</v>
      </c>
      <c r="B194" s="35">
        <v>0</v>
      </c>
      <c r="C194" s="35">
        <f ca="1"/>
        <v>279.04099323091805</v>
      </c>
      <c r="D194" s="35">
        <f ca="1"/>
        <v>780.6339223186651</v>
      </c>
      <c r="E194" s="35">
        <f ca="1"/>
        <v>1571.7596960680248</v>
      </c>
      <c r="F194" s="35">
        <f ca="1"/>
        <v>3378.8847119557659</v>
      </c>
      <c r="G194" s="35">
        <f ca="1"/>
        <v>7212.0434861286567</v>
      </c>
      <c r="H194" s="35">
        <f ca="1"/>
        <v>13952.836017364734</v>
      </c>
      <c r="I194" s="35">
        <f ca="1"/>
        <v>22940.559392346171</v>
      </c>
      <c r="J194" s="35">
        <f ca="1"/>
        <v>31928.282767327604</v>
      </c>
      <c r="K194" s="35">
        <f ca="1"/>
        <v>40916.006142309037</v>
      </c>
      <c r="M194" s="4" t="str">
        <f t="shared" si="10"/>
        <v>Mtonne</v>
      </c>
    </row>
    <row r="195" spans="1:18" s="6" customFormat="1" ht="13" thickTop="1" x14ac:dyDescent="0.25">
      <c r="A195" s="58" t="s">
        <v>206</v>
      </c>
      <c r="B195" s="26">
        <f t="shared" ref="B195:K195" si="11">SUM(B187:B194)</f>
        <v>0</v>
      </c>
      <c r="C195" s="26">
        <f t="shared" ca="1" si="11"/>
        <v>4987.8181076120873</v>
      </c>
      <c r="D195" s="26">
        <f t="shared" ca="1" si="11"/>
        <v>14266.152216707083</v>
      </c>
      <c r="E195" s="26">
        <f t="shared" ca="1" si="11"/>
        <v>26927.747492713988</v>
      </c>
      <c r="F195" s="26">
        <f t="shared" ca="1" si="11"/>
        <v>53845.701896946048</v>
      </c>
      <c r="G195" s="26">
        <f t="shared" ca="1" si="11"/>
        <v>99795.955636988379</v>
      </c>
      <c r="H195" s="26">
        <f t="shared" ca="1" si="11"/>
        <v>177019.25693042515</v>
      </c>
      <c r="I195" s="26">
        <f t="shared" ca="1" si="11"/>
        <v>279983.65865500754</v>
      </c>
      <c r="J195" s="26">
        <f t="shared" ca="1" si="11"/>
        <v>382948.06037958997</v>
      </c>
      <c r="K195" s="26">
        <f t="shared" ca="1" si="11"/>
        <v>485912.46210417239</v>
      </c>
      <c r="M195" s="4" t="str">
        <f t="shared" si="10"/>
        <v>Mtonne</v>
      </c>
    </row>
    <row r="196" spans="1:18" s="2" customFormat="1" ht="15" x14ac:dyDescent="0.4">
      <c r="A196" s="2" t="s">
        <v>294</v>
      </c>
      <c r="B196" s="2" t="s">
        <v>295</v>
      </c>
    </row>
    <row r="197" spans="1:18" s="6" customFormat="1" x14ac:dyDescent="0.25">
      <c r="A197" s="4" t="str">
        <f t="array" ref="A197:A204">R_CODE&amp;" "&amp;'Base data'!$B$12</f>
        <v>EU CO2</v>
      </c>
      <c r="B197" s="32">
        <f t="array" ref="B197:K204" ca="1">((CROSS*cumcbe_co2_g+(1-CROSS)*cumcbe_co2+IES_CO2)/IES_CO2)^-(LN(1/(1-LEARN))/LN(2))</f>
        <v>1</v>
      </c>
      <c r="C197" s="32">
        <f ca="1"/>
        <v>0.95719098603424813</v>
      </c>
      <c r="D197" s="32">
        <f ca="1"/>
        <v>0.85266279175243875</v>
      </c>
      <c r="E197" s="32">
        <f ca="1"/>
        <v>0.74129089351188338</v>
      </c>
      <c r="F197" s="32">
        <f ca="1"/>
        <v>0.60967786002401991</v>
      </c>
      <c r="G197" s="32">
        <f ca="1"/>
        <v>0.49182269674984386</v>
      </c>
      <c r="H197" s="32">
        <f ca="1"/>
        <v>0.41028962356115806</v>
      </c>
      <c r="I197" s="32">
        <f ca="1"/>
        <v>0.35623076912517443</v>
      </c>
      <c r="J197" s="32">
        <f ca="1"/>
        <v>0.32417184657898845</v>
      </c>
      <c r="K197" s="32">
        <f ca="1"/>
        <v>0.30226031161181932</v>
      </c>
      <c r="M197" s="4"/>
    </row>
    <row r="198" spans="1:18" s="6" customFormat="1" x14ac:dyDescent="0.25">
      <c r="A198" s="4" t="str">
        <v>US CO2</v>
      </c>
      <c r="B198" s="33">
        <f ca="1"/>
        <v>1</v>
      </c>
      <c r="C198" s="33">
        <f ca="1"/>
        <v>0.95289271706796486</v>
      </c>
      <c r="D198" s="33">
        <f ca="1"/>
        <v>0.84010801464806784</v>
      </c>
      <c r="E198" s="33">
        <f ca="1"/>
        <v>0.72503948813844066</v>
      </c>
      <c r="F198" s="33">
        <f ca="1"/>
        <v>0.59335414777999118</v>
      </c>
      <c r="G198" s="33">
        <f ca="1"/>
        <v>0.47792239073439807</v>
      </c>
      <c r="H198" s="33">
        <f ca="1"/>
        <v>0.39881059029034177</v>
      </c>
      <c r="I198" s="33">
        <f ca="1"/>
        <v>0.34630815677967336</v>
      </c>
      <c r="J198" s="33">
        <f ca="1"/>
        <v>0.31515799637565417</v>
      </c>
      <c r="K198" s="33">
        <f ca="1"/>
        <v>0.29386208489045046</v>
      </c>
      <c r="M198" s="4"/>
    </row>
    <row r="199" spans="1:18" s="6" customFormat="1" x14ac:dyDescent="0.25">
      <c r="A199" s="4" t="str">
        <v>OT CO2</v>
      </c>
      <c r="B199" s="33">
        <f ca="1"/>
        <v>1</v>
      </c>
      <c r="C199" s="33">
        <f ca="1"/>
        <v>0.96201535166948027</v>
      </c>
      <c r="D199" s="33">
        <f ca="1"/>
        <v>0.86741900226569857</v>
      </c>
      <c r="E199" s="33">
        <f ca="1"/>
        <v>0.76104834408999955</v>
      </c>
      <c r="F199" s="33">
        <f ca="1"/>
        <v>0.6299942058720619</v>
      </c>
      <c r="G199" s="33">
        <f ca="1"/>
        <v>0.50924988019407147</v>
      </c>
      <c r="H199" s="33">
        <f ca="1"/>
        <v>0.42466099555747128</v>
      </c>
      <c r="I199" s="33">
        <f ca="1"/>
        <v>0.36864600673065323</v>
      </c>
      <c r="J199" s="33">
        <f ca="1"/>
        <v>0.33544733396863086</v>
      </c>
      <c r="K199" s="33">
        <f ca="1"/>
        <v>0.31276462444451425</v>
      </c>
      <c r="M199" s="4"/>
    </row>
    <row r="200" spans="1:18" s="6" customFormat="1" x14ac:dyDescent="0.25">
      <c r="A200" s="4" t="str">
        <v>EE CO2</v>
      </c>
      <c r="B200" s="33">
        <f ca="1"/>
        <v>1</v>
      </c>
      <c r="C200" s="33">
        <f ca="1"/>
        <v>0.95303456663742425</v>
      </c>
      <c r="D200" s="33">
        <f ca="1"/>
        <v>0.8481174338010653</v>
      </c>
      <c r="E200" s="33">
        <f ca="1"/>
        <v>0.73726341690649555</v>
      </c>
      <c r="F200" s="33">
        <f ca="1"/>
        <v>0.60538103447033875</v>
      </c>
      <c r="G200" s="33">
        <f ca="1"/>
        <v>0.48499995878978136</v>
      </c>
      <c r="H200" s="33">
        <f ca="1"/>
        <v>0.39771074401719464</v>
      </c>
      <c r="I200" s="33">
        <f ca="1"/>
        <v>0.3426576538257875</v>
      </c>
      <c r="J200" s="33">
        <f ca="1"/>
        <v>0.31074613579242116</v>
      </c>
      <c r="K200" s="33">
        <f ca="1"/>
        <v>0.28918341705035167</v>
      </c>
      <c r="M200" s="4"/>
    </row>
    <row r="201" spans="1:18" s="6" customFormat="1" x14ac:dyDescent="0.25">
      <c r="A201" s="4" t="str">
        <v>CA CO2</v>
      </c>
      <c r="B201" s="33">
        <f ca="1"/>
        <v>1</v>
      </c>
      <c r="C201" s="33">
        <f ca="1"/>
        <v>0.95350720999004723</v>
      </c>
      <c r="D201" s="33">
        <f ca="1"/>
        <v>0.83523842392525594</v>
      </c>
      <c r="E201" s="33">
        <f ca="1"/>
        <v>0.70653303232795572</v>
      </c>
      <c r="F201" s="33">
        <f ca="1"/>
        <v>0.5639123591011892</v>
      </c>
      <c r="G201" s="33">
        <f ca="1"/>
        <v>0.44379300706766817</v>
      </c>
      <c r="H201" s="33">
        <f ca="1"/>
        <v>0.36566095090607409</v>
      </c>
      <c r="I201" s="33">
        <f ca="1"/>
        <v>0.31570318855126228</v>
      </c>
      <c r="J201" s="33">
        <f ca="1"/>
        <v>0.2865676919923969</v>
      </c>
      <c r="K201" s="33">
        <f ca="1"/>
        <v>0.26682132293089844</v>
      </c>
      <c r="M201" s="4"/>
    </row>
    <row r="202" spans="1:18" s="6" customFormat="1" x14ac:dyDescent="0.25">
      <c r="A202" s="4" t="str">
        <v>IA CO2</v>
      </c>
      <c r="B202" s="33">
        <f ca="1"/>
        <v>1</v>
      </c>
      <c r="C202" s="33">
        <f ca="1"/>
        <v>0.95913552752604914</v>
      </c>
      <c r="D202" s="33">
        <f ca="1"/>
        <v>0.85412557287234681</v>
      </c>
      <c r="E202" s="33">
        <f ca="1"/>
        <v>0.73451792907529123</v>
      </c>
      <c r="F202" s="33">
        <f ca="1"/>
        <v>0.59444253874032871</v>
      </c>
      <c r="G202" s="33">
        <f ca="1"/>
        <v>0.47168815038560241</v>
      </c>
      <c r="H202" s="33">
        <f ca="1"/>
        <v>0.3898025887316795</v>
      </c>
      <c r="I202" s="33">
        <f ca="1"/>
        <v>0.33699387389562752</v>
      </c>
      <c r="J202" s="33">
        <f ca="1"/>
        <v>0.30607629840139466</v>
      </c>
      <c r="K202" s="33">
        <f ca="1"/>
        <v>0.28508205051857727</v>
      </c>
      <c r="M202" s="4"/>
    </row>
    <row r="203" spans="1:18" s="6" customFormat="1" x14ac:dyDescent="0.25">
      <c r="A203" s="4" t="str">
        <v>AF CO2</v>
      </c>
      <c r="B203" s="33">
        <f ca="1"/>
        <v>1</v>
      </c>
      <c r="C203" s="33">
        <f ca="1"/>
        <v>0.94109452543820948</v>
      </c>
      <c r="D203" s="33">
        <f ca="1"/>
        <v>0.83304710759293377</v>
      </c>
      <c r="E203" s="33">
        <f ca="1"/>
        <v>0.71739708170439276</v>
      </c>
      <c r="F203" s="33">
        <f ca="1"/>
        <v>0.58120937775285098</v>
      </c>
      <c r="G203" s="33">
        <f ca="1"/>
        <v>0.45953699231621786</v>
      </c>
      <c r="H203" s="33">
        <f ca="1"/>
        <v>0.37449533517315969</v>
      </c>
      <c r="I203" s="33">
        <f ca="1"/>
        <v>0.32180742286052832</v>
      </c>
      <c r="J203" s="33">
        <f ca="1"/>
        <v>0.29150526524875559</v>
      </c>
      <c r="K203" s="33">
        <f ca="1"/>
        <v>0.27110942096120749</v>
      </c>
      <c r="M203" s="4"/>
    </row>
    <row r="204" spans="1:18" s="6" customFormat="1" ht="13" thickBot="1" x14ac:dyDescent="0.3">
      <c r="A204" s="4" t="str">
        <v>LA CO2</v>
      </c>
      <c r="B204" s="34">
        <f ca="1"/>
        <v>1</v>
      </c>
      <c r="C204" s="34">
        <f ca="1"/>
        <v>0.95132935819264075</v>
      </c>
      <c r="D204" s="34">
        <f ca="1"/>
        <v>0.84794491807802808</v>
      </c>
      <c r="E204" s="34">
        <f ca="1"/>
        <v>0.74046589889188441</v>
      </c>
      <c r="F204" s="34">
        <f ca="1"/>
        <v>0.60867218154613079</v>
      </c>
      <c r="G204" s="34">
        <f ca="1"/>
        <v>0.48940490521649188</v>
      </c>
      <c r="H204" s="34">
        <f ca="1"/>
        <v>0.41072614647553191</v>
      </c>
      <c r="I204" s="34">
        <f ca="1"/>
        <v>0.35764918397653739</v>
      </c>
      <c r="J204" s="34">
        <f ca="1"/>
        <v>0.32591665864455399</v>
      </c>
      <c r="K204" s="34">
        <f ca="1"/>
        <v>0.30414253229647442</v>
      </c>
      <c r="M204" s="4"/>
    </row>
    <row r="205" spans="1:18" s="2" customFormat="1" ht="15.5" thickTop="1" x14ac:dyDescent="0.4">
      <c r="A205" s="2" t="s">
        <v>294</v>
      </c>
      <c r="B205" s="2" t="s">
        <v>296</v>
      </c>
    </row>
    <row r="206" spans="1:18" s="7" customFormat="1" x14ac:dyDescent="0.25">
      <c r="A206" s="4" t="str">
        <f t="array" ref="A206:A213">R_CODE&amp;" "&amp;'Base data'!$C$12</f>
        <v>EU CH4</v>
      </c>
      <c r="B206" s="29">
        <f t="array" ref="B206:K213" ca="1">((CROSS*cumcbe_ch4_g+(1-CROSS)*cumcbe_ch4+IES_CH4)/IES_CH4)^-(LN(1/(1-LEARN))/LN(2))</f>
        <v>1</v>
      </c>
      <c r="C206" s="29">
        <f ca="1"/>
        <v>0.9351706755203304</v>
      </c>
      <c r="D206" s="29">
        <f ca="1"/>
        <v>0.86656464455338478</v>
      </c>
      <c r="E206" s="29">
        <f ca="1"/>
        <v>0.80071115841489238</v>
      </c>
      <c r="F206" s="29">
        <f ca="1"/>
        <v>0.7034206584511481</v>
      </c>
      <c r="G206" s="29">
        <f ca="1"/>
        <v>0.60433740502281508</v>
      </c>
      <c r="H206" s="29">
        <f ca="1"/>
        <v>0.51488484655180655</v>
      </c>
      <c r="I206" s="29">
        <f ca="1"/>
        <v>0.45315009097306724</v>
      </c>
      <c r="J206" s="29">
        <f ca="1"/>
        <v>0.41609079774088242</v>
      </c>
      <c r="K206" s="29">
        <f ca="1"/>
        <v>0.39086890163770299</v>
      </c>
      <c r="M206" s="4"/>
    </row>
    <row r="207" spans="1:18" s="7" customFormat="1" x14ac:dyDescent="0.25">
      <c r="A207" s="4" t="str">
        <v>US CH4</v>
      </c>
      <c r="B207" s="26">
        <f ca="1"/>
        <v>1</v>
      </c>
      <c r="C207" s="26">
        <f ca="1"/>
        <v>0.93251735379183631</v>
      </c>
      <c r="D207" s="26">
        <f ca="1"/>
        <v>0.86218003340798577</v>
      </c>
      <c r="E207" s="26">
        <f ca="1"/>
        <v>0.79548090149280037</v>
      </c>
      <c r="F207" s="26">
        <f ca="1"/>
        <v>0.69782921449123958</v>
      </c>
      <c r="G207" s="26">
        <f ca="1"/>
        <v>0.59885655373436708</v>
      </c>
      <c r="H207" s="26">
        <f ca="1"/>
        <v>0.50975022805479819</v>
      </c>
      <c r="I207" s="26">
        <f ca="1"/>
        <v>0.44841996183505906</v>
      </c>
      <c r="J207" s="26">
        <f ca="1"/>
        <v>0.41165202725931904</v>
      </c>
      <c r="K207" s="26">
        <f ca="1"/>
        <v>0.38664462343875278</v>
      </c>
      <c r="M207" s="4"/>
    </row>
    <row r="208" spans="1:18" s="7" customFormat="1" x14ac:dyDescent="0.25">
      <c r="A208" s="4" t="str">
        <v>OT CH4</v>
      </c>
      <c r="B208" s="26">
        <f ca="1"/>
        <v>1</v>
      </c>
      <c r="C208" s="26">
        <f ca="1"/>
        <v>0.93604021933257842</v>
      </c>
      <c r="D208" s="26">
        <f ca="1"/>
        <v>0.86801035840181162</v>
      </c>
      <c r="E208" s="26">
        <f ca="1"/>
        <v>0.80244271588510963</v>
      </c>
      <c r="F208" s="26">
        <f ca="1"/>
        <v>0.70527906125600981</v>
      </c>
      <c r="G208" s="26">
        <f ca="1"/>
        <v>0.60616472016486778</v>
      </c>
      <c r="H208" s="26">
        <f ca="1"/>
        <v>0.51660103188724382</v>
      </c>
      <c r="I208" s="26">
        <f ca="1"/>
        <v>0.45473313334330878</v>
      </c>
      <c r="J208" s="26">
        <f ca="1"/>
        <v>0.41757728081109807</v>
      </c>
      <c r="K208" s="26">
        <f ca="1"/>
        <v>0.39228410496982591</v>
      </c>
      <c r="M208" s="4"/>
    </row>
    <row r="209" spans="1:13" s="7" customFormat="1" x14ac:dyDescent="0.25">
      <c r="A209" s="4" t="str">
        <v>EE CH4</v>
      </c>
      <c r="B209" s="26">
        <f ca="1"/>
        <v>1</v>
      </c>
      <c r="C209" s="26">
        <f ca="1"/>
        <v>0.92212182257290187</v>
      </c>
      <c r="D209" s="26">
        <f ca="1"/>
        <v>0.84534816144274672</v>
      </c>
      <c r="E209" s="26">
        <f ca="1"/>
        <v>0.77333185715582964</v>
      </c>
      <c r="F209" s="26">
        <f ca="1"/>
        <v>0.67172178057859278</v>
      </c>
      <c r="G209" s="26">
        <f ca="1"/>
        <v>0.57433336047779537</v>
      </c>
      <c r="H209" s="26">
        <f ca="1"/>
        <v>0.48443039301089402</v>
      </c>
      <c r="I209" s="26">
        <f ca="1"/>
        <v>0.42418824104466901</v>
      </c>
      <c r="J209" s="26">
        <f ca="1"/>
        <v>0.38853523298092174</v>
      </c>
      <c r="K209" s="26">
        <f ca="1"/>
        <v>0.3644379903481873</v>
      </c>
      <c r="M209" s="4"/>
    </row>
    <row r="210" spans="1:13" s="7" customFormat="1" x14ac:dyDescent="0.25">
      <c r="A210" s="4" t="str">
        <v>CA CH4</v>
      </c>
      <c r="B210" s="26">
        <f ca="1"/>
        <v>1</v>
      </c>
      <c r="C210" s="26">
        <f ca="1"/>
        <v>0.93010984574418498</v>
      </c>
      <c r="D210" s="26">
        <f ca="1"/>
        <v>0.85418148079680134</v>
      </c>
      <c r="E210" s="26">
        <f ca="1"/>
        <v>0.77918787831338365</v>
      </c>
      <c r="F210" s="26">
        <f ca="1"/>
        <v>0.66931544547611388</v>
      </c>
      <c r="G210" s="26">
        <f ca="1"/>
        <v>0.56272484053549732</v>
      </c>
      <c r="H210" s="26">
        <f ca="1"/>
        <v>0.47396212831692086</v>
      </c>
      <c r="I210" s="26">
        <f ca="1"/>
        <v>0.41480801857536886</v>
      </c>
      <c r="J210" s="26">
        <f ca="1"/>
        <v>0.37990621170257005</v>
      </c>
      <c r="K210" s="26">
        <f ca="1"/>
        <v>0.35636899775123232</v>
      </c>
      <c r="M210" s="4"/>
    </row>
    <row r="211" spans="1:13" s="7" customFormat="1" x14ac:dyDescent="0.25">
      <c r="A211" s="4" t="str">
        <v>IA CH4</v>
      </c>
      <c r="B211" s="26">
        <f ca="1"/>
        <v>1</v>
      </c>
      <c r="C211" s="26">
        <f ca="1"/>
        <v>0.92573065094114582</v>
      </c>
      <c r="D211" s="26">
        <f ca="1"/>
        <v>0.84622237571311965</v>
      </c>
      <c r="E211" s="26">
        <f ca="1"/>
        <v>0.76854850514649431</v>
      </c>
      <c r="F211" s="26">
        <f ca="1"/>
        <v>0.65632535339250853</v>
      </c>
      <c r="G211" s="26">
        <f ca="1"/>
        <v>0.54912362204383691</v>
      </c>
      <c r="H211" s="26">
        <f ca="1"/>
        <v>0.46127201073049068</v>
      </c>
      <c r="I211" s="26">
        <f ca="1"/>
        <v>0.40318782046860097</v>
      </c>
      <c r="J211" s="26">
        <f ca="1"/>
        <v>0.36904676508769513</v>
      </c>
      <c r="K211" s="26">
        <f ca="1"/>
        <v>0.34606690959038133</v>
      </c>
      <c r="M211" s="4"/>
    </row>
    <row r="212" spans="1:13" s="7" customFormat="1" x14ac:dyDescent="0.25">
      <c r="A212" s="4" t="str">
        <v>AF CH4</v>
      </c>
      <c r="B212" s="26">
        <f ca="1"/>
        <v>1</v>
      </c>
      <c r="C212" s="26">
        <f ca="1"/>
        <v>0.90919700291235039</v>
      </c>
      <c r="D212" s="26">
        <f ca="1"/>
        <v>0.81698461406708234</v>
      </c>
      <c r="E212" s="26">
        <f ca="1"/>
        <v>0.73535669499181222</v>
      </c>
      <c r="F212" s="26">
        <f ca="1"/>
        <v>0.62667077377830005</v>
      </c>
      <c r="G212" s="26">
        <f ca="1"/>
        <v>0.52787303958942344</v>
      </c>
      <c r="H212" s="26">
        <f ca="1"/>
        <v>0.44563870713487785</v>
      </c>
      <c r="I212" s="26">
        <f ca="1"/>
        <v>0.39044276218732393</v>
      </c>
      <c r="J212" s="26">
        <f ca="1"/>
        <v>0.35776148902885707</v>
      </c>
      <c r="K212" s="26">
        <f ca="1"/>
        <v>0.33567932208936735</v>
      </c>
      <c r="M212" s="4"/>
    </row>
    <row r="213" spans="1:13" s="7" customFormat="1" ht="13" thickBot="1" x14ac:dyDescent="0.3">
      <c r="A213" s="4" t="str">
        <v>LA CH4</v>
      </c>
      <c r="B213" s="35">
        <f ca="1"/>
        <v>1</v>
      </c>
      <c r="C213" s="35">
        <f ca="1"/>
        <v>0.91560229024592654</v>
      </c>
      <c r="D213" s="35">
        <f ca="1"/>
        <v>0.83089279754598855</v>
      </c>
      <c r="E213" s="35">
        <f ca="1"/>
        <v>0.75584977695517686</v>
      </c>
      <c r="F213" s="35">
        <f ca="1"/>
        <v>0.65406529451659112</v>
      </c>
      <c r="G213" s="35">
        <f ca="1"/>
        <v>0.5610838396131671</v>
      </c>
      <c r="H213" s="35">
        <f ca="1"/>
        <v>0.48087667265168538</v>
      </c>
      <c r="I213" s="35">
        <f ca="1"/>
        <v>0.42461882072428597</v>
      </c>
      <c r="J213" s="35">
        <f ca="1"/>
        <v>0.39059312923629208</v>
      </c>
      <c r="K213" s="35">
        <f ca="1"/>
        <v>0.36736866243580907</v>
      </c>
      <c r="M213" s="4"/>
    </row>
    <row r="214" spans="1:13" s="2" customFormat="1" ht="15.5" thickTop="1" x14ac:dyDescent="0.4">
      <c r="A214" s="2" t="s">
        <v>294</v>
      </c>
      <c r="B214" s="2" t="s">
        <v>297</v>
      </c>
    </row>
    <row r="215" spans="1:13" s="7" customFormat="1" x14ac:dyDescent="0.25">
      <c r="A215" s="4" t="str">
        <f t="array" ref="A215:A222">R_CODE&amp;" "&amp;'Base data'!$D$12</f>
        <v>EU N2O</v>
      </c>
      <c r="B215" s="29">
        <f t="array" ref="B215:K222" ca="1">((CROSS*cumcbe_n2o_g+(1-CROSS)*cumcbe_n2o+IES_N2O)/IES_N2O)^-(LN(1/(1-LEARN))/LN(2))</f>
        <v>1</v>
      </c>
      <c r="C215" s="29">
        <f ca="1"/>
        <v>0.96109932632320494</v>
      </c>
      <c r="D215" s="29">
        <f ca="1"/>
        <v>0.91035812543561889</v>
      </c>
      <c r="E215" s="29">
        <f ca="1"/>
        <v>0.85029842885078022</v>
      </c>
      <c r="F215" s="29">
        <f ca="1"/>
        <v>0.75174065902514575</v>
      </c>
      <c r="G215" s="29">
        <f ca="1"/>
        <v>0.64453088552281579</v>
      </c>
      <c r="H215" s="29">
        <f ca="1"/>
        <v>0.54431963123039528</v>
      </c>
      <c r="I215" s="29">
        <f ca="1"/>
        <v>0.47423525677910933</v>
      </c>
      <c r="J215" s="29">
        <f ca="1"/>
        <v>0.43141835793983035</v>
      </c>
      <c r="K215" s="29">
        <f ca="1"/>
        <v>0.40153865937112898</v>
      </c>
      <c r="M215" s="4"/>
    </row>
    <row r="216" spans="1:13" s="7" customFormat="1" x14ac:dyDescent="0.25">
      <c r="A216" s="4" t="str">
        <v>US N2O</v>
      </c>
      <c r="B216" s="26">
        <f ca="1"/>
        <v>1</v>
      </c>
      <c r="C216" s="26">
        <f ca="1"/>
        <v>0.96302937759507445</v>
      </c>
      <c r="D216" s="26">
        <f ca="1"/>
        <v>0.91401382062135506</v>
      </c>
      <c r="E216" s="26">
        <f ca="1"/>
        <v>0.85521596541622047</v>
      </c>
      <c r="F216" s="26">
        <f ca="1"/>
        <v>0.75750923593826169</v>
      </c>
      <c r="G216" s="26">
        <f ca="1"/>
        <v>0.65025420362741138</v>
      </c>
      <c r="H216" s="26">
        <f ca="1"/>
        <v>0.54943544596386007</v>
      </c>
      <c r="I216" s="26">
        <f ca="1"/>
        <v>0.47881730257456545</v>
      </c>
      <c r="J216" s="26">
        <f ca="1"/>
        <v>0.43564133055042631</v>
      </c>
      <c r="K216" s="26">
        <f ca="1"/>
        <v>0.40549921981592824</v>
      </c>
      <c r="M216" s="4"/>
    </row>
    <row r="217" spans="1:13" s="7" customFormat="1" x14ac:dyDescent="0.25">
      <c r="A217" s="4" t="str">
        <v>OT N2O</v>
      </c>
      <c r="B217" s="26">
        <f ca="1"/>
        <v>1</v>
      </c>
      <c r="C217" s="26">
        <f ca="1"/>
        <v>0.96982747913251144</v>
      </c>
      <c r="D217" s="26">
        <f ca="1"/>
        <v>0.92713548302024351</v>
      </c>
      <c r="E217" s="26">
        <f ca="1"/>
        <v>0.87316807920168971</v>
      </c>
      <c r="F217" s="26">
        <f ca="1"/>
        <v>0.77895963395633139</v>
      </c>
      <c r="G217" s="26">
        <f ca="1"/>
        <v>0.67179177704048276</v>
      </c>
      <c r="H217" s="26">
        <f ca="1"/>
        <v>0.56878681346852178</v>
      </c>
      <c r="I217" s="26">
        <f ca="1"/>
        <v>0.49619540507883292</v>
      </c>
      <c r="J217" s="26">
        <f ca="1"/>
        <v>0.45167796178825625</v>
      </c>
      <c r="K217" s="26">
        <f ca="1"/>
        <v>0.42055066827144605</v>
      </c>
      <c r="M217" s="4"/>
    </row>
    <row r="218" spans="1:13" s="7" customFormat="1" x14ac:dyDescent="0.25">
      <c r="A218" s="4" t="str">
        <v>EE N2O</v>
      </c>
      <c r="B218" s="26">
        <f ca="1"/>
        <v>1</v>
      </c>
      <c r="C218" s="26">
        <f ca="1"/>
        <v>0.97798232547760189</v>
      </c>
      <c r="D218" s="26">
        <f ca="1"/>
        <v>0.94183098666732135</v>
      </c>
      <c r="E218" s="26">
        <f ca="1"/>
        <v>0.89178617141840633</v>
      </c>
      <c r="F218" s="26">
        <f ca="1"/>
        <v>0.79959919085165443</v>
      </c>
      <c r="G218" s="26">
        <f ca="1"/>
        <v>0.69194867372513869</v>
      </c>
      <c r="H218" s="26">
        <f ca="1"/>
        <v>0.58352854731338344</v>
      </c>
      <c r="I218" s="26">
        <f ca="1"/>
        <v>0.50810910531805276</v>
      </c>
      <c r="J218" s="26">
        <f ca="1"/>
        <v>0.46216457462711813</v>
      </c>
      <c r="K218" s="26">
        <f ca="1"/>
        <v>0.43015930474347885</v>
      </c>
      <c r="M218" s="4"/>
    </row>
    <row r="219" spans="1:13" s="7" customFormat="1" x14ac:dyDescent="0.25">
      <c r="A219" s="4" t="str">
        <v>CA N2O</v>
      </c>
      <c r="B219" s="26">
        <f ca="1"/>
        <v>1</v>
      </c>
      <c r="C219" s="26">
        <f ca="1"/>
        <v>0.97798232547760189</v>
      </c>
      <c r="D219" s="26">
        <f ca="1"/>
        <v>0.94137007781427362</v>
      </c>
      <c r="E219" s="26">
        <f ca="1"/>
        <v>0.87913957594757663</v>
      </c>
      <c r="F219" s="26">
        <f ca="1"/>
        <v>0.76037304468203759</v>
      </c>
      <c r="G219" s="26">
        <f ca="1"/>
        <v>0.63538039863075169</v>
      </c>
      <c r="H219" s="26">
        <f ca="1"/>
        <v>0.52074883079714607</v>
      </c>
      <c r="I219" s="26">
        <f ca="1"/>
        <v>0.44743380237533859</v>
      </c>
      <c r="J219" s="26">
        <f ca="1"/>
        <v>0.40449691027343943</v>
      </c>
      <c r="K219" s="26">
        <f ca="1"/>
        <v>0.37517597224165472</v>
      </c>
      <c r="M219" s="4"/>
    </row>
    <row r="220" spans="1:13" s="7" customFormat="1" x14ac:dyDescent="0.25">
      <c r="A220" s="4" t="str">
        <v>IA N2O</v>
      </c>
      <c r="B220" s="26">
        <f ca="1"/>
        <v>1</v>
      </c>
      <c r="C220" s="26">
        <f ca="1"/>
        <v>0.97798232547760189</v>
      </c>
      <c r="D220" s="26">
        <f ca="1"/>
        <v>0.94255222719534304</v>
      </c>
      <c r="E220" s="26">
        <f ca="1"/>
        <v>0.88884485933558488</v>
      </c>
      <c r="F220" s="26">
        <f ca="1"/>
        <v>0.786244706309986</v>
      </c>
      <c r="G220" s="26">
        <f ca="1"/>
        <v>0.67021441603881604</v>
      </c>
      <c r="H220" s="26">
        <f ca="1"/>
        <v>0.55896846139603795</v>
      </c>
      <c r="I220" s="26">
        <f ca="1"/>
        <v>0.4840785128340257</v>
      </c>
      <c r="J220" s="26">
        <f ca="1"/>
        <v>0.43917069332882197</v>
      </c>
      <c r="K220" s="26">
        <f ca="1"/>
        <v>0.40813610869404887</v>
      </c>
      <c r="M220" s="4"/>
    </row>
    <row r="221" spans="1:13" s="7" customFormat="1" x14ac:dyDescent="0.25">
      <c r="A221" s="4" t="str">
        <v>AF N2O</v>
      </c>
      <c r="B221" s="26">
        <f ca="1"/>
        <v>1</v>
      </c>
      <c r="C221" s="26">
        <f ca="1"/>
        <v>0.96075050974484155</v>
      </c>
      <c r="D221" s="26">
        <f ca="1"/>
        <v>0.89609958510255128</v>
      </c>
      <c r="E221" s="26">
        <f ca="1"/>
        <v>0.82074307454396245</v>
      </c>
      <c r="F221" s="26">
        <f ca="1"/>
        <v>0.70226127956627749</v>
      </c>
      <c r="G221" s="26">
        <f ca="1"/>
        <v>0.58013913435829412</v>
      </c>
      <c r="H221" s="26">
        <f ca="1"/>
        <v>0.4764371678859346</v>
      </c>
      <c r="I221" s="26">
        <f ca="1"/>
        <v>0.40955407208193384</v>
      </c>
      <c r="J221" s="26">
        <f ca="1"/>
        <v>0.37021414271595759</v>
      </c>
      <c r="K221" s="26">
        <f ca="1"/>
        <v>0.34327121088890639</v>
      </c>
      <c r="M221" s="4"/>
    </row>
    <row r="222" spans="1:13" s="7" customFormat="1" ht="13" thickBot="1" x14ac:dyDescent="0.3">
      <c r="A222" s="4" t="str">
        <v>LA N2O</v>
      </c>
      <c r="B222" s="35">
        <f ca="1"/>
        <v>1</v>
      </c>
      <c r="C222" s="35">
        <f ca="1"/>
        <v>0.95417770952162739</v>
      </c>
      <c r="D222" s="35">
        <f ca="1"/>
        <v>0.89010238994077939</v>
      </c>
      <c r="E222" s="35">
        <f ca="1"/>
        <v>0.81922905428080006</v>
      </c>
      <c r="F222" s="35">
        <f ca="1"/>
        <v>0.70951334144072331</v>
      </c>
      <c r="G222" s="35">
        <f ca="1"/>
        <v>0.599765983553604</v>
      </c>
      <c r="H222" s="35">
        <f ca="1"/>
        <v>0.50630855124343144</v>
      </c>
      <c r="I222" s="35">
        <f ca="1"/>
        <v>0.44100651433260551</v>
      </c>
      <c r="J222" s="35">
        <f ca="1"/>
        <v>0.40112657651644479</v>
      </c>
      <c r="K222" s="35">
        <f ca="1"/>
        <v>0.37329935930691521</v>
      </c>
      <c r="M222" s="4"/>
    </row>
    <row r="223" spans="1:13" s="2" customFormat="1" ht="15.5" thickTop="1" x14ac:dyDescent="0.4">
      <c r="A223" s="2" t="s">
        <v>294</v>
      </c>
      <c r="B223" s="2" t="s">
        <v>298</v>
      </c>
    </row>
    <row r="224" spans="1:13" s="7" customFormat="1" x14ac:dyDescent="0.25">
      <c r="A224" s="4" t="str">
        <f t="array" ref="A224:A231">R_CODE&amp;" "&amp;GLIN_NAME</f>
        <v>EU Lin</v>
      </c>
      <c r="B224" s="29">
        <f t="array" ref="B224:K231" ca="1">((CROSS*cumcbe_glin_g+(1-CROSS)*cumcbe_glin+IES_GLIN)/IES_GLIN)^-(LN(1/(1-LEARN))/LN(2))</f>
        <v>1</v>
      </c>
      <c r="C224" s="29">
        <f ca="1"/>
        <v>0.83878938889002541</v>
      </c>
      <c r="D224" s="29">
        <f ca="1"/>
        <v>0.69665639657564848</v>
      </c>
      <c r="E224" s="29">
        <f ca="1"/>
        <v>0.60199814952029562</v>
      </c>
      <c r="F224" s="29">
        <f ca="1"/>
        <v>0.50200374849370322</v>
      </c>
      <c r="G224" s="29">
        <f ca="1"/>
        <v>0.42318776681983672</v>
      </c>
      <c r="H224" s="29">
        <f ca="1"/>
        <v>0.35778478154666471</v>
      </c>
      <c r="I224" s="29">
        <f ca="1"/>
        <v>0.31123478371245389</v>
      </c>
      <c r="J224" s="29">
        <f ca="1"/>
        <v>0.28247711723171343</v>
      </c>
      <c r="K224" s="29">
        <f ca="1"/>
        <v>0.26222080012393578</v>
      </c>
      <c r="M224" s="4"/>
    </row>
    <row r="225" spans="1:13" s="7" customFormat="1" x14ac:dyDescent="0.25">
      <c r="A225" s="4" t="str">
        <v>US Lin</v>
      </c>
      <c r="B225" s="26">
        <f ca="1"/>
        <v>1</v>
      </c>
      <c r="C225" s="26">
        <f ca="1"/>
        <v>0.7885655154337069</v>
      </c>
      <c r="D225" s="26">
        <f ca="1"/>
        <v>0.63440958823784632</v>
      </c>
      <c r="E225" s="26">
        <f ca="1"/>
        <v>0.54277750476971076</v>
      </c>
      <c r="F225" s="26">
        <f ca="1"/>
        <v>0.45049454071079137</v>
      </c>
      <c r="G225" s="26">
        <f ca="1"/>
        <v>0.38100319287470191</v>
      </c>
      <c r="H225" s="26">
        <f ca="1"/>
        <v>0.3231426478102562</v>
      </c>
      <c r="I225" s="26">
        <f ca="1"/>
        <v>0.28156112520085697</v>
      </c>
      <c r="J225" s="26">
        <f ca="1"/>
        <v>0.25574721242746484</v>
      </c>
      <c r="K225" s="26">
        <f ca="1"/>
        <v>0.23751806067428938</v>
      </c>
      <c r="M225" s="4"/>
    </row>
    <row r="226" spans="1:13" s="7" customFormat="1" x14ac:dyDescent="0.25">
      <c r="A226" s="4" t="str">
        <v>OT Lin</v>
      </c>
      <c r="B226" s="26">
        <f ca="1"/>
        <v>1</v>
      </c>
      <c r="C226" s="26">
        <f ca="1"/>
        <v>0.84102421372504443</v>
      </c>
      <c r="D226" s="26">
        <f ca="1"/>
        <v>0.69962839202594851</v>
      </c>
      <c r="E226" s="26">
        <f ca="1"/>
        <v>0.6048892618759879</v>
      </c>
      <c r="F226" s="26">
        <f ca="1"/>
        <v>0.50454506892178375</v>
      </c>
      <c r="G226" s="26">
        <f ca="1"/>
        <v>0.42525390531708712</v>
      </c>
      <c r="H226" s="26">
        <f ca="1"/>
        <v>0.35946949947883289</v>
      </c>
      <c r="I226" s="26">
        <f ca="1"/>
        <v>0.31267259155244537</v>
      </c>
      <c r="J226" s="26">
        <f ca="1"/>
        <v>0.28377000340001479</v>
      </c>
      <c r="K226" s="26">
        <f ca="1"/>
        <v>0.26341439487525681</v>
      </c>
      <c r="M226" s="4"/>
    </row>
    <row r="227" spans="1:13" s="7" customFormat="1" x14ac:dyDescent="0.25">
      <c r="A227" s="4" t="str">
        <v>EE Lin</v>
      </c>
      <c r="B227" s="26">
        <f ca="1"/>
        <v>1</v>
      </c>
      <c r="C227" s="26">
        <f ca="1"/>
        <v>0.85719841709018751</v>
      </c>
      <c r="D227" s="26">
        <f ca="1"/>
        <v>0.71988355800088621</v>
      </c>
      <c r="E227" s="26">
        <f ca="1"/>
        <v>0.62104011324524488</v>
      </c>
      <c r="F227" s="26">
        <f ca="1"/>
        <v>0.51429638467262695</v>
      </c>
      <c r="G227" s="26">
        <f ca="1"/>
        <v>0.42843008034148644</v>
      </c>
      <c r="H227" s="26">
        <f ca="1"/>
        <v>0.35891889554996043</v>
      </c>
      <c r="I227" s="26">
        <f ca="1"/>
        <v>0.31078950368788899</v>
      </c>
      <c r="J227" s="26">
        <f ca="1"/>
        <v>0.28145791370893636</v>
      </c>
      <c r="K227" s="26">
        <f ca="1"/>
        <v>0.26094175508822531</v>
      </c>
      <c r="M227" s="4"/>
    </row>
    <row r="228" spans="1:13" s="7" customFormat="1" x14ac:dyDescent="0.25">
      <c r="A228" s="4" t="str">
        <v>CA Lin</v>
      </c>
      <c r="B228" s="26">
        <f ca="1"/>
        <v>1</v>
      </c>
      <c r="C228" s="26">
        <f ca="1"/>
        <v>0.82263495993779712</v>
      </c>
      <c r="D228" s="26">
        <f ca="1"/>
        <v>0.67451408379813249</v>
      </c>
      <c r="E228" s="26">
        <f ca="1"/>
        <v>0.57149880725990498</v>
      </c>
      <c r="F228" s="26">
        <f ca="1"/>
        <v>0.46693510556032802</v>
      </c>
      <c r="G228" s="26">
        <f ca="1"/>
        <v>0.38434758400595487</v>
      </c>
      <c r="H228" s="26">
        <f ca="1"/>
        <v>0.32012605898362129</v>
      </c>
      <c r="I228" s="26">
        <f ca="1"/>
        <v>0.27641917236858532</v>
      </c>
      <c r="J228" s="26">
        <f ca="1"/>
        <v>0.25000246498527406</v>
      </c>
      <c r="K228" s="26">
        <f ca="1"/>
        <v>0.23160276358213655</v>
      </c>
      <c r="M228" s="4"/>
    </row>
    <row r="229" spans="1:13" s="7" customFormat="1" x14ac:dyDescent="0.25">
      <c r="A229" s="4" t="str">
        <v>IA Lin</v>
      </c>
      <c r="B229" s="26">
        <f ca="1"/>
        <v>1</v>
      </c>
      <c r="C229" s="26">
        <f ca="1"/>
        <v>0.83778136113812862</v>
      </c>
      <c r="D229" s="26">
        <f ca="1"/>
        <v>0.69436763741517538</v>
      </c>
      <c r="E229" s="26">
        <f ca="1"/>
        <v>0.59241899672886833</v>
      </c>
      <c r="F229" s="26">
        <f ca="1"/>
        <v>0.4866861109411072</v>
      </c>
      <c r="G229" s="26">
        <f ca="1"/>
        <v>0.40222352605611716</v>
      </c>
      <c r="H229" s="26">
        <f ca="1"/>
        <v>0.33575059888092718</v>
      </c>
      <c r="I229" s="26">
        <f ca="1"/>
        <v>0.2902166869396034</v>
      </c>
      <c r="J229" s="26">
        <f ca="1"/>
        <v>0.26261027292139349</v>
      </c>
      <c r="K229" s="26">
        <f ca="1"/>
        <v>0.24335169537969287</v>
      </c>
      <c r="M229" s="4"/>
    </row>
    <row r="230" spans="1:13" s="7" customFormat="1" x14ac:dyDescent="0.25">
      <c r="A230" s="4" t="str">
        <v>AF Lin</v>
      </c>
      <c r="B230" s="26">
        <f ca="1"/>
        <v>1</v>
      </c>
      <c r="C230" s="26">
        <f ca="1"/>
        <v>0.84878787039661308</v>
      </c>
      <c r="D230" s="26">
        <f ca="1"/>
        <v>0.71101113844455077</v>
      </c>
      <c r="E230" s="26">
        <f ca="1"/>
        <v>0.61389438270521313</v>
      </c>
      <c r="F230" s="26">
        <f ca="1"/>
        <v>0.50814206115597793</v>
      </c>
      <c r="G230" s="26">
        <f ca="1"/>
        <v>0.41984374830818944</v>
      </c>
      <c r="H230" s="26">
        <f ca="1"/>
        <v>0.34957001548760219</v>
      </c>
      <c r="I230" s="26">
        <f ca="1"/>
        <v>0.30179312480672049</v>
      </c>
      <c r="J230" s="26">
        <f ca="1"/>
        <v>0.27293051534822133</v>
      </c>
      <c r="K230" s="26">
        <f ca="1"/>
        <v>0.25283213949486988</v>
      </c>
      <c r="M230" s="4"/>
    </row>
    <row r="231" spans="1:13" s="7" customFormat="1" ht="13" thickBot="1" x14ac:dyDescent="0.3">
      <c r="A231" s="4" t="str">
        <v>LA Lin</v>
      </c>
      <c r="B231" s="35">
        <f ca="1"/>
        <v>1</v>
      </c>
      <c r="C231" s="35">
        <f ca="1"/>
        <v>0.85779273528302658</v>
      </c>
      <c r="D231" s="35">
        <f ca="1"/>
        <v>0.72299206098785396</v>
      </c>
      <c r="E231" s="35">
        <f ca="1"/>
        <v>0.62426944992109801</v>
      </c>
      <c r="F231" s="35">
        <f ca="1"/>
        <v>0.51755838146546784</v>
      </c>
      <c r="G231" s="35">
        <f ca="1"/>
        <v>0.42893336562195278</v>
      </c>
      <c r="H231" s="35">
        <f ca="1"/>
        <v>0.35812275008668232</v>
      </c>
      <c r="I231" s="35">
        <f ca="1"/>
        <v>0.30958676653910161</v>
      </c>
      <c r="J231" s="35">
        <f ca="1"/>
        <v>0.28015130650298259</v>
      </c>
      <c r="K231" s="35">
        <f ca="1"/>
        <v>0.25961359512795745</v>
      </c>
      <c r="M231" s="4"/>
    </row>
    <row r="232" spans="1:13" s="2" customFormat="1" ht="13.5" thickTop="1" x14ac:dyDescent="0.3">
      <c r="A232" s="2" t="s">
        <v>299</v>
      </c>
      <c r="B232" s="2" t="s">
        <v>300</v>
      </c>
    </row>
    <row r="233" spans="1:13" s="7" customFormat="1" ht="13" thickBot="1" x14ac:dyDescent="0.3">
      <c r="A233" s="4"/>
      <c r="B233" s="34">
        <f t="array" aca="1" ref="B233:K233" ca="1">(1-AUTO/100)^YMINUSY0</f>
        <v>0.97497819578201406</v>
      </c>
      <c r="C233" s="34">
        <f ca="1"/>
        <v>0.92679719348643597</v>
      </c>
      <c r="D233" s="34">
        <f ca="1"/>
        <v>0.8809971767269954</v>
      </c>
      <c r="E233" s="34">
        <f ca="1"/>
        <v>0.83746048310869881</v>
      </c>
      <c r="F233" s="34">
        <f ca="1"/>
        <v>0.73780032123918915</v>
      </c>
      <c r="G233" s="34">
        <f ca="1"/>
        <v>0.64999999999999591</v>
      </c>
      <c r="H233" s="34">
        <f ca="1"/>
        <v>0.50450141651060576</v>
      </c>
      <c r="I233" s="34">
        <f ca="1"/>
        <v>0.39157181424801429</v>
      </c>
      <c r="J233" s="34">
        <f ca="1"/>
        <v>0.30392082300577267</v>
      </c>
      <c r="K233" s="34">
        <f ca="1"/>
        <v>0.23588997802074213</v>
      </c>
      <c r="M233" s="4"/>
    </row>
    <row r="234" spans="1:13" s="2" customFormat="1" ht="13.5" thickTop="1" x14ac:dyDescent="0.3">
      <c r="A234" s="2" t="s">
        <v>310</v>
      </c>
      <c r="B234" s="2" t="s">
        <v>311</v>
      </c>
    </row>
    <row r="235" spans="1:13" s="7" customFormat="1" x14ac:dyDescent="0.25">
      <c r="A235" s="58" t="s">
        <v>14</v>
      </c>
      <c r="B235" s="26">
        <f t="array" aca="1" ref="B235:K235" ca="1">C0_INIT_CO2*(1+C0G/100)^YMINUSY0</f>
        <v>-99.594981998776973</v>
      </c>
      <c r="C235" s="26">
        <f ca="1"/>
        <v>-98.789860539872009</v>
      </c>
      <c r="D235" s="26">
        <f ca="1"/>
        <v>-97.991247647468867</v>
      </c>
      <c r="E235" s="26">
        <f ca="1"/>
        <v>-97.199090706601936</v>
      </c>
      <c r="F235" s="26">
        <f ca="1"/>
        <v>-95.246601685394211</v>
      </c>
      <c r="G235" s="26">
        <f ca="1"/>
        <v>-93.333333333332902</v>
      </c>
      <c r="H235" s="26">
        <f ca="1"/>
        <v>-89.62132307807029</v>
      </c>
      <c r="I235" s="26">
        <f ca="1"/>
        <v>-86.056945181398802</v>
      </c>
      <c r="J235" s="26">
        <f ca="1"/>
        <v>-82.634328077292452</v>
      </c>
      <c r="K235" s="26">
        <f ca="1"/>
        <v>-79.347833720939093</v>
      </c>
      <c r="M235" s="4" t="str">
        <f>CURRENCY_NAME&amp;" per "&amp;EMIT_NAME</f>
        <v>$M(2015) per Mtonne</v>
      </c>
    </row>
    <row r="236" spans="1:13" s="7" customFormat="1" x14ac:dyDescent="0.25">
      <c r="A236" s="58" t="s">
        <v>15</v>
      </c>
      <c r="B236" s="26">
        <f t="array" aca="1" ref="B236:K236" ca="1">C0_INIT_CH4*(1+C0G/100)^YMINUSY0</f>
        <v>-4963.1499362723853</v>
      </c>
      <c r="C236" s="26">
        <f ca="1"/>
        <v>-4923.0280502369551</v>
      </c>
      <c r="D236" s="26">
        <f ca="1"/>
        <v>-4883.2305077655319</v>
      </c>
      <c r="E236" s="26">
        <f ca="1"/>
        <v>-4843.7546868789968</v>
      </c>
      <c r="F236" s="26">
        <f ca="1"/>
        <v>-4746.4556506554782</v>
      </c>
      <c r="G236" s="26">
        <f ca="1"/>
        <v>-4651.1111111110895</v>
      </c>
      <c r="H236" s="26">
        <f ca="1"/>
        <v>-4466.1292667238358</v>
      </c>
      <c r="I236" s="26">
        <f ca="1"/>
        <v>-4288.5044348730398</v>
      </c>
      <c r="J236" s="26">
        <f ca="1"/>
        <v>-4117.94401585174</v>
      </c>
      <c r="K236" s="26">
        <f ca="1"/>
        <v>-3954.1670470934641</v>
      </c>
      <c r="M236" s="4" t="str">
        <f>CURRENCY_NAME&amp;" per "&amp;EMIT_NAME</f>
        <v>$M(2015) per Mtonne</v>
      </c>
    </row>
    <row r="237" spans="1:13" s="7" customFormat="1" x14ac:dyDescent="0.25">
      <c r="A237" s="58" t="s">
        <v>146</v>
      </c>
      <c r="B237" s="26">
        <f t="array" aca="1" ref="B237:K237" ca="1">C0_INIT_N2O*(1+C0G/100)^YMINUSY0</f>
        <v>-8399.176815230192</v>
      </c>
      <c r="C237" s="26">
        <f ca="1"/>
        <v>-8331.2782388625401</v>
      </c>
      <c r="D237" s="26">
        <f ca="1"/>
        <v>-8263.9285516032087</v>
      </c>
      <c r="E237" s="26">
        <f ca="1"/>
        <v>-8197.1233162567642</v>
      </c>
      <c r="F237" s="26">
        <f ca="1"/>
        <v>-8032.4634088015791</v>
      </c>
      <c r="G237" s="26">
        <f ca="1"/>
        <v>-7871.1111111110749</v>
      </c>
      <c r="H237" s="26">
        <f ca="1"/>
        <v>-7558.0649129172616</v>
      </c>
      <c r="I237" s="26">
        <f ca="1"/>
        <v>-7257.4690436312994</v>
      </c>
      <c r="J237" s="26">
        <f ca="1"/>
        <v>-6968.8283345183308</v>
      </c>
      <c r="K237" s="26">
        <f ca="1"/>
        <v>-6691.6673104658639</v>
      </c>
      <c r="M237" s="4" t="str">
        <f>CURRENCY_NAME&amp;" per "&amp;EMIT_NAME</f>
        <v>$M(2015) per Mtonne</v>
      </c>
    </row>
    <row r="238" spans="1:13" s="7" customFormat="1" x14ac:dyDescent="0.25">
      <c r="A238" s="4" t="str">
        <f>GLIN_NAME</f>
        <v>Lin</v>
      </c>
      <c r="B238" s="26">
        <f t="array" aca="1" ref="B238:K238" ca="1">C0_INIT_GLIN*(1+C0G/100)^YMINUSY0</f>
        <v>-267.24653503005152</v>
      </c>
      <c r="C238" s="26">
        <f ca="1"/>
        <v>-265.08612578198989</v>
      </c>
      <c r="D238" s="26">
        <f ca="1"/>
        <v>-262.94318118737476</v>
      </c>
      <c r="E238" s="26">
        <f ca="1"/>
        <v>-260.81756006271519</v>
      </c>
      <c r="F238" s="26">
        <f ca="1"/>
        <v>-255.57838118914114</v>
      </c>
      <c r="G238" s="26">
        <f ca="1"/>
        <v>-250.44444444444326</v>
      </c>
      <c r="H238" s="26">
        <f ca="1"/>
        <v>-240.48388359282194</v>
      </c>
      <c r="I238" s="26">
        <f ca="1"/>
        <v>-230.91946957008676</v>
      </c>
      <c r="J238" s="26">
        <f ca="1"/>
        <v>-221.7354470074014</v>
      </c>
      <c r="K238" s="26">
        <f ca="1"/>
        <v>-212.91668715118652</v>
      </c>
      <c r="M238" s="4" t="str">
        <f>CURRENCY_NAME&amp;" per "&amp;EMIT_NAME</f>
        <v>$M(2015) per Mtonne</v>
      </c>
    </row>
    <row r="239" spans="1:13" s="2" customFormat="1" ht="15" x14ac:dyDescent="0.4">
      <c r="A239" s="2" t="s">
        <v>312</v>
      </c>
      <c r="B239" s="2" t="s">
        <v>313</v>
      </c>
    </row>
    <row r="240" spans="1:13" s="7" customFormat="1" x14ac:dyDescent="0.25">
      <c r="A240" s="58" t="s">
        <v>14</v>
      </c>
      <c r="B240" s="29">
        <f t="array" aca="1" ref="B240:K240" ca="1">QMAX_MINUS_Q0_PROP_INIT_CO2*(1+QMAX_MINUS_Q0_PROPG/100)^YMINUSY0</f>
        <v>60.390730487214277</v>
      </c>
      <c r="C240" s="29">
        <f ca="1"/>
        <v>61.179841547587543</v>
      </c>
      <c r="D240" s="29">
        <f ca="1"/>
        <v>61.979263731217308</v>
      </c>
      <c r="E240" s="29">
        <f ca="1"/>
        <v>62.789131771055807</v>
      </c>
      <c r="F240" s="29">
        <f ca="1"/>
        <v>64.860402624873714</v>
      </c>
      <c r="G240" s="29">
        <f ca="1"/>
        <v>66.999999999999773</v>
      </c>
      <c r="H240" s="29">
        <f ca="1"/>
        <v>71.493264413464701</v>
      </c>
      <c r="I240" s="29">
        <f ca="1"/>
        <v>76.287863529755171</v>
      </c>
      <c r="J240" s="29">
        <f ca="1"/>
        <v>81.404005953300199</v>
      </c>
      <c r="K240" s="29">
        <f ca="1"/>
        <v>86.863255551262185</v>
      </c>
      <c r="M240" s="4" t="str">
        <f>'Library data'!$G$138</f>
        <v>% relative to RCP8.5</v>
      </c>
    </row>
    <row r="241" spans="1:15" s="7" customFormat="1" x14ac:dyDescent="0.25">
      <c r="A241" s="58" t="s">
        <v>15</v>
      </c>
      <c r="B241" s="26">
        <f t="array" aca="1" ref="B241:K241" ca="1">QMAX_MINUS_Q0_PROP_INIT_CH4*(1+QMAX_MINUS_Q0_PROPG/100)^YMINUSY0</f>
        <v>52.003129030656737</v>
      </c>
      <c r="C241" s="26">
        <f ca="1"/>
        <v>52.682641332644828</v>
      </c>
      <c r="D241" s="26">
        <f ca="1"/>
        <v>53.371032657437119</v>
      </c>
      <c r="E241" s="26">
        <f ca="1"/>
        <v>54.068419025075833</v>
      </c>
      <c r="F241" s="26">
        <f ca="1"/>
        <v>55.852013371419034</v>
      </c>
      <c r="G241" s="26">
        <f ca="1"/>
        <v>57.694444444444251</v>
      </c>
      <c r="H241" s="26">
        <f ca="1"/>
        <v>61.563644356039049</v>
      </c>
      <c r="I241" s="26">
        <f ca="1"/>
        <v>65.692326928400277</v>
      </c>
      <c r="J241" s="26">
        <f ca="1"/>
        <v>70.097894015341836</v>
      </c>
      <c r="K241" s="26">
        <f ca="1"/>
        <v>74.798914502475768</v>
      </c>
      <c r="M241" s="4" t="str">
        <f>'Library data'!$G$138</f>
        <v>% relative to RCP8.5</v>
      </c>
    </row>
    <row r="242" spans="1:15" s="7" customFormat="1" x14ac:dyDescent="0.25">
      <c r="A242" s="58" t="s">
        <v>146</v>
      </c>
      <c r="B242" s="26">
        <f t="array" aca="1" ref="B242:K242" ca="1">QMAX_MINUS_Q0_PROP_INIT_N2O*(1+QMAX_MINUS_Q0_PROPG/100)^YMINUSY0</f>
        <v>52.003129030656737</v>
      </c>
      <c r="C242" s="26">
        <f ca="1"/>
        <v>52.682641332644828</v>
      </c>
      <c r="D242" s="26">
        <f ca="1"/>
        <v>53.371032657437119</v>
      </c>
      <c r="E242" s="26">
        <f ca="1"/>
        <v>54.068419025075833</v>
      </c>
      <c r="F242" s="26">
        <f ca="1"/>
        <v>55.852013371419034</v>
      </c>
      <c r="G242" s="26">
        <f ca="1"/>
        <v>57.694444444444251</v>
      </c>
      <c r="H242" s="26">
        <f ca="1"/>
        <v>61.563644356039049</v>
      </c>
      <c r="I242" s="26">
        <f ca="1"/>
        <v>65.692326928400277</v>
      </c>
      <c r="J242" s="26">
        <f ca="1"/>
        <v>70.097894015341836</v>
      </c>
      <c r="K242" s="26">
        <f ca="1"/>
        <v>74.798914502475768</v>
      </c>
      <c r="M242" s="4" t="str">
        <f>'Library data'!$G$138</f>
        <v>% relative to RCP8.5</v>
      </c>
    </row>
    <row r="243" spans="1:15" s="7" customFormat="1" x14ac:dyDescent="0.25">
      <c r="A243" s="4" t="str">
        <f>GLIN_NAME</f>
        <v>Lin</v>
      </c>
      <c r="B243" s="26">
        <f t="array" aca="1" ref="B243:K243" ca="1">QMAX_MINUS_Q0_PROP_INIT_GLIN*(1+QMAX_MINUS_Q0_PROPG/100)^YMINUSY0</f>
        <v>70.455852235083327</v>
      </c>
      <c r="C243" s="26">
        <f ca="1"/>
        <v>71.376481805518807</v>
      </c>
      <c r="D243" s="26">
        <f ca="1"/>
        <v>72.309141019753525</v>
      </c>
      <c r="E243" s="26">
        <f ca="1"/>
        <v>73.253987066231772</v>
      </c>
      <c r="F243" s="26">
        <f ca="1"/>
        <v>75.670469729019345</v>
      </c>
      <c r="G243" s="26">
        <f ca="1"/>
        <v>78.166666666666401</v>
      </c>
      <c r="H243" s="26">
        <f ca="1"/>
        <v>83.408808482375491</v>
      </c>
      <c r="I243" s="26">
        <f ca="1"/>
        <v>89.002507451381021</v>
      </c>
      <c r="J243" s="26">
        <f ca="1"/>
        <v>94.971340278850235</v>
      </c>
      <c r="K243" s="26">
        <f ca="1"/>
        <v>101.34046480980588</v>
      </c>
      <c r="M243" s="4" t="str">
        <f>'Library data'!$G$138</f>
        <v>% relative to RCP8.5</v>
      </c>
    </row>
    <row r="244" spans="1:15" s="2" customFormat="1" ht="15" x14ac:dyDescent="0.4">
      <c r="A244" s="2" t="s">
        <v>301</v>
      </c>
      <c r="B244" s="2" t="s">
        <v>302</v>
      </c>
    </row>
    <row r="245" spans="1:15" s="6" customFormat="1" x14ac:dyDescent="0.25">
      <c r="A245" s="4" t="str">
        <f t="array" ref="A245:A252">R_CODE&amp;" "&amp;'Base data'!$B$12</f>
        <v>EU CO2</v>
      </c>
      <c r="B245" s="29">
        <f t="array" aca="1" ref="B245:K252" ca="1">Q0_PROP_INIT_CO2*(1+Q0PROPG/100)^YMINUSY0</f>
        <v>9.9272934539900977</v>
      </c>
      <c r="C245" s="29">
        <f ca="1"/>
        <v>9.7834623910762524</v>
      </c>
      <c r="D245" s="29">
        <f ca="1"/>
        <v>9.6417152168632683</v>
      </c>
      <c r="E245" s="29">
        <f ca="1"/>
        <v>9.5020217390406021</v>
      </c>
      <c r="F245" s="29">
        <f ca="1"/>
        <v>9.1615787592273339</v>
      </c>
      <c r="G245" s="29">
        <f ca="1"/>
        <v>8.8333333333333481</v>
      </c>
      <c r="H245" s="29">
        <f ca="1"/>
        <v>8.2117027218732019</v>
      </c>
      <c r="I245" s="29">
        <f ca="1"/>
        <v>7.6338182934814665</v>
      </c>
      <c r="J245" s="29">
        <f ca="1"/>
        <v>7.096601485909483</v>
      </c>
      <c r="K245" s="29">
        <f ca="1"/>
        <v>6.5971903854217597</v>
      </c>
      <c r="M245" s="4" t="str">
        <f>'Library data'!$G$138</f>
        <v>% relative to RCP8.5</v>
      </c>
    </row>
    <row r="246" spans="1:15" s="6" customFormat="1" x14ac:dyDescent="0.25">
      <c r="A246" s="4" t="str">
        <v>US CO2</v>
      </c>
      <c r="B246" s="26">
        <f ca="1"/>
        <v>10.754567908489271</v>
      </c>
      <c r="C246" s="26">
        <f ca="1"/>
        <v>10.598750923665939</v>
      </c>
      <c r="D246" s="26">
        <f ca="1"/>
        <v>10.445191484935206</v>
      </c>
      <c r="E246" s="26">
        <f ca="1"/>
        <v>10.293856883960652</v>
      </c>
      <c r="F246" s="26">
        <f ca="1"/>
        <v>9.9250436558296116</v>
      </c>
      <c r="G246" s="26">
        <f ca="1"/>
        <v>9.5694444444444606</v>
      </c>
      <c r="H246" s="26">
        <f ca="1"/>
        <v>8.8960112820293009</v>
      </c>
      <c r="I246" s="26">
        <f ca="1"/>
        <v>8.2699698179382555</v>
      </c>
      <c r="J246" s="26">
        <f ca="1"/>
        <v>7.6879849430686056</v>
      </c>
      <c r="K246" s="26">
        <f ca="1"/>
        <v>7.146956250873572</v>
      </c>
      <c r="M246" s="4" t="str">
        <f>'Library data'!$G$138</f>
        <v>% relative to RCP8.5</v>
      </c>
    </row>
    <row r="247" spans="1:15" s="6" customFormat="1" x14ac:dyDescent="0.25">
      <c r="A247" s="4" t="str">
        <v>OT CO2</v>
      </c>
      <c r="B247" s="26">
        <f ca="1"/>
        <v>9.9272934539900977</v>
      </c>
      <c r="C247" s="26">
        <f ca="1"/>
        <v>9.7834623910762524</v>
      </c>
      <c r="D247" s="26">
        <f ca="1"/>
        <v>9.6417152168632683</v>
      </c>
      <c r="E247" s="26">
        <f ca="1"/>
        <v>9.5020217390406021</v>
      </c>
      <c r="F247" s="26">
        <f ca="1"/>
        <v>9.1615787592273339</v>
      </c>
      <c r="G247" s="26">
        <f ca="1"/>
        <v>8.8333333333333481</v>
      </c>
      <c r="H247" s="26">
        <f ca="1"/>
        <v>8.2117027218732019</v>
      </c>
      <c r="I247" s="26">
        <f ca="1"/>
        <v>7.6338182934814665</v>
      </c>
      <c r="J247" s="26">
        <f ca="1"/>
        <v>7.096601485909483</v>
      </c>
      <c r="K247" s="26">
        <f ca="1"/>
        <v>6.5971903854217597</v>
      </c>
      <c r="M247" s="4" t="str">
        <f>'Library data'!$G$138</f>
        <v>% relative to RCP8.5</v>
      </c>
    </row>
    <row r="248" spans="1:15" s="6" customFormat="1" x14ac:dyDescent="0.25">
      <c r="A248" s="4" t="str">
        <v>EE CO2</v>
      </c>
      <c r="B248" s="26">
        <f ca="1"/>
        <v>6.9491054177930698</v>
      </c>
      <c r="C248" s="26">
        <f ca="1"/>
        <v>6.848423673753377</v>
      </c>
      <c r="D248" s="26">
        <f ca="1"/>
        <v>6.7492006518042889</v>
      </c>
      <c r="E248" s="26">
        <f ca="1"/>
        <v>6.6514152173284229</v>
      </c>
      <c r="F248" s="26">
        <f ca="1"/>
        <v>6.413105131459135</v>
      </c>
      <c r="G248" s="26">
        <f ca="1"/>
        <v>6.1833333333333451</v>
      </c>
      <c r="H248" s="26">
        <f ca="1"/>
        <v>5.7481919053112422</v>
      </c>
      <c r="I248" s="26">
        <f ca="1"/>
        <v>5.3436728054370279</v>
      </c>
      <c r="J248" s="26">
        <f ca="1"/>
        <v>4.9676210401366383</v>
      </c>
      <c r="K248" s="26">
        <f ca="1"/>
        <v>4.618033269795232</v>
      </c>
      <c r="M248" s="4" t="str">
        <f>'Library data'!$G$138</f>
        <v>% relative to RCP8.5</v>
      </c>
    </row>
    <row r="249" spans="1:15" s="6" customFormat="1" x14ac:dyDescent="0.25">
      <c r="A249" s="4" t="str">
        <v>CA CO2</v>
      </c>
      <c r="B249" s="26">
        <f ca="1"/>
        <v>6.9491054177930698</v>
      </c>
      <c r="C249" s="26">
        <f ca="1"/>
        <v>6.848423673753377</v>
      </c>
      <c r="D249" s="26">
        <f ca="1"/>
        <v>6.7492006518042889</v>
      </c>
      <c r="E249" s="26">
        <f ca="1"/>
        <v>6.6514152173284229</v>
      </c>
      <c r="F249" s="26">
        <f ca="1"/>
        <v>6.413105131459135</v>
      </c>
      <c r="G249" s="26">
        <f ca="1"/>
        <v>6.1833333333333451</v>
      </c>
      <c r="H249" s="26">
        <f ca="1"/>
        <v>5.7481919053112422</v>
      </c>
      <c r="I249" s="26">
        <f ca="1"/>
        <v>5.3436728054370279</v>
      </c>
      <c r="J249" s="26">
        <f ca="1"/>
        <v>4.9676210401366383</v>
      </c>
      <c r="K249" s="26">
        <f ca="1"/>
        <v>4.618033269795232</v>
      </c>
      <c r="M249" s="4" t="str">
        <f>'Library data'!$G$138</f>
        <v>% relative to RCP8.5</v>
      </c>
    </row>
    <row r="250" spans="1:15" s="6" customFormat="1" x14ac:dyDescent="0.25">
      <c r="A250" s="4" t="str">
        <v>IA CO2</v>
      </c>
      <c r="B250" s="26">
        <f ca="1"/>
        <v>6.9491054177930698</v>
      </c>
      <c r="C250" s="26">
        <f ca="1"/>
        <v>6.848423673753377</v>
      </c>
      <c r="D250" s="26">
        <f ca="1"/>
        <v>6.7492006518042889</v>
      </c>
      <c r="E250" s="26">
        <f ca="1"/>
        <v>6.6514152173284229</v>
      </c>
      <c r="F250" s="26">
        <f ca="1"/>
        <v>6.413105131459135</v>
      </c>
      <c r="G250" s="26">
        <f ca="1"/>
        <v>6.1833333333333451</v>
      </c>
      <c r="H250" s="26">
        <f ca="1"/>
        <v>5.7481919053112422</v>
      </c>
      <c r="I250" s="26">
        <f ca="1"/>
        <v>5.3436728054370279</v>
      </c>
      <c r="J250" s="26">
        <f ca="1"/>
        <v>4.9676210401366383</v>
      </c>
      <c r="K250" s="26">
        <f ca="1"/>
        <v>4.618033269795232</v>
      </c>
      <c r="M250" s="4" t="str">
        <f>'Library data'!$G$138</f>
        <v>% relative to RCP8.5</v>
      </c>
    </row>
    <row r="251" spans="1:15" s="6" customFormat="1" x14ac:dyDescent="0.25">
      <c r="A251" s="4" t="str">
        <v>AF CO2</v>
      </c>
      <c r="B251" s="26">
        <f ca="1"/>
        <v>6.9491054177930698</v>
      </c>
      <c r="C251" s="26">
        <f ca="1"/>
        <v>6.848423673753377</v>
      </c>
      <c r="D251" s="26">
        <f ca="1"/>
        <v>6.7492006518042889</v>
      </c>
      <c r="E251" s="26">
        <f ca="1"/>
        <v>6.6514152173284229</v>
      </c>
      <c r="F251" s="26">
        <f ca="1"/>
        <v>6.413105131459135</v>
      </c>
      <c r="G251" s="26">
        <f ca="1"/>
        <v>6.1833333333333451</v>
      </c>
      <c r="H251" s="26">
        <f ca="1"/>
        <v>5.7481919053112422</v>
      </c>
      <c r="I251" s="26">
        <f ca="1"/>
        <v>5.3436728054370279</v>
      </c>
      <c r="J251" s="26">
        <f ca="1"/>
        <v>4.9676210401366383</v>
      </c>
      <c r="K251" s="26">
        <f ca="1"/>
        <v>4.618033269795232</v>
      </c>
      <c r="M251" s="4" t="str">
        <f>'Library data'!$G$138</f>
        <v>% relative to RCP8.5</v>
      </c>
    </row>
    <row r="252" spans="1:15" s="6" customFormat="1" ht="13" thickBot="1" x14ac:dyDescent="0.3">
      <c r="A252" s="4" t="str">
        <v>LA CO2</v>
      </c>
      <c r="B252" s="35">
        <f ca="1"/>
        <v>6.9491054177930698</v>
      </c>
      <c r="C252" s="35">
        <f ca="1"/>
        <v>6.848423673753377</v>
      </c>
      <c r="D252" s="35">
        <f ca="1"/>
        <v>6.7492006518042889</v>
      </c>
      <c r="E252" s="35">
        <f ca="1"/>
        <v>6.6514152173284229</v>
      </c>
      <c r="F252" s="35">
        <f ca="1"/>
        <v>6.413105131459135</v>
      </c>
      <c r="G252" s="35">
        <f ca="1"/>
        <v>6.1833333333333451</v>
      </c>
      <c r="H252" s="35">
        <f ca="1"/>
        <v>5.7481919053112422</v>
      </c>
      <c r="I252" s="35">
        <f ca="1"/>
        <v>5.3436728054370279</v>
      </c>
      <c r="J252" s="35">
        <f ca="1"/>
        <v>4.9676210401366383</v>
      </c>
      <c r="K252" s="35">
        <f ca="1"/>
        <v>4.618033269795232</v>
      </c>
      <c r="M252" s="4" t="str">
        <f>'Library data'!$G$138</f>
        <v>% relative to RCP8.5</v>
      </c>
      <c r="O252" s="7"/>
    </row>
    <row r="253" spans="1:15" s="8" customFormat="1" ht="15.5" thickTop="1" x14ac:dyDescent="0.4">
      <c r="A253" s="2" t="s">
        <v>301</v>
      </c>
      <c r="B253" s="2" t="s">
        <v>303</v>
      </c>
    </row>
    <row r="254" spans="1:15" s="7" customFormat="1" x14ac:dyDescent="0.25">
      <c r="A254" s="4" t="str">
        <f t="array" ref="A254:A261">R_CODE&amp;" "&amp;'Base data'!$C$12</f>
        <v>EU CH4</v>
      </c>
      <c r="B254" s="29">
        <f t="array" aca="1" ref="B254:K261" ca="1">Q0_PROP_INIT_CH4*(1+Q0PROPG/100)^YMINUSY0</f>
        <v>9.9272934539900977</v>
      </c>
      <c r="C254" s="29">
        <f ca="1"/>
        <v>9.7834623910762524</v>
      </c>
      <c r="D254" s="29">
        <f ca="1"/>
        <v>9.6417152168632683</v>
      </c>
      <c r="E254" s="29">
        <f ca="1"/>
        <v>9.5020217390406021</v>
      </c>
      <c r="F254" s="29">
        <f ca="1"/>
        <v>9.1615787592273339</v>
      </c>
      <c r="G254" s="29">
        <f ca="1"/>
        <v>8.8333333333333481</v>
      </c>
      <c r="H254" s="29">
        <f ca="1"/>
        <v>8.2117027218732019</v>
      </c>
      <c r="I254" s="29">
        <f ca="1"/>
        <v>7.6338182934814665</v>
      </c>
      <c r="J254" s="29">
        <f ca="1"/>
        <v>7.096601485909483</v>
      </c>
      <c r="K254" s="29">
        <f ca="1"/>
        <v>6.5971903854217597</v>
      </c>
      <c r="M254" s="4" t="str">
        <f>'Library data'!$G$138</f>
        <v>% relative to RCP8.5</v>
      </c>
    </row>
    <row r="255" spans="1:15" s="7" customFormat="1" x14ac:dyDescent="0.25">
      <c r="A255" s="4" t="str">
        <v>US CH4</v>
      </c>
      <c r="B255" s="26">
        <f ca="1"/>
        <v>10.754567908489271</v>
      </c>
      <c r="C255" s="26">
        <f ca="1"/>
        <v>10.598750923665939</v>
      </c>
      <c r="D255" s="26">
        <f ca="1"/>
        <v>10.445191484935206</v>
      </c>
      <c r="E255" s="26">
        <f ca="1"/>
        <v>10.293856883960652</v>
      </c>
      <c r="F255" s="26">
        <f ca="1"/>
        <v>9.9250436558296116</v>
      </c>
      <c r="G255" s="26">
        <f ca="1"/>
        <v>9.5694444444444606</v>
      </c>
      <c r="H255" s="26">
        <f ca="1"/>
        <v>8.8960112820293009</v>
      </c>
      <c r="I255" s="26">
        <f ca="1"/>
        <v>8.2699698179382555</v>
      </c>
      <c r="J255" s="26">
        <f ca="1"/>
        <v>7.6879849430686056</v>
      </c>
      <c r="K255" s="26">
        <f ca="1"/>
        <v>7.146956250873572</v>
      </c>
      <c r="M255" s="4" t="str">
        <f>'Library data'!$G$138</f>
        <v>% relative to RCP8.5</v>
      </c>
    </row>
    <row r="256" spans="1:15" s="7" customFormat="1" x14ac:dyDescent="0.25">
      <c r="A256" s="4" t="str">
        <v>OT CH4</v>
      </c>
      <c r="B256" s="26">
        <f ca="1"/>
        <v>9.9272934539900977</v>
      </c>
      <c r="C256" s="26">
        <f ca="1"/>
        <v>9.7834623910762524</v>
      </c>
      <c r="D256" s="26">
        <f ca="1"/>
        <v>9.6417152168632683</v>
      </c>
      <c r="E256" s="26">
        <f ca="1"/>
        <v>9.5020217390406021</v>
      </c>
      <c r="F256" s="26">
        <f ca="1"/>
        <v>9.1615787592273339</v>
      </c>
      <c r="G256" s="26">
        <f ca="1"/>
        <v>8.8333333333333481</v>
      </c>
      <c r="H256" s="26">
        <f ca="1"/>
        <v>8.2117027218732019</v>
      </c>
      <c r="I256" s="26">
        <f ca="1"/>
        <v>7.6338182934814665</v>
      </c>
      <c r="J256" s="26">
        <f ca="1"/>
        <v>7.096601485909483</v>
      </c>
      <c r="K256" s="26">
        <f ca="1"/>
        <v>6.5971903854217597</v>
      </c>
      <c r="M256" s="4" t="str">
        <f>'Library data'!$G$138</f>
        <v>% relative to RCP8.5</v>
      </c>
    </row>
    <row r="257" spans="1:13" s="7" customFormat="1" x14ac:dyDescent="0.25">
      <c r="A257" s="4" t="str">
        <v>EE CH4</v>
      </c>
      <c r="B257" s="26">
        <f ca="1"/>
        <v>6.9491054177930698</v>
      </c>
      <c r="C257" s="26">
        <f ca="1"/>
        <v>6.848423673753377</v>
      </c>
      <c r="D257" s="26">
        <f ca="1"/>
        <v>6.7492006518042889</v>
      </c>
      <c r="E257" s="26">
        <f ca="1"/>
        <v>6.6514152173284229</v>
      </c>
      <c r="F257" s="26">
        <f ca="1"/>
        <v>6.413105131459135</v>
      </c>
      <c r="G257" s="26">
        <f ca="1"/>
        <v>6.1833333333333451</v>
      </c>
      <c r="H257" s="26">
        <f ca="1"/>
        <v>5.7481919053112422</v>
      </c>
      <c r="I257" s="26">
        <f ca="1"/>
        <v>5.3436728054370279</v>
      </c>
      <c r="J257" s="26">
        <f ca="1"/>
        <v>4.9676210401366383</v>
      </c>
      <c r="K257" s="26">
        <f ca="1"/>
        <v>4.618033269795232</v>
      </c>
      <c r="M257" s="4" t="str">
        <f>'Library data'!$G$138</f>
        <v>% relative to RCP8.5</v>
      </c>
    </row>
    <row r="258" spans="1:13" s="7" customFormat="1" x14ac:dyDescent="0.25">
      <c r="A258" s="4" t="str">
        <v>CA CH4</v>
      </c>
      <c r="B258" s="26">
        <f ca="1"/>
        <v>6.9491054177930698</v>
      </c>
      <c r="C258" s="26">
        <f ca="1"/>
        <v>6.848423673753377</v>
      </c>
      <c r="D258" s="26">
        <f ca="1"/>
        <v>6.7492006518042889</v>
      </c>
      <c r="E258" s="26">
        <f ca="1"/>
        <v>6.6514152173284229</v>
      </c>
      <c r="F258" s="26">
        <f ca="1"/>
        <v>6.413105131459135</v>
      </c>
      <c r="G258" s="26">
        <f ca="1"/>
        <v>6.1833333333333451</v>
      </c>
      <c r="H258" s="26">
        <f ca="1"/>
        <v>5.7481919053112422</v>
      </c>
      <c r="I258" s="26">
        <f ca="1"/>
        <v>5.3436728054370279</v>
      </c>
      <c r="J258" s="26">
        <f ca="1"/>
        <v>4.9676210401366383</v>
      </c>
      <c r="K258" s="26">
        <f ca="1"/>
        <v>4.618033269795232</v>
      </c>
      <c r="M258" s="4" t="str">
        <f>'Library data'!$G$138</f>
        <v>% relative to RCP8.5</v>
      </c>
    </row>
    <row r="259" spans="1:13" s="7" customFormat="1" x14ac:dyDescent="0.25">
      <c r="A259" s="4" t="str">
        <v>IA CH4</v>
      </c>
      <c r="B259" s="26">
        <f ca="1"/>
        <v>6.9491054177930698</v>
      </c>
      <c r="C259" s="26">
        <f ca="1"/>
        <v>6.848423673753377</v>
      </c>
      <c r="D259" s="26">
        <f ca="1"/>
        <v>6.7492006518042889</v>
      </c>
      <c r="E259" s="26">
        <f ca="1"/>
        <v>6.6514152173284229</v>
      </c>
      <c r="F259" s="26">
        <f ca="1"/>
        <v>6.413105131459135</v>
      </c>
      <c r="G259" s="26">
        <f ca="1"/>
        <v>6.1833333333333451</v>
      </c>
      <c r="H259" s="26">
        <f ca="1"/>
        <v>5.7481919053112422</v>
      </c>
      <c r="I259" s="26">
        <f ca="1"/>
        <v>5.3436728054370279</v>
      </c>
      <c r="J259" s="26">
        <f ca="1"/>
        <v>4.9676210401366383</v>
      </c>
      <c r="K259" s="26">
        <f ca="1"/>
        <v>4.618033269795232</v>
      </c>
      <c r="M259" s="4" t="str">
        <f>'Library data'!$G$138</f>
        <v>% relative to RCP8.5</v>
      </c>
    </row>
    <row r="260" spans="1:13" s="7" customFormat="1" x14ac:dyDescent="0.25">
      <c r="A260" s="4" t="str">
        <v>AF CH4</v>
      </c>
      <c r="B260" s="26">
        <f ca="1"/>
        <v>6.9491054177930698</v>
      </c>
      <c r="C260" s="26">
        <f ca="1"/>
        <v>6.848423673753377</v>
      </c>
      <c r="D260" s="26">
        <f ca="1"/>
        <v>6.7492006518042889</v>
      </c>
      <c r="E260" s="26">
        <f ca="1"/>
        <v>6.6514152173284229</v>
      </c>
      <c r="F260" s="26">
        <f ca="1"/>
        <v>6.413105131459135</v>
      </c>
      <c r="G260" s="26">
        <f ca="1"/>
        <v>6.1833333333333451</v>
      </c>
      <c r="H260" s="26">
        <f ca="1"/>
        <v>5.7481919053112422</v>
      </c>
      <c r="I260" s="26">
        <f ca="1"/>
        <v>5.3436728054370279</v>
      </c>
      <c r="J260" s="26">
        <f ca="1"/>
        <v>4.9676210401366383</v>
      </c>
      <c r="K260" s="26">
        <f ca="1"/>
        <v>4.618033269795232</v>
      </c>
      <c r="M260" s="4" t="str">
        <f>'Library data'!$G$138</f>
        <v>% relative to RCP8.5</v>
      </c>
    </row>
    <row r="261" spans="1:13" s="7" customFormat="1" ht="13" thickBot="1" x14ac:dyDescent="0.3">
      <c r="A261" s="4" t="str">
        <v>LA CH4</v>
      </c>
      <c r="B261" s="35">
        <f ca="1"/>
        <v>6.9491054177930698</v>
      </c>
      <c r="C261" s="35">
        <f ca="1"/>
        <v>6.848423673753377</v>
      </c>
      <c r="D261" s="35">
        <f ca="1"/>
        <v>6.7492006518042889</v>
      </c>
      <c r="E261" s="35">
        <f ca="1"/>
        <v>6.6514152173284229</v>
      </c>
      <c r="F261" s="35">
        <f ca="1"/>
        <v>6.413105131459135</v>
      </c>
      <c r="G261" s="35">
        <f ca="1"/>
        <v>6.1833333333333451</v>
      </c>
      <c r="H261" s="35">
        <f ca="1"/>
        <v>5.7481919053112422</v>
      </c>
      <c r="I261" s="35">
        <f ca="1"/>
        <v>5.3436728054370279</v>
      </c>
      <c r="J261" s="35">
        <f ca="1"/>
        <v>4.9676210401366383</v>
      </c>
      <c r="K261" s="35">
        <f ca="1"/>
        <v>4.618033269795232</v>
      </c>
      <c r="M261" s="4" t="str">
        <f>'Library data'!$G$138</f>
        <v>% relative to RCP8.5</v>
      </c>
    </row>
    <row r="262" spans="1:13" s="8" customFormat="1" ht="15.5" thickTop="1" x14ac:dyDescent="0.4">
      <c r="A262" s="2" t="s">
        <v>301</v>
      </c>
      <c r="B262" s="2" t="s">
        <v>304</v>
      </c>
    </row>
    <row r="263" spans="1:13" s="7" customFormat="1" x14ac:dyDescent="0.25">
      <c r="A263" s="4" t="str">
        <f t="array" ref="A263:A270">R_CODE&amp;" "&amp;'Base data'!$D$12</f>
        <v>EU N2O</v>
      </c>
      <c r="B263" s="29">
        <f t="array" aca="1" ref="B263:K270" ca="1">Q0_PROP_INIT_N2O*(1+Q0PROPG/100)^YMINUSY0</f>
        <v>9.9272934539900977</v>
      </c>
      <c r="C263" s="29">
        <f ca="1"/>
        <v>9.7834623910762524</v>
      </c>
      <c r="D263" s="29">
        <f ca="1"/>
        <v>9.6417152168632683</v>
      </c>
      <c r="E263" s="29">
        <f ca="1"/>
        <v>9.5020217390406021</v>
      </c>
      <c r="F263" s="29">
        <f ca="1"/>
        <v>9.1615787592273339</v>
      </c>
      <c r="G263" s="29">
        <f ca="1"/>
        <v>8.8333333333333481</v>
      </c>
      <c r="H263" s="29">
        <f ca="1"/>
        <v>8.2117027218732019</v>
      </c>
      <c r="I263" s="29">
        <f ca="1"/>
        <v>7.6338182934814665</v>
      </c>
      <c r="J263" s="29">
        <f ca="1"/>
        <v>7.096601485909483</v>
      </c>
      <c r="K263" s="29">
        <f ca="1"/>
        <v>6.5971903854217597</v>
      </c>
      <c r="M263" s="4" t="str">
        <f>'Library data'!$G$138</f>
        <v>% relative to RCP8.5</v>
      </c>
    </row>
    <row r="264" spans="1:13" s="7" customFormat="1" x14ac:dyDescent="0.25">
      <c r="A264" s="4" t="str">
        <v>US N2O</v>
      </c>
      <c r="B264" s="26">
        <f ca="1"/>
        <v>10.754567908489271</v>
      </c>
      <c r="C264" s="26">
        <f ca="1"/>
        <v>10.598750923665939</v>
      </c>
      <c r="D264" s="26">
        <f ca="1"/>
        <v>10.445191484935206</v>
      </c>
      <c r="E264" s="26">
        <f ca="1"/>
        <v>10.293856883960652</v>
      </c>
      <c r="F264" s="26">
        <f ca="1"/>
        <v>9.9250436558296116</v>
      </c>
      <c r="G264" s="26">
        <f ca="1"/>
        <v>9.5694444444444606</v>
      </c>
      <c r="H264" s="26">
        <f ca="1"/>
        <v>8.8960112820293009</v>
      </c>
      <c r="I264" s="26">
        <f ca="1"/>
        <v>8.2699698179382555</v>
      </c>
      <c r="J264" s="26">
        <f ca="1"/>
        <v>7.6879849430686056</v>
      </c>
      <c r="K264" s="26">
        <f ca="1"/>
        <v>7.146956250873572</v>
      </c>
      <c r="M264" s="4" t="str">
        <f>'Library data'!$G$138</f>
        <v>% relative to RCP8.5</v>
      </c>
    </row>
    <row r="265" spans="1:13" s="7" customFormat="1" x14ac:dyDescent="0.25">
      <c r="A265" s="4" t="str">
        <v>OT N2O</v>
      </c>
      <c r="B265" s="26">
        <f ca="1"/>
        <v>9.9272934539900977</v>
      </c>
      <c r="C265" s="26">
        <f ca="1"/>
        <v>9.7834623910762524</v>
      </c>
      <c r="D265" s="26">
        <f ca="1"/>
        <v>9.6417152168632683</v>
      </c>
      <c r="E265" s="26">
        <f ca="1"/>
        <v>9.5020217390406021</v>
      </c>
      <c r="F265" s="26">
        <f ca="1"/>
        <v>9.1615787592273339</v>
      </c>
      <c r="G265" s="26">
        <f ca="1"/>
        <v>8.8333333333333481</v>
      </c>
      <c r="H265" s="26">
        <f ca="1"/>
        <v>8.2117027218732019</v>
      </c>
      <c r="I265" s="26">
        <f ca="1"/>
        <v>7.6338182934814665</v>
      </c>
      <c r="J265" s="26">
        <f ca="1"/>
        <v>7.096601485909483</v>
      </c>
      <c r="K265" s="26">
        <f ca="1"/>
        <v>6.5971903854217597</v>
      </c>
      <c r="M265" s="4" t="str">
        <f>'Library data'!$G$138</f>
        <v>% relative to RCP8.5</v>
      </c>
    </row>
    <row r="266" spans="1:13" s="7" customFormat="1" x14ac:dyDescent="0.25">
      <c r="A266" s="4" t="str">
        <v>EE N2O</v>
      </c>
      <c r="B266" s="26">
        <f ca="1"/>
        <v>6.9491054177930698</v>
      </c>
      <c r="C266" s="26">
        <f ca="1"/>
        <v>6.848423673753377</v>
      </c>
      <c r="D266" s="26">
        <f ca="1"/>
        <v>6.7492006518042889</v>
      </c>
      <c r="E266" s="26">
        <f ca="1"/>
        <v>6.6514152173284229</v>
      </c>
      <c r="F266" s="26">
        <f ca="1"/>
        <v>6.413105131459135</v>
      </c>
      <c r="G266" s="26">
        <f ca="1"/>
        <v>6.1833333333333451</v>
      </c>
      <c r="H266" s="26">
        <f ca="1"/>
        <v>5.7481919053112422</v>
      </c>
      <c r="I266" s="26">
        <f ca="1"/>
        <v>5.3436728054370279</v>
      </c>
      <c r="J266" s="26">
        <f ca="1"/>
        <v>4.9676210401366383</v>
      </c>
      <c r="K266" s="26">
        <f ca="1"/>
        <v>4.618033269795232</v>
      </c>
      <c r="M266" s="4" t="str">
        <f>'Library data'!$G$138</f>
        <v>% relative to RCP8.5</v>
      </c>
    </row>
    <row r="267" spans="1:13" s="7" customFormat="1" x14ac:dyDescent="0.25">
      <c r="A267" s="4" t="str">
        <v>CA N2O</v>
      </c>
      <c r="B267" s="26">
        <f ca="1"/>
        <v>6.9491054177930698</v>
      </c>
      <c r="C267" s="26">
        <f ca="1"/>
        <v>6.848423673753377</v>
      </c>
      <c r="D267" s="26">
        <f ca="1"/>
        <v>6.7492006518042889</v>
      </c>
      <c r="E267" s="26">
        <f ca="1"/>
        <v>6.6514152173284229</v>
      </c>
      <c r="F267" s="26">
        <f ca="1"/>
        <v>6.413105131459135</v>
      </c>
      <c r="G267" s="26">
        <f ca="1"/>
        <v>6.1833333333333451</v>
      </c>
      <c r="H267" s="26">
        <f ca="1"/>
        <v>5.7481919053112422</v>
      </c>
      <c r="I267" s="26">
        <f ca="1"/>
        <v>5.3436728054370279</v>
      </c>
      <c r="J267" s="26">
        <f ca="1"/>
        <v>4.9676210401366383</v>
      </c>
      <c r="K267" s="26">
        <f ca="1"/>
        <v>4.618033269795232</v>
      </c>
      <c r="M267" s="4" t="str">
        <f>'Library data'!$G$138</f>
        <v>% relative to RCP8.5</v>
      </c>
    </row>
    <row r="268" spans="1:13" s="7" customFormat="1" x14ac:dyDescent="0.25">
      <c r="A268" s="4" t="str">
        <v>IA N2O</v>
      </c>
      <c r="B268" s="26">
        <f ca="1"/>
        <v>6.9491054177930698</v>
      </c>
      <c r="C268" s="26">
        <f ca="1"/>
        <v>6.848423673753377</v>
      </c>
      <c r="D268" s="26">
        <f ca="1"/>
        <v>6.7492006518042889</v>
      </c>
      <c r="E268" s="26">
        <f ca="1"/>
        <v>6.6514152173284229</v>
      </c>
      <c r="F268" s="26">
        <f ca="1"/>
        <v>6.413105131459135</v>
      </c>
      <c r="G268" s="26">
        <f ca="1"/>
        <v>6.1833333333333451</v>
      </c>
      <c r="H268" s="26">
        <f ca="1"/>
        <v>5.7481919053112422</v>
      </c>
      <c r="I268" s="26">
        <f ca="1"/>
        <v>5.3436728054370279</v>
      </c>
      <c r="J268" s="26">
        <f ca="1"/>
        <v>4.9676210401366383</v>
      </c>
      <c r="K268" s="26">
        <f ca="1"/>
        <v>4.618033269795232</v>
      </c>
      <c r="M268" s="4" t="str">
        <f>'Library data'!$G$138</f>
        <v>% relative to RCP8.5</v>
      </c>
    </row>
    <row r="269" spans="1:13" s="7" customFormat="1" x14ac:dyDescent="0.25">
      <c r="A269" s="4" t="str">
        <v>AF N2O</v>
      </c>
      <c r="B269" s="26">
        <f ca="1"/>
        <v>6.9491054177930698</v>
      </c>
      <c r="C269" s="26">
        <f ca="1"/>
        <v>6.848423673753377</v>
      </c>
      <c r="D269" s="26">
        <f ca="1"/>
        <v>6.7492006518042889</v>
      </c>
      <c r="E269" s="26">
        <f ca="1"/>
        <v>6.6514152173284229</v>
      </c>
      <c r="F269" s="26">
        <f ca="1"/>
        <v>6.413105131459135</v>
      </c>
      <c r="G269" s="26">
        <f ca="1"/>
        <v>6.1833333333333451</v>
      </c>
      <c r="H269" s="26">
        <f ca="1"/>
        <v>5.7481919053112422</v>
      </c>
      <c r="I269" s="26">
        <f ca="1"/>
        <v>5.3436728054370279</v>
      </c>
      <c r="J269" s="26">
        <f ca="1"/>
        <v>4.9676210401366383</v>
      </c>
      <c r="K269" s="26">
        <f ca="1"/>
        <v>4.618033269795232</v>
      </c>
      <c r="M269" s="4" t="str">
        <f>'Library data'!$G$138</f>
        <v>% relative to RCP8.5</v>
      </c>
    </row>
    <row r="270" spans="1:13" s="7" customFormat="1" ht="13" thickBot="1" x14ac:dyDescent="0.3">
      <c r="A270" s="4" t="str">
        <v>LA N2O</v>
      </c>
      <c r="B270" s="35">
        <f ca="1"/>
        <v>6.9491054177930698</v>
      </c>
      <c r="C270" s="35">
        <f ca="1"/>
        <v>6.848423673753377</v>
      </c>
      <c r="D270" s="35">
        <f ca="1"/>
        <v>6.7492006518042889</v>
      </c>
      <c r="E270" s="35">
        <f ca="1"/>
        <v>6.6514152173284229</v>
      </c>
      <c r="F270" s="35">
        <f ca="1"/>
        <v>6.413105131459135</v>
      </c>
      <c r="G270" s="35">
        <f ca="1"/>
        <v>6.1833333333333451</v>
      </c>
      <c r="H270" s="35">
        <f ca="1"/>
        <v>5.7481919053112422</v>
      </c>
      <c r="I270" s="35">
        <f ca="1"/>
        <v>5.3436728054370279</v>
      </c>
      <c r="J270" s="35">
        <f ca="1"/>
        <v>4.9676210401366383</v>
      </c>
      <c r="K270" s="35">
        <f ca="1"/>
        <v>4.618033269795232</v>
      </c>
      <c r="M270" s="4" t="str">
        <f>'Library data'!$G$138</f>
        <v>% relative to RCP8.5</v>
      </c>
    </row>
    <row r="271" spans="1:13" s="8" customFormat="1" ht="15.5" thickTop="1" x14ac:dyDescent="0.4">
      <c r="A271" s="2" t="s">
        <v>301</v>
      </c>
      <c r="B271" s="2" t="s">
        <v>305</v>
      </c>
    </row>
    <row r="272" spans="1:13" s="7" customFormat="1" x14ac:dyDescent="0.25">
      <c r="A272" s="4" t="str">
        <f t="array" ref="A272:A279">R_CODE&amp;" "&amp;GLIN_NAME</f>
        <v>EU Lin</v>
      </c>
      <c r="B272" s="29">
        <f t="array" aca="1" ref="B272:K279" ca="1">Q0_PROP_INIT_GLIN*(1+Q0PROPG/100)^YMINUSY0</f>
        <v>9.9272934539900977</v>
      </c>
      <c r="C272" s="29">
        <f ca="1"/>
        <v>9.7834623910762524</v>
      </c>
      <c r="D272" s="29">
        <f ca="1"/>
        <v>9.6417152168632683</v>
      </c>
      <c r="E272" s="29">
        <f ca="1"/>
        <v>9.5020217390406021</v>
      </c>
      <c r="F272" s="29">
        <f ca="1"/>
        <v>9.1615787592273339</v>
      </c>
      <c r="G272" s="29">
        <f ca="1"/>
        <v>8.8333333333333481</v>
      </c>
      <c r="H272" s="29">
        <f ca="1"/>
        <v>8.2117027218732019</v>
      </c>
      <c r="I272" s="29">
        <f ca="1"/>
        <v>7.6338182934814665</v>
      </c>
      <c r="J272" s="29">
        <f ca="1"/>
        <v>7.096601485909483</v>
      </c>
      <c r="K272" s="29">
        <f ca="1"/>
        <v>6.5971903854217597</v>
      </c>
      <c r="M272" s="4" t="str">
        <f>'Library data'!$G$138</f>
        <v>% relative to RCP8.5</v>
      </c>
    </row>
    <row r="273" spans="1:13" s="7" customFormat="1" x14ac:dyDescent="0.25">
      <c r="A273" s="4" t="str">
        <v>US Lin</v>
      </c>
      <c r="B273" s="26">
        <f ca="1"/>
        <v>10.754567908489271</v>
      </c>
      <c r="C273" s="26">
        <f ca="1"/>
        <v>10.598750923665939</v>
      </c>
      <c r="D273" s="26">
        <f ca="1"/>
        <v>10.445191484935206</v>
      </c>
      <c r="E273" s="26">
        <f ca="1"/>
        <v>10.293856883960652</v>
      </c>
      <c r="F273" s="26">
        <f ca="1"/>
        <v>9.9250436558296116</v>
      </c>
      <c r="G273" s="26">
        <f ca="1"/>
        <v>9.5694444444444606</v>
      </c>
      <c r="H273" s="26">
        <f ca="1"/>
        <v>8.8960112820293009</v>
      </c>
      <c r="I273" s="26">
        <f ca="1"/>
        <v>8.2699698179382555</v>
      </c>
      <c r="J273" s="26">
        <f ca="1"/>
        <v>7.6879849430686056</v>
      </c>
      <c r="K273" s="26">
        <f ca="1"/>
        <v>7.146956250873572</v>
      </c>
      <c r="M273" s="4" t="str">
        <f>'Library data'!$G$138</f>
        <v>% relative to RCP8.5</v>
      </c>
    </row>
    <row r="274" spans="1:13" s="7" customFormat="1" x14ac:dyDescent="0.25">
      <c r="A274" s="4" t="str">
        <v>OT Lin</v>
      </c>
      <c r="B274" s="26">
        <f ca="1"/>
        <v>9.9272934539900977</v>
      </c>
      <c r="C274" s="26">
        <f ca="1"/>
        <v>9.7834623910762524</v>
      </c>
      <c r="D274" s="26">
        <f ca="1"/>
        <v>9.6417152168632683</v>
      </c>
      <c r="E274" s="26">
        <f ca="1"/>
        <v>9.5020217390406021</v>
      </c>
      <c r="F274" s="26">
        <f ca="1"/>
        <v>9.1615787592273339</v>
      </c>
      <c r="G274" s="26">
        <f ca="1"/>
        <v>8.8333333333333481</v>
      </c>
      <c r="H274" s="26">
        <f ca="1"/>
        <v>8.2117027218732019</v>
      </c>
      <c r="I274" s="26">
        <f ca="1"/>
        <v>7.6338182934814665</v>
      </c>
      <c r="J274" s="26">
        <f ca="1"/>
        <v>7.096601485909483</v>
      </c>
      <c r="K274" s="26">
        <f ca="1"/>
        <v>6.5971903854217597</v>
      </c>
      <c r="M274" s="4" t="str">
        <f>'Library data'!$G$138</f>
        <v>% relative to RCP8.5</v>
      </c>
    </row>
    <row r="275" spans="1:13" s="7" customFormat="1" x14ac:dyDescent="0.25">
      <c r="A275" s="4" t="str">
        <v>EE Lin</v>
      </c>
      <c r="B275" s="26">
        <f ca="1"/>
        <v>6.9491054177930698</v>
      </c>
      <c r="C275" s="26">
        <f ca="1"/>
        <v>6.848423673753377</v>
      </c>
      <c r="D275" s="26">
        <f ca="1"/>
        <v>6.7492006518042889</v>
      </c>
      <c r="E275" s="26">
        <f ca="1"/>
        <v>6.6514152173284229</v>
      </c>
      <c r="F275" s="26">
        <f ca="1"/>
        <v>6.413105131459135</v>
      </c>
      <c r="G275" s="26">
        <f ca="1"/>
        <v>6.1833333333333451</v>
      </c>
      <c r="H275" s="26">
        <f ca="1"/>
        <v>5.7481919053112422</v>
      </c>
      <c r="I275" s="26">
        <f ca="1"/>
        <v>5.3436728054370279</v>
      </c>
      <c r="J275" s="26">
        <f ca="1"/>
        <v>4.9676210401366383</v>
      </c>
      <c r="K275" s="26">
        <f ca="1"/>
        <v>4.618033269795232</v>
      </c>
      <c r="M275" s="4" t="str">
        <f>'Library data'!$G$138</f>
        <v>% relative to RCP8.5</v>
      </c>
    </row>
    <row r="276" spans="1:13" s="7" customFormat="1" x14ac:dyDescent="0.25">
      <c r="A276" s="4" t="str">
        <v>CA Lin</v>
      </c>
      <c r="B276" s="26">
        <f ca="1"/>
        <v>6.9491054177930698</v>
      </c>
      <c r="C276" s="26">
        <f ca="1"/>
        <v>6.848423673753377</v>
      </c>
      <c r="D276" s="26">
        <f ca="1"/>
        <v>6.7492006518042889</v>
      </c>
      <c r="E276" s="26">
        <f ca="1"/>
        <v>6.6514152173284229</v>
      </c>
      <c r="F276" s="26">
        <f ca="1"/>
        <v>6.413105131459135</v>
      </c>
      <c r="G276" s="26">
        <f ca="1"/>
        <v>6.1833333333333451</v>
      </c>
      <c r="H276" s="26">
        <f ca="1"/>
        <v>5.7481919053112422</v>
      </c>
      <c r="I276" s="26">
        <f ca="1"/>
        <v>5.3436728054370279</v>
      </c>
      <c r="J276" s="26">
        <f ca="1"/>
        <v>4.9676210401366383</v>
      </c>
      <c r="K276" s="26">
        <f ca="1"/>
        <v>4.618033269795232</v>
      </c>
      <c r="M276" s="4" t="str">
        <f>'Library data'!$G$138</f>
        <v>% relative to RCP8.5</v>
      </c>
    </row>
    <row r="277" spans="1:13" s="7" customFormat="1" x14ac:dyDescent="0.25">
      <c r="A277" s="4" t="str">
        <v>IA Lin</v>
      </c>
      <c r="B277" s="26">
        <f ca="1"/>
        <v>6.9491054177930698</v>
      </c>
      <c r="C277" s="26">
        <f ca="1"/>
        <v>6.848423673753377</v>
      </c>
      <c r="D277" s="26">
        <f ca="1"/>
        <v>6.7492006518042889</v>
      </c>
      <c r="E277" s="26">
        <f ca="1"/>
        <v>6.6514152173284229</v>
      </c>
      <c r="F277" s="26">
        <f ca="1"/>
        <v>6.413105131459135</v>
      </c>
      <c r="G277" s="26">
        <f ca="1"/>
        <v>6.1833333333333451</v>
      </c>
      <c r="H277" s="26">
        <f ca="1"/>
        <v>5.7481919053112422</v>
      </c>
      <c r="I277" s="26">
        <f ca="1"/>
        <v>5.3436728054370279</v>
      </c>
      <c r="J277" s="26">
        <f ca="1"/>
        <v>4.9676210401366383</v>
      </c>
      <c r="K277" s="26">
        <f ca="1"/>
        <v>4.618033269795232</v>
      </c>
      <c r="M277" s="4" t="str">
        <f>'Library data'!$G$138</f>
        <v>% relative to RCP8.5</v>
      </c>
    </row>
    <row r="278" spans="1:13" s="7" customFormat="1" x14ac:dyDescent="0.25">
      <c r="A278" s="4" t="str">
        <v>AF Lin</v>
      </c>
      <c r="B278" s="26">
        <f ca="1"/>
        <v>6.9491054177930698</v>
      </c>
      <c r="C278" s="26">
        <f ca="1"/>
        <v>6.848423673753377</v>
      </c>
      <c r="D278" s="26">
        <f ca="1"/>
        <v>6.7492006518042889</v>
      </c>
      <c r="E278" s="26">
        <f ca="1"/>
        <v>6.6514152173284229</v>
      </c>
      <c r="F278" s="26">
        <f ca="1"/>
        <v>6.413105131459135</v>
      </c>
      <c r="G278" s="26">
        <f ca="1"/>
        <v>6.1833333333333451</v>
      </c>
      <c r="H278" s="26">
        <f ca="1"/>
        <v>5.7481919053112422</v>
      </c>
      <c r="I278" s="26">
        <f ca="1"/>
        <v>5.3436728054370279</v>
      </c>
      <c r="J278" s="26">
        <f ca="1"/>
        <v>4.9676210401366383</v>
      </c>
      <c r="K278" s="26">
        <f ca="1"/>
        <v>4.618033269795232</v>
      </c>
      <c r="M278" s="4" t="str">
        <f>'Library data'!$G$138</f>
        <v>% relative to RCP8.5</v>
      </c>
    </row>
    <row r="279" spans="1:13" s="7" customFormat="1" ht="13" thickBot="1" x14ac:dyDescent="0.3">
      <c r="A279" s="4" t="str">
        <v>LA Lin</v>
      </c>
      <c r="B279" s="35">
        <f ca="1"/>
        <v>6.9491054177930698</v>
      </c>
      <c r="C279" s="35">
        <f ca="1"/>
        <v>6.848423673753377</v>
      </c>
      <c r="D279" s="35">
        <f ca="1"/>
        <v>6.7492006518042889</v>
      </c>
      <c r="E279" s="35">
        <f ca="1"/>
        <v>6.6514152173284229</v>
      </c>
      <c r="F279" s="35">
        <f ca="1"/>
        <v>6.413105131459135</v>
      </c>
      <c r="G279" s="35">
        <f ca="1"/>
        <v>6.1833333333333451</v>
      </c>
      <c r="H279" s="35">
        <f ca="1"/>
        <v>5.7481919053112422</v>
      </c>
      <c r="I279" s="35">
        <f ca="1"/>
        <v>5.3436728054370279</v>
      </c>
      <c r="J279" s="35">
        <f ca="1"/>
        <v>4.9676210401366383</v>
      </c>
      <c r="K279" s="35">
        <f ca="1"/>
        <v>4.618033269795232</v>
      </c>
      <c r="M279" s="4" t="str">
        <f>'Library data'!$G$138</f>
        <v>% relative to RCP8.5</v>
      </c>
    </row>
    <row r="280" spans="1:13" s="2" customFormat="1" ht="15.5" thickTop="1" x14ac:dyDescent="0.4">
      <c r="A280" s="2" t="s">
        <v>301</v>
      </c>
      <c r="B280" s="2" t="s">
        <v>306</v>
      </c>
    </row>
    <row r="281" spans="1:13" s="6" customFormat="1" x14ac:dyDescent="0.25">
      <c r="A281" s="4" t="str">
        <f t="array" ref="A281:A288">R_CODE&amp;" "&amp;'Base data'!$B$12</f>
        <v>EU CO2</v>
      </c>
      <c r="B281" s="29">
        <f t="array" aca="1" ref="B281:K288" ca="1">(Q0_PROP_CO2/100)*(ZC_CO2/100)*E_CO2_0</f>
        <v>482.67446435266396</v>
      </c>
      <c r="C281" s="29">
        <f ca="1"/>
        <v>555.12814217827713</v>
      </c>
      <c r="D281" s="29">
        <f ca="1"/>
        <v>595.849458628467</v>
      </c>
      <c r="E281" s="29">
        <f ca="1"/>
        <v>640.33305534556803</v>
      </c>
      <c r="F281" s="29">
        <f ca="1"/>
        <v>711.47132302037789</v>
      </c>
      <c r="G281" s="29">
        <f ca="1"/>
        <v>642.16259698211502</v>
      </c>
      <c r="H281" s="29">
        <f ca="1"/>
        <v>572.31252989410575</v>
      </c>
      <c r="I281" s="29">
        <f ca="1"/>
        <v>509.1133741987345</v>
      </c>
      <c r="J281" s="29">
        <f ca="1"/>
        <v>451.97496237795923</v>
      </c>
      <c r="K281" s="29">
        <f ca="1"/>
        <v>400.35725299707957</v>
      </c>
      <c r="M281" s="4" t="str">
        <f t="shared" ref="M281:M288" si="12">EMIT_NAME</f>
        <v>Mtonne</v>
      </c>
    </row>
    <row r="282" spans="1:13" s="6" customFormat="1" x14ac:dyDescent="0.25">
      <c r="A282" s="4" t="str">
        <v>US CO2</v>
      </c>
      <c r="B282" s="26">
        <f ca="1"/>
        <v>734.7450217853692</v>
      </c>
      <c r="C282" s="26">
        <f ca="1"/>
        <v>845.03670494661969</v>
      </c>
      <c r="D282" s="26">
        <f ca="1"/>
        <v>907.02420739809145</v>
      </c>
      <c r="E282" s="26">
        <f ca="1"/>
        <v>974.73879280262929</v>
      </c>
      <c r="F282" s="26">
        <f ca="1"/>
        <v>1083.0281097081779</v>
      </c>
      <c r="G282" s="26">
        <f ca="1"/>
        <v>977.52378912806114</v>
      </c>
      <c r="H282" s="26">
        <f ca="1"/>
        <v>871.19541906788209</v>
      </c>
      <c r="I282" s="26">
        <f ca="1"/>
        <v>774.9913136974252</v>
      </c>
      <c r="J282" s="26">
        <f ca="1"/>
        <v>688.01309807058226</v>
      </c>
      <c r="K282" s="26">
        <f ca="1"/>
        <v>609.43870102965025</v>
      </c>
      <c r="M282" s="4" t="str">
        <f t="shared" si="12"/>
        <v>Mtonne</v>
      </c>
    </row>
    <row r="283" spans="1:13" s="6" customFormat="1" x14ac:dyDescent="0.25">
      <c r="A283" s="4" t="str">
        <v>OT CO2</v>
      </c>
      <c r="B283" s="26">
        <f ca="1"/>
        <v>267.43934304247841</v>
      </c>
      <c r="C283" s="26">
        <f ca="1"/>
        <v>307.58433812665106</v>
      </c>
      <c r="D283" s="26">
        <f ca="1"/>
        <v>330.1471271771747</v>
      </c>
      <c r="E283" s="26">
        <f ca="1"/>
        <v>354.79451327443422</v>
      </c>
      <c r="F283" s="26">
        <f ca="1"/>
        <v>394.21066842083633</v>
      </c>
      <c r="G283" s="26">
        <f ca="1"/>
        <v>355.80822220142966</v>
      </c>
      <c r="H283" s="26">
        <f ca="1"/>
        <v>317.1058307696731</v>
      </c>
      <c r="I283" s="26">
        <f ca="1"/>
        <v>282.08856358799738</v>
      </c>
      <c r="J283" s="26">
        <f ca="1"/>
        <v>250.42942176798664</v>
      </c>
      <c r="K283" s="26">
        <f ca="1"/>
        <v>221.8291801855072</v>
      </c>
      <c r="M283" s="4" t="str">
        <f t="shared" si="12"/>
        <v>Mtonne</v>
      </c>
    </row>
    <row r="284" spans="1:13" s="6" customFormat="1" x14ac:dyDescent="0.25">
      <c r="A284" s="4" t="str">
        <v>EE CO2</v>
      </c>
      <c r="B284" s="26">
        <f ca="1"/>
        <v>294.72078513539105</v>
      </c>
      <c r="C284" s="26">
        <f ca="1"/>
        <v>356.04401889485035</v>
      </c>
      <c r="D284" s="26">
        <f ca="1"/>
        <v>431.76028668552397</v>
      </c>
      <c r="E284" s="26">
        <f ca="1"/>
        <v>514.62691071172367</v>
      </c>
      <c r="F284" s="26">
        <f ca="1"/>
        <v>666.89637696857483</v>
      </c>
      <c r="G284" s="26">
        <f ca="1"/>
        <v>840.78079905965103</v>
      </c>
      <c r="H284" s="26">
        <f ca="1"/>
        <v>749.32639873078506</v>
      </c>
      <c r="I284" s="26">
        <f ca="1"/>
        <v>666.58000883643649</v>
      </c>
      <c r="J284" s="26">
        <f ca="1"/>
        <v>591.76892551666322</v>
      </c>
      <c r="K284" s="26">
        <f ca="1"/>
        <v>524.18607478253125</v>
      </c>
      <c r="M284" s="4" t="str">
        <f t="shared" si="12"/>
        <v>Mtonne</v>
      </c>
    </row>
    <row r="285" spans="1:13" s="6" customFormat="1" x14ac:dyDescent="0.25">
      <c r="A285" s="4" t="str">
        <v>CA CO2</v>
      </c>
      <c r="B285" s="26">
        <f ca="1"/>
        <v>798.23570474660505</v>
      </c>
      <c r="C285" s="26">
        <f ca="1"/>
        <v>875.23789113233772</v>
      </c>
      <c r="D285" s="26">
        <f ca="1"/>
        <v>1049.6818799988309</v>
      </c>
      <c r="E285" s="26">
        <f ca="1"/>
        <v>1243.9358283147558</v>
      </c>
      <c r="F285" s="26">
        <f ca="1"/>
        <v>1525.4673701838703</v>
      </c>
      <c r="G285" s="26">
        <f ca="1"/>
        <v>1511.4155519380993</v>
      </c>
      <c r="H285" s="26">
        <f ca="1"/>
        <v>1347.0140776123112</v>
      </c>
      <c r="I285" s="26">
        <f ca="1"/>
        <v>1198.2664127121056</v>
      </c>
      <c r="J285" s="26">
        <f ca="1"/>
        <v>1063.7835190574181</v>
      </c>
      <c r="K285" s="26">
        <f ca="1"/>
        <v>942.29433690896678</v>
      </c>
      <c r="M285" s="4" t="str">
        <f t="shared" si="12"/>
        <v>Mtonne</v>
      </c>
    </row>
    <row r="286" spans="1:13" s="6" customFormat="1" x14ac:dyDescent="0.25">
      <c r="A286" s="4" t="str">
        <v>IA CO2</v>
      </c>
      <c r="B286" s="26">
        <f ca="1"/>
        <v>485.51942800153222</v>
      </c>
      <c r="C286" s="26">
        <f ca="1"/>
        <v>532.35529022437811</v>
      </c>
      <c r="D286" s="26">
        <f ca="1"/>
        <v>638.45922066639184</v>
      </c>
      <c r="E286" s="26">
        <f ca="1"/>
        <v>756.6123743183274</v>
      </c>
      <c r="F286" s="26">
        <f ca="1"/>
        <v>927.85131083780198</v>
      </c>
      <c r="G286" s="26">
        <f ca="1"/>
        <v>919.30442335018461</v>
      </c>
      <c r="H286" s="26">
        <f ca="1"/>
        <v>819.30875878315851</v>
      </c>
      <c r="I286" s="26">
        <f ca="1"/>
        <v>728.83437790860569</v>
      </c>
      <c r="J286" s="26">
        <f ca="1"/>
        <v>647.03641119908355</v>
      </c>
      <c r="K286" s="26">
        <f ca="1"/>
        <v>573.14174841421777</v>
      </c>
      <c r="M286" s="4" t="str">
        <f t="shared" si="12"/>
        <v>Mtonne</v>
      </c>
    </row>
    <row r="287" spans="1:13" s="6" customFormat="1" x14ac:dyDescent="0.25">
      <c r="A287" s="4" t="str">
        <v>AF CO2</v>
      </c>
      <c r="B287" s="26">
        <f ca="1"/>
        <v>439.96931359163989</v>
      </c>
      <c r="C287" s="26">
        <f ca="1"/>
        <v>544.04893997104864</v>
      </c>
      <c r="D287" s="26">
        <f ca="1"/>
        <v>700.7433345674915</v>
      </c>
      <c r="E287" s="26">
        <f ca="1"/>
        <v>883.45307420588017</v>
      </c>
      <c r="F287" s="26">
        <f ca="1"/>
        <v>1254.8672176298828</v>
      </c>
      <c r="G287" s="26">
        <f ca="1"/>
        <v>1430.226169694944</v>
      </c>
      <c r="H287" s="26">
        <f ca="1"/>
        <v>1274.6559225741814</v>
      </c>
      <c r="I287" s="26">
        <f ca="1"/>
        <v>1133.8986022273807</v>
      </c>
      <c r="J287" s="26">
        <f ca="1"/>
        <v>1006.6397860569396</v>
      </c>
      <c r="K287" s="26">
        <f ca="1"/>
        <v>891.67669240559997</v>
      </c>
      <c r="M287" s="4" t="str">
        <f t="shared" si="12"/>
        <v>Mtonne</v>
      </c>
    </row>
    <row r="288" spans="1:13" s="6" customFormat="1" ht="13" thickBot="1" x14ac:dyDescent="0.3">
      <c r="A288" s="4" t="str">
        <v>LA CO2</v>
      </c>
      <c r="B288" s="35">
        <f ca="1"/>
        <v>300.5204389942802</v>
      </c>
      <c r="C288" s="35">
        <f ca="1"/>
        <v>338.98790024123639</v>
      </c>
      <c r="D288" s="35">
        <f ca="1"/>
        <v>409.48398241325947</v>
      </c>
      <c r="E288" s="35">
        <f ca="1"/>
        <v>500.92091258470998</v>
      </c>
      <c r="F288" s="35">
        <f ca="1"/>
        <v>607.54805369737585</v>
      </c>
      <c r="G288" s="35">
        <f ca="1"/>
        <v>415.51099192648178</v>
      </c>
      <c r="H288" s="35">
        <f ca="1"/>
        <v>370.3145404385445</v>
      </c>
      <c r="I288" s="35">
        <f ca="1"/>
        <v>329.42155788971627</v>
      </c>
      <c r="J288" s="35">
        <f ca="1"/>
        <v>292.45017667827602</v>
      </c>
      <c r="K288" s="35">
        <f ca="1"/>
        <v>259.05096326002786</v>
      </c>
      <c r="M288" s="4" t="str">
        <f t="shared" si="12"/>
        <v>Mtonne</v>
      </c>
    </row>
    <row r="289" spans="1:13" s="8" customFormat="1" ht="15.5" thickTop="1" x14ac:dyDescent="0.4">
      <c r="A289" s="2" t="s">
        <v>301</v>
      </c>
      <c r="B289" s="2" t="s">
        <v>307</v>
      </c>
    </row>
    <row r="290" spans="1:13" s="7" customFormat="1" x14ac:dyDescent="0.25">
      <c r="A290" s="4" t="str">
        <f t="array" ref="A290:A297">R_CODE&amp;" "&amp;'Base data'!$C$12</f>
        <v>EU CH4</v>
      </c>
      <c r="B290" s="29">
        <f t="array" aca="1" ref="B290:K297" ca="1">(Q0_PROP_CH4/100)*(ZC_CH4/100)*E_CH4_0</f>
        <v>2.4119894096415377</v>
      </c>
      <c r="C290" s="29">
        <f ca="1"/>
        <v>2.5197730469158448</v>
      </c>
      <c r="D290" s="29">
        <f ca="1"/>
        <v>2.6385714570167447</v>
      </c>
      <c r="E290" s="29">
        <f ca="1"/>
        <v>2.7826887902837383</v>
      </c>
      <c r="F290" s="29">
        <f ca="1"/>
        <v>3.1559048528789582</v>
      </c>
      <c r="G290" s="29">
        <f ca="1"/>
        <v>3.4370241308708014</v>
      </c>
      <c r="H290" s="29">
        <f ca="1"/>
        <v>3.0082025231264775</v>
      </c>
      <c r="I290" s="29">
        <f ca="1"/>
        <v>2.6227145670371605</v>
      </c>
      <c r="J290" s="29">
        <f ca="1"/>
        <v>2.2765848957884218</v>
      </c>
      <c r="K290" s="29">
        <f ca="1"/>
        <v>1.9661830562506148</v>
      </c>
      <c r="M290" s="4" t="str">
        <f t="shared" ref="M290:M297" si="13">EMIT_NAME</f>
        <v>Mtonne</v>
      </c>
    </row>
    <row r="291" spans="1:13" s="7" customFormat="1" x14ac:dyDescent="0.25">
      <c r="A291" s="4" t="str">
        <v>US CH4</v>
      </c>
      <c r="B291" s="26">
        <f ca="1"/>
        <v>3.1769483910231897</v>
      </c>
      <c r="C291" s="26">
        <f ca="1"/>
        <v>3.3189154542484496</v>
      </c>
      <c r="D291" s="26">
        <f ca="1"/>
        <v>3.475390609702079</v>
      </c>
      <c r="E291" s="26">
        <f ca="1"/>
        <v>3.6652145484851162</v>
      </c>
      <c r="F291" s="26">
        <f ca="1"/>
        <v>4.156795549971398</v>
      </c>
      <c r="G291" s="26">
        <f ca="1"/>
        <v>4.5270714037258788</v>
      </c>
      <c r="H291" s="26">
        <f ca="1"/>
        <v>3.9622496382100123</v>
      </c>
      <c r="I291" s="26">
        <f ca="1"/>
        <v>3.4545047298114384</v>
      </c>
      <c r="J291" s="26">
        <f ca="1"/>
        <v>2.9986005298330096</v>
      </c>
      <c r="K291" s="26">
        <f ca="1"/>
        <v>2.5897551921427295</v>
      </c>
      <c r="M291" s="4" t="str">
        <f t="shared" si="13"/>
        <v>Mtonne</v>
      </c>
    </row>
    <row r="292" spans="1:13" s="7" customFormat="1" x14ac:dyDescent="0.25">
      <c r="A292" s="4" t="str">
        <v>OT CH4</v>
      </c>
      <c r="B292" s="26">
        <f ca="1"/>
        <v>2.2427021326662961</v>
      </c>
      <c r="C292" s="26">
        <f ca="1"/>
        <v>2.3429208949110043</v>
      </c>
      <c r="D292" s="26">
        <f ca="1"/>
        <v>2.4533813499302695</v>
      </c>
      <c r="E292" s="26">
        <f ca="1"/>
        <v>2.5873837005956903</v>
      </c>
      <c r="F292" s="26">
        <f ca="1"/>
        <v>2.9344053152768312</v>
      </c>
      <c r="G292" s="26">
        <f ca="1"/>
        <v>3.1957940269211385</v>
      </c>
      <c r="H292" s="26">
        <f ca="1"/>
        <v>2.7970695837800252</v>
      </c>
      <c r="I292" s="26">
        <f ca="1"/>
        <v>2.4386373876091612</v>
      </c>
      <c r="J292" s="26">
        <f ca="1"/>
        <v>2.1168010856811201</v>
      </c>
      <c r="K292" s="26">
        <f ca="1"/>
        <v>1.8281850309288572</v>
      </c>
      <c r="M292" s="4" t="str">
        <f t="shared" si="13"/>
        <v>Mtonne</v>
      </c>
    </row>
    <row r="293" spans="1:13" s="7" customFormat="1" x14ac:dyDescent="0.25">
      <c r="A293" s="4" t="str">
        <v>EE CH4</v>
      </c>
      <c r="B293" s="26">
        <f ca="1"/>
        <v>3.3059120513200977</v>
      </c>
      <c r="C293" s="26">
        <f ca="1"/>
        <v>3.4977099845374502</v>
      </c>
      <c r="D293" s="26">
        <f ca="1"/>
        <v>4.0610237028103109</v>
      </c>
      <c r="E293" s="26">
        <f ca="1"/>
        <v>4.513543511300079</v>
      </c>
      <c r="F293" s="26">
        <f ca="1"/>
        <v>4.8592064246102042</v>
      </c>
      <c r="G293" s="26">
        <f ca="1"/>
        <v>6.139443692194992</v>
      </c>
      <c r="H293" s="26">
        <f ca="1"/>
        <v>5.3734536919805418</v>
      </c>
      <c r="I293" s="26">
        <f ca="1"/>
        <v>4.6848691751677149</v>
      </c>
      <c r="J293" s="26">
        <f ca="1"/>
        <v>4.0665890741516062</v>
      </c>
      <c r="K293" s="26">
        <f ca="1"/>
        <v>3.5121284293515109</v>
      </c>
      <c r="M293" s="4" t="str">
        <f t="shared" si="13"/>
        <v>Mtonne</v>
      </c>
    </row>
    <row r="294" spans="1:13" s="7" customFormat="1" x14ac:dyDescent="0.25">
      <c r="A294" s="4" t="str">
        <v>CA CH4</v>
      </c>
      <c r="B294" s="26">
        <f ca="1"/>
        <v>4.654670752451338</v>
      </c>
      <c r="C294" s="26">
        <f ca="1"/>
        <v>4.9734861945850728</v>
      </c>
      <c r="D294" s="26">
        <f ca="1"/>
        <v>5.7057663027479668</v>
      </c>
      <c r="E294" s="26">
        <f ca="1"/>
        <v>6.6318368047767624</v>
      </c>
      <c r="F294" s="26">
        <f ca="1"/>
        <v>7.8212865743846844</v>
      </c>
      <c r="G294" s="26">
        <f ca="1"/>
        <v>8.0108622600942763</v>
      </c>
      <c r="H294" s="26">
        <f ca="1"/>
        <v>7.0113840187466971</v>
      </c>
      <c r="I294" s="26">
        <f ca="1"/>
        <v>6.1129059163033501</v>
      </c>
      <c r="J294" s="26">
        <f ca="1"/>
        <v>5.3061623454332629</v>
      </c>
      <c r="K294" s="26">
        <f ca="1"/>
        <v>4.5826916082094131</v>
      </c>
      <c r="M294" s="4" t="str">
        <f t="shared" si="13"/>
        <v>Mtonne</v>
      </c>
    </row>
    <row r="295" spans="1:13" s="7" customFormat="1" x14ac:dyDescent="0.25">
      <c r="A295" s="4" t="str">
        <v>IA CH4</v>
      </c>
      <c r="B295" s="26">
        <f ca="1"/>
        <v>5.8584649125680626</v>
      </c>
      <c r="C295" s="26">
        <f ca="1"/>
        <v>6.2597326242191436</v>
      </c>
      <c r="D295" s="26">
        <f ca="1"/>
        <v>7.1813955189758891</v>
      </c>
      <c r="E295" s="26">
        <f ca="1"/>
        <v>8.3469670129086833</v>
      </c>
      <c r="F295" s="26">
        <f ca="1"/>
        <v>9.8440331022427934</v>
      </c>
      <c r="G295" s="26">
        <f ca="1"/>
        <v>10.082636982532451</v>
      </c>
      <c r="H295" s="26">
        <f ca="1"/>
        <v>8.8246729891122229</v>
      </c>
      <c r="I295" s="26">
        <f ca="1"/>
        <v>7.6938298601749056</v>
      </c>
      <c r="J295" s="26">
        <f ca="1"/>
        <v>6.6784457106315198</v>
      </c>
      <c r="K295" s="26">
        <f ca="1"/>
        <v>5.7678704724015022</v>
      </c>
      <c r="M295" s="4" t="str">
        <f t="shared" si="13"/>
        <v>Mtonne</v>
      </c>
    </row>
    <row r="296" spans="1:13" s="7" customFormat="1" x14ac:dyDescent="0.25">
      <c r="A296" s="4" t="str">
        <v>AF CH4</v>
      </c>
      <c r="B296" s="26">
        <f ca="1"/>
        <v>6.3457742533941657</v>
      </c>
      <c r="C296" s="26">
        <f ca="1"/>
        <v>7.9433748433552065</v>
      </c>
      <c r="D296" s="26">
        <f ca="1"/>
        <v>9.7163899054558502</v>
      </c>
      <c r="E296" s="26">
        <f ca="1"/>
        <v>11.062313597127316</v>
      </c>
      <c r="F296" s="26">
        <f ca="1"/>
        <v>11.760815403750629</v>
      </c>
      <c r="G296" s="26">
        <f ca="1"/>
        <v>11.958668711046545</v>
      </c>
      <c r="H296" s="26">
        <f ca="1"/>
        <v>10.466640913774885</v>
      </c>
      <c r="I296" s="26">
        <f ca="1"/>
        <v>9.1253867987499095</v>
      </c>
      <c r="J296" s="26">
        <f ca="1"/>
        <v>7.9210746054344634</v>
      </c>
      <c r="K296" s="26">
        <f ca="1"/>
        <v>6.8410726546213931</v>
      </c>
      <c r="M296" s="4" t="str">
        <f t="shared" si="13"/>
        <v>Mtonne</v>
      </c>
    </row>
    <row r="297" spans="1:13" s="7" customFormat="1" ht="13" thickBot="1" x14ac:dyDescent="0.3">
      <c r="A297" s="4" t="str">
        <v>LA CH4</v>
      </c>
      <c r="B297" s="35">
        <f ca="1"/>
        <v>5.0716495307491805</v>
      </c>
      <c r="C297" s="35">
        <f ca="1"/>
        <v>5.8533777821353441</v>
      </c>
      <c r="D297" s="35">
        <f ca="1"/>
        <v>6.5022302741142042</v>
      </c>
      <c r="E297" s="35">
        <f ca="1"/>
        <v>6.9213665834362104</v>
      </c>
      <c r="F297" s="35">
        <f ca="1"/>
        <v>6.5620771677621601</v>
      </c>
      <c r="G297" s="35">
        <f ca="1"/>
        <v>5.9648659887320665</v>
      </c>
      <c r="H297" s="35">
        <f ca="1"/>
        <v>5.2206572413179311</v>
      </c>
      <c r="I297" s="35">
        <f ca="1"/>
        <v>4.5516529193260347</v>
      </c>
      <c r="J297" s="35">
        <f ca="1"/>
        <v>3.9509538770415888</v>
      </c>
      <c r="K297" s="35">
        <f ca="1"/>
        <v>3.4122595574792074</v>
      </c>
      <c r="M297" s="4" t="str">
        <f t="shared" si="13"/>
        <v>Mtonne</v>
      </c>
    </row>
    <row r="298" spans="1:13" s="8" customFormat="1" ht="15.5" thickTop="1" x14ac:dyDescent="0.4">
      <c r="A298" s="2" t="s">
        <v>301</v>
      </c>
      <c r="B298" s="2" t="s">
        <v>308</v>
      </c>
    </row>
    <row r="299" spans="1:13" s="7" customFormat="1" x14ac:dyDescent="0.25">
      <c r="A299" s="4" t="str">
        <f t="array" ref="A299:A306">R_CODE&amp;" "&amp;'Base data'!$D$12</f>
        <v>EU N2O</v>
      </c>
      <c r="B299" s="29">
        <f t="array" aca="1" ref="B299:K306" ca="1">(Q0_PROP_N2O/100)*(ZC_N2O/100)*E_N2O_0</f>
        <v>0.14721691658228384</v>
      </c>
      <c r="C299" s="29">
        <f ca="1"/>
        <v>0.15465779107221436</v>
      </c>
      <c r="D299" s="29">
        <f ca="1"/>
        <v>0.16429403553395122</v>
      </c>
      <c r="E299" s="29">
        <f ca="1"/>
        <v>0.16644490660738998</v>
      </c>
      <c r="F299" s="29">
        <f ca="1"/>
        <v>0.16559156685279855</v>
      </c>
      <c r="G299" s="29">
        <f ca="1"/>
        <v>0.16137145863453148</v>
      </c>
      <c r="H299" s="29">
        <f ca="1"/>
        <v>0.14813364614714702</v>
      </c>
      <c r="I299" s="29">
        <f ca="1"/>
        <v>0.13595983444131865</v>
      </c>
      <c r="J299" s="29">
        <f ca="1"/>
        <v>0.12476582799126898</v>
      </c>
      <c r="K299" s="29">
        <f ca="1"/>
        <v>0.11447401214586594</v>
      </c>
      <c r="M299" s="4" t="str">
        <f t="shared" ref="M299:M306" si="14">EMIT_NAME</f>
        <v>Mtonne</v>
      </c>
    </row>
    <row r="300" spans="1:13" s="7" customFormat="1" x14ac:dyDescent="0.25">
      <c r="A300" s="4" t="str">
        <v>US N2O</v>
      </c>
      <c r="B300" s="26">
        <f ca="1"/>
        <v>0.1406688423684832</v>
      </c>
      <c r="C300" s="26">
        <f ca="1"/>
        <v>0.14777875354586259</v>
      </c>
      <c r="D300" s="26">
        <f ca="1"/>
        <v>0.1569863866404913</v>
      </c>
      <c r="E300" s="26">
        <f ca="1"/>
        <v>0.15904158892979736</v>
      </c>
      <c r="F300" s="26">
        <f ca="1"/>
        <v>0.15822620494939529</v>
      </c>
      <c r="G300" s="26">
        <f ca="1"/>
        <v>0.15419380329668475</v>
      </c>
      <c r="H300" s="26">
        <f ca="1"/>
        <v>0.14154479663819647</v>
      </c>
      <c r="I300" s="26">
        <f ca="1"/>
        <v>0.1299124649766811</v>
      </c>
      <c r="J300" s="26">
        <f ca="1"/>
        <v>0.11921635772657642</v>
      </c>
      <c r="K300" s="26">
        <f ca="1"/>
        <v>0.10938231246566189</v>
      </c>
      <c r="M300" s="4" t="str">
        <f t="shared" si="14"/>
        <v>Mtonne</v>
      </c>
    </row>
    <row r="301" spans="1:13" s="7" customFormat="1" x14ac:dyDescent="0.25">
      <c r="A301" s="4" t="str">
        <v>OT N2O</v>
      </c>
      <c r="B301" s="26">
        <f ca="1"/>
        <v>6.9795326711991762E-2</v>
      </c>
      <c r="C301" s="26">
        <f ca="1"/>
        <v>7.3323034519656341E-2</v>
      </c>
      <c r="D301" s="26">
        <f ca="1"/>
        <v>7.7891564048038556E-2</v>
      </c>
      <c r="E301" s="26">
        <f ca="1"/>
        <v>7.8911288905556029E-2</v>
      </c>
      <c r="F301" s="26">
        <f ca="1"/>
        <v>7.8506721765102774E-2</v>
      </c>
      <c r="G301" s="26">
        <f ca="1"/>
        <v>7.6505974577266628E-2</v>
      </c>
      <c r="H301" s="26">
        <f ca="1"/>
        <v>7.0229946869590346E-2</v>
      </c>
      <c r="I301" s="26">
        <f ca="1"/>
        <v>6.4458360389828329E-2</v>
      </c>
      <c r="J301" s="26">
        <f ca="1"/>
        <v>5.9151298161278842E-2</v>
      </c>
      <c r="K301" s="26">
        <f ca="1"/>
        <v>5.427196319036829E-2</v>
      </c>
      <c r="M301" s="4" t="str">
        <f t="shared" si="14"/>
        <v>Mtonne</v>
      </c>
    </row>
    <row r="302" spans="1:13" s="7" customFormat="1" x14ac:dyDescent="0.25">
      <c r="A302" s="4" t="str">
        <v>EE N2O</v>
      </c>
      <c r="B302" s="26">
        <f ca="1"/>
        <v>3.9485026412959576E-2</v>
      </c>
      <c r="C302" s="26">
        <f ca="1"/>
        <v>4.294650488135527E-2</v>
      </c>
      <c r="D302" s="26">
        <f ca="1"/>
        <v>4.5543920136630826E-2</v>
      </c>
      <c r="E302" s="26">
        <f ca="1"/>
        <v>4.6377640641159949E-2</v>
      </c>
      <c r="F302" s="26">
        <f ca="1"/>
        <v>4.7303013602514148E-2</v>
      </c>
      <c r="G302" s="26">
        <f ca="1"/>
        <v>5.5908244953844256E-2</v>
      </c>
      <c r="H302" s="26">
        <f ca="1"/>
        <v>5.132191432598579E-2</v>
      </c>
      <c r="I302" s="26">
        <f ca="1"/>
        <v>4.7104214042239426E-2</v>
      </c>
      <c r="J302" s="26">
        <f ca="1"/>
        <v>4.3225973987152194E-2</v>
      </c>
      <c r="K302" s="26">
        <f ca="1"/>
        <v>3.9660304034277893E-2</v>
      </c>
      <c r="M302" s="4" t="str">
        <f t="shared" si="14"/>
        <v>Mtonne</v>
      </c>
    </row>
    <row r="303" spans="1:13" s="7" customFormat="1" x14ac:dyDescent="0.25">
      <c r="A303" s="4" t="str">
        <v>CA N2O</v>
      </c>
      <c r="B303" s="26">
        <f ca="1"/>
        <v>0.2009199814006199</v>
      </c>
      <c r="C303" s="26">
        <f ca="1"/>
        <v>0.22141753511537157</v>
      </c>
      <c r="D303" s="26">
        <f ca="1"/>
        <v>0.24293811235054336</v>
      </c>
      <c r="E303" s="26">
        <f ca="1"/>
        <v>0.25409341750963077</v>
      </c>
      <c r="F303" s="26">
        <f ca="1"/>
        <v>0.26715298167075618</v>
      </c>
      <c r="G303" s="26">
        <f ca="1"/>
        <v>0.29681569186340273</v>
      </c>
      <c r="H303" s="26">
        <f ca="1"/>
        <v>0.27246695940818155</v>
      </c>
      <c r="I303" s="26">
        <f ca="1"/>
        <v>0.25007527766560217</v>
      </c>
      <c r="J303" s="26">
        <f ca="1"/>
        <v>0.22948578310870099</v>
      </c>
      <c r="K303" s="26">
        <f ca="1"/>
        <v>0.21055571662400507</v>
      </c>
      <c r="M303" s="4" t="str">
        <f t="shared" si="14"/>
        <v>Mtonne</v>
      </c>
    </row>
    <row r="304" spans="1:13" s="7" customFormat="1" x14ac:dyDescent="0.25">
      <c r="A304" s="4" t="str">
        <v>IA N2O</v>
      </c>
      <c r="B304" s="26">
        <f ca="1"/>
        <v>8.4232489395828836E-2</v>
      </c>
      <c r="C304" s="26">
        <f ca="1"/>
        <v>9.28257610250732E-2</v>
      </c>
      <c r="D304" s="26">
        <f ca="1"/>
        <v>0.10184791890661943</v>
      </c>
      <c r="E304" s="26">
        <f ca="1"/>
        <v>0.10652460221591406</v>
      </c>
      <c r="F304" s="26">
        <f ca="1"/>
        <v>0.11199961566180296</v>
      </c>
      <c r="G304" s="26">
        <f ca="1"/>
        <v>0.12443523258917909</v>
      </c>
      <c r="H304" s="26">
        <f ca="1"/>
        <v>0.11422741585517872</v>
      </c>
      <c r="I304" s="26">
        <f ca="1"/>
        <v>0.10484006133827863</v>
      </c>
      <c r="J304" s="26">
        <f ca="1"/>
        <v>9.6208244981141014E-2</v>
      </c>
      <c r="K304" s="26">
        <f ca="1"/>
        <v>8.8272117308228704E-2</v>
      </c>
      <c r="M304" s="4" t="str">
        <f t="shared" si="14"/>
        <v>Mtonne</v>
      </c>
    </row>
    <row r="305" spans="1:13" s="7" customFormat="1" x14ac:dyDescent="0.25">
      <c r="A305" s="4" t="str">
        <v>AF N2O</v>
      </c>
      <c r="B305" s="26">
        <f ca="1"/>
        <v>0.17428842697772309</v>
      </c>
      <c r="C305" s="26">
        <f ca="1"/>
        <v>0.20820617814720033</v>
      </c>
      <c r="D305" s="26">
        <f ca="1"/>
        <v>0.23734379296387453</v>
      </c>
      <c r="E305" s="26">
        <f ca="1"/>
        <v>0.25966332859053032</v>
      </c>
      <c r="F305" s="26">
        <f ca="1"/>
        <v>0.31538687128321052</v>
      </c>
      <c r="G305" s="26">
        <f ca="1"/>
        <v>0.35163713688303205</v>
      </c>
      <c r="H305" s="26">
        <f ca="1"/>
        <v>0.32279122744497851</v>
      </c>
      <c r="I305" s="26">
        <f ca="1"/>
        <v>0.29626383326131711</v>
      </c>
      <c r="J305" s="26">
        <f ca="1"/>
        <v>0.27187148772727626</v>
      </c>
      <c r="K305" s="26">
        <f ca="1"/>
        <v>0.24944506431989355</v>
      </c>
      <c r="M305" s="4" t="str">
        <f t="shared" si="14"/>
        <v>Mtonne</v>
      </c>
    </row>
    <row r="306" spans="1:13" s="7" customFormat="1" ht="13" thickBot="1" x14ac:dyDescent="0.3">
      <c r="A306" s="4" t="str">
        <v>LA N2O</v>
      </c>
      <c r="B306" s="35">
        <f ca="1"/>
        <v>0.17044342292298165</v>
      </c>
      <c r="C306" s="35">
        <f ca="1"/>
        <v>0.19191418350373832</v>
      </c>
      <c r="D306" s="35">
        <f ca="1"/>
        <v>0.21290874397791987</v>
      </c>
      <c r="E306" s="35">
        <f ca="1"/>
        <v>0.22182106822679495</v>
      </c>
      <c r="F306" s="35">
        <f ca="1"/>
        <v>0.22730304201747986</v>
      </c>
      <c r="G306" s="35">
        <f ca="1"/>
        <v>0.21232307067993722</v>
      </c>
      <c r="H306" s="35">
        <f ca="1"/>
        <v>0.19490553588047657</v>
      </c>
      <c r="I306" s="35">
        <f ca="1"/>
        <v>0.17888795070691271</v>
      </c>
      <c r="J306" s="35">
        <f ca="1"/>
        <v>0.16415953564022889</v>
      </c>
      <c r="K306" s="35">
        <f ca="1"/>
        <v>0.1506181698890687</v>
      </c>
      <c r="M306" s="4" t="str">
        <f t="shared" si="14"/>
        <v>Mtonne</v>
      </c>
    </row>
    <row r="307" spans="1:13" s="8" customFormat="1" ht="15.5" thickTop="1" x14ac:dyDescent="0.4">
      <c r="A307" s="2" t="s">
        <v>301</v>
      </c>
      <c r="B307" s="2" t="s">
        <v>309</v>
      </c>
    </row>
    <row r="308" spans="1:13" s="7" customFormat="1" x14ac:dyDescent="0.25">
      <c r="A308" s="4" t="str">
        <f t="array" ref="A308:A315">R_CODE&amp;" "&amp;GLIN_NAME</f>
        <v>EU Lin</v>
      </c>
      <c r="B308" s="29">
        <f t="array" aca="1" ref="B308:K315" ca="1">(Q0_PROP_GLIN/100)*(ZC_GLIN/100)*E_GLIN_0</f>
        <v>13.080776834834705</v>
      </c>
      <c r="C308" s="29">
        <f ca="1"/>
        <v>15.414592345649051</v>
      </c>
      <c r="D308" s="29">
        <f ca="1"/>
        <v>15.443678599948445</v>
      </c>
      <c r="E308" s="29">
        <f ca="1"/>
        <v>14.71529649106062</v>
      </c>
      <c r="F308" s="29">
        <f ca="1"/>
        <v>13.768076035212774</v>
      </c>
      <c r="G308" s="29">
        <f ca="1"/>
        <v>14.016028605337162</v>
      </c>
      <c r="H308" s="29">
        <f ca="1"/>
        <v>13.029674745090523</v>
      </c>
      <c r="I308" s="29">
        <f ca="1"/>
        <v>12.112733838043264</v>
      </c>
      <c r="J308" s="29">
        <f ca="1"/>
        <v>11.26032106722853</v>
      </c>
      <c r="K308" s="29">
        <f ca="1"/>
        <v>10.467895376255832</v>
      </c>
      <c r="M308" s="4" t="str">
        <f t="shared" ref="M308:M315" si="15">EMIT_NAME</f>
        <v>Mtonne</v>
      </c>
    </row>
    <row r="309" spans="1:13" s="7" customFormat="1" x14ac:dyDescent="0.25">
      <c r="A309" s="4" t="str">
        <v>US Lin</v>
      </c>
      <c r="B309" s="26">
        <f ca="1"/>
        <v>36.88970034532494</v>
      </c>
      <c r="C309" s="26">
        <f ca="1"/>
        <v>43.471400801060959</v>
      </c>
      <c r="D309" s="26">
        <f ca="1"/>
        <v>43.553428284506374</v>
      </c>
      <c r="E309" s="26">
        <f ca="1"/>
        <v>41.499284400466387</v>
      </c>
      <c r="F309" s="26">
        <f ca="1"/>
        <v>38.827984429646968</v>
      </c>
      <c r="G309" s="26">
        <f ca="1"/>
        <v>39.527246876154223</v>
      </c>
      <c r="H309" s="26">
        <f ca="1"/>
        <v>36.745584991819136</v>
      </c>
      <c r="I309" s="26">
        <f ca="1"/>
        <v>34.159677769148345</v>
      </c>
      <c r="J309" s="26">
        <f ca="1"/>
        <v>31.755749311157714</v>
      </c>
      <c r="K309" s="26">
        <f ca="1"/>
        <v>29.520993175874317</v>
      </c>
      <c r="M309" s="4" t="str">
        <f t="shared" si="15"/>
        <v>Mtonne</v>
      </c>
    </row>
    <row r="310" spans="1:13" s="7" customFormat="1" x14ac:dyDescent="0.25">
      <c r="A310" s="4" t="str">
        <v>OT Lin</v>
      </c>
      <c r="B310" s="26">
        <f ca="1"/>
        <v>12.264317644242382</v>
      </c>
      <c r="C310" s="26">
        <f ca="1"/>
        <v>14.452464044803513</v>
      </c>
      <c r="D310" s="26">
        <f ca="1"/>
        <v>14.479734830500199</v>
      </c>
      <c r="E310" s="26">
        <f ca="1"/>
        <v>13.796815944062649</v>
      </c>
      <c r="F310" s="26">
        <f ca="1"/>
        <v>12.908717882584723</v>
      </c>
      <c r="G310" s="26">
        <f ca="1"/>
        <v>13.141194066461932</v>
      </c>
      <c r="H310" s="26">
        <f ca="1"/>
        <v>12.216405179346705</v>
      </c>
      <c r="I310" s="26">
        <f ca="1"/>
        <v>11.3566967165374</v>
      </c>
      <c r="J310" s="26">
        <f ca="1"/>
        <v>10.55748875532209</v>
      </c>
      <c r="K310" s="26">
        <f ca="1"/>
        <v>9.8145236771574318</v>
      </c>
      <c r="M310" s="4" t="str">
        <f t="shared" si="15"/>
        <v>Mtonne</v>
      </c>
    </row>
    <row r="311" spans="1:13" s="7" customFormat="1" x14ac:dyDescent="0.25">
      <c r="A311" s="4" t="str">
        <v>EE Lin</v>
      </c>
      <c r="B311" s="26">
        <f ca="1"/>
        <v>3.7433768377332042</v>
      </c>
      <c r="C311" s="26">
        <f ca="1"/>
        <v>5.2191447991130655</v>
      </c>
      <c r="D311" s="26">
        <f ca="1"/>
        <v>6.7078922485859653</v>
      </c>
      <c r="E311" s="26">
        <f ca="1"/>
        <v>8.0045721254728655</v>
      </c>
      <c r="F311" s="26">
        <f ca="1"/>
        <v>9.4868855470636948</v>
      </c>
      <c r="G311" s="26">
        <f ca="1"/>
        <v>10.502025610058384</v>
      </c>
      <c r="H311" s="26">
        <f ca="1"/>
        <v>9.7629636551658514</v>
      </c>
      <c r="I311" s="26">
        <f ca="1"/>
        <v>9.0759119117744635</v>
      </c>
      <c r="J311" s="26">
        <f ca="1"/>
        <v>8.437210250875431</v>
      </c>
      <c r="K311" s="26">
        <f ca="1"/>
        <v>7.8434561187317131</v>
      </c>
      <c r="M311" s="4" t="str">
        <f t="shared" si="15"/>
        <v>Mtonne</v>
      </c>
    </row>
    <row r="312" spans="1:13" s="7" customFormat="1" x14ac:dyDescent="0.25">
      <c r="A312" s="4" t="str">
        <v>CA Lin</v>
      </c>
      <c r="B312" s="26">
        <f ca="1"/>
        <v>11.461842397453378</v>
      </c>
      <c r="C312" s="26">
        <f ca="1"/>
        <v>14.807136610482249</v>
      </c>
      <c r="D312" s="26">
        <f ca="1"/>
        <v>19.847069211827645</v>
      </c>
      <c r="E312" s="26">
        <f ca="1"/>
        <v>22.717120428871088</v>
      </c>
      <c r="F312" s="26">
        <f ca="1"/>
        <v>28.274417193516623</v>
      </c>
      <c r="G312" s="26">
        <f ca="1"/>
        <v>30.537451506027889</v>
      </c>
      <c r="H312" s="26">
        <f ca="1"/>
        <v>28.388430979372043</v>
      </c>
      <c r="I312" s="26">
        <f ca="1"/>
        <v>26.390644069020965</v>
      </c>
      <c r="J312" s="26">
        <f ca="1"/>
        <v>24.533447969837649</v>
      </c>
      <c r="K312" s="26">
        <f ca="1"/>
        <v>22.806948845756608</v>
      </c>
      <c r="M312" s="4" t="str">
        <f t="shared" si="15"/>
        <v>Mtonne</v>
      </c>
    </row>
    <row r="313" spans="1:13" s="7" customFormat="1" x14ac:dyDescent="0.25">
      <c r="A313" s="4" t="str">
        <v>IA Lin</v>
      </c>
      <c r="B313" s="26">
        <f ca="1"/>
        <v>8.006488388998001</v>
      </c>
      <c r="C313" s="26">
        <f ca="1"/>
        <v>10.343290653906896</v>
      </c>
      <c r="D313" s="26">
        <f ca="1"/>
        <v>13.863855712711924</v>
      </c>
      <c r="E313" s="26">
        <f ca="1"/>
        <v>15.868684513201575</v>
      </c>
      <c r="F313" s="26">
        <f ca="1"/>
        <v>19.750646110425819</v>
      </c>
      <c r="G313" s="26">
        <f ca="1"/>
        <v>21.331452870694239</v>
      </c>
      <c r="H313" s="26">
        <f ca="1"/>
        <v>19.830288633938437</v>
      </c>
      <c r="I313" s="26">
        <f ca="1"/>
        <v>18.434766243491683</v>
      </c>
      <c r="J313" s="26">
        <f ca="1"/>
        <v>17.137451336465272</v>
      </c>
      <c r="K313" s="26">
        <f ca="1"/>
        <v>15.93143273044768</v>
      </c>
      <c r="M313" s="4" t="str">
        <f t="shared" si="15"/>
        <v>Mtonne</v>
      </c>
    </row>
    <row r="314" spans="1:13" s="7" customFormat="1" x14ac:dyDescent="0.25">
      <c r="A314" s="4" t="str">
        <v>AF Lin</v>
      </c>
      <c r="B314" s="26">
        <f ca="1"/>
        <v>5.3180306163459568</v>
      </c>
      <c r="C314" s="26">
        <f ca="1"/>
        <v>6.7143500745471512</v>
      </c>
      <c r="D314" s="26">
        <f ca="1"/>
        <v>7.9058084968515567</v>
      </c>
      <c r="E314" s="26">
        <f ca="1"/>
        <v>9.4726503097272854</v>
      </c>
      <c r="F314" s="26">
        <f ca="1"/>
        <v>13.477239689718091</v>
      </c>
      <c r="G314" s="26">
        <f ca="1"/>
        <v>15.386907180861463</v>
      </c>
      <c r="H314" s="26">
        <f ca="1"/>
        <v>14.304080103202661</v>
      </c>
      <c r="I314" s="26">
        <f ca="1"/>
        <v>13.297455115172987</v>
      </c>
      <c r="J314" s="26">
        <f ca="1"/>
        <v>12.361669626028592</v>
      </c>
      <c r="K314" s="26">
        <f ca="1"/>
        <v>11.491738428108237</v>
      </c>
      <c r="M314" s="4" t="str">
        <f t="shared" si="15"/>
        <v>Mtonne</v>
      </c>
    </row>
    <row r="315" spans="1:13" s="7" customFormat="1" ht="13" thickBot="1" x14ac:dyDescent="0.3">
      <c r="A315" s="4" t="str">
        <v>LA Lin</v>
      </c>
      <c r="B315" s="35">
        <f ca="1"/>
        <v>4.0306450833546483</v>
      </c>
      <c r="C315" s="35">
        <f ca="1"/>
        <v>4.8881958252992224</v>
      </c>
      <c r="D315" s="35">
        <f ca="1"/>
        <v>6.3071516692195724</v>
      </c>
      <c r="E315" s="35">
        <f ca="1"/>
        <v>7.2822487473994837</v>
      </c>
      <c r="F315" s="35">
        <f ca="1"/>
        <v>10.208441742899515</v>
      </c>
      <c r="G315" s="35">
        <f ca="1"/>
        <v>11.455565494743746</v>
      </c>
      <c r="H315" s="35">
        <f ca="1"/>
        <v>10.649399813635902</v>
      </c>
      <c r="I315" s="35">
        <f ca="1"/>
        <v>9.8999666531263859</v>
      </c>
      <c r="J315" s="35">
        <f ca="1"/>
        <v>9.2032735598413264</v>
      </c>
      <c r="K315" s="35">
        <f ca="1"/>
        <v>8.5556090424331206</v>
      </c>
      <c r="M315" s="4" t="str">
        <f t="shared" si="15"/>
        <v>Mtonne</v>
      </c>
    </row>
    <row r="316" spans="1:13" s="2" customFormat="1" ht="15.5" thickTop="1" x14ac:dyDescent="0.4">
      <c r="A316" s="2" t="s">
        <v>314</v>
      </c>
      <c r="B316" s="2" t="s">
        <v>315</v>
      </c>
    </row>
    <row r="317" spans="1:13" s="6" customFormat="1" x14ac:dyDescent="0.25">
      <c r="A317" s="4" t="str">
        <f t="array" ref="A317:A324">R_CODE&amp;" "&amp;'Base data'!$B$12</f>
        <v>EU CO2</v>
      </c>
      <c r="B317" s="29">
        <f t="array" aca="1" ref="B317:K324" ca="1">(QMAX_MINUS_Q0_PROP_CO2/100)*(ZC_CO2/100)*E_CO2_0+Q0_CO2</f>
        <v>3418.9293081204082</v>
      </c>
      <c r="C317" s="29">
        <f ca="1"/>
        <v>4026.5629389279284</v>
      </c>
      <c r="D317" s="29">
        <f ca="1"/>
        <v>4426.1130486426227</v>
      </c>
      <c r="E317" s="29">
        <f ca="1"/>
        <v>4871.638528396943</v>
      </c>
      <c r="F317" s="29">
        <f ca="1"/>
        <v>5748.4106628340278</v>
      </c>
      <c r="G317" s="29">
        <f ca="1"/>
        <v>5512.9053137143592</v>
      </c>
      <c r="H317" s="29">
        <f ca="1"/>
        <v>5555.017385717797</v>
      </c>
      <c r="I317" s="29">
        <f ca="1"/>
        <v>5596.8912225673666</v>
      </c>
      <c r="J317" s="29">
        <f ca="1"/>
        <v>5636.5090807458546</v>
      </c>
      <c r="K317" s="29">
        <f ca="1"/>
        <v>5671.7428500740079</v>
      </c>
      <c r="M317" s="4" t="str">
        <f t="shared" ref="M317:M324" si="16">EMIT_NAME</f>
        <v>Mtonne</v>
      </c>
    </row>
    <row r="318" spans="1:13" s="6" customFormat="1" x14ac:dyDescent="0.25">
      <c r="A318" s="4" t="str">
        <v>US CO2</v>
      </c>
      <c r="B318" s="26">
        <f ca="1"/>
        <v>4860.6000970447958</v>
      </c>
      <c r="C318" s="26">
        <f ca="1"/>
        <v>5722.8956227451836</v>
      </c>
      <c r="D318" s="26">
        <f ca="1"/>
        <v>6289.088542169201</v>
      </c>
      <c r="E318" s="26">
        <f ca="1"/>
        <v>6920.3239309647361</v>
      </c>
      <c r="F318" s="26">
        <f ca="1"/>
        <v>8160.643250319531</v>
      </c>
      <c r="G318" s="26">
        <f ca="1"/>
        <v>7821.6090703381369</v>
      </c>
      <c r="H318" s="26">
        <f ca="1"/>
        <v>7872.6034070545284</v>
      </c>
      <c r="I318" s="26">
        <f ca="1"/>
        <v>7924.0417791360496</v>
      </c>
      <c r="J318" s="26">
        <f ca="1"/>
        <v>7973.0198646071694</v>
      </c>
      <c r="K318" s="26">
        <f ca="1"/>
        <v>8016.4841301796041</v>
      </c>
      <c r="M318" s="4" t="str">
        <f t="shared" si="16"/>
        <v>Mtonne</v>
      </c>
    </row>
    <row r="319" spans="1:13" s="6" customFormat="1" x14ac:dyDescent="0.25">
      <c r="A319" s="4" t="str">
        <v>OT CO2</v>
      </c>
      <c r="B319" s="26">
        <f ca="1"/>
        <v>1894.3538048955638</v>
      </c>
      <c r="C319" s="26">
        <f ca="1"/>
        <v>2231.030283630816</v>
      </c>
      <c r="D319" s="26">
        <f ca="1"/>
        <v>2452.4122434118385</v>
      </c>
      <c r="E319" s="26">
        <f ca="1"/>
        <v>2699.2681481964005</v>
      </c>
      <c r="F319" s="26">
        <f ca="1"/>
        <v>3185.068373709224</v>
      </c>
      <c r="G319" s="26">
        <f ca="1"/>
        <v>3054.5800207858442</v>
      </c>
      <c r="H319" s="26">
        <f ca="1"/>
        <v>3077.9133970104635</v>
      </c>
      <c r="I319" s="26">
        <f ca="1"/>
        <v>3101.1147723571694</v>
      </c>
      <c r="J319" s="26">
        <f ca="1"/>
        <v>3123.0661593612767</v>
      </c>
      <c r="K319" s="26">
        <f ca="1"/>
        <v>3142.588418809305</v>
      </c>
      <c r="M319" s="4" t="str">
        <f t="shared" si="16"/>
        <v>Mtonne</v>
      </c>
    </row>
    <row r="320" spans="1:13" s="6" customFormat="1" x14ac:dyDescent="0.25">
      <c r="A320" s="4" t="str">
        <v>EE CO2</v>
      </c>
      <c r="B320" s="26">
        <f ca="1"/>
        <v>2855.9718288336298</v>
      </c>
      <c r="C320" s="26">
        <f ca="1"/>
        <v>3536.7345978722574</v>
      </c>
      <c r="D320" s="26">
        <f ca="1"/>
        <v>4396.7016268121033</v>
      </c>
      <c r="E320" s="26">
        <f ca="1"/>
        <v>5372.6873164772915</v>
      </c>
      <c r="F320" s="26">
        <f ca="1"/>
        <v>7411.7051135454121</v>
      </c>
      <c r="G320" s="26">
        <f ca="1"/>
        <v>9951.1280018083817</v>
      </c>
      <c r="H320" s="26">
        <f ca="1"/>
        <v>10069.090115552724</v>
      </c>
      <c r="I320" s="26">
        <f ca="1"/>
        <v>10182.874624411832</v>
      </c>
      <c r="J320" s="26">
        <f ca="1"/>
        <v>10289.038654129354</v>
      </c>
      <c r="K320" s="26">
        <f ca="1"/>
        <v>10383.904771063597</v>
      </c>
      <c r="M320" s="4" t="str">
        <f t="shared" si="16"/>
        <v>Mtonne</v>
      </c>
    </row>
    <row r="321" spans="1:13" s="6" customFormat="1" x14ac:dyDescent="0.25">
      <c r="A321" s="4" t="str">
        <v>CA CO2</v>
      </c>
      <c r="B321" s="26">
        <f ca="1"/>
        <v>7735.2490917061714</v>
      </c>
      <c r="C321" s="26">
        <f ca="1"/>
        <v>8694.105129317375</v>
      </c>
      <c r="D321" s="26">
        <f ca="1"/>
        <v>10689.121190035523</v>
      </c>
      <c r="E321" s="26">
        <f ca="1"/>
        <v>12986.647429796194</v>
      </c>
      <c r="F321" s="26">
        <f ca="1"/>
        <v>16953.629827068675</v>
      </c>
      <c r="G321" s="26">
        <f ca="1"/>
        <v>17888.478944906099</v>
      </c>
      <c r="H321" s="26">
        <f ca="1"/>
        <v>18100.531567244874</v>
      </c>
      <c r="I321" s="26">
        <f ca="1"/>
        <v>18305.074387979643</v>
      </c>
      <c r="J321" s="26">
        <f ca="1"/>
        <v>18495.918381742271</v>
      </c>
      <c r="K321" s="26">
        <f ca="1"/>
        <v>18666.45287140564</v>
      </c>
      <c r="M321" s="4" t="str">
        <f t="shared" si="16"/>
        <v>Mtonne</v>
      </c>
    </row>
    <row r="322" spans="1:13" s="6" customFormat="1" x14ac:dyDescent="0.25">
      <c r="A322" s="4" t="str">
        <v>IA CO2</v>
      </c>
      <c r="B322" s="26">
        <f ca="1"/>
        <v>4704.8931689252713</v>
      </c>
      <c r="C322" s="26">
        <f ca="1"/>
        <v>5288.1084174396065</v>
      </c>
      <c r="D322" s="26">
        <f ca="1"/>
        <v>6501.5583431870773</v>
      </c>
      <c r="E322" s="26">
        <f ca="1"/>
        <v>7899.007265997684</v>
      </c>
      <c r="F322" s="26">
        <f ca="1"/>
        <v>10311.887337589185</v>
      </c>
      <c r="G322" s="26">
        <f ca="1"/>
        <v>10880.500600891217</v>
      </c>
      <c r="H322" s="26">
        <f ca="1"/>
        <v>11009.479632137169</v>
      </c>
      <c r="I322" s="26">
        <f ca="1"/>
        <v>11133.890896547458</v>
      </c>
      <c r="J322" s="26">
        <f ca="1"/>
        <v>11249.969977122504</v>
      </c>
      <c r="K322" s="26">
        <f ca="1"/>
        <v>11353.695991110035</v>
      </c>
      <c r="M322" s="4" t="str">
        <f t="shared" si="16"/>
        <v>Mtonne</v>
      </c>
    </row>
    <row r="323" spans="1:13" s="6" customFormat="1" x14ac:dyDescent="0.25">
      <c r="A323" s="4" t="str">
        <v>AF CO2</v>
      </c>
      <c r="B323" s="26">
        <f ca="1"/>
        <v>4263.4928669579713</v>
      </c>
      <c r="C323" s="26">
        <f ca="1"/>
        <v>5404.2663457845956</v>
      </c>
      <c r="D323" s="26">
        <f ca="1"/>
        <v>7135.809971598127</v>
      </c>
      <c r="E323" s="26">
        <f ca="1"/>
        <v>9223.2198272033984</v>
      </c>
      <c r="F323" s="26">
        <f ca="1"/>
        <v>13946.253263520382</v>
      </c>
      <c r="G323" s="26">
        <f ca="1"/>
        <v>16927.555555607731</v>
      </c>
      <c r="H323" s="26">
        <f ca="1"/>
        <v>17128.21725280441</v>
      </c>
      <c r="I323" s="26">
        <f ca="1"/>
        <v>17321.772555753996</v>
      </c>
      <c r="J323" s="26">
        <f ca="1"/>
        <v>17502.364897720043</v>
      </c>
      <c r="K323" s="26">
        <f ca="1"/>
        <v>17663.738710262438</v>
      </c>
      <c r="M323" s="4" t="str">
        <f t="shared" si="16"/>
        <v>Mtonne</v>
      </c>
    </row>
    <row r="324" spans="1:13" s="6" customFormat="1" ht="13" thickBot="1" x14ac:dyDescent="0.3">
      <c r="A324" s="4" t="str">
        <v>LA CO2</v>
      </c>
      <c r="B324" s="35">
        <f ca="1"/>
        <v>2912.1729821739505</v>
      </c>
      <c r="C324" s="35">
        <f ca="1"/>
        <v>3367.309016353176</v>
      </c>
      <c r="D324" s="35">
        <f ca="1"/>
        <v>4169.8575509358898</v>
      </c>
      <c r="E324" s="35">
        <f ca="1"/>
        <v>5229.5971656050269</v>
      </c>
      <c r="F324" s="35">
        <f ca="1"/>
        <v>6752.1239758145957</v>
      </c>
      <c r="G324" s="35">
        <f ca="1"/>
        <v>4917.8133842295756</v>
      </c>
      <c r="H324" s="35">
        <f ca="1"/>
        <v>4976.1098569207643</v>
      </c>
      <c r="I324" s="35">
        <f ca="1"/>
        <v>5032.3417715824608</v>
      </c>
      <c r="J324" s="35">
        <f ca="1"/>
        <v>5084.807671546133</v>
      </c>
      <c r="K324" s="35">
        <f ca="1"/>
        <v>5131.6901816981817</v>
      </c>
      <c r="M324" s="4" t="str">
        <f t="shared" si="16"/>
        <v>Mtonne</v>
      </c>
    </row>
    <row r="325" spans="1:13" s="2" customFormat="1" ht="15.5" thickTop="1" x14ac:dyDescent="0.4">
      <c r="A325" s="2" t="s">
        <v>314</v>
      </c>
      <c r="B325" s="2" t="s">
        <v>316</v>
      </c>
    </row>
    <row r="326" spans="1:13" s="7" customFormat="1" x14ac:dyDescent="0.25">
      <c r="A326" s="4" t="str">
        <f t="array" ref="A326:A333">R_CODE&amp;" "&amp;'Base data'!$C$12</f>
        <v>EU CH4</v>
      </c>
      <c r="B326" s="29">
        <f t="array" aca="1" ref="B326:K333" ca="1">(QMAX_MINUS_Q0_PROP_CH4/100)*(ZC_CH4/100)*E_CH4_0+Q0_CH4</f>
        <v>15.046953518590257</v>
      </c>
      <c r="C326" s="29">
        <f ca="1"/>
        <v>16.088415145588009</v>
      </c>
      <c r="D326" s="29">
        <f ca="1"/>
        <v>17.244197140206758</v>
      </c>
      <c r="E326" s="29">
        <f ca="1"/>
        <v>18.616748915748545</v>
      </c>
      <c r="F326" s="29">
        <f ca="1"/>
        <v>22.395344328787303</v>
      </c>
      <c r="G326" s="29">
        <f ca="1"/>
        <v>25.885763501369595</v>
      </c>
      <c r="H326" s="29">
        <f ca="1"/>
        <v>25.560883319935947</v>
      </c>
      <c r="I326" s="29">
        <f ca="1"/>
        <v>25.19231422921456</v>
      </c>
      <c r="J326" s="29">
        <f ca="1"/>
        <v>24.763941281625115</v>
      </c>
      <c r="K326" s="29">
        <f ca="1"/>
        <v>24.258757580959305</v>
      </c>
      <c r="M326" s="4" t="str">
        <f t="shared" ref="M326:M333" si="17">EMIT_NAME</f>
        <v>Mtonne</v>
      </c>
    </row>
    <row r="327" spans="1:13" s="7" customFormat="1" x14ac:dyDescent="0.25">
      <c r="A327" s="4" t="str">
        <v>US CH4</v>
      </c>
      <c r="B327" s="26">
        <f ca="1"/>
        <v>18.538909792717849</v>
      </c>
      <c r="C327" s="26">
        <f ca="1"/>
        <v>19.816070048109356</v>
      </c>
      <c r="D327" s="26">
        <f ca="1"/>
        <v>21.233340379725902</v>
      </c>
      <c r="E327" s="26">
        <f ca="1"/>
        <v>22.916731084826242</v>
      </c>
      <c r="F327" s="26">
        <f ca="1"/>
        <v>27.548672572385513</v>
      </c>
      <c r="G327" s="26">
        <f ca="1"/>
        <v>31.820909736203681</v>
      </c>
      <c r="H327" s="26">
        <f ca="1"/>
        <v>31.382463017364103</v>
      </c>
      <c r="I327" s="26">
        <f ca="1"/>
        <v>30.895288563657886</v>
      </c>
      <c r="J327" s="26">
        <f ca="1"/>
        <v>30.339390566641281</v>
      </c>
      <c r="K327" s="26">
        <f ca="1"/>
        <v>29.693723706816293</v>
      </c>
      <c r="M327" s="4" t="str">
        <f t="shared" si="17"/>
        <v>Mtonne</v>
      </c>
    </row>
    <row r="328" spans="1:13" s="7" customFormat="1" x14ac:dyDescent="0.25">
      <c r="A328" s="4" t="str">
        <v>OT CH4</v>
      </c>
      <c r="B328" s="26">
        <f ca="1"/>
        <v>13.990871855149727</v>
      </c>
      <c r="C328" s="26">
        <f ca="1"/>
        <v>14.959237720530993</v>
      </c>
      <c r="D328" s="26">
        <f ca="1"/>
        <v>16.033900293205388</v>
      </c>
      <c r="E328" s="26">
        <f ca="1"/>
        <v>17.310118497936209</v>
      </c>
      <c r="F328" s="26">
        <f ca="1"/>
        <v>20.823510371644531</v>
      </c>
      <c r="G328" s="26">
        <f ca="1"/>
        <v>24.068951869421674</v>
      </c>
      <c r="H328" s="26">
        <f ca="1"/>
        <v>23.766873646005866</v>
      </c>
      <c r="I328" s="26">
        <f ca="1"/>
        <v>23.424172852009193</v>
      </c>
      <c r="J328" s="26">
        <f ca="1"/>
        <v>23.025865579475116</v>
      </c>
      <c r="K328" s="26">
        <f ca="1"/>
        <v>22.556138573899315</v>
      </c>
      <c r="M328" s="4" t="str">
        <f t="shared" si="17"/>
        <v>Mtonne</v>
      </c>
    </row>
    <row r="329" spans="1:13" s="7" customFormat="1" x14ac:dyDescent="0.25">
      <c r="A329" s="4" t="str">
        <v>EE CH4</v>
      </c>
      <c r="B329" s="26">
        <f ca="1"/>
        <v>28.045466372745345</v>
      </c>
      <c r="C329" s="26">
        <f ca="1"/>
        <v>30.4044274102142</v>
      </c>
      <c r="D329" s="26">
        <f ca="1"/>
        <v>36.174608680814053</v>
      </c>
      <c r="E329" s="26">
        <f ca="1"/>
        <v>41.203504050991782</v>
      </c>
      <c r="F329" s="26">
        <f ca="1"/>
        <v>47.178247924568467</v>
      </c>
      <c r="G329" s="26">
        <f ca="1"/>
        <v>63.424369786934136</v>
      </c>
      <c r="H329" s="26">
        <f ca="1"/>
        <v>62.923618597065257</v>
      </c>
      <c r="I329" s="26">
        <f ca="1"/>
        <v>62.278207816479338</v>
      </c>
      <c r="J329" s="26">
        <f ca="1"/>
        <v>61.450058469390655</v>
      </c>
      <c r="K329" s="26">
        <f ca="1"/>
        <v>60.398551449951952</v>
      </c>
      <c r="M329" s="4" t="str">
        <f t="shared" si="17"/>
        <v>Mtonne</v>
      </c>
    </row>
    <row r="330" spans="1:13" s="7" customFormat="1" x14ac:dyDescent="0.25">
      <c r="A330" s="4" t="str">
        <v>CA CH4</v>
      </c>
      <c r="B330" s="26">
        <f ca="1"/>
        <v>39.487563503677549</v>
      </c>
      <c r="C330" s="26">
        <f ca="1"/>
        <v>43.232858255102485</v>
      </c>
      <c r="D330" s="26">
        <f ca="1"/>
        <v>50.825574616382383</v>
      </c>
      <c r="E330" s="26">
        <f ca="1"/>
        <v>60.541105667202814</v>
      </c>
      <c r="F330" s="26">
        <f ca="1"/>
        <v>75.937213785894983</v>
      </c>
      <c r="G330" s="26">
        <f ca="1"/>
        <v>82.757317400326642</v>
      </c>
      <c r="H330" s="26">
        <f ca="1"/>
        <v>82.103927775837121</v>
      </c>
      <c r="I330" s="26">
        <f ca="1"/>
        <v>81.261783581074539</v>
      </c>
      <c r="J330" s="26">
        <f ca="1"/>
        <v>80.18119864815165</v>
      </c>
      <c r="K330" s="26">
        <f ca="1"/>
        <v>78.809172399429073</v>
      </c>
      <c r="M330" s="4" t="str">
        <f t="shared" si="17"/>
        <v>Mtonne</v>
      </c>
    </row>
    <row r="331" spans="1:13" s="7" customFormat="1" x14ac:dyDescent="0.25">
      <c r="A331" s="4" t="str">
        <v>IA CH4</v>
      </c>
      <c r="B331" s="26">
        <f ca="1"/>
        <v>49.699864409801052</v>
      </c>
      <c r="C331" s="26">
        <f ca="1"/>
        <v>54.41376987280141</v>
      </c>
      <c r="D331" s="26">
        <f ca="1"/>
        <v>63.970119775791623</v>
      </c>
      <c r="E331" s="26">
        <f ca="1"/>
        <v>76.198288167341474</v>
      </c>
      <c r="F331" s="26">
        <f ca="1"/>
        <v>95.576148385695404</v>
      </c>
      <c r="G331" s="26">
        <f ca="1"/>
        <v>104.16007190041111</v>
      </c>
      <c r="H331" s="26">
        <f ca="1"/>
        <v>103.3377022006226</v>
      </c>
      <c r="I331" s="26">
        <f ca="1"/>
        <v>102.2777620934214</v>
      </c>
      <c r="J331" s="26">
        <f ca="1"/>
        <v>100.91771553991501</v>
      </c>
      <c r="K331" s="26">
        <f ca="1"/>
        <v>99.190854916522795</v>
      </c>
      <c r="M331" s="4" t="str">
        <f t="shared" si="17"/>
        <v>Mtonne</v>
      </c>
    </row>
    <row r="332" spans="1:13" s="7" customFormat="1" x14ac:dyDescent="0.25">
      <c r="A332" s="4" t="str">
        <v>AF CH4</v>
      </c>
      <c r="B332" s="26">
        <f ca="1"/>
        <v>53.833918044351257</v>
      </c>
      <c r="C332" s="26">
        <f ca="1"/>
        <v>69.049110670864721</v>
      </c>
      <c r="D332" s="26">
        <f ca="1"/>
        <v>86.551231497821945</v>
      </c>
      <c r="E332" s="26">
        <f ca="1"/>
        <v>100.98630532117917</v>
      </c>
      <c r="F332" s="26">
        <f ca="1"/>
        <v>114.18627167248616</v>
      </c>
      <c r="G332" s="26">
        <f ca="1"/>
        <v>123.54067640576147</v>
      </c>
      <c r="H332" s="26">
        <f ca="1"/>
        <v>122.56529200832541</v>
      </c>
      <c r="I332" s="26">
        <f ca="1"/>
        <v>121.30813352711367</v>
      </c>
      <c r="J332" s="26">
        <f ca="1"/>
        <v>119.69502911869743</v>
      </c>
      <c r="K332" s="26">
        <f ca="1"/>
        <v>117.64685916662286</v>
      </c>
      <c r="M332" s="4" t="str">
        <f t="shared" si="17"/>
        <v>Mtonne</v>
      </c>
    </row>
    <row r="333" spans="1:13" s="7" customFormat="1" ht="13" thickBot="1" x14ac:dyDescent="0.3">
      <c r="A333" s="4" t="str">
        <v>LA CH4</v>
      </c>
      <c r="B333" s="35">
        <f ca="1"/>
        <v>43.024972885221999</v>
      </c>
      <c r="C333" s="35">
        <f ca="1"/>
        <v>50.881462633623663</v>
      </c>
      <c r="D333" s="35">
        <f ca="1"/>
        <v>57.92028141964542</v>
      </c>
      <c r="E333" s="35">
        <f ca="1"/>
        <v>63.18418230488458</v>
      </c>
      <c r="F333" s="35">
        <f ca="1"/>
        <v>63.711494525706982</v>
      </c>
      <c r="G333" s="35">
        <f ca="1"/>
        <v>61.620870744331512</v>
      </c>
      <c r="H333" s="35">
        <f ca="1"/>
        <v>61.134358628410773</v>
      </c>
      <c r="I333" s="35">
        <f ca="1"/>
        <v>60.507300379017238</v>
      </c>
      <c r="J333" s="35">
        <f ca="1"/>
        <v>59.702699812304672</v>
      </c>
      <c r="K333" s="35">
        <f ca="1"/>
        <v>58.681092844048472</v>
      </c>
      <c r="M333" s="4" t="str">
        <f t="shared" si="17"/>
        <v>Mtonne</v>
      </c>
    </row>
    <row r="334" spans="1:13" s="2" customFormat="1" ht="15.5" thickTop="1" x14ac:dyDescent="0.4">
      <c r="A334" s="2" t="s">
        <v>314</v>
      </c>
      <c r="B334" s="2" t="s">
        <v>317</v>
      </c>
    </row>
    <row r="335" spans="1:13" s="7" customFormat="1" x14ac:dyDescent="0.25">
      <c r="A335" s="4" t="str">
        <f t="array" ref="A335:A342">R_CODE&amp;" "&amp;'Base data'!$D$12</f>
        <v>EU N2O</v>
      </c>
      <c r="B335" s="29">
        <f t="array" aca="1" ref="B335:K342" ca="1">(QMAX_MINUS_Q0_PROP_N2O/100)*(ZC_N2O/100)*E_N2O_0+Q0_N2O</f>
        <v>0.91839793827826754</v>
      </c>
      <c r="C335" s="29">
        <f ca="1"/>
        <v>0.98746938789384553</v>
      </c>
      <c r="D335" s="29">
        <f ca="1"/>
        <v>1.0737320492774549</v>
      </c>
      <c r="E335" s="29">
        <f ca="1"/>
        <v>1.1135499756331135</v>
      </c>
      <c r="F335" s="29">
        <f ca="1"/>
        <v>1.1750925108622281</v>
      </c>
      <c r="G335" s="29">
        <f ca="1"/>
        <v>1.2153605139298778</v>
      </c>
      <c r="H335" s="29">
        <f ca="1"/>
        <v>1.2587007742379674</v>
      </c>
      <c r="I335" s="29">
        <f ca="1"/>
        <v>1.3059533488110442</v>
      </c>
      <c r="J335" s="29">
        <f ca="1"/>
        <v>1.3571616169662362</v>
      </c>
      <c r="K335" s="29">
        <f ca="1"/>
        <v>1.4123798397804879</v>
      </c>
      <c r="M335" s="4" t="str">
        <f t="shared" ref="M335:M342" si="18">EMIT_NAME</f>
        <v>Mtonne</v>
      </c>
    </row>
    <row r="336" spans="1:13" s="7" customFormat="1" x14ac:dyDescent="0.25">
      <c r="A336" s="4" t="str">
        <v>US N2O</v>
      </c>
      <c r="B336" s="26">
        <f ca="1"/>
        <v>0.82086538978225443</v>
      </c>
      <c r="C336" s="26">
        <f ca="1"/>
        <v>0.88233465788908461</v>
      </c>
      <c r="D336" s="26">
        <f ca="1"/>
        <v>0.95912826984548705</v>
      </c>
      <c r="E336" s="26">
        <f ca="1"/>
        <v>0.99440654198921441</v>
      </c>
      <c r="F336" s="26">
        <f ca="1"/>
        <v>1.0486255241858233</v>
      </c>
      <c r="G336" s="26">
        <f ca="1"/>
        <v>1.083832495451148</v>
      </c>
      <c r="H336" s="26">
        <f ca="1"/>
        <v>1.1210864411373269</v>
      </c>
      <c r="I336" s="26">
        <f ca="1"/>
        <v>1.1618693292944906</v>
      </c>
      <c r="J336" s="26">
        <f ca="1"/>
        <v>1.2062132328111244</v>
      </c>
      <c r="K336" s="26">
        <f ca="1"/>
        <v>1.2541603062027982</v>
      </c>
      <c r="M336" s="4" t="str">
        <f t="shared" si="18"/>
        <v>Mtonne</v>
      </c>
    </row>
    <row r="337" spans="1:13" s="7" customFormat="1" x14ac:dyDescent="0.25">
      <c r="A337" s="4" t="str">
        <v>OT N2O</v>
      </c>
      <c r="B337" s="26">
        <f ca="1"/>
        <v>0.43541113101580309</v>
      </c>
      <c r="C337" s="26">
        <f ca="1"/>
        <v>0.46815780513661054</v>
      </c>
      <c r="D337" s="26">
        <f ca="1"/>
        <v>0.50905480783228763</v>
      </c>
      <c r="E337" s="26">
        <f ca="1"/>
        <v>0.527932428988236</v>
      </c>
      <c r="F337" s="26">
        <f ca="1"/>
        <v>0.55710965571407578</v>
      </c>
      <c r="G337" s="26">
        <f ca="1"/>
        <v>0.57620065758664396</v>
      </c>
      <c r="H337" s="26">
        <f ca="1"/>
        <v>0.5967482121626505</v>
      </c>
      <c r="I337" s="26">
        <f ca="1"/>
        <v>0.6191505892594924</v>
      </c>
      <c r="J337" s="26">
        <f ca="1"/>
        <v>0.64342835494852757</v>
      </c>
      <c r="K337" s="26">
        <f ca="1"/>
        <v>0.66960723432766567</v>
      </c>
      <c r="M337" s="4" t="str">
        <f t="shared" si="18"/>
        <v>Mtonne</v>
      </c>
    </row>
    <row r="338" spans="1:13" s="7" customFormat="1" x14ac:dyDescent="0.25">
      <c r="A338" s="4" t="str">
        <v>EE N2O</v>
      </c>
      <c r="B338" s="26">
        <f ca="1"/>
        <v>0.33496837281240699</v>
      </c>
      <c r="C338" s="26">
        <f ca="1"/>
        <v>0.37331965656388039</v>
      </c>
      <c r="D338" s="26">
        <f ca="1"/>
        <v>0.40569413263772414</v>
      </c>
      <c r="E338" s="26">
        <f ca="1"/>
        <v>0.42337496010602416</v>
      </c>
      <c r="F338" s="26">
        <f ca="1"/>
        <v>0.459267030109277</v>
      </c>
      <c r="G338" s="26">
        <f ca="1"/>
        <v>0.57756783511167853</v>
      </c>
      <c r="H338" s="26">
        <f ca="1"/>
        <v>0.60098416173924729</v>
      </c>
      <c r="I338" s="26">
        <f ca="1"/>
        <v>0.62617885824943897</v>
      </c>
      <c r="J338" s="26">
        <f ca="1"/>
        <v>0.65318589620738132</v>
      </c>
      <c r="K338" s="26">
        <f ca="1"/>
        <v>0.6820436558401618</v>
      </c>
      <c r="M338" s="4" t="str">
        <f t="shared" si="18"/>
        <v>Mtonne</v>
      </c>
    </row>
    <row r="339" spans="1:13" s="7" customFormat="1" x14ac:dyDescent="0.25">
      <c r="A339" s="4" t="str">
        <v>CA N2O</v>
      </c>
      <c r="B339" s="26">
        <f ca="1"/>
        <v>1.7044901662564229</v>
      </c>
      <c r="C339" s="26">
        <f ca="1"/>
        <v>1.9247088533711414</v>
      </c>
      <c r="D339" s="26">
        <f ca="1"/>
        <v>2.164033453401156</v>
      </c>
      <c r="E339" s="26">
        <f ca="1"/>
        <v>2.3195830795641932</v>
      </c>
      <c r="F339" s="26">
        <f ca="1"/>
        <v>2.5937999956570441</v>
      </c>
      <c r="G339" s="26">
        <f ca="1"/>
        <v>3.0662954402923526</v>
      </c>
      <c r="H339" s="26">
        <f ca="1"/>
        <v>3.1906122238830226</v>
      </c>
      <c r="I339" s="26">
        <f ca="1"/>
        <v>3.3243703356272705</v>
      </c>
      <c r="J339" s="26">
        <f ca="1"/>
        <v>3.4677501298469888</v>
      </c>
      <c r="K339" s="26">
        <f ca="1"/>
        <v>3.6209553663573235</v>
      </c>
      <c r="M339" s="4" t="str">
        <f t="shared" si="18"/>
        <v>Mtonne</v>
      </c>
    </row>
    <row r="340" spans="1:13" s="7" customFormat="1" x14ac:dyDescent="0.25">
      <c r="A340" s="4" t="str">
        <v>IA N2O</v>
      </c>
      <c r="B340" s="26">
        <f ca="1"/>
        <v>0.71458024659186881</v>
      </c>
      <c r="C340" s="26">
        <f ca="1"/>
        <v>0.80690340976282005</v>
      </c>
      <c r="D340" s="26">
        <f ca="1"/>
        <v>0.90723642141084393</v>
      </c>
      <c r="E340" s="26">
        <f ca="1"/>
        <v>0.97244811486694716</v>
      </c>
      <c r="F340" s="26">
        <f ca="1"/>
        <v>1.0874091720795311</v>
      </c>
      <c r="G340" s="26">
        <f ca="1"/>
        <v>1.2854953318152509</v>
      </c>
      <c r="H340" s="26">
        <f ca="1"/>
        <v>1.3376131554509463</v>
      </c>
      <c r="I340" s="26">
        <f ca="1"/>
        <v>1.3936891049436861</v>
      </c>
      <c r="J340" s="26">
        <f ca="1"/>
        <v>1.4537987909589731</v>
      </c>
      <c r="K340" s="26">
        <f ca="1"/>
        <v>1.5180276365410901</v>
      </c>
      <c r="M340" s="4" t="str">
        <f t="shared" si="18"/>
        <v>Mtonne</v>
      </c>
    </row>
    <row r="341" spans="1:13" s="7" customFormat="1" x14ac:dyDescent="0.25">
      <c r="A341" s="4" t="str">
        <v>AF N2O</v>
      </c>
      <c r="B341" s="26">
        <f ca="1"/>
        <v>1.4785632957206374</v>
      </c>
      <c r="C341" s="26">
        <f ca="1"/>
        <v>1.8098669294537957</v>
      </c>
      <c r="D341" s="26">
        <f ca="1"/>
        <v>2.1142006207318489</v>
      </c>
      <c r="E341" s="26">
        <f ca="1"/>
        <v>2.3704300146188642</v>
      </c>
      <c r="F341" s="26">
        <f ca="1"/>
        <v>3.0621049417028754</v>
      </c>
      <c r="G341" s="26">
        <f ca="1"/>
        <v>3.6326359387970206</v>
      </c>
      <c r="H341" s="26">
        <f ca="1"/>
        <v>3.7799138592260006</v>
      </c>
      <c r="I341" s="26">
        <f ca="1"/>
        <v>3.9383769079730095</v>
      </c>
      <c r="J341" s="26">
        <f ca="1"/>
        <v>4.1082387505520828</v>
      </c>
      <c r="K341" s="26">
        <f ca="1"/>
        <v>4.2897407809325223</v>
      </c>
      <c r="M341" s="4" t="str">
        <f t="shared" si="18"/>
        <v>Mtonne</v>
      </c>
    </row>
    <row r="342" spans="1:13" s="7" customFormat="1" ht="13" thickBot="1" x14ac:dyDescent="0.3">
      <c r="A342" s="4" t="str">
        <v>LA N2O</v>
      </c>
      <c r="B342" s="35">
        <f ca="1"/>
        <v>1.4459444812312254</v>
      </c>
      <c r="C342" s="35">
        <f ca="1"/>
        <v>1.668246048736252</v>
      </c>
      <c r="D342" s="35">
        <f ca="1"/>
        <v>1.8965391639539098</v>
      </c>
      <c r="E342" s="35">
        <f ca="1"/>
        <v>2.0249733408785611</v>
      </c>
      <c r="F342" s="35">
        <f ca="1"/>
        <v>2.2068951868348554</v>
      </c>
      <c r="G342" s="35">
        <f ca="1"/>
        <v>2.1934327643107876</v>
      </c>
      <c r="H342" s="35">
        <f ca="1"/>
        <v>2.2823610856650771</v>
      </c>
      <c r="I342" s="35">
        <f ca="1"/>
        <v>2.3780431327819072</v>
      </c>
      <c r="J342" s="35">
        <f ca="1"/>
        <v>2.4806079196739632</v>
      </c>
      <c r="K342" s="35">
        <f ca="1"/>
        <v>2.5902012031553858</v>
      </c>
      <c r="M342" s="4" t="str">
        <f t="shared" si="18"/>
        <v>Mtonne</v>
      </c>
    </row>
    <row r="343" spans="1:13" s="2" customFormat="1" ht="15.5" thickTop="1" x14ac:dyDescent="0.4">
      <c r="A343" s="2" t="s">
        <v>314</v>
      </c>
      <c r="B343" s="2" t="s">
        <v>318</v>
      </c>
    </row>
    <row r="344" spans="1:13" s="7" customFormat="1" x14ac:dyDescent="0.25">
      <c r="A344" s="4" t="str">
        <f t="array" ref="A344:A351">R_CODE&amp;" "&amp;GLIN_NAME</f>
        <v>EU Lin</v>
      </c>
      <c r="B344" s="32">
        <f t="array" aca="1" ref="B344:K351" ca="1">(QMAX_MINUS_Q0_PROP_GLIN/100)*(ZC_GLIN/100)*E_GLIN_0+Q0_GLIN</f>
        <v>105.91748847901276</v>
      </c>
      <c r="C344" s="32">
        <f ca="1"/>
        <v>127.87369180539305</v>
      </c>
      <c r="D344" s="32">
        <f ca="1"/>
        <v>131.26530458971951</v>
      </c>
      <c r="E344" s="32">
        <f ca="1"/>
        <v>128.16001051470579</v>
      </c>
      <c r="F344" s="32">
        <f ca="1"/>
        <v>127.48611614921501</v>
      </c>
      <c r="G344" s="32">
        <f ca="1"/>
        <v>138.0446590940748</v>
      </c>
      <c r="H344" s="32">
        <f ca="1"/>
        <v>145.37611764615411</v>
      </c>
      <c r="I344" s="32">
        <f ca="1"/>
        <v>153.33481199486832</v>
      </c>
      <c r="J344" s="32">
        <f ca="1"/>
        <v>161.95326695804798</v>
      </c>
      <c r="K344" s="32">
        <f ca="1"/>
        <v>171.26685994067853</v>
      </c>
      <c r="M344" s="4" t="str">
        <f t="shared" ref="M344:M351" si="19">EMIT_NAME</f>
        <v>Mtonne</v>
      </c>
    </row>
    <row r="345" spans="1:13" s="7" customFormat="1" x14ac:dyDescent="0.25">
      <c r="A345" s="4" t="str">
        <v>US Lin</v>
      </c>
      <c r="B345" s="33">
        <f ca="1"/>
        <v>278.56331277145352</v>
      </c>
      <c r="C345" s="33">
        <f ca="1"/>
        <v>336.22624245028067</v>
      </c>
      <c r="D345" s="33">
        <f ca="1"/>
        <v>345.06163828336105</v>
      </c>
      <c r="E345" s="33">
        <f ca="1"/>
        <v>336.81988939803426</v>
      </c>
      <c r="F345" s="33">
        <f ca="1"/>
        <v>334.8601150990857</v>
      </c>
      <c r="G345" s="33">
        <f ca="1"/>
        <v>362.40002687469536</v>
      </c>
      <c r="H345" s="33">
        <f ca="1"/>
        <v>381.27139144474751</v>
      </c>
      <c r="I345" s="33">
        <f ca="1"/>
        <v>401.79064161991624</v>
      </c>
      <c r="J345" s="33">
        <f ca="1"/>
        <v>424.04138670160427</v>
      </c>
      <c r="K345" s="33">
        <f ca="1"/>
        <v>448.11473645288658</v>
      </c>
      <c r="M345" s="4" t="str">
        <f t="shared" si="19"/>
        <v>Mtonne</v>
      </c>
    </row>
    <row r="346" spans="1:13" s="7" customFormat="1" x14ac:dyDescent="0.25">
      <c r="A346" s="4" t="str">
        <v>OT Lin</v>
      </c>
      <c r="B346" s="33">
        <f ca="1"/>
        <v>99.306466212899835</v>
      </c>
      <c r="C346" s="33">
        <f ca="1"/>
        <v>119.89223533474586</v>
      </c>
      <c r="D346" s="33">
        <f ca="1"/>
        <v>123.07215477213595</v>
      </c>
      <c r="E346" s="33">
        <f ca="1"/>
        <v>120.16068296922806</v>
      </c>
      <c r="F346" s="33">
        <f ca="1"/>
        <v>119.52885087994157</v>
      </c>
      <c r="G346" s="33">
        <f ca="1"/>
        <v>129.42836420175655</v>
      </c>
      <c r="H346" s="33">
        <f ca="1"/>
        <v>136.30221715511092</v>
      </c>
      <c r="I346" s="33">
        <f ca="1"/>
        <v>143.76415590374347</v>
      </c>
      <c r="J346" s="33">
        <f ca="1"/>
        <v>151.8446751730234</v>
      </c>
      <c r="K346" s="33">
        <f ca="1"/>
        <v>160.57694422634003</v>
      </c>
      <c r="M346" s="4" t="str">
        <f t="shared" si="19"/>
        <v>Mtonne</v>
      </c>
    </row>
    <row r="347" spans="1:13" s="7" customFormat="1" x14ac:dyDescent="0.25">
      <c r="A347" s="4" t="str">
        <v>EE Lin</v>
      </c>
      <c r="B347" s="33">
        <f ca="1"/>
        <v>41.696867176828512</v>
      </c>
      <c r="C347" s="33">
        <f ca="1"/>
        <v>59.614756335525882</v>
      </c>
      <c r="D347" s="33">
        <f ca="1"/>
        <v>78.574466021088327</v>
      </c>
      <c r="E347" s="33">
        <f ca="1"/>
        <v>96.161273186999153</v>
      </c>
      <c r="F347" s="33">
        <f ca="1"/>
        <v>121.42596511871267</v>
      </c>
      <c r="G347" s="33">
        <f ca="1"/>
        <v>143.26348143532408</v>
      </c>
      <c r="H347" s="33">
        <f ca="1"/>
        <v>151.42788701684148</v>
      </c>
      <c r="I347" s="33">
        <f ca="1"/>
        <v>160.24140182236431</v>
      </c>
      <c r="J347" s="33">
        <f ca="1"/>
        <v>169.740409360857</v>
      </c>
      <c r="K347" s="33">
        <f ca="1"/>
        <v>179.96423618899584</v>
      </c>
      <c r="M347" s="4" t="str">
        <f t="shared" si="19"/>
        <v>Mtonne</v>
      </c>
    </row>
    <row r="348" spans="1:13" s="7" customFormat="1" x14ac:dyDescent="0.25">
      <c r="A348" s="4" t="str">
        <v>CA Lin</v>
      </c>
      <c r="B348" s="33">
        <f ca="1"/>
        <v>127.67160261048168</v>
      </c>
      <c r="C348" s="33">
        <f ca="1"/>
        <v>169.13189325782889</v>
      </c>
      <c r="D348" s="33">
        <f ca="1"/>
        <v>232.4832909669471</v>
      </c>
      <c r="E348" s="33">
        <f ca="1"/>
        <v>272.90743207009126</v>
      </c>
      <c r="F348" s="33">
        <f ca="1"/>
        <v>361.89415154845108</v>
      </c>
      <c r="G348" s="33">
        <f ca="1"/>
        <v>416.5769328086426</v>
      </c>
      <c r="H348" s="33">
        <f ca="1"/>
        <v>440.31712815556142</v>
      </c>
      <c r="I348" s="33">
        <f ca="1"/>
        <v>465.9447823781469</v>
      </c>
      <c r="J348" s="33">
        <f ca="1"/>
        <v>493.56569027083879</v>
      </c>
      <c r="K348" s="33">
        <f ca="1"/>
        <v>523.29420432733605</v>
      </c>
      <c r="M348" s="4" t="str">
        <f t="shared" si="19"/>
        <v>Mtonne</v>
      </c>
    </row>
    <row r="349" spans="1:13" s="7" customFormat="1" x14ac:dyDescent="0.25">
      <c r="A349" s="4" t="str">
        <v>IA Lin</v>
      </c>
      <c r="B349" s="33">
        <f ca="1"/>
        <v>89.182974992982253</v>
      </c>
      <c r="C349" s="33">
        <f ca="1"/>
        <v>118.14440406883674</v>
      </c>
      <c r="D349" s="33">
        <f ca="1"/>
        <v>162.39751910883638</v>
      </c>
      <c r="E349" s="33">
        <f ca="1"/>
        <v>190.63516233881577</v>
      </c>
      <c r="F349" s="33">
        <f ca="1"/>
        <v>252.79542519819773</v>
      </c>
      <c r="G349" s="33">
        <f ca="1"/>
        <v>290.9932155756955</v>
      </c>
      <c r="H349" s="33">
        <f ca="1"/>
        <v>307.57655286184433</v>
      </c>
      <c r="I349" s="33">
        <f ca="1"/>
        <v>325.47834463800547</v>
      </c>
      <c r="J349" s="33">
        <f ca="1"/>
        <v>344.77249218147159</v>
      </c>
      <c r="K349" s="33">
        <f ca="1"/>
        <v>365.5388746147525</v>
      </c>
      <c r="M349" s="4" t="str">
        <f t="shared" si="19"/>
        <v>Mtonne</v>
      </c>
    </row>
    <row r="350" spans="1:13" s="7" customFormat="1" x14ac:dyDescent="0.25">
      <c r="A350" s="4" t="str">
        <v>AF Lin</v>
      </c>
      <c r="B350" s="33">
        <f ca="1"/>
        <v>59.236680105752399</v>
      </c>
      <c r="C350" s="33">
        <f ca="1"/>
        <v>76.693473557884531</v>
      </c>
      <c r="D350" s="33">
        <f ca="1"/>
        <v>92.606538400500256</v>
      </c>
      <c r="E350" s="33">
        <f ca="1"/>
        <v>113.79772709397463</v>
      </c>
      <c r="F350" s="33">
        <f ca="1"/>
        <v>172.4999029809895</v>
      </c>
      <c r="G350" s="33">
        <f ca="1"/>
        <v>209.90063946722233</v>
      </c>
      <c r="H350" s="33">
        <f ca="1"/>
        <v>221.86261285542255</v>
      </c>
      <c r="I350" s="33">
        <f ca="1"/>
        <v>234.77562023943088</v>
      </c>
      <c r="J350" s="33">
        <f ca="1"/>
        <v>248.69296844748555</v>
      </c>
      <c r="K350" s="33">
        <f ca="1"/>
        <v>263.67227627616819</v>
      </c>
      <c r="M350" s="4" t="str">
        <f t="shared" si="19"/>
        <v>Mtonne</v>
      </c>
    </row>
    <row r="351" spans="1:13" s="7" customFormat="1" ht="13" thickBot="1" x14ac:dyDescent="0.3">
      <c r="A351" s="4" t="str">
        <v>LA Lin</v>
      </c>
      <c r="B351" s="34">
        <f ca="1"/>
        <v>44.896701551251603</v>
      </c>
      <c r="C351" s="34">
        <f ca="1"/>
        <v>55.834550345311285</v>
      </c>
      <c r="D351" s="34">
        <f ca="1"/>
        <v>73.880297440289581</v>
      </c>
      <c r="E351" s="34">
        <f ca="1"/>
        <v>87.483790543394718</v>
      </c>
      <c r="F351" s="34">
        <f ca="1"/>
        <v>130.66141515466987</v>
      </c>
      <c r="G351" s="34">
        <f ca="1"/>
        <v>156.27120476791868</v>
      </c>
      <c r="H351" s="34">
        <f ca="1"/>
        <v>165.17690413844267</v>
      </c>
      <c r="I351" s="34">
        <f ca="1"/>
        <v>174.79064912844365</v>
      </c>
      <c r="J351" s="34">
        <f ca="1"/>
        <v>185.15212671692407</v>
      </c>
      <c r="K351" s="34">
        <f ca="1"/>
        <v>196.30423414698885</v>
      </c>
      <c r="M351" s="4" t="str">
        <f t="shared" si="19"/>
        <v>Mtonne</v>
      </c>
    </row>
    <row r="352" spans="1:13" s="2" customFormat="1" ht="15.5" thickTop="1" x14ac:dyDescent="0.4">
      <c r="A352" s="2" t="s">
        <v>319</v>
      </c>
      <c r="B352" s="2" t="s">
        <v>320</v>
      </c>
    </row>
    <row r="353" spans="1:16" s="6" customFormat="1" x14ac:dyDescent="0.25">
      <c r="A353" s="4" t="str">
        <f t="array" ref="A353:A360">R_CODE&amp;" "&amp;'Base data'!$B$12</f>
        <v>EU CO2</v>
      </c>
      <c r="B353" s="12">
        <f t="array" ref="B353:K360" ca="1">CMAX_INIT_CO2*learnfac_co2*AUTOFAC</f>
        <v>146.24672936730209</v>
      </c>
      <c r="C353" s="12">
        <f ca="1"/>
        <v>133.06828792305834</v>
      </c>
      <c r="D353" s="12">
        <f ca="1"/>
        <v>112.67902683510847</v>
      </c>
      <c r="E353" s="12">
        <f ca="1"/>
        <v>93.120274470681125</v>
      </c>
      <c r="F353" s="12">
        <f ca="1"/>
        <v>67.473078146721491</v>
      </c>
      <c r="G353" s="12">
        <f ca="1"/>
        <v>47.952712933109474</v>
      </c>
      <c r="H353" s="12">
        <f ca="1"/>
        <v>31.04875443993112</v>
      </c>
      <c r="I353" s="12">
        <f ca="1"/>
        <v>20.92348928359651</v>
      </c>
      <c r="J353" s="12">
        <f ca="1"/>
        <v>14.778386161138085</v>
      </c>
      <c r="K353" s="12">
        <f ca="1"/>
        <v>10.695026739398209</v>
      </c>
      <c r="M353" s="4" t="str">
        <f t="shared" ref="M353:M360" si="20">CURRENCY_NAME&amp;" per "&amp;EMIT_NAME</f>
        <v>$M(2015) per Mtonne</v>
      </c>
      <c r="O353"/>
      <c r="P353"/>
    </row>
    <row r="354" spans="1:16" s="6" customFormat="1" x14ac:dyDescent="0.25">
      <c r="A354" s="4" t="str">
        <v>US CO2</v>
      </c>
      <c r="B354" s="14">
        <f ca="1"/>
        <v>146.24672936730209</v>
      </c>
      <c r="C354" s="14">
        <f ca="1"/>
        <v>132.47074438083817</v>
      </c>
      <c r="D354" s="14">
        <f ca="1"/>
        <v>111.01991835760036</v>
      </c>
      <c r="E354" s="14">
        <f ca="1"/>
        <v>91.078788001395324</v>
      </c>
      <c r="F354" s="14">
        <f ca="1"/>
        <v>65.666532126102425</v>
      </c>
      <c r="G354" s="14">
        <f ca="1"/>
        <v>46.597433096603517</v>
      </c>
      <c r="H354" s="14">
        <f ca="1"/>
        <v>30.180076158136238</v>
      </c>
      <c r="I354" s="14">
        <f ca="1"/>
        <v>20.340676985865368</v>
      </c>
      <c r="J354" s="14">
        <f ca="1"/>
        <v>14.367461645300871</v>
      </c>
      <c r="K354" s="14">
        <f ca="1"/>
        <v>10.397868111890672</v>
      </c>
      <c r="M354" s="4" t="str">
        <f t="shared" si="20"/>
        <v>$M(2015) per Mtonne</v>
      </c>
      <c r="O354"/>
      <c r="P354"/>
    </row>
    <row r="355" spans="1:16" s="6" customFormat="1" x14ac:dyDescent="0.25">
      <c r="A355" s="4" t="str">
        <v>OT CO2</v>
      </c>
      <c r="B355" s="14">
        <f ca="1"/>
        <v>180.3709662196726</v>
      </c>
      <c r="C355" s="14">
        <f ca="1"/>
        <v>164.94472868335609</v>
      </c>
      <c r="D355" s="14">
        <f ca="1"/>
        <v>141.37583302655412</v>
      </c>
      <c r="E355" s="14">
        <f ca="1"/>
        <v>117.90936407347697</v>
      </c>
      <c r="F355" s="14">
        <f ca="1"/>
        <v>85.989836582178498</v>
      </c>
      <c r="G355" s="14">
        <f ca="1"/>
        <v>61.237298093336705</v>
      </c>
      <c r="H355" s="14">
        <f ca="1"/>
        <v>39.634783652176438</v>
      </c>
      <c r="I355" s="14">
        <f ca="1"/>
        <v>26.705006349099403</v>
      </c>
      <c r="J355" s="14">
        <f ca="1"/>
        <v>18.860644515745136</v>
      </c>
      <c r="K355" s="14">
        <f ca="1"/>
        <v>13.648937471388194</v>
      </c>
      <c r="M355" s="4" t="str">
        <f t="shared" si="20"/>
        <v>$M(2015) per Mtonne</v>
      </c>
      <c r="O355"/>
      <c r="P355"/>
    </row>
    <row r="356" spans="1:16" s="6" customFormat="1" x14ac:dyDescent="0.25">
      <c r="A356" s="4" t="str">
        <v>EE CO2</v>
      </c>
      <c r="B356" s="14">
        <f ca="1"/>
        <v>102.37271055711149</v>
      </c>
      <c r="C356" s="14">
        <f ca="1"/>
        <v>92.743324973788305</v>
      </c>
      <c r="D356" s="14">
        <f ca="1"/>
        <v>78.454851794726721</v>
      </c>
      <c r="E356" s="14">
        <f ca="1"/>
        <v>64.830042616592806</v>
      </c>
      <c r="F356" s="14">
        <f ca="1"/>
        <v>46.898283778954507</v>
      </c>
      <c r="G356" s="14">
        <f ca="1"/>
        <v>33.101247187402372</v>
      </c>
      <c r="H356" s="14">
        <f ca="1"/>
        <v>21.067791540406972</v>
      </c>
      <c r="I356" s="14">
        <f ca="1"/>
        <v>14.088383313325826</v>
      </c>
      <c r="J356" s="14">
        <f ca="1"/>
        <v>9.9164332402691073</v>
      </c>
      <c r="K356" s="14">
        <f ca="1"/>
        <v>7.1626243386569097</v>
      </c>
      <c r="M356" s="4" t="str">
        <f t="shared" si="20"/>
        <v>$M(2015) per Mtonne</v>
      </c>
      <c r="O356"/>
      <c r="P356"/>
    </row>
    <row r="357" spans="1:16" s="6" customFormat="1" x14ac:dyDescent="0.25">
      <c r="A357" s="4" t="str">
        <v>CA CO2</v>
      </c>
      <c r="B357" s="14">
        <f ca="1"/>
        <v>146.24672936730209</v>
      </c>
      <c r="C357" s="14">
        <f ca="1"/>
        <v>132.55617092817863</v>
      </c>
      <c r="D357" s="14">
        <f ca="1"/>
        <v>110.37640400580837</v>
      </c>
      <c r="E357" s="14">
        <f ca="1"/>
        <v>88.754024187843555</v>
      </c>
      <c r="F357" s="14">
        <f ca="1"/>
        <v>62.408207954340959</v>
      </c>
      <c r="G357" s="14">
        <f ca="1"/>
        <v>43.269818189097379</v>
      </c>
      <c r="H357" s="14">
        <f ca="1"/>
        <v>27.671470154209416</v>
      </c>
      <c r="I357" s="14">
        <f ca="1"/>
        <v>18.543070545735105</v>
      </c>
      <c r="J357" s="14">
        <f ca="1"/>
        <v>13.064083319579105</v>
      </c>
      <c r="K357" s="14">
        <f ca="1"/>
        <v>9.4410714002452458</v>
      </c>
      <c r="M357" s="4" t="str">
        <f t="shared" si="20"/>
        <v>$M(2015) per Mtonne</v>
      </c>
      <c r="O357"/>
      <c r="P357"/>
    </row>
    <row r="358" spans="1:16" s="6" customFormat="1" x14ac:dyDescent="0.25">
      <c r="A358" s="4" t="str">
        <v>IA CO2</v>
      </c>
      <c r="B358" s="14">
        <f ca="1"/>
        <v>180.3709662196726</v>
      </c>
      <c r="C358" s="14">
        <f ca="1"/>
        <v>164.45096129059081</v>
      </c>
      <c r="D358" s="14">
        <f ca="1"/>
        <v>139.20921038011005</v>
      </c>
      <c r="E358" s="14">
        <f ca="1"/>
        <v>113.79900185104795</v>
      </c>
      <c r="F358" s="14">
        <f ca="1"/>
        <v>81.137280767557925</v>
      </c>
      <c r="G358" s="14">
        <f ca="1"/>
        <v>56.720500083868338</v>
      </c>
      <c r="H358" s="14">
        <f ca="1"/>
        <v>36.381352262307175</v>
      </c>
      <c r="I358" s="14">
        <f ca="1"/>
        <v>24.412100979478822</v>
      </c>
      <c r="J358" s="14">
        <f ca="1"/>
        <v>17.209247694851779</v>
      </c>
      <c r="K358" s="14">
        <f ca="1"/>
        <v>12.440879746723029</v>
      </c>
      <c r="M358" s="4" t="str">
        <f t="shared" si="20"/>
        <v>$M(2015) per Mtonne</v>
      </c>
      <c r="O358"/>
      <c r="P358"/>
    </row>
    <row r="359" spans="1:16" s="6" customFormat="1" x14ac:dyDescent="0.25">
      <c r="A359" s="4" t="str">
        <v>AF CO2</v>
      </c>
      <c r="B359" s="14">
        <f ca="1"/>
        <v>180.3709662196726</v>
      </c>
      <c r="C359" s="14">
        <f ca="1"/>
        <v>161.35769652159266</v>
      </c>
      <c r="D359" s="14">
        <f ca="1"/>
        <v>135.77374772594339</v>
      </c>
      <c r="E359" s="14">
        <f ca="1"/>
        <v>111.14646572561232</v>
      </c>
      <c r="F359" s="14">
        <f ca="1"/>
        <v>79.331046138457296</v>
      </c>
      <c r="G359" s="14">
        <f ca="1"/>
        <v>55.259323326024848</v>
      </c>
      <c r="H359" s="14">
        <f ca="1"/>
        <v>34.952684008222533</v>
      </c>
      <c r="I359" s="14">
        <f ca="1"/>
        <v>23.311982535475373</v>
      </c>
      <c r="J359" s="14">
        <f ca="1"/>
        <v>16.389986223109805</v>
      </c>
      <c r="K359" s="14">
        <f ca="1"/>
        <v>11.83111914007474</v>
      </c>
      <c r="M359" s="4" t="str">
        <f t="shared" si="20"/>
        <v>$M(2015) per Mtonne</v>
      </c>
      <c r="O359" s="4"/>
      <c r="P359" s="4"/>
    </row>
    <row r="360" spans="1:16" s="6" customFormat="1" ht="13" thickBot="1" x14ac:dyDescent="0.3">
      <c r="A360" s="4" t="str">
        <v>LA CO2</v>
      </c>
      <c r="B360" s="16">
        <f ca="1"/>
        <v>102.37271055711149</v>
      </c>
      <c r="C360" s="16">
        <f ca="1"/>
        <v>92.57738482169016</v>
      </c>
      <c r="D360" s="16">
        <f ca="1"/>
        <v>78.438893278908353</v>
      </c>
      <c r="E360" s="16">
        <f ca="1"/>
        <v>65.111647588209024</v>
      </c>
      <c r="F360" s="16">
        <f ca="1"/>
        <v>47.153245762779811</v>
      </c>
      <c r="G360" s="16">
        <f ca="1"/>
        <v>33.401884781025366</v>
      </c>
      <c r="H360" s="16">
        <f ca="1"/>
        <v>21.757251882959086</v>
      </c>
      <c r="I360" s="16">
        <f ca="1"/>
        <v>14.704760682571532</v>
      </c>
      <c r="J360" s="16">
        <f ca="1"/>
        <v>10.400550208287155</v>
      </c>
      <c r="K360" s="16">
        <f ca="1"/>
        <v>7.5331384021517618</v>
      </c>
      <c r="M360" s="4" t="str">
        <f t="shared" si="20"/>
        <v>$M(2015) per Mtonne</v>
      </c>
      <c r="O360" s="7"/>
    </row>
    <row r="361" spans="1:16" s="2" customFormat="1" ht="15.5" thickTop="1" x14ac:dyDescent="0.4">
      <c r="A361" s="2" t="s">
        <v>319</v>
      </c>
      <c r="B361" s="2" t="s">
        <v>321</v>
      </c>
    </row>
    <row r="362" spans="1:16" s="6" customFormat="1" x14ac:dyDescent="0.25">
      <c r="A362" s="4" t="str">
        <f t="array" ref="A362:A369">R_CODE&amp;" "&amp;'Base data'!$C$12</f>
        <v>EU CH4</v>
      </c>
      <c r="B362" s="12">
        <f t="array" ref="B362:K369" ca="1">CMAX_INIT_CH4*learnfac_ch4*AUTOFAC</f>
        <v>7101.0911926123354</v>
      </c>
      <c r="C362" s="12">
        <f ca="1"/>
        <v>6312.5637438139292</v>
      </c>
      <c r="D362" s="12">
        <f ca="1"/>
        <v>5560.3953219565901</v>
      </c>
      <c r="E362" s="12">
        <f ca="1"/>
        <v>4883.9407950710192</v>
      </c>
      <c r="F362" s="12">
        <f ca="1"/>
        <v>3779.9333776027088</v>
      </c>
      <c r="G362" s="12">
        <f ca="1"/>
        <v>2861.0339982788255</v>
      </c>
      <c r="H362" s="12">
        <f ca="1"/>
        <v>1891.9196457304417</v>
      </c>
      <c r="I362" s="12">
        <f ca="1"/>
        <v>1292.3605169967134</v>
      </c>
      <c r="J362" s="12">
        <f ca="1"/>
        <v>921.04055687521452</v>
      </c>
      <c r="K362" s="12">
        <f ca="1"/>
        <v>671.53831235545329</v>
      </c>
      <c r="M362" s="4" t="str">
        <f t="shared" ref="M362:M369" si="21">CURRENCY_NAME&amp;" per "&amp;EMIT_NAME</f>
        <v>$M(2015) per Mtonne</v>
      </c>
      <c r="O362"/>
      <c r="P362"/>
    </row>
    <row r="363" spans="1:16" s="6" customFormat="1" x14ac:dyDescent="0.25">
      <c r="A363" s="4" t="str">
        <v>US CH4</v>
      </c>
      <c r="B363" s="14">
        <f ca="1"/>
        <v>7101.0911926123354</v>
      </c>
      <c r="C363" s="14">
        <f ca="1"/>
        <v>6294.6533634070092</v>
      </c>
      <c r="D363" s="14">
        <f ca="1"/>
        <v>5532.2610431642197</v>
      </c>
      <c r="E363" s="14">
        <f ca="1"/>
        <v>4852.0388228278998</v>
      </c>
      <c r="F363" s="14">
        <f ca="1"/>
        <v>3749.8869389615825</v>
      </c>
      <c r="G363" s="14">
        <f ca="1"/>
        <v>2835.0867348040983</v>
      </c>
      <c r="H363" s="14">
        <f ca="1"/>
        <v>1873.0527366091542</v>
      </c>
      <c r="I363" s="14">
        <f ca="1"/>
        <v>1278.8704344390098</v>
      </c>
      <c r="J363" s="14">
        <f ca="1"/>
        <v>911.21508690957899</v>
      </c>
      <c r="K363" s="14">
        <f ca="1"/>
        <v>664.28072639566676</v>
      </c>
      <c r="M363" s="4" t="str">
        <f t="shared" si="21"/>
        <v>$M(2015) per Mtonne</v>
      </c>
      <c r="O363"/>
      <c r="P363"/>
    </row>
    <row r="364" spans="1:16" s="6" customFormat="1" x14ac:dyDescent="0.25">
      <c r="A364" s="4" t="str">
        <v>OT CH4</v>
      </c>
      <c r="B364" s="14">
        <f ca="1"/>
        <v>8758.0124708885469</v>
      </c>
      <c r="C364" s="14">
        <f ca="1"/>
        <v>7792.7344216905858</v>
      </c>
      <c r="D364" s="14">
        <f ca="1"/>
        <v>6869.261990024509</v>
      </c>
      <c r="E364" s="14">
        <f ca="1"/>
        <v>6036.5530050543139</v>
      </c>
      <c r="F364" s="14">
        <f ca="1"/>
        <v>4674.234390145677</v>
      </c>
      <c r="G364" s="14">
        <f ca="1"/>
        <v>3539.2779356803858</v>
      </c>
      <c r="H364" s="14">
        <f ca="1"/>
        <v>2341.1450131532092</v>
      </c>
      <c r="I364" s="14">
        <f ca="1"/>
        <v>1599.4795016313794</v>
      </c>
      <c r="J364" s="14">
        <f ca="1"/>
        <v>1140.0081980311322</v>
      </c>
      <c r="K364" s="14">
        <f ca="1"/>
        <v>831.22932645081528</v>
      </c>
      <c r="M364" s="4" t="str">
        <f t="shared" si="21"/>
        <v>$M(2015) per Mtonne</v>
      </c>
      <c r="O364"/>
      <c r="P364"/>
    </row>
    <row r="365" spans="1:16" s="6" customFormat="1" x14ac:dyDescent="0.25">
      <c r="A365" s="4" t="str">
        <v>EE CH4</v>
      </c>
      <c r="B365" s="14">
        <f ca="1"/>
        <v>4970.7638348286355</v>
      </c>
      <c r="C365" s="14">
        <f ca="1"/>
        <v>4357.1372112584413</v>
      </c>
      <c r="D365" s="14">
        <f ca="1"/>
        <v>3796.9804033643522</v>
      </c>
      <c r="E365" s="14">
        <f ca="1"/>
        <v>3301.8584491038873</v>
      </c>
      <c r="F365" s="14">
        <f ca="1"/>
        <v>2526.7163877781636</v>
      </c>
      <c r="G365" s="14">
        <f ca="1"/>
        <v>1903.2928955100288</v>
      </c>
      <c r="H365" s="14">
        <f ca="1"/>
        <v>1246.0113529556147</v>
      </c>
      <c r="I365" s="14">
        <f ca="1"/>
        <v>846.83397795698136</v>
      </c>
      <c r="J365" s="14">
        <f ca="1"/>
        <v>602.03132706931319</v>
      </c>
      <c r="K365" s="14">
        <f ca="1"/>
        <v>438.28979583654723</v>
      </c>
      <c r="M365" s="4" t="str">
        <f t="shared" si="21"/>
        <v>$M(2015) per Mtonne</v>
      </c>
      <c r="O365"/>
      <c r="P365"/>
    </row>
    <row r="366" spans="1:16" s="6" customFormat="1" x14ac:dyDescent="0.25">
      <c r="A366" s="4" t="str">
        <v>CA CH4</v>
      </c>
      <c r="B366" s="14">
        <f ca="1"/>
        <v>7101.0911926123354</v>
      </c>
      <c r="C366" s="14">
        <f ca="1"/>
        <v>6278.4022678451338</v>
      </c>
      <c r="D366" s="14">
        <f ca="1"/>
        <v>5480.9375616430289</v>
      </c>
      <c r="E366" s="14">
        <f ca="1"/>
        <v>4752.659465184729</v>
      </c>
      <c r="F366" s="14">
        <f ca="1"/>
        <v>3596.6640474718056</v>
      </c>
      <c r="G366" s="14">
        <f ca="1"/>
        <v>2664.0331825684502</v>
      </c>
      <c r="H366" s="14">
        <f ca="1"/>
        <v>1741.5510825385522</v>
      </c>
      <c r="I366" s="14">
        <f ca="1"/>
        <v>1183.0109185000863</v>
      </c>
      <c r="J366" s="14">
        <f ca="1"/>
        <v>840.94392542848698</v>
      </c>
      <c r="K366" s="14">
        <f ca="1"/>
        <v>612.26522325761471</v>
      </c>
      <c r="M366" s="4" t="str">
        <f t="shared" si="21"/>
        <v>$M(2015) per Mtonne</v>
      </c>
      <c r="O366"/>
      <c r="P366"/>
    </row>
    <row r="367" spans="1:16" s="6" customFormat="1" x14ac:dyDescent="0.25">
      <c r="A367" s="4" t="str">
        <v>IA CH4</v>
      </c>
      <c r="B367" s="14">
        <f ca="1"/>
        <v>8758.0124708885469</v>
      </c>
      <c r="C367" s="14">
        <f ca="1"/>
        <v>7706.905066479786</v>
      </c>
      <c r="D367" s="14">
        <f ca="1"/>
        <v>6696.8362120668435</v>
      </c>
      <c r="E367" s="14">
        <f ca="1"/>
        <v>5781.5763000038487</v>
      </c>
      <c r="F367" s="14">
        <f ca="1"/>
        <v>4349.7938709372629</v>
      </c>
      <c r="G367" s="14">
        <f ca="1"/>
        <v>3206.2260550763235</v>
      </c>
      <c r="H367" s="14">
        <f ca="1"/>
        <v>2090.40362092143</v>
      </c>
      <c r="I367" s="14">
        <f ca="1"/>
        <v>1418.1738845497507</v>
      </c>
      <c r="J367" s="14">
        <f ca="1"/>
        <v>1007.5173075499858</v>
      </c>
      <c r="K367" s="14">
        <f ca="1"/>
        <v>733.29752728027177</v>
      </c>
      <c r="M367" s="4" t="str">
        <f t="shared" si="21"/>
        <v>$M(2015) per Mtonne</v>
      </c>
      <c r="O367"/>
      <c r="P367"/>
    </row>
    <row r="368" spans="1:16" s="6" customFormat="1" x14ac:dyDescent="0.25">
      <c r="A368" s="4" t="str">
        <v>AF CH4</v>
      </c>
      <c r="B368" s="14">
        <f ca="1"/>
        <v>8758.0124708885469</v>
      </c>
      <c r="C368" s="14">
        <f ca="1"/>
        <v>7569.2589211015693</v>
      </c>
      <c r="D368" s="14">
        <f ca="1"/>
        <v>6465.4543595296091</v>
      </c>
      <c r="E368" s="14">
        <f ca="1"/>
        <v>5531.8835588697557</v>
      </c>
      <c r="F368" s="14">
        <f ca="1"/>
        <v>4153.2582533744862</v>
      </c>
      <c r="G368" s="14">
        <f ca="1"/>
        <v>3082.1480361827039</v>
      </c>
      <c r="H368" s="14">
        <f ca="1"/>
        <v>2019.556238719593</v>
      </c>
      <c r="I368" s="14">
        <f ca="1"/>
        <v>1373.3443835232454</v>
      </c>
      <c r="J368" s="14">
        <f ca="1"/>
        <v>976.70790336226185</v>
      </c>
      <c r="K368" s="14">
        <f ca="1"/>
        <v>711.28677728421735</v>
      </c>
      <c r="M368" s="4" t="str">
        <f t="shared" si="21"/>
        <v>$M(2015) per Mtonne</v>
      </c>
      <c r="O368" s="4"/>
      <c r="P368" s="4"/>
    </row>
    <row r="369" spans="1:16" s="6" customFormat="1" ht="13" thickBot="1" x14ac:dyDescent="0.3">
      <c r="A369" s="4" t="str">
        <v>LA CH4</v>
      </c>
      <c r="B369" s="16">
        <f ca="1"/>
        <v>4970.7638348286355</v>
      </c>
      <c r="C369" s="16">
        <f ca="1"/>
        <v>4326.3316319884416</v>
      </c>
      <c r="D369" s="16">
        <f ca="1"/>
        <v>3732.0524412028012</v>
      </c>
      <c r="E369" s="16">
        <f ca="1"/>
        <v>3227.2160382367947</v>
      </c>
      <c r="F369" s="16">
        <f ca="1"/>
        <v>2460.3005978286278</v>
      </c>
      <c r="G369" s="16">
        <f ca="1"/>
        <v>1859.3850874913899</v>
      </c>
      <c r="H369" s="16">
        <f ca="1"/>
        <v>1236.870770579513</v>
      </c>
      <c r="I369" s="16">
        <f ca="1"/>
        <v>847.69357157046647</v>
      </c>
      <c r="J369" s="16">
        <f ca="1"/>
        <v>605.22001604376305</v>
      </c>
      <c r="K369" s="16">
        <f ca="1"/>
        <v>441.81435613203234</v>
      </c>
      <c r="M369" s="4" t="str">
        <f t="shared" si="21"/>
        <v>$M(2015) per Mtonne</v>
      </c>
    </row>
    <row r="370" spans="1:16" s="2" customFormat="1" ht="15.5" thickTop="1" x14ac:dyDescent="0.4">
      <c r="A370" s="2" t="s">
        <v>319</v>
      </c>
      <c r="B370" s="2" t="s">
        <v>322</v>
      </c>
    </row>
    <row r="371" spans="1:16" s="7" customFormat="1" x14ac:dyDescent="0.25">
      <c r="A371" s="4" t="str">
        <f t="array" ref="A371:A378">R_CODE&amp;" "&amp;'Base data'!$D$12</f>
        <v>EU N2O</v>
      </c>
      <c r="B371" s="12">
        <f t="array" ref="B371:K378" ca="1">CMAX_INIT_N2O*learnfac_n2o*AUTOFAC</f>
        <v>30646.814620747973</v>
      </c>
      <c r="C371" s="12">
        <f ca="1"/>
        <v>27999.05804250206</v>
      </c>
      <c r="D371" s="12">
        <f ca="1"/>
        <v>25210.254361168743</v>
      </c>
      <c r="E371" s="12">
        <f ca="1"/>
        <v>22383.404234342041</v>
      </c>
      <c r="F371" s="12">
        <f ca="1"/>
        <v>17434.011107780851</v>
      </c>
      <c r="G371" s="12">
        <f ca="1"/>
        <v>13168.840209373582</v>
      </c>
      <c r="H371" s="12">
        <f ca="1"/>
        <v>8631.9084521939967</v>
      </c>
      <c r="I371" s="12">
        <f ca="1"/>
        <v>5837.0807254786241</v>
      </c>
      <c r="J371" s="12">
        <f ca="1"/>
        <v>4121.4450709264847</v>
      </c>
      <c r="K371" s="12">
        <f ca="1"/>
        <v>2977.3321879374148</v>
      </c>
      <c r="M371" s="4" t="str">
        <f t="shared" ref="M371:M378" si="22">CURRENCY_NAME&amp;" per "&amp;EMIT_NAME</f>
        <v>$M(2015) per Mtonne</v>
      </c>
      <c r="O371"/>
      <c r="P371"/>
    </row>
    <row r="372" spans="1:16" s="7" customFormat="1" x14ac:dyDescent="0.25">
      <c r="A372" s="4" t="str">
        <v>US N2O</v>
      </c>
      <c r="B372" s="14">
        <f ca="1"/>
        <v>30646.814620747973</v>
      </c>
      <c r="C372" s="14">
        <f ca="1"/>
        <v>28055.284923643274</v>
      </c>
      <c r="D372" s="14">
        <f ca="1"/>
        <v>25311.490350527558</v>
      </c>
      <c r="E372" s="14">
        <f ca="1"/>
        <v>22512.8543250945</v>
      </c>
      <c r="F372" s="14">
        <f ca="1"/>
        <v>17567.793194424623</v>
      </c>
      <c r="G372" s="14">
        <f ca="1"/>
        <v>13285.777137113975</v>
      </c>
      <c r="H372" s="14">
        <f ca="1"/>
        <v>8713.0358668673089</v>
      </c>
      <c r="I372" s="14">
        <f ca="1"/>
        <v>5893.4784116767532</v>
      </c>
      <c r="J372" s="14">
        <f ca="1"/>
        <v>4161.7881609463711</v>
      </c>
      <c r="K372" s="14">
        <f ca="1"/>
        <v>3006.6989844322788</v>
      </c>
      <c r="M372" s="4" t="str">
        <f t="shared" si="22"/>
        <v>$M(2015) per Mtonne</v>
      </c>
      <c r="O372"/>
      <c r="P372"/>
    </row>
    <row r="373" spans="1:16" s="7" customFormat="1" x14ac:dyDescent="0.25">
      <c r="A373" s="4" t="str">
        <v>OT N2O</v>
      </c>
      <c r="B373" s="14">
        <f ca="1"/>
        <v>37797.738032255838</v>
      </c>
      <c r="C373" s="14">
        <f ca="1"/>
        <v>34845.772960951384</v>
      </c>
      <c r="D373" s="14">
        <f ca="1"/>
        <v>31665.665996070667</v>
      </c>
      <c r="E373" s="14">
        <f ca="1"/>
        <v>28348.695645021817</v>
      </c>
      <c r="F373" s="14">
        <f ca="1"/>
        <v>22280.488076618851</v>
      </c>
      <c r="G373" s="14">
        <f ca="1"/>
        <v>16928.51831140841</v>
      </c>
      <c r="H373" s="14">
        <f ca="1"/>
        <v>11124.559332192526</v>
      </c>
      <c r="I373" s="14">
        <f ca="1"/>
        <v>7532.4293843054729</v>
      </c>
      <c r="J373" s="14">
        <f ca="1"/>
        <v>5321.821025533377</v>
      </c>
      <c r="K373" s="14">
        <f ca="1"/>
        <v>3845.9065270555793</v>
      </c>
      <c r="M373" s="4" t="str">
        <f t="shared" si="22"/>
        <v>$M(2015) per Mtonne</v>
      </c>
      <c r="O373"/>
      <c r="P373"/>
    </row>
    <row r="374" spans="1:16" s="7" customFormat="1" x14ac:dyDescent="0.25">
      <c r="A374" s="4" t="str">
        <v>EE N2O</v>
      </c>
      <c r="B374" s="14">
        <f ca="1"/>
        <v>21452.770234523585</v>
      </c>
      <c r="C374" s="14">
        <f ca="1"/>
        <v>19943.629343951994</v>
      </c>
      <c r="D374" s="14">
        <f ca="1"/>
        <v>18257.275519374729</v>
      </c>
      <c r="E374" s="14">
        <f ca="1"/>
        <v>16432.87436706556</v>
      </c>
      <c r="F374" s="14">
        <f ca="1"/>
        <v>12980.746359004397</v>
      </c>
      <c r="G374" s="14">
        <f ca="1"/>
        <v>9896.3652563958258</v>
      </c>
      <c r="H374" s="14">
        <f ca="1"/>
        <v>6477.5828345298296</v>
      </c>
      <c r="I374" s="14">
        <f ca="1"/>
        <v>4377.8096965311743</v>
      </c>
      <c r="J374" s="14">
        <f ca="1"/>
        <v>3090.6198382582547</v>
      </c>
      <c r="K374" s="14">
        <f ca="1"/>
        <v>2232.6841509396572</v>
      </c>
      <c r="M374" s="4" t="str">
        <f t="shared" si="22"/>
        <v>$M(2015) per Mtonne</v>
      </c>
      <c r="O374"/>
      <c r="P374"/>
    </row>
    <row r="375" spans="1:16" s="7" customFormat="1" x14ac:dyDescent="0.25">
      <c r="A375" s="4" t="str">
        <v>CA N2O</v>
      </c>
      <c r="B375" s="14">
        <f ca="1"/>
        <v>30646.814620747973</v>
      </c>
      <c r="C375" s="14">
        <f ca="1"/>
        <v>28490.899062788558</v>
      </c>
      <c r="D375" s="14">
        <f ca="1"/>
        <v>26069.058370116571</v>
      </c>
      <c r="E375" s="14">
        <f ca="1"/>
        <v>23142.623623847707</v>
      </c>
      <c r="F375" s="14">
        <f ca="1"/>
        <v>17634.209282007669</v>
      </c>
      <c r="G375" s="14">
        <f ca="1"/>
        <v>12981.880511357227</v>
      </c>
      <c r="H375" s="14">
        <f ca="1"/>
        <v>8258.118899491601</v>
      </c>
      <c r="I375" s="14">
        <f ca="1"/>
        <v>5507.1975068044958</v>
      </c>
      <c r="J375" s="14">
        <f ca="1"/>
        <v>3864.257898093364</v>
      </c>
      <c r="K375" s="14">
        <f ca="1"/>
        <v>2781.8579163590935</v>
      </c>
      <c r="M375" s="4" t="str">
        <f t="shared" si="22"/>
        <v>$M(2015) per Mtonne</v>
      </c>
      <c r="O375"/>
      <c r="P375"/>
    </row>
    <row r="376" spans="1:16" s="7" customFormat="1" x14ac:dyDescent="0.25">
      <c r="A376" s="4" t="str">
        <v>IA N2O</v>
      </c>
      <c r="B376" s="14">
        <f ca="1"/>
        <v>37797.738032255838</v>
      </c>
      <c r="C376" s="14">
        <f ca="1"/>
        <v>35138.775510772561</v>
      </c>
      <c r="D376" s="14">
        <f ca="1"/>
        <v>32192.214144357757</v>
      </c>
      <c r="E376" s="14">
        <f ca="1"/>
        <v>28857.665543596253</v>
      </c>
      <c r="F376" s="14">
        <f ca="1"/>
        <v>22488.862118914869</v>
      </c>
      <c r="G376" s="14">
        <f ca="1"/>
        <v>16888.770303896246</v>
      </c>
      <c r="H376" s="14">
        <f ca="1"/>
        <v>10932.52808676221</v>
      </c>
      <c r="I376" s="14">
        <f ca="1"/>
        <v>7348.4904879411488</v>
      </c>
      <c r="J376" s="14">
        <f ca="1"/>
        <v>5174.4561995058202</v>
      </c>
      <c r="K376" s="14">
        <f ca="1"/>
        <v>3732.3762456617219</v>
      </c>
      <c r="M376" s="4" t="str">
        <f t="shared" si="22"/>
        <v>$M(2015) per Mtonne</v>
      </c>
      <c r="O376"/>
      <c r="P376"/>
    </row>
    <row r="377" spans="1:16" s="7" customFormat="1" x14ac:dyDescent="0.25">
      <c r="A377" s="4" t="str">
        <v>AF N2O</v>
      </c>
      <c r="B377" s="14">
        <f ca="1"/>
        <v>37797.738032255838</v>
      </c>
      <c r="C377" s="14">
        <f ca="1"/>
        <v>34519.638652260553</v>
      </c>
      <c r="D377" s="14">
        <f ca="1"/>
        <v>30605.656541844732</v>
      </c>
      <c r="E377" s="14">
        <f ca="1"/>
        <v>26646.640179836319</v>
      </c>
      <c r="F377" s="14">
        <f ca="1"/>
        <v>20086.694334310912</v>
      </c>
      <c r="G377" s="14">
        <f ca="1"/>
        <v>14618.95827664647</v>
      </c>
      <c r="H377" s="14">
        <f ca="1"/>
        <v>9318.3481344934116</v>
      </c>
      <c r="I377" s="14">
        <f ca="1"/>
        <v>6217.1819719326131</v>
      </c>
      <c r="J377" s="14">
        <f ca="1"/>
        <v>4361.9870246829114</v>
      </c>
      <c r="K377" s="14">
        <f ca="1"/>
        <v>3139.1912796956881</v>
      </c>
      <c r="M377" s="4" t="str">
        <f t="shared" si="22"/>
        <v>$M(2015) per Mtonne</v>
      </c>
      <c r="O377" s="4"/>
      <c r="P377" s="4"/>
    </row>
    <row r="378" spans="1:16" s="7" customFormat="1" ht="13" thickBot="1" x14ac:dyDescent="0.3">
      <c r="A378" s="4" t="str">
        <v>LA N2O</v>
      </c>
      <c r="B378" s="16">
        <f ca="1"/>
        <v>21452.770234523585</v>
      </c>
      <c r="C378" s="16">
        <f ca="1"/>
        <v>19458.190676060694</v>
      </c>
      <c r="D378" s="16">
        <f ca="1"/>
        <v>17254.5231614289</v>
      </c>
      <c r="E378" s="16">
        <f ca="1"/>
        <v>15095.870017174904</v>
      </c>
      <c r="F378" s="16">
        <f ca="1"/>
        <v>11518.286697816831</v>
      </c>
      <c r="G378" s="16">
        <f ca="1"/>
        <v>8577.9530577808509</v>
      </c>
      <c r="H378" s="16">
        <f ca="1"/>
        <v>5620.3858330666762</v>
      </c>
      <c r="I378" s="16">
        <f ca="1"/>
        <v>3799.661479142756</v>
      </c>
      <c r="J378" s="16">
        <f ca="1"/>
        <v>2682.4421928802658</v>
      </c>
      <c r="K378" s="16">
        <f ca="1"/>
        <v>1937.5602338243114</v>
      </c>
      <c r="M378" s="4" t="str">
        <f t="shared" si="22"/>
        <v>$M(2015) per Mtonne</v>
      </c>
    </row>
    <row r="379" spans="1:16" s="2" customFormat="1" ht="15.5" thickTop="1" x14ac:dyDescent="0.4">
      <c r="A379" s="2" t="s">
        <v>319</v>
      </c>
      <c r="B379" s="2" t="s">
        <v>323</v>
      </c>
    </row>
    <row r="380" spans="1:16" s="7" customFormat="1" x14ac:dyDescent="0.25">
      <c r="A380" s="4" t="str">
        <f t="array" ref="A380:A387">R_CODE&amp;" "&amp;GLIN_NAME</f>
        <v>EU Lin</v>
      </c>
      <c r="B380" s="12">
        <f t="array" ref="B380:K387" ca="1">CMAX_INIT_GLIN*learnfac_glin*AUTOFAC</f>
        <v>373.74164171643872</v>
      </c>
      <c r="C380" s="12">
        <f ca="1"/>
        <v>297.99859976063334</v>
      </c>
      <c r="D380" s="12">
        <f ca="1"/>
        <v>235.2717221039135</v>
      </c>
      <c r="E380" s="12">
        <f ca="1"/>
        <v>193.25737009899362</v>
      </c>
      <c r="F380" s="12">
        <f ca="1"/>
        <v>141.97843531240702</v>
      </c>
      <c r="G380" s="12">
        <f ca="1"/>
        <v>105.44428523260865</v>
      </c>
      <c r="H380" s="12">
        <f ca="1"/>
        <v>69.192789486888159</v>
      </c>
      <c r="I380" s="12">
        <f ca="1"/>
        <v>46.717128084226658</v>
      </c>
      <c r="J380" s="12">
        <f ca="1"/>
        <v>32.909426547254846</v>
      </c>
      <c r="K380" s="12">
        <f ca="1"/>
        <v>23.711182531496373</v>
      </c>
      <c r="M380" s="4" t="str">
        <f t="shared" ref="M380:M387" si="23">CURRENCY_NAME&amp;" per "&amp;EMIT_NAME</f>
        <v>$M(2015) per Mtonne</v>
      </c>
      <c r="O380"/>
      <c r="P380"/>
    </row>
    <row r="381" spans="1:16" s="7" customFormat="1" x14ac:dyDescent="0.25">
      <c r="A381" s="4" t="str">
        <v>US Lin</v>
      </c>
      <c r="B381" s="14">
        <f ca="1"/>
        <v>373.74164171643872</v>
      </c>
      <c r="C381" s="14">
        <f ca="1"/>
        <v>280.15545085725535</v>
      </c>
      <c r="D381" s="14">
        <f ca="1"/>
        <v>214.25000484833001</v>
      </c>
      <c r="E381" s="14">
        <f ca="1"/>
        <v>174.24597268990746</v>
      </c>
      <c r="F381" s="14">
        <f ca="1"/>
        <v>127.41042312695376</v>
      </c>
      <c r="G381" s="14">
        <f ca="1"/>
        <v>94.933295557945968</v>
      </c>
      <c r="H381" s="14">
        <f ca="1"/>
        <v>62.493270696183785</v>
      </c>
      <c r="I381" s="14">
        <f ca="1"/>
        <v>42.263036903034546</v>
      </c>
      <c r="J381" s="14">
        <f ca="1"/>
        <v>29.795312924915123</v>
      </c>
      <c r="K381" s="14">
        <f ca="1"/>
        <v>21.477449876261844</v>
      </c>
      <c r="M381" s="4" t="str">
        <f t="shared" si="23"/>
        <v>$M(2015) per Mtonne</v>
      </c>
      <c r="O381"/>
      <c r="P381"/>
    </row>
    <row r="382" spans="1:16" s="7" customFormat="1" x14ac:dyDescent="0.25">
      <c r="A382" s="4" t="str">
        <v>OT Lin</v>
      </c>
      <c r="B382" s="14">
        <f ca="1"/>
        <v>460.94802478360776</v>
      </c>
      <c r="C382" s="14">
        <f ca="1"/>
        <v>368.51083759737003</v>
      </c>
      <c r="D382" s="14">
        <f ca="1"/>
        <v>291.40634058394716</v>
      </c>
      <c r="E382" s="14">
        <f ca="1"/>
        <v>239.49544239428758</v>
      </c>
      <c r="F382" s="14">
        <f ca="1"/>
        <v>175.99318908586105</v>
      </c>
      <c r="G382" s="14">
        <f ca="1"/>
        <v>130.68288762563625</v>
      </c>
      <c r="H382" s="14">
        <f ca="1"/>
        <v>85.739607666219243</v>
      </c>
      <c r="I382" s="14">
        <f ca="1"/>
        <v>57.883967568214608</v>
      </c>
      <c r="J382" s="14">
        <f ca="1"/>
        <v>40.774063691115877</v>
      </c>
      <c r="K382" s="14">
        <f ca="1"/>
        <v>29.376905700371207</v>
      </c>
      <c r="M382" s="4" t="str">
        <f t="shared" si="23"/>
        <v>$M(2015) per Mtonne</v>
      </c>
      <c r="O382"/>
      <c r="P382"/>
    </row>
    <row r="383" spans="1:16" s="7" customFormat="1" x14ac:dyDescent="0.25">
      <c r="A383" s="4" t="str">
        <v>EE Lin</v>
      </c>
      <c r="B383" s="14">
        <f ca="1"/>
        <v>261.61914920150713</v>
      </c>
      <c r="C383" s="14">
        <f ca="1"/>
        <v>213.17717173742065</v>
      </c>
      <c r="D383" s="14">
        <f ca="1"/>
        <v>170.18112754920895</v>
      </c>
      <c r="E383" s="14">
        <f ca="1"/>
        <v>139.55924179364544</v>
      </c>
      <c r="F383" s="14">
        <f ca="1"/>
        <v>101.81855681600412</v>
      </c>
      <c r="G383" s="14">
        <f ca="1"/>
        <v>74.725346512893793</v>
      </c>
      <c r="H383" s="14">
        <f ca="1"/>
        <v>48.588482809996222</v>
      </c>
      <c r="I383" s="14">
        <f ca="1"/>
        <v>32.655203298562284</v>
      </c>
      <c r="J383" s="14">
        <f ca="1"/>
        <v>22.953480408201901</v>
      </c>
      <c r="K383" s="14">
        <f ca="1"/>
        <v>16.516867874108851</v>
      </c>
      <c r="M383" s="4" t="str">
        <f t="shared" si="23"/>
        <v>$M(2015) per Mtonne</v>
      </c>
      <c r="O383"/>
      <c r="P383"/>
    </row>
    <row r="384" spans="1:16" s="7" customFormat="1" x14ac:dyDescent="0.25">
      <c r="A384" s="4" t="str">
        <v>CA Lin</v>
      </c>
      <c r="B384" s="14">
        <f ca="1"/>
        <v>373.74164171643872</v>
      </c>
      <c r="C384" s="14">
        <f ca="1"/>
        <v>292.25937931810114</v>
      </c>
      <c r="D384" s="14">
        <f ca="1"/>
        <v>227.79391800402112</v>
      </c>
      <c r="E384" s="14">
        <f ca="1"/>
        <v>183.46627243583796</v>
      </c>
      <c r="F384" s="14">
        <f ca="1"/>
        <v>132.06020050410146</v>
      </c>
      <c r="G384" s="14">
        <f ca="1"/>
        <v>95.766606348149821</v>
      </c>
      <c r="H384" s="14">
        <f ca="1"/>
        <v>61.909885917357954</v>
      </c>
      <c r="I384" s="14">
        <f ca="1"/>
        <v>41.49121677996559</v>
      </c>
      <c r="J384" s="14">
        <f ca="1"/>
        <v>29.1260327161886</v>
      </c>
      <c r="K384" s="14">
        <f ca="1"/>
        <v>20.942562144191108</v>
      </c>
      <c r="M384" s="4" t="str">
        <f t="shared" si="23"/>
        <v>$M(2015) per Mtonne</v>
      </c>
      <c r="O384"/>
      <c r="P384"/>
    </row>
    <row r="385" spans="1:16" s="7" customFormat="1" x14ac:dyDescent="0.25">
      <c r="A385" s="4" t="str">
        <v>IA Lin</v>
      </c>
      <c r="B385" s="14">
        <f ca="1"/>
        <v>460.94802478360776</v>
      </c>
      <c r="C385" s="14">
        <f ca="1"/>
        <v>367.08991974089577</v>
      </c>
      <c r="D385" s="14">
        <f ca="1"/>
        <v>289.21515270862909</v>
      </c>
      <c r="E385" s="14">
        <f ca="1"/>
        <v>234.55805656779594</v>
      </c>
      <c r="F385" s="14">
        <f ca="1"/>
        <v>169.76370600819192</v>
      </c>
      <c r="G385" s="14">
        <f ca="1"/>
        <v>123.60552413218878</v>
      </c>
      <c r="H385" s="14">
        <f ca="1"/>
        <v>80.082245262769376</v>
      </c>
      <c r="I385" s="14">
        <f ca="1"/>
        <v>53.726785616733451</v>
      </c>
      <c r="J385" s="14">
        <f ca="1"/>
        <v>37.733685258283586</v>
      </c>
      <c r="K385" s="14">
        <f ca="1"/>
        <v>27.139442438520334</v>
      </c>
      <c r="M385" s="4" t="str">
        <f t="shared" si="23"/>
        <v>$M(2015) per Mtonne</v>
      </c>
      <c r="O385"/>
      <c r="P385"/>
    </row>
    <row r="386" spans="1:16" s="7" customFormat="1" x14ac:dyDescent="0.25">
      <c r="A386" s="4" t="str">
        <v>AF Lin</v>
      </c>
      <c r="B386" s="14">
        <f ca="1"/>
        <v>460.94802478360776</v>
      </c>
      <c r="C386" s="14">
        <f ca="1"/>
        <v>371.91263219040121</v>
      </c>
      <c r="D386" s="14">
        <f ca="1"/>
        <v>296.14743531001261</v>
      </c>
      <c r="E386" s="14">
        <f ca="1"/>
        <v>243.06086425368812</v>
      </c>
      <c r="F386" s="14">
        <f ca="1"/>
        <v>177.24787607698701</v>
      </c>
      <c r="G386" s="14">
        <f ca="1"/>
        <v>129.02031632037418</v>
      </c>
      <c r="H386" s="14">
        <f ca="1"/>
        <v>83.378411863135199</v>
      </c>
      <c r="I386" s="14">
        <f ca="1"/>
        <v>55.869890487961854</v>
      </c>
      <c r="J386" s="14">
        <f ca="1"/>
        <v>39.216570048703311</v>
      </c>
      <c r="K386" s="14">
        <f ca="1"/>
        <v>28.196735123307299</v>
      </c>
      <c r="M386" s="4" t="str">
        <f t="shared" si="23"/>
        <v>$M(2015) per Mtonne</v>
      </c>
      <c r="O386" s="4"/>
      <c r="P386" s="4"/>
    </row>
    <row r="387" spans="1:16" s="7" customFormat="1" ht="13" thickBot="1" x14ac:dyDescent="0.3">
      <c r="A387" s="4" t="str">
        <v>LA Lin</v>
      </c>
      <c r="B387" s="16">
        <f ca="1"/>
        <v>261.61914920150713</v>
      </c>
      <c r="C387" s="16">
        <f ca="1"/>
        <v>213.32497307365225</v>
      </c>
      <c r="D387" s="16">
        <f ca="1"/>
        <v>170.91598048123217</v>
      </c>
      <c r="E387" s="16">
        <f ca="1"/>
        <v>140.2849336907814</v>
      </c>
      <c r="F387" s="16">
        <f ca="1"/>
        <v>102.4643552615773</v>
      </c>
      <c r="G387" s="16">
        <f ca="1"/>
        <v>74.813127853895139</v>
      </c>
      <c r="H387" s="16">
        <f ca="1"/>
        <v>48.480704978746985</v>
      </c>
      <c r="I387" s="16">
        <f ca="1"/>
        <v>32.528829577306148</v>
      </c>
      <c r="J387" s="16">
        <f ca="1"/>
        <v>22.846923863005269</v>
      </c>
      <c r="K387" s="16">
        <f ca="1"/>
        <v>16.432799141712962</v>
      </c>
      <c r="M387" s="4" t="str">
        <f t="shared" si="23"/>
        <v>$M(2015) per Mtonne</v>
      </c>
    </row>
    <row r="388" spans="1:16" s="2" customFormat="1" ht="15.5" thickTop="1" x14ac:dyDescent="0.4">
      <c r="A388" s="2" t="s">
        <v>325</v>
      </c>
      <c r="B388" s="2" t="s">
        <v>326</v>
      </c>
    </row>
    <row r="389" spans="1:16" s="6" customFormat="1" x14ac:dyDescent="0.25">
      <c r="A389" s="4" t="str">
        <f t="array" ref="A389:A396">R_CODE&amp;" "&amp;'Base data'!$B$12</f>
        <v>EU CO2</v>
      </c>
      <c r="B389" s="32">
        <f t="array" aca="1" ref="B389:K396" ca="1">IF(Q0_CO2=0,0,-2*LN((1+CURVE_BELOW)/(1-CURVE_BELOW))/Q0_CO2)</f>
        <v>-4.5521873221178472E-3</v>
      </c>
      <c r="C389" s="32">
        <f ca="1"/>
        <v>-3.9580493410305076E-3</v>
      </c>
      <c r="D389" s="32">
        <f ca="1"/>
        <v>-3.6875498425287083E-3</v>
      </c>
      <c r="E389" s="32">
        <f ca="1"/>
        <v>-3.4313777166328626E-3</v>
      </c>
      <c r="F389" s="32">
        <f ca="1"/>
        <v>-3.0882826984627277E-3</v>
      </c>
      <c r="G389" s="32">
        <f ca="1"/>
        <v>-3.4216016125234007E-3</v>
      </c>
      <c r="H389" s="32">
        <f ca="1"/>
        <v>-3.8392040407411124E-3</v>
      </c>
      <c r="I389" s="32">
        <f ca="1"/>
        <v>-4.3157864017897988E-3</v>
      </c>
      <c r="J389" s="32">
        <f ca="1"/>
        <v>-4.861385608123164E-3</v>
      </c>
      <c r="K389" s="32">
        <f ca="1"/>
        <v>-5.4881597895074163E-3</v>
      </c>
      <c r="M389" s="4" t="str">
        <f t="shared" ref="M389:M396" si="24">"per "&amp;EMIT_NAME</f>
        <v>per Mtonne</v>
      </c>
    </row>
    <row r="390" spans="1:16" s="6" customFormat="1" x14ac:dyDescent="0.25">
      <c r="A390" s="4" t="str">
        <v>US CO2</v>
      </c>
      <c r="B390" s="33">
        <f ca="1"/>
        <v>-2.9904586110663899E-3</v>
      </c>
      <c r="C390" s="33">
        <f ca="1"/>
        <v>-2.6001528270597624E-3</v>
      </c>
      <c r="D390" s="33">
        <f ca="1"/>
        <v>-2.4224541742267538E-3</v>
      </c>
      <c r="E390" s="33">
        <f ca="1"/>
        <v>-2.2541675714153361E-3</v>
      </c>
      <c r="F390" s="33">
        <f ca="1"/>
        <v>-2.0287789002339579E-3</v>
      </c>
      <c r="G390" s="33">
        <f ca="1"/>
        <v>-2.2477453764026714E-3</v>
      </c>
      <c r="H390" s="33">
        <f ca="1"/>
        <v>-2.5220800399606046E-3</v>
      </c>
      <c r="I390" s="33">
        <f ca="1"/>
        <v>-2.835160263736927E-3</v>
      </c>
      <c r="J390" s="33">
        <f ca="1"/>
        <v>-3.1935795750080466E-3</v>
      </c>
      <c r="K390" s="33">
        <f ca="1"/>
        <v>-3.6053249877698867E-3</v>
      </c>
      <c r="M390" s="4" t="str">
        <f t="shared" si="24"/>
        <v>per Mtonne</v>
      </c>
    </row>
    <row r="391" spans="1:16" s="6" customFormat="1" x14ac:dyDescent="0.25">
      <c r="A391" s="4" t="str">
        <v>OT CO2</v>
      </c>
      <c r="B391" s="33">
        <f ca="1"/>
        <v>-8.2157866241363963E-3</v>
      </c>
      <c r="C391" s="33">
        <f ca="1"/>
        <v>-7.1434865335421906E-3</v>
      </c>
      <c r="D391" s="33">
        <f ca="1"/>
        <v>-6.6552891013256362E-3</v>
      </c>
      <c r="E391" s="33">
        <f ca="1"/>
        <v>-6.1929497078684025E-3</v>
      </c>
      <c r="F391" s="33">
        <f ca="1"/>
        <v>-5.5737318985760948E-3</v>
      </c>
      <c r="G391" s="33">
        <f ca="1"/>
        <v>-6.1753057974369401E-3</v>
      </c>
      <c r="H391" s="33">
        <f ca="1"/>
        <v>-6.9289945631184355E-3</v>
      </c>
      <c r="I391" s="33">
        <f ca="1"/>
        <v>-7.7891302979065883E-3</v>
      </c>
      <c r="J391" s="33">
        <f ca="1"/>
        <v>-8.773827619072111E-3</v>
      </c>
      <c r="K391" s="33">
        <f ca="1"/>
        <v>-9.9050295163998058E-3</v>
      </c>
      <c r="M391" s="4" t="str">
        <f t="shared" si="24"/>
        <v>per Mtonne</v>
      </c>
    </row>
    <row r="392" spans="1:16" s="6" customFormat="1" x14ac:dyDescent="0.25">
      <c r="A392" s="4" t="str">
        <v>EE CO2</v>
      </c>
      <c r="B392" s="33">
        <f ca="1"/>
        <v>-7.455275257653925E-3</v>
      </c>
      <c r="C392" s="33">
        <f ca="1"/>
        <v>-6.1712160877083035E-3</v>
      </c>
      <c r="D392" s="33">
        <f ca="1"/>
        <v>-5.088991843607389E-3</v>
      </c>
      <c r="E392" s="33">
        <f ca="1"/>
        <v>-4.2695485440073094E-3</v>
      </c>
      <c r="F392" s="33">
        <f ca="1"/>
        <v>-3.2947016256466423E-3</v>
      </c>
      <c r="G392" s="33">
        <f ca="1"/>
        <v>-2.6133144094080728E-3</v>
      </c>
      <c r="H392" s="33">
        <f ca="1"/>
        <v>-2.9322663408868229E-3</v>
      </c>
      <c r="I392" s="33">
        <f ca="1"/>
        <v>-3.2962653368072553E-3</v>
      </c>
      <c r="J392" s="33">
        <f ca="1"/>
        <v>-3.7129772831817095E-3</v>
      </c>
      <c r="K392" s="33">
        <f ca="1"/>
        <v>-4.1916881867718079E-3</v>
      </c>
      <c r="M392" s="4" t="str">
        <f t="shared" si="24"/>
        <v>per Mtonne</v>
      </c>
    </row>
    <row r="393" spans="1:16" s="6" customFormat="1" x14ac:dyDescent="0.25">
      <c r="A393" s="4" t="str">
        <v>CA CO2</v>
      </c>
      <c r="B393" s="33">
        <f ca="1"/>
        <v>-2.7526012232611352E-3</v>
      </c>
      <c r="C393" s="33">
        <f ca="1"/>
        <v>-2.5104312777107529E-3</v>
      </c>
      <c r="D393" s="33">
        <f ca="1"/>
        <v>-2.0932290241484084E-3</v>
      </c>
      <c r="E393" s="33">
        <f ca="1"/>
        <v>-1.7663488158492458E-3</v>
      </c>
      <c r="F393" s="33">
        <f ca="1"/>
        <v>-1.4403615706780931E-3</v>
      </c>
      <c r="G393" s="33">
        <f ca="1"/>
        <v>-1.4537527912285291E-3</v>
      </c>
      <c r="H393" s="33">
        <f ca="1"/>
        <v>-1.6311815992531968E-3</v>
      </c>
      <c r="I393" s="33">
        <f ca="1"/>
        <v>-1.8336695028972013E-3</v>
      </c>
      <c r="J393" s="33">
        <f ca="1"/>
        <v>-2.0654809347705485E-3</v>
      </c>
      <c r="K393" s="33">
        <f ca="1"/>
        <v>-2.3317815795686875E-3</v>
      </c>
      <c r="M393" s="4" t="str">
        <f t="shared" si="24"/>
        <v>per Mtonne</v>
      </c>
    </row>
    <row r="394" spans="1:16" s="6" customFormat="1" x14ac:dyDescent="0.25">
      <c r="A394" s="4" t="str">
        <v>IA CO2</v>
      </c>
      <c r="B394" s="33">
        <f ca="1"/>
        <v>-4.5255131939422322E-3</v>
      </c>
      <c r="C394" s="33">
        <f ca="1"/>
        <v>-4.1273649716341305E-3</v>
      </c>
      <c r="D394" s="33">
        <f ca="1"/>
        <v>-3.4414485784117366E-3</v>
      </c>
      <c r="E394" s="33">
        <f ca="1"/>
        <v>-2.9040293972403199E-3</v>
      </c>
      <c r="F394" s="33">
        <f ca="1"/>
        <v>-2.3680783242653815E-3</v>
      </c>
      <c r="G394" s="33">
        <f ca="1"/>
        <v>-2.3900946427832482E-3</v>
      </c>
      <c r="H394" s="33">
        <f ca="1"/>
        <v>-2.6818028658689656E-3</v>
      </c>
      <c r="I394" s="33">
        <f ca="1"/>
        <v>-3.0147103977740015E-3</v>
      </c>
      <c r="J394" s="33">
        <f ca="1"/>
        <v>-3.3958283325421171E-3</v>
      </c>
      <c r="K394" s="33">
        <f ca="1"/>
        <v>-3.8336495001726062E-3</v>
      </c>
      <c r="M394" s="4" t="str">
        <f t="shared" si="24"/>
        <v>per Mtonne</v>
      </c>
    </row>
    <row r="395" spans="1:16" s="6" customFormat="1" x14ac:dyDescent="0.25">
      <c r="A395" s="4" t="str">
        <v>AF CO2</v>
      </c>
      <c r="B395" s="33">
        <f ca="1"/>
        <v>-4.9940405147791429E-3</v>
      </c>
      <c r="C395" s="33">
        <f ca="1"/>
        <v>-4.0386524371376293E-3</v>
      </c>
      <c r="D395" s="33">
        <f ca="1"/>
        <v>-3.1355625789753348E-3</v>
      </c>
      <c r="E395" s="33">
        <f ca="1"/>
        <v>-2.4870869109955441E-3</v>
      </c>
      <c r="F395" s="33">
        <f ca="1"/>
        <v>-1.7509618121080606E-3</v>
      </c>
      <c r="G395" s="33">
        <f ca="1"/>
        <v>-1.536277704808653E-3</v>
      </c>
      <c r="H395" s="33">
        <f ca="1"/>
        <v>-1.7237785808886376E-3</v>
      </c>
      <c r="I395" s="33">
        <f ca="1"/>
        <v>-1.937761077595552E-3</v>
      </c>
      <c r="J395" s="33">
        <f ca="1"/>
        <v>-2.1827317057900746E-3</v>
      </c>
      <c r="K395" s="33">
        <f ca="1"/>
        <v>-2.4641493896273791E-3</v>
      </c>
      <c r="M395" s="4" t="str">
        <f t="shared" si="24"/>
        <v>per Mtonne</v>
      </c>
    </row>
    <row r="396" spans="1:16" s="6" customFormat="1" ht="13" thickBot="1" x14ac:dyDescent="0.3">
      <c r="A396" s="4" t="str">
        <v>LA CO2</v>
      </c>
      <c r="B396" s="34">
        <f ca="1"/>
        <v>-7.3113981354793623E-3</v>
      </c>
      <c r="C396" s="34">
        <f ca="1"/>
        <v>-6.4817197775277318E-3</v>
      </c>
      <c r="D396" s="34">
        <f ca="1"/>
        <v>-5.3658376681477524E-3</v>
      </c>
      <c r="E396" s="34">
        <f ca="1"/>
        <v>-4.3863702275848786E-3</v>
      </c>
      <c r="F396" s="34">
        <f ca="1"/>
        <v>-3.6165445086433828E-3</v>
      </c>
      <c r="G396" s="34">
        <f ca="1"/>
        <v>-5.2880059012373479E-3</v>
      </c>
      <c r="H396" s="34">
        <f ca="1"/>
        <v>-5.9334007644802692E-3</v>
      </c>
      <c r="I396" s="34">
        <f ca="1"/>
        <v>-6.669947745410779E-3</v>
      </c>
      <c r="J396" s="34">
        <f ca="1"/>
        <v>-7.5131586593410842E-3</v>
      </c>
      <c r="K396" s="34">
        <f ca="1"/>
        <v>-8.4818236137215557E-3</v>
      </c>
      <c r="M396" s="4" t="str">
        <f t="shared" si="24"/>
        <v>per Mtonne</v>
      </c>
    </row>
    <row r="397" spans="1:16" s="2" customFormat="1" ht="15.5" thickTop="1" x14ac:dyDescent="0.4">
      <c r="A397" s="2" t="s">
        <v>325</v>
      </c>
      <c r="B397" s="2" t="s">
        <v>327</v>
      </c>
    </row>
    <row r="398" spans="1:16" s="7" customFormat="1" x14ac:dyDescent="0.25">
      <c r="A398" s="4" t="str">
        <f t="array" ref="A398:A405">R_CODE&amp;" "&amp;'Base data'!$C$12</f>
        <v>EU CH4</v>
      </c>
      <c r="B398" s="29">
        <f t="array" aca="1" ref="B398:K405" ca="1">IF(Q0_CH4=0,0,-2*LN((1+CURVE_BELOW)/(1-CURVE_BELOW))/Q0_CH4)</f>
        <v>-0.9109594629865162</v>
      </c>
      <c r="C398" s="29">
        <f ca="1"/>
        <v>-0.87199304716175985</v>
      </c>
      <c r="D398" s="29">
        <f ca="1"/>
        <v>-0.83273264079816645</v>
      </c>
      <c r="E398" s="29">
        <f ca="1"/>
        <v>-0.789604854487583</v>
      </c>
      <c r="F398" s="29">
        <f ca="1"/>
        <v>-0.69622649597050201</v>
      </c>
      <c r="G398" s="29">
        <f ca="1"/>
        <v>-0.63928110297541985</v>
      </c>
      <c r="H398" s="29">
        <f ca="1"/>
        <v>-0.73041112107458961</v>
      </c>
      <c r="I398" s="29">
        <f ca="1"/>
        <v>-0.83776732891615791</v>
      </c>
      <c r="J398" s="29">
        <f ca="1"/>
        <v>-0.96514062857966987</v>
      </c>
      <c r="K398" s="29">
        <f ca="1"/>
        <v>-1.1175076350857107</v>
      </c>
      <c r="M398" s="4" t="str">
        <f t="shared" ref="M398:M405" si="25">"per "&amp;EMIT_NAME</f>
        <v>per Mtonne</v>
      </c>
    </row>
    <row r="399" spans="1:16" s="7" customFormat="1" x14ac:dyDescent="0.25">
      <c r="A399" s="4" t="str">
        <v>US CH4</v>
      </c>
      <c r="B399" s="26">
        <f ca="1"/>
        <v>-0.69161481613762266</v>
      </c>
      <c r="C399" s="26">
        <f ca="1"/>
        <v>-0.6620308976306144</v>
      </c>
      <c r="D399" s="26">
        <f ca="1"/>
        <v>-0.63222377686189701</v>
      </c>
      <c r="E399" s="26">
        <f ca="1"/>
        <v>-0.59948048013843092</v>
      </c>
      <c r="F399" s="26">
        <f ca="1"/>
        <v>-0.52858615510963447</v>
      </c>
      <c r="G399" s="26">
        <f ca="1"/>
        <v>-0.48535231309315235</v>
      </c>
      <c r="H399" s="26">
        <f ca="1"/>
        <v>-0.55453966255615306</v>
      </c>
      <c r="I399" s="26">
        <f ca="1"/>
        <v>-0.63604619162184606</v>
      </c>
      <c r="J399" s="26">
        <f ca="1"/>
        <v>-0.73275001303977683</v>
      </c>
      <c r="K399" s="26">
        <f ca="1"/>
        <v>-0.84842945155687277</v>
      </c>
      <c r="M399" s="4" t="str">
        <f t="shared" si="25"/>
        <v>per Mtonne</v>
      </c>
    </row>
    <row r="400" spans="1:16" s="7" customFormat="1" x14ac:dyDescent="0.25">
      <c r="A400" s="4" t="str">
        <v>OT CH4</v>
      </c>
      <c r="B400" s="26">
        <f ca="1"/>
        <v>-0.97972198150272882</v>
      </c>
      <c r="C400" s="26">
        <f ca="1"/>
        <v>-0.93781423952842458</v>
      </c>
      <c r="D400" s="26">
        <f ca="1"/>
        <v>-0.89559031554498025</v>
      </c>
      <c r="E400" s="26">
        <f ca="1"/>
        <v>-0.84920708777378284</v>
      </c>
      <c r="F400" s="26">
        <f ca="1"/>
        <v>-0.7487801926670562</v>
      </c>
      <c r="G400" s="26">
        <f ca="1"/>
        <v>-0.6875363552303303</v>
      </c>
      <c r="H400" s="26">
        <f ca="1"/>
        <v>-0.78554519704398595</v>
      </c>
      <c r="I400" s="26">
        <f ca="1"/>
        <v>-0.90100504015087601</v>
      </c>
      <c r="J400" s="26">
        <f ca="1"/>
        <v>-1.0379929376449757</v>
      </c>
      <c r="K400" s="26">
        <f ca="1"/>
        <v>-1.2018611574671203</v>
      </c>
      <c r="M400" s="4" t="str">
        <f t="shared" si="25"/>
        <v>per Mtonne</v>
      </c>
    </row>
    <row r="401" spans="1:13" s="7" customFormat="1" x14ac:dyDescent="0.25">
      <c r="A401" s="4" t="str">
        <v>EE CH4</v>
      </c>
      <c r="B401" s="26">
        <f ca="1"/>
        <v>-0.66463491563813282</v>
      </c>
      <c r="C401" s="26">
        <f ca="1"/>
        <v>-0.62818946883807703</v>
      </c>
      <c r="D401" s="26">
        <f ca="1"/>
        <v>-0.54105189679530696</v>
      </c>
      <c r="E401" s="26">
        <f ca="1"/>
        <v>-0.48680700027268198</v>
      </c>
      <c r="F401" s="26">
        <f ca="1"/>
        <v>-0.4521776572833035</v>
      </c>
      <c r="G401" s="26">
        <f ca="1"/>
        <v>-0.35788659160267683</v>
      </c>
      <c r="H401" s="26">
        <f ca="1"/>
        <v>-0.40890360339671389</v>
      </c>
      <c r="I401" s="26">
        <f ca="1"/>
        <v>-0.46900446846684046</v>
      </c>
      <c r="J401" s="26">
        <f ca="1"/>
        <v>-0.54031143478508858</v>
      </c>
      <c r="K401" s="26">
        <f ca="1"/>
        <v>-0.62561054401473615</v>
      </c>
      <c r="M401" s="4" t="str">
        <f t="shared" si="25"/>
        <v>per Mtonne</v>
      </c>
    </row>
    <row r="402" spans="1:13" s="7" customFormat="1" x14ac:dyDescent="0.25">
      <c r="A402" s="4" t="str">
        <v>CA CH4</v>
      </c>
      <c r="B402" s="26">
        <f ca="1"/>
        <v>-0.47204726052408158</v>
      </c>
      <c r="C402" s="26">
        <f ca="1"/>
        <v>-0.44178760961043129</v>
      </c>
      <c r="D402" s="26">
        <f ca="1"/>
        <v>-0.38508842822356909</v>
      </c>
      <c r="E402" s="26">
        <f ca="1"/>
        <v>-0.33131463303705067</v>
      </c>
      <c r="F402" s="26">
        <f ca="1"/>
        <v>-0.28092879047959951</v>
      </c>
      <c r="G402" s="26">
        <f ca="1"/>
        <v>-0.27428065868534374</v>
      </c>
      <c r="H402" s="26">
        <f ca="1"/>
        <v>-0.31337957976077013</v>
      </c>
      <c r="I402" s="26">
        <f ca="1"/>
        <v>-0.35944027397446754</v>
      </c>
      <c r="J402" s="26">
        <f ca="1"/>
        <v>-0.41408921067544346</v>
      </c>
      <c r="K402" s="26">
        <f ca="1"/>
        <v>-0.47946158397395133</v>
      </c>
      <c r="M402" s="4" t="str">
        <f t="shared" si="25"/>
        <v>per Mtonne</v>
      </c>
    </row>
    <row r="403" spans="1:13" s="7" customFormat="1" x14ac:dyDescent="0.25">
      <c r="A403" s="4" t="str">
        <v>IA CH4</v>
      </c>
      <c r="B403" s="26">
        <f ca="1"/>
        <v>-0.37505124808762652</v>
      </c>
      <c r="C403" s="26">
        <f ca="1"/>
        <v>-0.35100933366308235</v>
      </c>
      <c r="D403" s="26">
        <f ca="1"/>
        <v>-0.30596066899954805</v>
      </c>
      <c r="E403" s="26">
        <f ca="1"/>
        <v>-0.26323628378286218</v>
      </c>
      <c r="F403" s="26">
        <f ca="1"/>
        <v>-0.2232036965454352</v>
      </c>
      <c r="G403" s="26">
        <f ca="1"/>
        <v>-0.21792161922945119</v>
      </c>
      <c r="H403" s="26">
        <f ca="1"/>
        <v>-0.2489865154263653</v>
      </c>
      <c r="I403" s="26">
        <f ca="1"/>
        <v>-0.28558268343176874</v>
      </c>
      <c r="J403" s="26">
        <f ca="1"/>
        <v>-0.32900238656405101</v>
      </c>
      <c r="K403" s="26">
        <f ca="1"/>
        <v>-0.38094208041765998</v>
      </c>
      <c r="M403" s="4" t="str">
        <f t="shared" si="25"/>
        <v>per Mtonne</v>
      </c>
    </row>
    <row r="404" spans="1:13" s="7" customFormat="1" x14ac:dyDescent="0.25">
      <c r="A404" s="4" t="str">
        <v>AF CH4</v>
      </c>
      <c r="B404" s="26">
        <f ca="1"/>
        <v>-0.34625003815113492</v>
      </c>
      <c r="C404" s="26">
        <f ca="1"/>
        <v>-0.27661096456681034</v>
      </c>
      <c r="D404" s="26">
        <f ca="1"/>
        <v>-0.22613590013534307</v>
      </c>
      <c r="E404" s="26">
        <f ca="1"/>
        <v>-0.19862251761754424</v>
      </c>
      <c r="F404" s="26">
        <f ca="1"/>
        <v>-0.1868258706480084</v>
      </c>
      <c r="G404" s="26">
        <f ca="1"/>
        <v>-0.18373488140085223</v>
      </c>
      <c r="H404" s="26">
        <f ca="1"/>
        <v>-0.20992643154925733</v>
      </c>
      <c r="I404" s="26">
        <f ca="1"/>
        <v>-0.24078152803749844</v>
      </c>
      <c r="J404" s="26">
        <f ca="1"/>
        <v>-0.2773897086929033</v>
      </c>
      <c r="K404" s="26">
        <f ca="1"/>
        <v>-0.32118129542914803</v>
      </c>
      <c r="M404" s="4" t="str">
        <f t="shared" si="25"/>
        <v>per Mtonne</v>
      </c>
    </row>
    <row r="405" spans="1:13" s="7" customFormat="1" ht="13" thickBot="1" x14ac:dyDescent="0.3">
      <c r="A405" s="4" t="str">
        <v>LA CH4</v>
      </c>
      <c r="B405" s="35">
        <f ca="1"/>
        <v>-0.4332366745798476</v>
      </c>
      <c r="C405" s="35">
        <f ca="1"/>
        <v>-0.3753772025516966</v>
      </c>
      <c r="D405" s="35">
        <f ca="1"/>
        <v>-0.33791860403398993</v>
      </c>
      <c r="E405" s="35">
        <f ca="1"/>
        <v>-0.31745531042879344</v>
      </c>
      <c r="F405" s="35">
        <f ca="1"/>
        <v>-0.33483674774972672</v>
      </c>
      <c r="G405" s="35">
        <f ca="1"/>
        <v>-0.36836109670978157</v>
      </c>
      <c r="H405" s="35">
        <f ca="1"/>
        <v>-0.42087125734796188</v>
      </c>
      <c r="I405" s="35">
        <f ca="1"/>
        <v>-0.48273113444281768</v>
      </c>
      <c r="J405" s="35">
        <f ca="1"/>
        <v>-0.55612508921047343</v>
      </c>
      <c r="K405" s="35">
        <f ca="1"/>
        <v>-0.6439207042501216</v>
      </c>
      <c r="M405" s="4" t="str">
        <f t="shared" si="25"/>
        <v>per Mtonne</v>
      </c>
    </row>
    <row r="406" spans="1:13" s="2" customFormat="1" ht="15.5" thickTop="1" x14ac:dyDescent="0.4">
      <c r="A406" s="2" t="s">
        <v>325</v>
      </c>
      <c r="B406" s="2" t="s">
        <v>328</v>
      </c>
    </row>
    <row r="407" spans="1:13" s="7" customFormat="1" x14ac:dyDescent="0.25">
      <c r="A407" s="4" t="str">
        <f t="array" ref="A407:A414">R_CODE&amp;" "&amp;'Base data'!$D$12</f>
        <v>EU N2O</v>
      </c>
      <c r="B407" s="29">
        <f t="array" aca="1" ref="B407:K414" ca="1">IF(Q0_N2O=0,0,-2*LN((1+CURVE_BELOW)/(1-CURVE_BELOW))/Q0_N2O)</f>
        <v>-14.925082173610983</v>
      </c>
      <c r="C407" s="29">
        <f ca="1"/>
        <v>-14.207008661531118</v>
      </c>
      <c r="D407" s="29">
        <f ca="1"/>
        <v>-13.373733076768724</v>
      </c>
      <c r="E407" s="29">
        <f ca="1"/>
        <v>-13.200912074281913</v>
      </c>
      <c r="F407" s="29">
        <f ca="1"/>
        <v>-13.268940074040286</v>
      </c>
      <c r="G407" s="29">
        <f ca="1"/>
        <v>-13.615942967414195</v>
      </c>
      <c r="H407" s="29">
        <f ca="1"/>
        <v>-14.832717849620938</v>
      </c>
      <c r="I407" s="29">
        <f ca="1"/>
        <v>-16.160835928971061</v>
      </c>
      <c r="J407" s="29">
        <f ca="1"/>
        <v>-17.610788247964656</v>
      </c>
      <c r="K407" s="29">
        <f ca="1"/>
        <v>-19.194090747308266</v>
      </c>
      <c r="M407" s="4" t="str">
        <f t="shared" ref="M407:M414" si="26">"per "&amp;EMIT_NAME</f>
        <v>per Mtonne</v>
      </c>
    </row>
    <row r="408" spans="1:13" s="7" customFormat="1" x14ac:dyDescent="0.25">
      <c r="A408" s="4" t="str">
        <v>US N2O</v>
      </c>
      <c r="B408" s="26">
        <f ca="1"/>
        <v>-15.619838340466124</v>
      </c>
      <c r="C408" s="26">
        <f ca="1"/>
        <v>-14.868338814715466</v>
      </c>
      <c r="D408" s="26">
        <f ca="1"/>
        <v>-13.996274609262789</v>
      </c>
      <c r="E408" s="26">
        <f ca="1"/>
        <v>-13.815408863313719</v>
      </c>
      <c r="F408" s="26">
        <f ca="1"/>
        <v>-13.886603537251917</v>
      </c>
      <c r="G408" s="26">
        <f ca="1"/>
        <v>-14.249759266321055</v>
      </c>
      <c r="H408" s="26">
        <f ca="1"/>
        <v>-15.523174496852462</v>
      </c>
      <c r="I408" s="26">
        <f ca="1"/>
        <v>-16.913115902547265</v>
      </c>
      <c r="J408" s="26">
        <f ca="1"/>
        <v>-18.430562879429434</v>
      </c>
      <c r="K408" s="26">
        <f ca="1"/>
        <v>-20.08756743030084</v>
      </c>
      <c r="M408" s="4" t="str">
        <f t="shared" si="26"/>
        <v>per Mtonne</v>
      </c>
    </row>
    <row r="409" spans="1:13" s="7" customFormat="1" x14ac:dyDescent="0.25">
      <c r="A409" s="4" t="str">
        <v>OT N2O</v>
      </c>
      <c r="B409" s="26">
        <f ca="1"/>
        <v>-31.480969870704929</v>
      </c>
      <c r="C409" s="26">
        <f ca="1"/>
        <v>-29.96636175426142</v>
      </c>
      <c r="D409" s="26">
        <f ca="1"/>
        <v>-28.208761811241992</v>
      </c>
      <c r="E409" s="26">
        <f ca="1"/>
        <v>-27.844236329303147</v>
      </c>
      <c r="F409" s="26">
        <f ca="1"/>
        <v>-27.987725483054287</v>
      </c>
      <c r="G409" s="26">
        <f ca="1"/>
        <v>-28.719646922700779</v>
      </c>
      <c r="H409" s="26">
        <f ca="1"/>
        <v>-31.286148933249734</v>
      </c>
      <c r="I409" s="26">
        <f ca="1"/>
        <v>-34.087503375015203</v>
      </c>
      <c r="J409" s="26">
        <f ca="1"/>
        <v>-37.145838648297826</v>
      </c>
      <c r="K409" s="26">
        <f ca="1"/>
        <v>-40.485444936441212</v>
      </c>
      <c r="M409" s="4" t="str">
        <f t="shared" si="26"/>
        <v>per Mtonne</v>
      </c>
    </row>
    <row r="410" spans="1:13" s="7" customFormat="1" x14ac:dyDescent="0.25">
      <c r="A410" s="4" t="str">
        <v>EE N2O</v>
      </c>
      <c r="B410" s="26">
        <f ca="1"/>
        <v>-55.64703324131645</v>
      </c>
      <c r="C410" s="26">
        <f ca="1"/>
        <v>-51.161895092657922</v>
      </c>
      <c r="D410" s="26">
        <f ca="1"/>
        <v>-48.244081114330761</v>
      </c>
      <c r="E410" s="26">
        <f ca="1"/>
        <v>-47.376808025593967</v>
      </c>
      <c r="F410" s="26">
        <f ca="1"/>
        <v>-46.449991448735886</v>
      </c>
      <c r="G410" s="26">
        <f ca="1"/>
        <v>-39.300546442660924</v>
      </c>
      <c r="H410" s="26">
        <f ca="1"/>
        <v>-42.812599767419435</v>
      </c>
      <c r="I410" s="26">
        <f ca="1"/>
        <v>-46.646029914986336</v>
      </c>
      <c r="J410" s="26">
        <f ca="1"/>
        <v>-50.831117836449167</v>
      </c>
      <c r="K410" s="26">
        <f ca="1"/>
        <v>-55.401102710589072</v>
      </c>
      <c r="M410" s="4" t="str">
        <f t="shared" si="26"/>
        <v>per Mtonne</v>
      </c>
    </row>
    <row r="411" spans="1:13" s="7" customFormat="1" x14ac:dyDescent="0.25">
      <c r="A411" s="4" t="str">
        <v>CA N2O</v>
      </c>
      <c r="B411" s="26">
        <f ca="1"/>
        <v>-10.935819135654372</v>
      </c>
      <c r="C411" s="26">
        <f ca="1"/>
        <v>-9.9234443025993233</v>
      </c>
      <c r="D411" s="26">
        <f ca="1"/>
        <v>-9.0443798878529709</v>
      </c>
      <c r="E411" s="26">
        <f ca="1"/>
        <v>-8.647310106933169</v>
      </c>
      <c r="F411" s="26">
        <f ca="1"/>
        <v>-8.2245931286071734</v>
      </c>
      <c r="G411" s="26">
        <f ca="1"/>
        <v>-7.4026563876798068</v>
      </c>
      <c r="H411" s="26">
        <f ca="1"/>
        <v>-8.0641872398354444</v>
      </c>
      <c r="I411" s="26">
        <f ca="1"/>
        <v>-8.7862526749818244</v>
      </c>
      <c r="J411" s="26">
        <f ca="1"/>
        <v>-9.5745564172725057</v>
      </c>
      <c r="K411" s="26">
        <f ca="1"/>
        <v>-10.435359403040392</v>
      </c>
      <c r="M411" s="4" t="str">
        <f t="shared" si="26"/>
        <v>per Mtonne</v>
      </c>
    </row>
    <row r="412" spans="1:13" s="7" customFormat="1" x14ac:dyDescent="0.25">
      <c r="A412" s="4" t="str">
        <v>IA N2O</v>
      </c>
      <c r="B412" s="26">
        <f ca="1"/>
        <v>-26.085238523711794</v>
      </c>
      <c r="C412" s="26">
        <f ca="1"/>
        <v>-23.670418136865329</v>
      </c>
      <c r="D412" s="26">
        <f ca="1"/>
        <v>-21.57358344602773</v>
      </c>
      <c r="E412" s="26">
        <f ca="1"/>
        <v>-20.626451839572972</v>
      </c>
      <c r="F412" s="26">
        <f ca="1"/>
        <v>-19.618143904806047</v>
      </c>
      <c r="G412" s="26">
        <f ca="1"/>
        <v>-17.657576006550499</v>
      </c>
      <c r="H412" s="26">
        <f ca="1"/>
        <v>-19.235527310903482</v>
      </c>
      <c r="I412" s="26">
        <f ca="1"/>
        <v>-20.95787191736391</v>
      </c>
      <c r="J412" s="26">
        <f ca="1"/>
        <v>-22.838214934353342</v>
      </c>
      <c r="K412" s="26">
        <f ca="1"/>
        <v>-24.891490589989449</v>
      </c>
      <c r="M412" s="4" t="str">
        <f t="shared" si="26"/>
        <v>per Mtonne</v>
      </c>
    </row>
    <row r="413" spans="1:13" s="7" customFormat="1" x14ac:dyDescent="0.25">
      <c r="A413" s="4" t="str">
        <v>AF N2O</v>
      </c>
      <c r="B413" s="26">
        <f ca="1"/>
        <v>-12.606830042806346</v>
      </c>
      <c r="C413" s="26">
        <f ca="1"/>
        <v>-10.5531190135136</v>
      </c>
      <c r="D413" s="26">
        <f ca="1"/>
        <v>-9.2575607303564631</v>
      </c>
      <c r="E413" s="26">
        <f ca="1"/>
        <v>-8.4618208865414282</v>
      </c>
      <c r="F413" s="26">
        <f ca="1"/>
        <v>-6.9667598032739919</v>
      </c>
      <c r="G413" s="26">
        <f ca="1"/>
        <v>-6.2485566706997178</v>
      </c>
      <c r="H413" s="26">
        <f ca="1"/>
        <v>-6.8069525765248633</v>
      </c>
      <c r="I413" s="26">
        <f ca="1"/>
        <v>-7.4164455146240398</v>
      </c>
      <c r="J413" s="26">
        <f ca="1"/>
        <v>-8.0818499788412232</v>
      </c>
      <c r="K413" s="26">
        <f ca="1"/>
        <v>-8.8084508038950524</v>
      </c>
      <c r="M413" s="4" t="str">
        <f t="shared" si="26"/>
        <v>per Mtonne</v>
      </c>
    </row>
    <row r="414" spans="1:13" s="7" customFormat="1" ht="13" thickBot="1" x14ac:dyDescent="0.3">
      <c r="A414" s="4" t="str">
        <v>LA N2O</v>
      </c>
      <c r="B414" s="35">
        <f ca="1"/>
        <v>-12.891225367663969</v>
      </c>
      <c r="C414" s="35">
        <f ca="1"/>
        <v>-11.448995260391579</v>
      </c>
      <c r="D414" s="35">
        <f ca="1"/>
        <v>-10.320029775592905</v>
      </c>
      <c r="E414" s="35">
        <f ca="1"/>
        <v>-9.9053917416434345</v>
      </c>
      <c r="F414" s="35">
        <f ca="1"/>
        <v>-9.6664987755300285</v>
      </c>
      <c r="G414" s="35">
        <f ca="1"/>
        <v>-10.34849661084823</v>
      </c>
      <c r="H414" s="35">
        <f ca="1"/>
        <v>-11.27327947567195</v>
      </c>
      <c r="I414" s="35">
        <f ca="1"/>
        <v>-12.282686277378842</v>
      </c>
      <c r="J414" s="35">
        <f ca="1"/>
        <v>-13.384690501023616</v>
      </c>
      <c r="K414" s="35">
        <f ca="1"/>
        <v>-14.588044582897869</v>
      </c>
      <c r="M414" s="4" t="str">
        <f t="shared" si="26"/>
        <v>per Mtonne</v>
      </c>
    </row>
    <row r="415" spans="1:13" s="2" customFormat="1" ht="15.5" thickTop="1" x14ac:dyDescent="0.4">
      <c r="A415" s="2" t="s">
        <v>325</v>
      </c>
      <c r="B415" s="2" t="s">
        <v>329</v>
      </c>
    </row>
    <row r="416" spans="1:13" s="7" customFormat="1" x14ac:dyDescent="0.25">
      <c r="A416" s="4" t="str">
        <f t="array" ref="A416:A423">R_CODE&amp;" "&amp;GLIN_NAME</f>
        <v>EU Lin</v>
      </c>
      <c r="B416" s="66">
        <f t="array" aca="1" ref="B416:K423" ca="1">IF(Q0_GLIN=0,0,-2*LN((1+CURVE_BELOW)/(1-CURVE_BELOW))/Q0_GLIN)</f>
        <v>-0.16797355425290267</v>
      </c>
      <c r="C416" s="66">
        <f ca="1"/>
        <v>-0.14254185437193295</v>
      </c>
      <c r="D416" s="66">
        <f ca="1"/>
        <v>-0.142273394458206</v>
      </c>
      <c r="E416" s="66">
        <f ca="1"/>
        <v>-0.14931568512200954</v>
      </c>
      <c r="F416" s="66">
        <f ca="1"/>
        <v>-0.15958835291994836</v>
      </c>
      <c r="G416" s="66">
        <f ca="1"/>
        <v>-0.15676513220724583</v>
      </c>
      <c r="H416" s="66">
        <f ca="1"/>
        <v>-0.16863234273473451</v>
      </c>
      <c r="I416" s="66">
        <f ca="1"/>
        <v>-0.18139790791367438</v>
      </c>
      <c r="J416" s="66">
        <f ca="1"/>
        <v>-0.19512983370704332</v>
      </c>
      <c r="K416" s="66">
        <f ca="1"/>
        <v>-0.20990127416826793</v>
      </c>
      <c r="M416" s="4" t="str">
        <f t="shared" ref="M416:M423" si="27">"per "&amp;EMIT_NAME</f>
        <v>per Mtonne</v>
      </c>
    </row>
    <row r="417" spans="1:13" s="7" customFormat="1" x14ac:dyDescent="0.25">
      <c r="A417" s="4" t="str">
        <v>US Lin</v>
      </c>
      <c r="B417" s="67">
        <f ca="1"/>
        <v>-5.9562006651395188E-2</v>
      </c>
      <c r="C417" s="67">
        <f ca="1"/>
        <v>-5.0544140212813074E-2</v>
      </c>
      <c r="D417" s="67">
        <f ca="1"/>
        <v>-5.0448946589994541E-2</v>
      </c>
      <c r="E417" s="67">
        <f ca="1"/>
        <v>-5.2946083506720087E-2</v>
      </c>
      <c r="F417" s="67">
        <f ca="1"/>
        <v>-5.6588684929484434E-2</v>
      </c>
      <c r="G417" s="67">
        <f ca="1"/>
        <v>-5.5587594658957871E-2</v>
      </c>
      <c r="H417" s="67">
        <f ca="1"/>
        <v>-5.9795607494761593E-2</v>
      </c>
      <c r="I417" s="67">
        <f ca="1"/>
        <v>-6.4322169318607125E-2</v>
      </c>
      <c r="J417" s="67">
        <f ca="1"/>
        <v>-6.9191394471809914E-2</v>
      </c>
      <c r="K417" s="67">
        <f ca="1"/>
        <v>-7.4429222765170222E-2</v>
      </c>
      <c r="M417" s="4" t="str">
        <f t="shared" si="27"/>
        <v>per Mtonne</v>
      </c>
    </row>
    <row r="418" spans="1:13" s="7" customFormat="1" x14ac:dyDescent="0.25">
      <c r="A418" s="4" t="str">
        <v>OT Lin</v>
      </c>
      <c r="B418" s="67">
        <f ca="1"/>
        <v>-0.17915587650877018</v>
      </c>
      <c r="C418" s="67">
        <f ca="1"/>
        <v>-0.15203113950151964</v>
      </c>
      <c r="D418" s="67">
        <f ca="1"/>
        <v>-0.15174480769550922</v>
      </c>
      <c r="E418" s="67">
        <f ca="1"/>
        <v>-0.15925591718006341</v>
      </c>
      <c r="F418" s="67">
        <f ca="1"/>
        <v>-0.17021245621151243</v>
      </c>
      <c r="G418" s="67">
        <f ca="1"/>
        <v>-0.16720128827134725</v>
      </c>
      <c r="H418" s="67">
        <f ca="1"/>
        <v>-0.17985852180565284</v>
      </c>
      <c r="I418" s="67">
        <f ca="1"/>
        <v>-0.19347391518668136</v>
      </c>
      <c r="J418" s="67">
        <f ca="1"/>
        <v>-0.2081200016650348</v>
      </c>
      <c r="K418" s="67">
        <f ca="1"/>
        <v>-0.22387480530003662</v>
      </c>
      <c r="M418" s="4" t="str">
        <f t="shared" si="27"/>
        <v>per Mtonne</v>
      </c>
    </row>
    <row r="419" spans="1:13" s="7" customFormat="1" x14ac:dyDescent="0.25">
      <c r="A419" s="4" t="str">
        <v>EE Lin</v>
      </c>
      <c r="B419" s="67">
        <f ca="1"/>
        <v>-0.58696323468912237</v>
      </c>
      <c r="C419" s="67">
        <f ca="1"/>
        <v>-0.42099322051950216</v>
      </c>
      <c r="D419" s="67">
        <f ca="1"/>
        <v>-0.32755812048104949</v>
      </c>
      <c r="E419" s="67">
        <f ca="1"/>
        <v>-0.27449619328733577</v>
      </c>
      <c r="F419" s="67">
        <f ca="1"/>
        <v>-0.23160652317728098</v>
      </c>
      <c r="G419" s="67">
        <f ca="1"/>
        <v>-0.2092191219979328</v>
      </c>
      <c r="H419" s="67">
        <f ca="1"/>
        <v>-0.22505712967328398</v>
      </c>
      <c r="I419" s="67">
        <f ca="1"/>
        <v>-0.24209408362433438</v>
      </c>
      <c r="J419" s="67">
        <f ca="1"/>
        <v>-0.26042074477262661</v>
      </c>
      <c r="K419" s="67">
        <f ca="1"/>
        <v>-0.28013474469358168</v>
      </c>
      <c r="M419" s="4" t="str">
        <f t="shared" si="27"/>
        <v>per Mtonne</v>
      </c>
    </row>
    <row r="420" spans="1:13" s="7" customFormat="1" x14ac:dyDescent="0.25">
      <c r="A420" s="4" t="str">
        <v>CA Lin</v>
      </c>
      <c r="B420" s="67">
        <f ca="1"/>
        <v>-0.19169907429754965</v>
      </c>
      <c r="C420" s="67">
        <f ca="1"/>
        <v>-0.14838956613534335</v>
      </c>
      <c r="D420" s="67">
        <f ca="1"/>
        <v>-0.11070776011738839</v>
      </c>
      <c r="E420" s="67">
        <f ca="1"/>
        <v>-9.6721086821539959E-2</v>
      </c>
      <c r="F420" s="67">
        <f ca="1"/>
        <v>-7.7710693815469606E-2</v>
      </c>
      <c r="G420" s="67">
        <f ca="1"/>
        <v>-7.1951799150708498E-2</v>
      </c>
      <c r="H420" s="67">
        <f ca="1"/>
        <v>-7.7398591663371402E-2</v>
      </c>
      <c r="I420" s="67">
        <f ca="1"/>
        <v>-8.325770949696007E-2</v>
      </c>
      <c r="J420" s="67">
        <f ca="1"/>
        <v>-8.9560365915038548E-2</v>
      </c>
      <c r="K420" s="67">
        <f ca="1"/>
        <v>-9.6340137043146326E-2</v>
      </c>
      <c r="M420" s="4" t="str">
        <f t="shared" si="27"/>
        <v>per Mtonne</v>
      </c>
    </row>
    <row r="421" spans="1:13" s="7" customFormat="1" x14ac:dyDescent="0.25">
      <c r="A421" s="4" t="str">
        <v>IA Lin</v>
      </c>
      <c r="B421" s="67">
        <f ca="1"/>
        <v>-0.27443049569090783</v>
      </c>
      <c r="C421" s="67">
        <f ca="1"/>
        <v>-0.21242993655082851</v>
      </c>
      <c r="D421" s="67">
        <f ca="1"/>
        <v>-0.15848582262159291</v>
      </c>
      <c r="E421" s="67">
        <f ca="1"/>
        <v>-0.13846293153715991</v>
      </c>
      <c r="F421" s="67">
        <f ca="1"/>
        <v>-0.11124823790834698</v>
      </c>
      <c r="G421" s="67">
        <f ca="1"/>
        <v>-0.10300398152227266</v>
      </c>
      <c r="H421" s="67">
        <f ca="1"/>
        <v>-0.110801442071589</v>
      </c>
      <c r="I421" s="67">
        <f ca="1"/>
        <v>-0.11918917486203225</v>
      </c>
      <c r="J421" s="67">
        <f ca="1"/>
        <v>-0.12821186384120836</v>
      </c>
      <c r="K421" s="67">
        <f ca="1"/>
        <v>-0.13791757555721584</v>
      </c>
      <c r="M421" s="4" t="str">
        <f t="shared" si="27"/>
        <v>per Mtonne</v>
      </c>
    </row>
    <row r="422" spans="1:13" s="7" customFormat="1" x14ac:dyDescent="0.25">
      <c r="A422" s="4" t="str">
        <v>AF Lin</v>
      </c>
      <c r="B422" s="67">
        <f ca="1"/>
        <v>-0.4131650860720209</v>
      </c>
      <c r="C422" s="67">
        <f ca="1"/>
        <v>-0.32724307683412102</v>
      </c>
      <c r="D422" s="67">
        <f ca="1"/>
        <v>-0.27792534795286933</v>
      </c>
      <c r="E422" s="67">
        <f ca="1"/>
        <v>-0.23195457506543141</v>
      </c>
      <c r="F422" s="67">
        <f ca="1"/>
        <v>-0.16303224012647799</v>
      </c>
      <c r="G422" s="67">
        <f ca="1"/>
        <v>-0.14279832532356929</v>
      </c>
      <c r="H422" s="67">
        <f ca="1"/>
        <v>-0.15360824054979003</v>
      </c>
      <c r="I422" s="67">
        <f ca="1"/>
        <v>-0.16523647256602422</v>
      </c>
      <c r="J422" s="67">
        <f ca="1"/>
        <v>-0.17774496842317872</v>
      </c>
      <c r="K422" s="67">
        <f ca="1"/>
        <v>-0.19120036459948606</v>
      </c>
      <c r="M422" s="4" t="str">
        <f t="shared" si="27"/>
        <v>per Mtonne</v>
      </c>
    </row>
    <row r="423" spans="1:13" s="7" customFormat="1" ht="13" thickBot="1" x14ac:dyDescent="0.3">
      <c r="A423" s="4" t="str">
        <v>LA Lin</v>
      </c>
      <c r="B423" s="68">
        <f ca="1"/>
        <v>-0.54512975761872362</v>
      </c>
      <c r="C423" s="68">
        <f ca="1"/>
        <v>-0.44949602181735843</v>
      </c>
      <c r="D423" s="68">
        <f ca="1"/>
        <v>-0.34837034093522873</v>
      </c>
      <c r="E423" s="68">
        <f ca="1"/>
        <v>-0.30172336232277924</v>
      </c>
      <c r="F423" s="68">
        <f ca="1"/>
        <v>-0.21523604019825063</v>
      </c>
      <c r="G423" s="68">
        <f ca="1"/>
        <v>-0.19180411288682261</v>
      </c>
      <c r="H423" s="68">
        <f ca="1"/>
        <v>-0.20632379437222448</v>
      </c>
      <c r="I423" s="68">
        <f ca="1"/>
        <v>-0.22194262408372267</v>
      </c>
      <c r="J423" s="68">
        <f ca="1"/>
        <v>-0.23874380817319765</v>
      </c>
      <c r="K423" s="68">
        <f ca="1"/>
        <v>-0.25681685154600675</v>
      </c>
      <c r="M423" s="4" t="str">
        <f t="shared" si="27"/>
        <v>per Mtonne</v>
      </c>
    </row>
    <row r="424" spans="1:13" s="2" customFormat="1" ht="15.5" thickTop="1" x14ac:dyDescent="0.4">
      <c r="A424" s="2" t="s">
        <v>324</v>
      </c>
      <c r="B424" s="2" t="s">
        <v>330</v>
      </c>
    </row>
    <row r="425" spans="1:13" s="6" customFormat="1" x14ac:dyDescent="0.25">
      <c r="A425" s="4" t="str">
        <f t="array" ref="A425:A432">R_CODE&amp;" "&amp;'Base data'!$B$12</f>
        <v>EU CO2</v>
      </c>
      <c r="B425" s="32">
        <f t="array" aca="1" ref="B425:K432" ca="1">IF(Q0_CO2=0,0,C0_CO2/(EXP(-BLO_CO2*Q0_CO2)-1))</f>
        <v>-12.449372749847118</v>
      </c>
      <c r="C425" s="32">
        <f ca="1"/>
        <v>-12.348732567483998</v>
      </c>
      <c r="D425" s="32">
        <f ca="1"/>
        <v>-12.248905955933605</v>
      </c>
      <c r="E425" s="32">
        <f ca="1"/>
        <v>-12.149886338325238</v>
      </c>
      <c r="F425" s="32">
        <f ca="1"/>
        <v>-11.905825210674275</v>
      </c>
      <c r="G425" s="32">
        <f ca="1"/>
        <v>-11.666666666666611</v>
      </c>
      <c r="H425" s="32">
        <f ca="1"/>
        <v>-11.202665384758784</v>
      </c>
      <c r="I425" s="32">
        <f ca="1"/>
        <v>-10.757118147674849</v>
      </c>
      <c r="J425" s="32">
        <f ca="1"/>
        <v>-10.329291009661555</v>
      </c>
      <c r="K425" s="32">
        <f ca="1"/>
        <v>-9.9184792151173848</v>
      </c>
      <c r="M425" s="4" t="str">
        <f t="shared" ref="M425:M432" si="28">CURRENCY_NAME&amp;" per "&amp;EMIT_NAME</f>
        <v>$M(2015) per Mtonne</v>
      </c>
    </row>
    <row r="426" spans="1:13" s="6" customFormat="1" x14ac:dyDescent="0.25">
      <c r="A426" s="4" t="str">
        <v>US CO2</v>
      </c>
      <c r="B426" s="33">
        <f ca="1"/>
        <v>-12.449372749847118</v>
      </c>
      <c r="C426" s="33">
        <f ca="1"/>
        <v>-12.348732567483998</v>
      </c>
      <c r="D426" s="33">
        <f ca="1"/>
        <v>-12.248905955933605</v>
      </c>
      <c r="E426" s="33">
        <f ca="1"/>
        <v>-12.149886338325238</v>
      </c>
      <c r="F426" s="33">
        <f ca="1"/>
        <v>-11.905825210674275</v>
      </c>
      <c r="G426" s="33">
        <f ca="1"/>
        <v>-11.666666666666611</v>
      </c>
      <c r="H426" s="33">
        <f ca="1"/>
        <v>-11.202665384758784</v>
      </c>
      <c r="I426" s="33">
        <f ca="1"/>
        <v>-10.757118147674849</v>
      </c>
      <c r="J426" s="33">
        <f ca="1"/>
        <v>-10.329291009661555</v>
      </c>
      <c r="K426" s="33">
        <f ca="1"/>
        <v>-9.9184792151173848</v>
      </c>
      <c r="M426" s="4" t="str">
        <f t="shared" si="28"/>
        <v>$M(2015) per Mtonne</v>
      </c>
    </row>
    <row r="427" spans="1:13" s="6" customFormat="1" x14ac:dyDescent="0.25">
      <c r="A427" s="4" t="str">
        <v>OT CO2</v>
      </c>
      <c r="B427" s="33">
        <f ca="1"/>
        <v>-12.449372749847118</v>
      </c>
      <c r="C427" s="33">
        <f ca="1"/>
        <v>-12.348732567483998</v>
      </c>
      <c r="D427" s="33">
        <f ca="1"/>
        <v>-12.248905955933605</v>
      </c>
      <c r="E427" s="33">
        <f ca="1"/>
        <v>-12.149886338325238</v>
      </c>
      <c r="F427" s="33">
        <f ca="1"/>
        <v>-11.905825210674275</v>
      </c>
      <c r="G427" s="33">
        <f ca="1"/>
        <v>-11.666666666666611</v>
      </c>
      <c r="H427" s="33">
        <f ca="1"/>
        <v>-11.202665384758784</v>
      </c>
      <c r="I427" s="33">
        <f ca="1"/>
        <v>-10.757118147674849</v>
      </c>
      <c r="J427" s="33">
        <f ca="1"/>
        <v>-10.329291009661555</v>
      </c>
      <c r="K427" s="33">
        <f ca="1"/>
        <v>-9.9184792151173848</v>
      </c>
      <c r="M427" s="4" t="str">
        <f t="shared" si="28"/>
        <v>$M(2015) per Mtonne</v>
      </c>
    </row>
    <row r="428" spans="1:13" s="6" customFormat="1" x14ac:dyDescent="0.25">
      <c r="A428" s="4" t="str">
        <v>EE CO2</v>
      </c>
      <c r="B428" s="33">
        <f ca="1"/>
        <v>-12.449372749847118</v>
      </c>
      <c r="C428" s="33">
        <f ca="1"/>
        <v>-12.348732567483998</v>
      </c>
      <c r="D428" s="33">
        <f ca="1"/>
        <v>-12.248905955933605</v>
      </c>
      <c r="E428" s="33">
        <f ca="1"/>
        <v>-12.149886338325238</v>
      </c>
      <c r="F428" s="33">
        <f ca="1"/>
        <v>-11.905825210674275</v>
      </c>
      <c r="G428" s="33">
        <f ca="1"/>
        <v>-11.666666666666611</v>
      </c>
      <c r="H428" s="33">
        <f ca="1"/>
        <v>-11.202665384758784</v>
      </c>
      <c r="I428" s="33">
        <f ca="1"/>
        <v>-10.757118147674849</v>
      </c>
      <c r="J428" s="33">
        <f ca="1"/>
        <v>-10.329291009661555</v>
      </c>
      <c r="K428" s="33">
        <f ca="1"/>
        <v>-9.9184792151173848</v>
      </c>
      <c r="M428" s="4" t="str">
        <f t="shared" si="28"/>
        <v>$M(2015) per Mtonne</v>
      </c>
    </row>
    <row r="429" spans="1:13" s="6" customFormat="1" x14ac:dyDescent="0.25">
      <c r="A429" s="4" t="str">
        <v>CA CO2</v>
      </c>
      <c r="B429" s="33">
        <f ca="1"/>
        <v>-12.449372749847118</v>
      </c>
      <c r="C429" s="33">
        <f ca="1"/>
        <v>-12.348732567483998</v>
      </c>
      <c r="D429" s="33">
        <f ca="1"/>
        <v>-12.248905955933605</v>
      </c>
      <c r="E429" s="33">
        <f ca="1"/>
        <v>-12.149886338325238</v>
      </c>
      <c r="F429" s="33">
        <f ca="1"/>
        <v>-11.905825210674275</v>
      </c>
      <c r="G429" s="33">
        <f ca="1"/>
        <v>-11.666666666666611</v>
      </c>
      <c r="H429" s="33">
        <f ca="1"/>
        <v>-11.202665384758784</v>
      </c>
      <c r="I429" s="33">
        <f ca="1"/>
        <v>-10.757118147674849</v>
      </c>
      <c r="J429" s="33">
        <f ca="1"/>
        <v>-10.329291009661555</v>
      </c>
      <c r="K429" s="33">
        <f ca="1"/>
        <v>-9.9184792151173848</v>
      </c>
      <c r="M429" s="4" t="str">
        <f t="shared" si="28"/>
        <v>$M(2015) per Mtonne</v>
      </c>
    </row>
    <row r="430" spans="1:13" s="6" customFormat="1" x14ac:dyDescent="0.25">
      <c r="A430" s="4" t="str">
        <v>IA CO2</v>
      </c>
      <c r="B430" s="33">
        <f ca="1"/>
        <v>-12.449372749847118</v>
      </c>
      <c r="C430" s="33">
        <f ca="1"/>
        <v>-12.348732567483998</v>
      </c>
      <c r="D430" s="33">
        <f ca="1"/>
        <v>-12.248905955933605</v>
      </c>
      <c r="E430" s="33">
        <f ca="1"/>
        <v>-12.149886338325238</v>
      </c>
      <c r="F430" s="33">
        <f ca="1"/>
        <v>-11.905825210674275</v>
      </c>
      <c r="G430" s="33">
        <f ca="1"/>
        <v>-11.666666666666611</v>
      </c>
      <c r="H430" s="33">
        <f ca="1"/>
        <v>-11.202665384758784</v>
      </c>
      <c r="I430" s="33">
        <f ca="1"/>
        <v>-10.757118147674849</v>
      </c>
      <c r="J430" s="33">
        <f ca="1"/>
        <v>-10.329291009661555</v>
      </c>
      <c r="K430" s="33">
        <f ca="1"/>
        <v>-9.9184792151173848</v>
      </c>
      <c r="M430" s="4" t="str">
        <f t="shared" si="28"/>
        <v>$M(2015) per Mtonne</v>
      </c>
    </row>
    <row r="431" spans="1:13" s="6" customFormat="1" x14ac:dyDescent="0.25">
      <c r="A431" s="4" t="str">
        <v>AF CO2</v>
      </c>
      <c r="B431" s="33">
        <f ca="1"/>
        <v>-12.449372749847118</v>
      </c>
      <c r="C431" s="33">
        <f ca="1"/>
        <v>-12.348732567483998</v>
      </c>
      <c r="D431" s="33">
        <f ca="1"/>
        <v>-12.248905955933605</v>
      </c>
      <c r="E431" s="33">
        <f ca="1"/>
        <v>-12.149886338325238</v>
      </c>
      <c r="F431" s="33">
        <f ca="1"/>
        <v>-11.905825210674275</v>
      </c>
      <c r="G431" s="33">
        <f ca="1"/>
        <v>-11.666666666666611</v>
      </c>
      <c r="H431" s="33">
        <f ca="1"/>
        <v>-11.202665384758784</v>
      </c>
      <c r="I431" s="33">
        <f ca="1"/>
        <v>-10.757118147674849</v>
      </c>
      <c r="J431" s="33">
        <f ca="1"/>
        <v>-10.329291009661555</v>
      </c>
      <c r="K431" s="33">
        <f ca="1"/>
        <v>-9.9184792151173848</v>
      </c>
      <c r="M431" s="4" t="str">
        <f t="shared" si="28"/>
        <v>$M(2015) per Mtonne</v>
      </c>
    </row>
    <row r="432" spans="1:13" s="6" customFormat="1" ht="13" thickBot="1" x14ac:dyDescent="0.3">
      <c r="A432" s="4" t="str">
        <v>LA CO2</v>
      </c>
      <c r="B432" s="34">
        <f ca="1"/>
        <v>-12.449372749847118</v>
      </c>
      <c r="C432" s="34">
        <f ca="1"/>
        <v>-12.348732567483998</v>
      </c>
      <c r="D432" s="34">
        <f ca="1"/>
        <v>-12.248905955933605</v>
      </c>
      <c r="E432" s="34">
        <f ca="1"/>
        <v>-12.149886338325238</v>
      </c>
      <c r="F432" s="34">
        <f ca="1"/>
        <v>-11.905825210674275</v>
      </c>
      <c r="G432" s="34">
        <f ca="1"/>
        <v>-11.666666666666611</v>
      </c>
      <c r="H432" s="34">
        <f ca="1"/>
        <v>-11.202665384758784</v>
      </c>
      <c r="I432" s="34">
        <f ca="1"/>
        <v>-10.757118147674849</v>
      </c>
      <c r="J432" s="34">
        <f ca="1"/>
        <v>-10.329291009661555</v>
      </c>
      <c r="K432" s="34">
        <f ca="1"/>
        <v>-9.9184792151173848</v>
      </c>
      <c r="M432" s="4" t="str">
        <f t="shared" si="28"/>
        <v>$M(2015) per Mtonne</v>
      </c>
    </row>
    <row r="433" spans="1:13" s="2" customFormat="1" ht="15.5" thickTop="1" x14ac:dyDescent="0.4">
      <c r="A433" s="2" t="s">
        <v>324</v>
      </c>
      <c r="B433" s="2" t="s">
        <v>331</v>
      </c>
    </row>
    <row r="434" spans="1:13" s="7" customFormat="1" x14ac:dyDescent="0.25">
      <c r="A434" s="4" t="str">
        <f t="array" ref="A434:A441">R_CODE&amp;" "&amp;'Base data'!$C$12</f>
        <v>EU CH4</v>
      </c>
      <c r="B434" s="29">
        <f t="array" aca="1" ref="B434:K441" ca="1">IF(Q0_CH4=0,0,C0_CH4/(EXP(-BLO_CH4*Q0_CH4)-1))</f>
        <v>-620.39374203404805</v>
      </c>
      <c r="C434" s="29">
        <f ca="1"/>
        <v>-615.37850627961927</v>
      </c>
      <c r="D434" s="29">
        <f ca="1"/>
        <v>-610.40381347069138</v>
      </c>
      <c r="E434" s="29">
        <f ca="1"/>
        <v>-605.46933585987449</v>
      </c>
      <c r="F434" s="29">
        <f ca="1"/>
        <v>-593.30695633193466</v>
      </c>
      <c r="G434" s="29">
        <f ca="1"/>
        <v>-581.38888888888607</v>
      </c>
      <c r="H434" s="29">
        <f ca="1"/>
        <v>-558.26615834047936</v>
      </c>
      <c r="I434" s="29">
        <f ca="1"/>
        <v>-536.06305435912986</v>
      </c>
      <c r="J434" s="29">
        <f ca="1"/>
        <v>-514.74300198146739</v>
      </c>
      <c r="K434" s="29">
        <f ca="1"/>
        <v>-494.2708808866829</v>
      </c>
      <c r="M434" s="4" t="str">
        <f t="shared" ref="M434:M441" si="29">CURRENCY_NAME&amp;" per "&amp;EMIT_NAME</f>
        <v>$M(2015) per Mtonne</v>
      </c>
    </row>
    <row r="435" spans="1:13" s="7" customFormat="1" x14ac:dyDescent="0.25">
      <c r="A435" s="4" t="str">
        <v>US CH4</v>
      </c>
      <c r="B435" s="26">
        <f ca="1"/>
        <v>-620.39374203404805</v>
      </c>
      <c r="C435" s="26">
        <f ca="1"/>
        <v>-615.37850627961927</v>
      </c>
      <c r="D435" s="26">
        <f ca="1"/>
        <v>-610.40381347069138</v>
      </c>
      <c r="E435" s="26">
        <f ca="1"/>
        <v>-605.46933585987449</v>
      </c>
      <c r="F435" s="26">
        <f ca="1"/>
        <v>-593.30695633193466</v>
      </c>
      <c r="G435" s="26">
        <f ca="1"/>
        <v>-581.38888888888607</v>
      </c>
      <c r="H435" s="26">
        <f ca="1"/>
        <v>-558.26615834047936</v>
      </c>
      <c r="I435" s="26">
        <f ca="1"/>
        <v>-536.06305435912986</v>
      </c>
      <c r="J435" s="26">
        <f ca="1"/>
        <v>-514.74300198146739</v>
      </c>
      <c r="K435" s="26">
        <f ca="1"/>
        <v>-494.2708808866829</v>
      </c>
      <c r="M435" s="4" t="str">
        <f t="shared" si="29"/>
        <v>$M(2015) per Mtonne</v>
      </c>
    </row>
    <row r="436" spans="1:13" s="7" customFormat="1" x14ac:dyDescent="0.25">
      <c r="A436" s="4" t="str">
        <v>OT CH4</v>
      </c>
      <c r="B436" s="26">
        <f ca="1"/>
        <v>-620.39374203404805</v>
      </c>
      <c r="C436" s="26">
        <f ca="1"/>
        <v>-615.37850627961927</v>
      </c>
      <c r="D436" s="26">
        <f ca="1"/>
        <v>-610.40381347069138</v>
      </c>
      <c r="E436" s="26">
        <f ca="1"/>
        <v>-605.46933585987449</v>
      </c>
      <c r="F436" s="26">
        <f ca="1"/>
        <v>-593.30695633193466</v>
      </c>
      <c r="G436" s="26">
        <f ca="1"/>
        <v>-581.38888888888607</v>
      </c>
      <c r="H436" s="26">
        <f ca="1"/>
        <v>-558.26615834047936</v>
      </c>
      <c r="I436" s="26">
        <f ca="1"/>
        <v>-536.06305435912986</v>
      </c>
      <c r="J436" s="26">
        <f ca="1"/>
        <v>-514.74300198146739</v>
      </c>
      <c r="K436" s="26">
        <f ca="1"/>
        <v>-494.2708808866829</v>
      </c>
      <c r="M436" s="4" t="str">
        <f t="shared" si="29"/>
        <v>$M(2015) per Mtonne</v>
      </c>
    </row>
    <row r="437" spans="1:13" s="7" customFormat="1" x14ac:dyDescent="0.25">
      <c r="A437" s="4" t="str">
        <v>EE CH4</v>
      </c>
      <c r="B437" s="26">
        <f ca="1"/>
        <v>-620.39374203404805</v>
      </c>
      <c r="C437" s="26">
        <f ca="1"/>
        <v>-615.37850627961927</v>
      </c>
      <c r="D437" s="26">
        <f ca="1"/>
        <v>-610.40381347069138</v>
      </c>
      <c r="E437" s="26">
        <f ca="1"/>
        <v>-605.46933585987449</v>
      </c>
      <c r="F437" s="26">
        <f ca="1"/>
        <v>-593.30695633193466</v>
      </c>
      <c r="G437" s="26">
        <f ca="1"/>
        <v>-581.38888888888607</v>
      </c>
      <c r="H437" s="26">
        <f ca="1"/>
        <v>-558.26615834047936</v>
      </c>
      <c r="I437" s="26">
        <f ca="1"/>
        <v>-536.06305435912986</v>
      </c>
      <c r="J437" s="26">
        <f ca="1"/>
        <v>-514.74300198146761</v>
      </c>
      <c r="K437" s="26">
        <f ca="1"/>
        <v>-494.2708808866829</v>
      </c>
      <c r="M437" s="4" t="str">
        <f t="shared" si="29"/>
        <v>$M(2015) per Mtonne</v>
      </c>
    </row>
    <row r="438" spans="1:13" s="7" customFormat="1" x14ac:dyDescent="0.25">
      <c r="A438" s="4" t="str">
        <v>CA CH4</v>
      </c>
      <c r="B438" s="26">
        <f ca="1"/>
        <v>-620.39374203404805</v>
      </c>
      <c r="C438" s="26">
        <f ca="1"/>
        <v>-615.37850627961927</v>
      </c>
      <c r="D438" s="26">
        <f ca="1"/>
        <v>-610.40381347069138</v>
      </c>
      <c r="E438" s="26">
        <f ca="1"/>
        <v>-605.46933585987449</v>
      </c>
      <c r="F438" s="26">
        <f ca="1"/>
        <v>-593.30695633193466</v>
      </c>
      <c r="G438" s="26">
        <f ca="1"/>
        <v>-581.38888888888607</v>
      </c>
      <c r="H438" s="26">
        <f ca="1"/>
        <v>-558.26615834047936</v>
      </c>
      <c r="I438" s="26">
        <f ca="1"/>
        <v>-536.06305435912986</v>
      </c>
      <c r="J438" s="26">
        <f ca="1"/>
        <v>-514.74300198146739</v>
      </c>
      <c r="K438" s="26">
        <f ca="1"/>
        <v>-494.2708808866829</v>
      </c>
      <c r="M438" s="4" t="str">
        <f t="shared" si="29"/>
        <v>$M(2015) per Mtonne</v>
      </c>
    </row>
    <row r="439" spans="1:13" s="7" customFormat="1" x14ac:dyDescent="0.25">
      <c r="A439" s="4" t="str">
        <v>IA CH4</v>
      </c>
      <c r="B439" s="26">
        <f ca="1"/>
        <v>-620.39374203404805</v>
      </c>
      <c r="C439" s="26">
        <f ca="1"/>
        <v>-615.37850627961927</v>
      </c>
      <c r="D439" s="26">
        <f ca="1"/>
        <v>-610.40381347069138</v>
      </c>
      <c r="E439" s="26">
        <f ca="1"/>
        <v>-605.46933585987449</v>
      </c>
      <c r="F439" s="26">
        <f ca="1"/>
        <v>-593.30695633193466</v>
      </c>
      <c r="G439" s="26">
        <f ca="1"/>
        <v>-581.38888888888607</v>
      </c>
      <c r="H439" s="26">
        <f ca="1"/>
        <v>-558.26615834047936</v>
      </c>
      <c r="I439" s="26">
        <f ca="1"/>
        <v>-536.06305435912986</v>
      </c>
      <c r="J439" s="26">
        <f ca="1"/>
        <v>-514.74300198146739</v>
      </c>
      <c r="K439" s="26">
        <f ca="1"/>
        <v>-494.2708808866829</v>
      </c>
      <c r="M439" s="4" t="str">
        <f t="shared" si="29"/>
        <v>$M(2015) per Mtonne</v>
      </c>
    </row>
    <row r="440" spans="1:13" s="7" customFormat="1" x14ac:dyDescent="0.25">
      <c r="A440" s="4" t="str">
        <v>AF CH4</v>
      </c>
      <c r="B440" s="26">
        <f ca="1"/>
        <v>-620.39374203404805</v>
      </c>
      <c r="C440" s="26">
        <f ca="1"/>
        <v>-615.37850627961927</v>
      </c>
      <c r="D440" s="26">
        <f ca="1"/>
        <v>-610.40381347069138</v>
      </c>
      <c r="E440" s="26">
        <f ca="1"/>
        <v>-605.46933585987449</v>
      </c>
      <c r="F440" s="26">
        <f ca="1"/>
        <v>-593.30695633193466</v>
      </c>
      <c r="G440" s="26">
        <f ca="1"/>
        <v>-581.38888888888607</v>
      </c>
      <c r="H440" s="26">
        <f ca="1"/>
        <v>-558.26615834047936</v>
      </c>
      <c r="I440" s="26">
        <f ca="1"/>
        <v>-536.06305435912986</v>
      </c>
      <c r="J440" s="26">
        <f ca="1"/>
        <v>-514.74300198146739</v>
      </c>
      <c r="K440" s="26">
        <f ca="1"/>
        <v>-494.2708808866829</v>
      </c>
      <c r="M440" s="4" t="str">
        <f t="shared" si="29"/>
        <v>$M(2015) per Mtonne</v>
      </c>
    </row>
    <row r="441" spans="1:13" s="7" customFormat="1" ht="13" thickBot="1" x14ac:dyDescent="0.3">
      <c r="A441" s="4" t="str">
        <v>LA CH4</v>
      </c>
      <c r="B441" s="35">
        <f ca="1"/>
        <v>-620.39374203404805</v>
      </c>
      <c r="C441" s="35">
        <f ca="1"/>
        <v>-615.37850627961927</v>
      </c>
      <c r="D441" s="35">
        <f ca="1"/>
        <v>-610.40381347069138</v>
      </c>
      <c r="E441" s="35">
        <f ca="1"/>
        <v>-605.46933585987449</v>
      </c>
      <c r="F441" s="35">
        <f ca="1"/>
        <v>-593.30695633193466</v>
      </c>
      <c r="G441" s="35">
        <f ca="1"/>
        <v>-581.38888888888607</v>
      </c>
      <c r="H441" s="35">
        <f ca="1"/>
        <v>-558.26615834047936</v>
      </c>
      <c r="I441" s="35">
        <f ca="1"/>
        <v>-536.06305435912986</v>
      </c>
      <c r="J441" s="35">
        <f ca="1"/>
        <v>-514.74300198146739</v>
      </c>
      <c r="K441" s="35">
        <f ca="1"/>
        <v>-494.2708808866829</v>
      </c>
      <c r="M441" s="4" t="str">
        <f t="shared" si="29"/>
        <v>$M(2015) per Mtonne</v>
      </c>
    </row>
    <row r="442" spans="1:13" s="2" customFormat="1" ht="15.5" thickTop="1" x14ac:dyDescent="0.4">
      <c r="A442" s="2" t="s">
        <v>324</v>
      </c>
      <c r="B442" s="2" t="s">
        <v>332</v>
      </c>
    </row>
    <row r="443" spans="1:13" s="7" customFormat="1" x14ac:dyDescent="0.25">
      <c r="A443" s="4" t="str">
        <f t="array" ref="A443:A450">R_CODE&amp;" "&amp;'Base data'!$D$12</f>
        <v>EU N2O</v>
      </c>
      <c r="B443" s="29">
        <f t="array" aca="1" ref="B443:K450" ca="1">IF(Q0_N2O=0,0,C0_N2O/(EXP(-BLO_N2O*Q0_N2O)-1))</f>
        <v>-1049.8971019037738</v>
      </c>
      <c r="C443" s="29">
        <f ca="1"/>
        <v>-1041.4097798578173</v>
      </c>
      <c r="D443" s="29">
        <f ca="1"/>
        <v>-1032.9910689504009</v>
      </c>
      <c r="E443" s="29">
        <f ca="1"/>
        <v>-1024.6404145320953</v>
      </c>
      <c r="F443" s="29">
        <f ca="1"/>
        <v>-1004.0579261001972</v>
      </c>
      <c r="G443" s="29">
        <f ca="1"/>
        <v>-983.88888888888414</v>
      </c>
      <c r="H443" s="29">
        <f ca="1"/>
        <v>-944.75811411465747</v>
      </c>
      <c r="I443" s="29">
        <f ca="1"/>
        <v>-907.1836304539122</v>
      </c>
      <c r="J443" s="29">
        <f ca="1"/>
        <v>-871.10354181479113</v>
      </c>
      <c r="K443" s="29">
        <f ca="1"/>
        <v>-836.45841380823276</v>
      </c>
      <c r="M443" s="4" t="str">
        <f t="shared" ref="M443:M450" si="30">CURRENCY_NAME&amp;" per "&amp;EMIT_NAME</f>
        <v>$M(2015) per Mtonne</v>
      </c>
    </row>
    <row r="444" spans="1:13" s="7" customFormat="1" x14ac:dyDescent="0.25">
      <c r="A444" s="4" t="str">
        <v>US N2O</v>
      </c>
      <c r="B444" s="26">
        <f ca="1"/>
        <v>-1049.8971019037738</v>
      </c>
      <c r="C444" s="26">
        <f ca="1"/>
        <v>-1041.4097798578173</v>
      </c>
      <c r="D444" s="26">
        <f ca="1"/>
        <v>-1032.9910689504009</v>
      </c>
      <c r="E444" s="26">
        <f ca="1"/>
        <v>-1024.6404145320953</v>
      </c>
      <c r="F444" s="26">
        <f ca="1"/>
        <v>-1004.0579261001972</v>
      </c>
      <c r="G444" s="26">
        <f ca="1"/>
        <v>-983.88888888888414</v>
      </c>
      <c r="H444" s="26">
        <f ca="1"/>
        <v>-944.75811411465747</v>
      </c>
      <c r="I444" s="26">
        <f ca="1"/>
        <v>-907.1836304539122</v>
      </c>
      <c r="J444" s="26">
        <f ca="1"/>
        <v>-871.10354181479113</v>
      </c>
      <c r="K444" s="26">
        <f ca="1"/>
        <v>-836.45841380823276</v>
      </c>
      <c r="M444" s="4" t="str">
        <f t="shared" si="30"/>
        <v>$M(2015) per Mtonne</v>
      </c>
    </row>
    <row r="445" spans="1:13" s="7" customFormat="1" x14ac:dyDescent="0.25">
      <c r="A445" s="4" t="str">
        <v>OT N2O</v>
      </c>
      <c r="B445" s="26">
        <f ca="1"/>
        <v>-1049.8971019037738</v>
      </c>
      <c r="C445" s="26">
        <f ca="1"/>
        <v>-1041.4097798578173</v>
      </c>
      <c r="D445" s="26">
        <f ca="1"/>
        <v>-1032.9910689504009</v>
      </c>
      <c r="E445" s="26">
        <f ca="1"/>
        <v>-1024.6404145320953</v>
      </c>
      <c r="F445" s="26">
        <f ca="1"/>
        <v>-1004.0579261001972</v>
      </c>
      <c r="G445" s="26">
        <f ca="1"/>
        <v>-983.88888888888414</v>
      </c>
      <c r="H445" s="26">
        <f ca="1"/>
        <v>-944.75811411465747</v>
      </c>
      <c r="I445" s="26">
        <f ca="1"/>
        <v>-907.1836304539122</v>
      </c>
      <c r="J445" s="26">
        <f ca="1"/>
        <v>-871.10354181479113</v>
      </c>
      <c r="K445" s="26">
        <f ca="1"/>
        <v>-836.45841380823276</v>
      </c>
      <c r="M445" s="4" t="str">
        <f t="shared" si="30"/>
        <v>$M(2015) per Mtonne</v>
      </c>
    </row>
    <row r="446" spans="1:13" s="7" customFormat="1" x14ac:dyDescent="0.25">
      <c r="A446" s="4" t="str">
        <v>EE N2O</v>
      </c>
      <c r="B446" s="26">
        <f ca="1"/>
        <v>-1049.8971019037738</v>
      </c>
      <c r="C446" s="26">
        <f ca="1"/>
        <v>-1041.4097798578173</v>
      </c>
      <c r="D446" s="26">
        <f ca="1"/>
        <v>-1032.9910689504009</v>
      </c>
      <c r="E446" s="26">
        <f ca="1"/>
        <v>-1024.6404145320953</v>
      </c>
      <c r="F446" s="26">
        <f ca="1"/>
        <v>-1004.0579261001972</v>
      </c>
      <c r="G446" s="26">
        <f ca="1"/>
        <v>-983.88888888888414</v>
      </c>
      <c r="H446" s="26">
        <f ca="1"/>
        <v>-944.75811411465747</v>
      </c>
      <c r="I446" s="26">
        <f ca="1"/>
        <v>-907.1836304539122</v>
      </c>
      <c r="J446" s="26">
        <f ca="1"/>
        <v>-871.10354181479113</v>
      </c>
      <c r="K446" s="26">
        <f ca="1"/>
        <v>-836.45841380823276</v>
      </c>
      <c r="M446" s="4" t="str">
        <f t="shared" si="30"/>
        <v>$M(2015) per Mtonne</v>
      </c>
    </row>
    <row r="447" spans="1:13" s="7" customFormat="1" x14ac:dyDescent="0.25">
      <c r="A447" s="4" t="str">
        <v>CA N2O</v>
      </c>
      <c r="B447" s="26">
        <f ca="1"/>
        <v>-1049.8971019037738</v>
      </c>
      <c r="C447" s="26">
        <f ca="1"/>
        <v>-1041.4097798578173</v>
      </c>
      <c r="D447" s="26">
        <f ca="1"/>
        <v>-1032.9910689504009</v>
      </c>
      <c r="E447" s="26">
        <f ca="1"/>
        <v>-1024.6404145320953</v>
      </c>
      <c r="F447" s="26">
        <f ca="1"/>
        <v>-1004.0579261001972</v>
      </c>
      <c r="G447" s="26">
        <f ca="1"/>
        <v>-983.88888888888414</v>
      </c>
      <c r="H447" s="26">
        <f ca="1"/>
        <v>-944.75811411465747</v>
      </c>
      <c r="I447" s="26">
        <f ca="1"/>
        <v>-907.1836304539122</v>
      </c>
      <c r="J447" s="26">
        <f ca="1"/>
        <v>-871.10354181479113</v>
      </c>
      <c r="K447" s="26">
        <f ca="1"/>
        <v>-836.45841380823276</v>
      </c>
      <c r="M447" s="4" t="str">
        <f t="shared" si="30"/>
        <v>$M(2015) per Mtonne</v>
      </c>
    </row>
    <row r="448" spans="1:13" s="7" customFormat="1" x14ac:dyDescent="0.25">
      <c r="A448" s="4" t="str">
        <v>IA N2O</v>
      </c>
      <c r="B448" s="26">
        <f ca="1"/>
        <v>-1049.8971019037738</v>
      </c>
      <c r="C448" s="26">
        <f ca="1"/>
        <v>-1041.4097798578173</v>
      </c>
      <c r="D448" s="26">
        <f ca="1"/>
        <v>-1032.9910689504009</v>
      </c>
      <c r="E448" s="26">
        <f ca="1"/>
        <v>-1024.6404145320953</v>
      </c>
      <c r="F448" s="26">
        <f ca="1"/>
        <v>-1004.0579261001972</v>
      </c>
      <c r="G448" s="26">
        <f ca="1"/>
        <v>-983.88888888888414</v>
      </c>
      <c r="H448" s="26">
        <f ca="1"/>
        <v>-944.75811411465747</v>
      </c>
      <c r="I448" s="26">
        <f ca="1"/>
        <v>-907.1836304539122</v>
      </c>
      <c r="J448" s="26">
        <f ca="1"/>
        <v>-871.10354181479113</v>
      </c>
      <c r="K448" s="26">
        <f ca="1"/>
        <v>-836.45841380823276</v>
      </c>
      <c r="M448" s="4" t="str">
        <f t="shared" si="30"/>
        <v>$M(2015) per Mtonne</v>
      </c>
    </row>
    <row r="449" spans="1:13" s="7" customFormat="1" x14ac:dyDescent="0.25">
      <c r="A449" s="4" t="str">
        <v>AF N2O</v>
      </c>
      <c r="B449" s="26">
        <f ca="1"/>
        <v>-1049.8971019037738</v>
      </c>
      <c r="C449" s="26">
        <f ca="1"/>
        <v>-1041.4097798578173</v>
      </c>
      <c r="D449" s="26">
        <f ca="1"/>
        <v>-1032.9910689504009</v>
      </c>
      <c r="E449" s="26">
        <f ca="1"/>
        <v>-1024.6404145320953</v>
      </c>
      <c r="F449" s="26">
        <f ca="1"/>
        <v>-1004.0579261001972</v>
      </c>
      <c r="G449" s="26">
        <f ca="1"/>
        <v>-983.88888888888414</v>
      </c>
      <c r="H449" s="26">
        <f ca="1"/>
        <v>-944.75811411465747</v>
      </c>
      <c r="I449" s="26">
        <f ca="1"/>
        <v>-907.1836304539122</v>
      </c>
      <c r="J449" s="26">
        <f ca="1"/>
        <v>-871.10354181479113</v>
      </c>
      <c r="K449" s="26">
        <f ca="1"/>
        <v>-836.45841380823276</v>
      </c>
      <c r="M449" s="4" t="str">
        <f t="shared" si="30"/>
        <v>$M(2015) per Mtonne</v>
      </c>
    </row>
    <row r="450" spans="1:13" s="7" customFormat="1" ht="13" thickBot="1" x14ac:dyDescent="0.3">
      <c r="A450" s="4" t="str">
        <v>LA N2O</v>
      </c>
      <c r="B450" s="35">
        <f ca="1"/>
        <v>-1049.8971019037738</v>
      </c>
      <c r="C450" s="35">
        <f ca="1"/>
        <v>-1041.4097798578173</v>
      </c>
      <c r="D450" s="35">
        <f ca="1"/>
        <v>-1032.9910689504009</v>
      </c>
      <c r="E450" s="35">
        <f ca="1"/>
        <v>-1024.6404145320953</v>
      </c>
      <c r="F450" s="35">
        <f ca="1"/>
        <v>-1004.0579261001972</v>
      </c>
      <c r="G450" s="35">
        <f ca="1"/>
        <v>-983.88888888888414</v>
      </c>
      <c r="H450" s="35">
        <f ca="1"/>
        <v>-944.75811411465747</v>
      </c>
      <c r="I450" s="35">
        <f ca="1"/>
        <v>-907.1836304539122</v>
      </c>
      <c r="J450" s="35">
        <f ca="1"/>
        <v>-871.10354181479113</v>
      </c>
      <c r="K450" s="35">
        <f ca="1"/>
        <v>-836.45841380823276</v>
      </c>
      <c r="M450" s="4" t="str">
        <f t="shared" si="30"/>
        <v>$M(2015) per Mtonne</v>
      </c>
    </row>
    <row r="451" spans="1:13" s="2" customFormat="1" ht="15.5" thickTop="1" x14ac:dyDescent="0.4">
      <c r="A451" s="2" t="s">
        <v>324</v>
      </c>
      <c r="B451" s="2" t="s">
        <v>333</v>
      </c>
    </row>
    <row r="452" spans="1:13" s="7" customFormat="1" x14ac:dyDescent="0.25">
      <c r="A452" s="4" t="str">
        <f t="array" ref="A452:A459">R_CODE&amp;" "&amp;GLIN_NAME</f>
        <v>EU Lin</v>
      </c>
      <c r="B452" s="66">
        <f t="array" aca="1" ref="B452:K459" ca="1">IF(Q0_GLIN=0,0,C0_GLIN/(EXP(-BLO_GLIN*Q0_GLIN)-1))</f>
        <v>-33.405816878756433</v>
      </c>
      <c r="C452" s="66">
        <f ca="1"/>
        <v>-33.135765722748729</v>
      </c>
      <c r="D452" s="66">
        <f ca="1"/>
        <v>-32.867897648421838</v>
      </c>
      <c r="E452" s="66">
        <f ca="1"/>
        <v>-32.602195007839391</v>
      </c>
      <c r="F452" s="66">
        <f ca="1"/>
        <v>-31.947297648642635</v>
      </c>
      <c r="G452" s="66">
        <f ca="1"/>
        <v>-31.305555555555401</v>
      </c>
      <c r="H452" s="66">
        <f ca="1"/>
        <v>-30.060485449102735</v>
      </c>
      <c r="I452" s="66">
        <f ca="1"/>
        <v>-28.864933696260838</v>
      </c>
      <c r="J452" s="66">
        <f ca="1"/>
        <v>-27.716930875925168</v>
      </c>
      <c r="K452" s="66">
        <f ca="1"/>
        <v>-26.614585893898308</v>
      </c>
      <c r="M452" s="4" t="str">
        <f t="shared" ref="M452:M459" si="31">CURRENCY_NAME&amp;" per "&amp;EMIT_NAME</f>
        <v>$M(2015) per Mtonne</v>
      </c>
    </row>
    <row r="453" spans="1:13" s="7" customFormat="1" x14ac:dyDescent="0.25">
      <c r="A453" s="4" t="str">
        <v>US Lin</v>
      </c>
      <c r="B453" s="67">
        <f ca="1"/>
        <v>-33.405816878756433</v>
      </c>
      <c r="C453" s="67">
        <f ca="1"/>
        <v>-33.135765722748729</v>
      </c>
      <c r="D453" s="67">
        <f ca="1"/>
        <v>-32.867897648421838</v>
      </c>
      <c r="E453" s="67">
        <f ca="1"/>
        <v>-32.602195007839391</v>
      </c>
      <c r="F453" s="67">
        <f ca="1"/>
        <v>-31.947297648642635</v>
      </c>
      <c r="G453" s="67">
        <f ca="1"/>
        <v>-31.305555555555401</v>
      </c>
      <c r="H453" s="67">
        <f ca="1"/>
        <v>-30.060485449102735</v>
      </c>
      <c r="I453" s="67">
        <f ca="1"/>
        <v>-28.864933696260838</v>
      </c>
      <c r="J453" s="67">
        <f ca="1"/>
        <v>-27.716930875925168</v>
      </c>
      <c r="K453" s="67">
        <f ca="1"/>
        <v>-26.614585893898308</v>
      </c>
      <c r="M453" s="4" t="str">
        <f t="shared" si="31"/>
        <v>$M(2015) per Mtonne</v>
      </c>
    </row>
    <row r="454" spans="1:13" s="7" customFormat="1" x14ac:dyDescent="0.25">
      <c r="A454" s="4" t="str">
        <v>OT Lin</v>
      </c>
      <c r="B454" s="67">
        <f ca="1"/>
        <v>-33.405816878756433</v>
      </c>
      <c r="C454" s="67">
        <f ca="1"/>
        <v>-33.135765722748729</v>
      </c>
      <c r="D454" s="67">
        <f ca="1"/>
        <v>-32.867897648421838</v>
      </c>
      <c r="E454" s="67">
        <f ca="1"/>
        <v>-32.602195007839391</v>
      </c>
      <c r="F454" s="67">
        <f ca="1"/>
        <v>-31.947297648642635</v>
      </c>
      <c r="G454" s="67">
        <f ca="1"/>
        <v>-31.305555555555401</v>
      </c>
      <c r="H454" s="67">
        <f ca="1"/>
        <v>-30.060485449102735</v>
      </c>
      <c r="I454" s="67">
        <f ca="1"/>
        <v>-28.864933696260838</v>
      </c>
      <c r="J454" s="67">
        <f ca="1"/>
        <v>-27.716930875925168</v>
      </c>
      <c r="K454" s="67">
        <f ca="1"/>
        <v>-26.614585893898308</v>
      </c>
      <c r="M454" s="4" t="str">
        <f t="shared" si="31"/>
        <v>$M(2015) per Mtonne</v>
      </c>
    </row>
    <row r="455" spans="1:13" s="7" customFormat="1" x14ac:dyDescent="0.25">
      <c r="A455" s="4" t="str">
        <v>EE Lin</v>
      </c>
      <c r="B455" s="67">
        <f ca="1"/>
        <v>-33.405816878756433</v>
      </c>
      <c r="C455" s="67">
        <f ca="1"/>
        <v>-33.135765722748729</v>
      </c>
      <c r="D455" s="67">
        <f ca="1"/>
        <v>-32.867897648421838</v>
      </c>
      <c r="E455" s="67">
        <f ca="1"/>
        <v>-32.602195007839391</v>
      </c>
      <c r="F455" s="67">
        <f ca="1"/>
        <v>-31.947297648642635</v>
      </c>
      <c r="G455" s="67">
        <f ca="1"/>
        <v>-31.305555555555401</v>
      </c>
      <c r="H455" s="67">
        <f ca="1"/>
        <v>-30.060485449102735</v>
      </c>
      <c r="I455" s="67">
        <f ca="1"/>
        <v>-28.864933696260838</v>
      </c>
      <c r="J455" s="67">
        <f ca="1"/>
        <v>-27.716930875925168</v>
      </c>
      <c r="K455" s="67">
        <f ca="1"/>
        <v>-26.614585893898308</v>
      </c>
      <c r="M455" s="4" t="str">
        <f t="shared" si="31"/>
        <v>$M(2015) per Mtonne</v>
      </c>
    </row>
    <row r="456" spans="1:13" s="7" customFormat="1" x14ac:dyDescent="0.25">
      <c r="A456" s="4" t="str">
        <v>CA Lin</v>
      </c>
      <c r="B456" s="67">
        <f ca="1"/>
        <v>-33.405816878756433</v>
      </c>
      <c r="C456" s="67">
        <f ca="1"/>
        <v>-33.135765722748729</v>
      </c>
      <c r="D456" s="67">
        <f ca="1"/>
        <v>-32.867897648421838</v>
      </c>
      <c r="E456" s="67">
        <f ca="1"/>
        <v>-32.602195007839391</v>
      </c>
      <c r="F456" s="67">
        <f ca="1"/>
        <v>-31.947297648642635</v>
      </c>
      <c r="G456" s="67">
        <f ca="1"/>
        <v>-31.305555555555401</v>
      </c>
      <c r="H456" s="67">
        <f ca="1"/>
        <v>-30.060485449102735</v>
      </c>
      <c r="I456" s="67">
        <f ca="1"/>
        <v>-28.864933696260838</v>
      </c>
      <c r="J456" s="67">
        <f ca="1"/>
        <v>-27.716930875925168</v>
      </c>
      <c r="K456" s="67">
        <f ca="1"/>
        <v>-26.614585893898308</v>
      </c>
      <c r="M456" s="4" t="str">
        <f t="shared" si="31"/>
        <v>$M(2015) per Mtonne</v>
      </c>
    </row>
    <row r="457" spans="1:13" s="7" customFormat="1" x14ac:dyDescent="0.25">
      <c r="A457" s="4" t="str">
        <v>IA Lin</v>
      </c>
      <c r="B457" s="67">
        <f ca="1"/>
        <v>-33.405816878756433</v>
      </c>
      <c r="C457" s="67">
        <f ca="1"/>
        <v>-33.135765722748729</v>
      </c>
      <c r="D457" s="67">
        <f ca="1"/>
        <v>-32.867897648421838</v>
      </c>
      <c r="E457" s="67">
        <f ca="1"/>
        <v>-32.602195007839391</v>
      </c>
      <c r="F457" s="67">
        <f ca="1"/>
        <v>-31.947297648642635</v>
      </c>
      <c r="G457" s="67">
        <f ca="1"/>
        <v>-31.305555555555401</v>
      </c>
      <c r="H457" s="67">
        <f ca="1"/>
        <v>-30.060485449102735</v>
      </c>
      <c r="I457" s="67">
        <f ca="1"/>
        <v>-28.864933696260838</v>
      </c>
      <c r="J457" s="67">
        <f ca="1"/>
        <v>-27.716930875925168</v>
      </c>
      <c r="K457" s="67">
        <f ca="1"/>
        <v>-26.614585893898308</v>
      </c>
      <c r="M457" s="4" t="str">
        <f t="shared" si="31"/>
        <v>$M(2015) per Mtonne</v>
      </c>
    </row>
    <row r="458" spans="1:13" s="7" customFormat="1" x14ac:dyDescent="0.25">
      <c r="A458" s="4" t="str">
        <v>AF Lin</v>
      </c>
      <c r="B458" s="67">
        <f ca="1"/>
        <v>-33.405816878756433</v>
      </c>
      <c r="C458" s="67">
        <f ca="1"/>
        <v>-33.135765722748729</v>
      </c>
      <c r="D458" s="67">
        <f ca="1"/>
        <v>-32.867897648421838</v>
      </c>
      <c r="E458" s="67">
        <f ca="1"/>
        <v>-32.602195007839391</v>
      </c>
      <c r="F458" s="67">
        <f ca="1"/>
        <v>-31.947297648642635</v>
      </c>
      <c r="G458" s="67">
        <f ca="1"/>
        <v>-31.305555555555401</v>
      </c>
      <c r="H458" s="67">
        <f ca="1"/>
        <v>-30.060485449102735</v>
      </c>
      <c r="I458" s="67">
        <f ca="1"/>
        <v>-28.864933696260838</v>
      </c>
      <c r="J458" s="67">
        <f ca="1"/>
        <v>-27.716930875925168</v>
      </c>
      <c r="K458" s="67">
        <f ca="1"/>
        <v>-26.614585893898308</v>
      </c>
      <c r="M458" s="4" t="str">
        <f t="shared" si="31"/>
        <v>$M(2015) per Mtonne</v>
      </c>
    </row>
    <row r="459" spans="1:13" s="7" customFormat="1" ht="13" thickBot="1" x14ac:dyDescent="0.3">
      <c r="A459" s="4" t="str">
        <v>LA Lin</v>
      </c>
      <c r="B459" s="68">
        <f ca="1"/>
        <v>-33.405816878756433</v>
      </c>
      <c r="C459" s="68">
        <f ca="1"/>
        <v>-33.135765722748729</v>
      </c>
      <c r="D459" s="68">
        <f ca="1"/>
        <v>-32.867897648421838</v>
      </c>
      <c r="E459" s="68">
        <f ca="1"/>
        <v>-32.602195007839391</v>
      </c>
      <c r="F459" s="68">
        <f ca="1"/>
        <v>-31.947297648642635</v>
      </c>
      <c r="G459" s="68">
        <f ca="1"/>
        <v>-31.305555555555401</v>
      </c>
      <c r="H459" s="68">
        <f ca="1"/>
        <v>-30.060485449102735</v>
      </c>
      <c r="I459" s="68">
        <f ca="1"/>
        <v>-28.864933696260838</v>
      </c>
      <c r="J459" s="68">
        <f ca="1"/>
        <v>-27.716930875925168</v>
      </c>
      <c r="K459" s="68">
        <f ca="1"/>
        <v>-26.614585893898308</v>
      </c>
      <c r="M459" s="4" t="str">
        <f t="shared" si="31"/>
        <v>$M(2015) per Mtonne</v>
      </c>
    </row>
    <row r="460" spans="1:13" s="2" customFormat="1" ht="15.5" thickTop="1" x14ac:dyDescent="0.4">
      <c r="A460" s="2" t="s">
        <v>334</v>
      </c>
      <c r="B460" s="2" t="s">
        <v>335</v>
      </c>
    </row>
    <row r="461" spans="1:13" s="6" customFormat="1" x14ac:dyDescent="0.25">
      <c r="A461" s="4" t="str">
        <f t="array" ref="A461:A468">R_CODE&amp;" "&amp;'Base data'!$B$12</f>
        <v>EU CO2</v>
      </c>
      <c r="B461" s="37">
        <f t="array" aca="1" ref="B461:K468" ca="1">2*LN((1+CURVE_ABOVE)/(1-CURVE_ABOVE))/(QMAX_CO2-Q0_CO2)</f>
        <v>5.7712828447817398E-4</v>
      </c>
      <c r="C461" s="37">
        <f ca="1"/>
        <v>4.8815427049388296E-4</v>
      </c>
      <c r="D461" s="37">
        <f ca="1"/>
        <v>4.4242274218212331E-4</v>
      </c>
      <c r="E461" s="37">
        <f ca="1"/>
        <v>4.0049004534583075E-4</v>
      </c>
      <c r="F461" s="37">
        <f ca="1"/>
        <v>3.3643361701415713E-4</v>
      </c>
      <c r="G461" s="37">
        <f ca="1"/>
        <v>3.4791320735399106E-4</v>
      </c>
      <c r="H461" s="37">
        <f ca="1"/>
        <v>3.4009554444987755E-4</v>
      </c>
      <c r="I461" s="37">
        <f ca="1"/>
        <v>3.3307187760129296E-4</v>
      </c>
      <c r="J461" s="37">
        <f ca="1"/>
        <v>3.2685592998042993E-4</v>
      </c>
      <c r="K461" s="37">
        <f ca="1"/>
        <v>3.2147064364141542E-4</v>
      </c>
      <c r="M461" s="4" t="str">
        <f t="shared" ref="M461:M468" si="32">"per "&amp;EMIT_NAME</f>
        <v>per Mtonne</v>
      </c>
    </row>
    <row r="462" spans="1:13" s="6" customFormat="1" x14ac:dyDescent="0.25">
      <c r="A462" s="4" t="str">
        <v>US CO2</v>
      </c>
      <c r="B462" s="38">
        <f ca="1"/>
        <v>4.1072594404393945E-4</v>
      </c>
      <c r="C462" s="38">
        <f ca="1"/>
        <v>3.4740564442958474E-4</v>
      </c>
      <c r="D462" s="38">
        <f ca="1"/>
        <v>3.1485980385377078E-4</v>
      </c>
      <c r="E462" s="38">
        <f ca="1"/>
        <v>2.8501748463705264E-4</v>
      </c>
      <c r="F462" s="38">
        <f ca="1"/>
        <v>2.3943032887601041E-4</v>
      </c>
      <c r="G462" s="38">
        <f ca="1"/>
        <v>2.4760002997431849E-4</v>
      </c>
      <c r="H462" s="38">
        <f ca="1"/>
        <v>2.4203641948620564E-4</v>
      </c>
      <c r="I462" s="38">
        <f ca="1"/>
        <v>2.3703787362626156E-4</v>
      </c>
      <c r="J462" s="38">
        <f ca="1"/>
        <v>2.326141587895938E-4</v>
      </c>
      <c r="K462" s="38">
        <f ca="1"/>
        <v>2.2878160218991418E-4</v>
      </c>
      <c r="M462" s="4" t="str">
        <f t="shared" si="32"/>
        <v>per Mtonne</v>
      </c>
    </row>
    <row r="463" spans="1:13" s="6" customFormat="1" x14ac:dyDescent="0.25">
      <c r="A463" s="4" t="str">
        <v>OT CO2</v>
      </c>
      <c r="B463" s="38">
        <f ca="1"/>
        <v>1.0416009940954309E-3</v>
      </c>
      <c r="C463" s="38">
        <f ca="1"/>
        <v>8.8102071427342723E-4</v>
      </c>
      <c r="D463" s="38">
        <f ca="1"/>
        <v>7.9848446257316306E-4</v>
      </c>
      <c r="E463" s="38">
        <f ca="1"/>
        <v>7.2280434103956569E-4</v>
      </c>
      <c r="F463" s="38">
        <f ca="1"/>
        <v>6.071953140295626E-4</v>
      </c>
      <c r="G463" s="38">
        <f ca="1"/>
        <v>6.2791367601487181E-4</v>
      </c>
      <c r="H463" s="38">
        <f ca="1"/>
        <v>6.1380435981701767E-4</v>
      </c>
      <c r="I463" s="38">
        <f ca="1"/>
        <v>6.0112804751619956E-4</v>
      </c>
      <c r="J463" s="38">
        <f ca="1"/>
        <v>5.8990950669041012E-4</v>
      </c>
      <c r="K463" s="38">
        <f ca="1"/>
        <v>5.8019014315362249E-4</v>
      </c>
      <c r="M463" s="4" t="str">
        <f t="shared" si="32"/>
        <v>per Mtonne</v>
      </c>
    </row>
    <row r="464" spans="1:13" s="6" customFormat="1" x14ac:dyDescent="0.25">
      <c r="A464" s="4" t="str">
        <v>EE CO2</v>
      </c>
      <c r="B464" s="38">
        <f ca="1"/>
        <v>6.6162812307830161E-4</v>
      </c>
      <c r="C464" s="38">
        <f ca="1"/>
        <v>5.3277603674332257E-4</v>
      </c>
      <c r="D464" s="38">
        <f ca="1"/>
        <v>4.273949033304759E-4</v>
      </c>
      <c r="E464" s="38">
        <f ca="1"/>
        <v>3.4882145943744406E-4</v>
      </c>
      <c r="F464" s="38">
        <f ca="1"/>
        <v>2.5124444398025401E-4</v>
      </c>
      <c r="G464" s="38">
        <f ca="1"/>
        <v>1.860078088201865E-4</v>
      </c>
      <c r="H464" s="38">
        <f ca="1"/>
        <v>1.8182818494804801E-4</v>
      </c>
      <c r="I464" s="38">
        <f ca="1"/>
        <v>1.780730619668761E-4</v>
      </c>
      <c r="J464" s="38">
        <f ca="1"/>
        <v>1.747497768133999E-4</v>
      </c>
      <c r="K464" s="38">
        <f ca="1"/>
        <v>1.7187059519391585E-4</v>
      </c>
      <c r="M464" s="4" t="str">
        <f t="shared" si="32"/>
        <v>per Mtonne</v>
      </c>
    </row>
    <row r="465" spans="1:13" s="6" customFormat="1" x14ac:dyDescent="0.25">
      <c r="A465" s="4" t="str">
        <v>CA CO2</v>
      </c>
      <c r="B465" s="38">
        <f ca="1"/>
        <v>2.4428318445513821E-4</v>
      </c>
      <c r="C465" s="38">
        <f ca="1"/>
        <v>2.1673161458714917E-4</v>
      </c>
      <c r="D465" s="38">
        <f ca="1"/>
        <v>1.7579816276346849E-4</v>
      </c>
      <c r="E465" s="38">
        <f ca="1"/>
        <v>1.4431042661054708E-4</v>
      </c>
      <c r="F465" s="38">
        <f ca="1"/>
        <v>1.0983781934563406E-4</v>
      </c>
      <c r="G465" s="38">
        <f ca="1"/>
        <v>1.0347372298149827E-4</v>
      </c>
      <c r="H465" s="38">
        <f ca="1"/>
        <v>1.0114865262313178E-4</v>
      </c>
      <c r="I465" s="38">
        <f ca="1"/>
        <v>9.9059726585134874E-5</v>
      </c>
      <c r="J465" s="38">
        <f ca="1"/>
        <v>9.7211026309912895E-5</v>
      </c>
      <c r="K465" s="38">
        <f ca="1"/>
        <v>9.5609375050228842E-5</v>
      </c>
      <c r="M465" s="4" t="str">
        <f t="shared" si="32"/>
        <v>per Mtonne</v>
      </c>
    </row>
    <row r="466" spans="1:13" s="6" customFormat="1" x14ac:dyDescent="0.25">
      <c r="A466" s="4" t="str">
        <v>IA CO2</v>
      </c>
      <c r="B466" s="38">
        <f ca="1"/>
        <v>4.0162256885151214E-4</v>
      </c>
      <c r="C466" s="38">
        <f ca="1"/>
        <v>3.5632541796102267E-4</v>
      </c>
      <c r="D466" s="38">
        <f ca="1"/>
        <v>2.8902730200574541E-4</v>
      </c>
      <c r="E466" s="38">
        <f ca="1"/>
        <v>2.3725875514787797E-4</v>
      </c>
      <c r="F466" s="38">
        <f ca="1"/>
        <v>1.8058282341878982E-4</v>
      </c>
      <c r="G466" s="38">
        <f ca="1"/>
        <v>1.7011970154700093E-4</v>
      </c>
      <c r="H466" s="38">
        <f ca="1"/>
        <v>1.6629708587179409E-4</v>
      </c>
      <c r="I466" s="38">
        <f ca="1"/>
        <v>1.6286271177276481E-4</v>
      </c>
      <c r="J466" s="38">
        <f ca="1"/>
        <v>1.5982328949231919E-4</v>
      </c>
      <c r="K466" s="38">
        <f ca="1"/>
        <v>1.5719003704494616E-4</v>
      </c>
      <c r="M466" s="4" t="str">
        <f t="shared" si="32"/>
        <v>per Mtonne</v>
      </c>
    </row>
    <row r="467" spans="1:13" s="6" customFormat="1" x14ac:dyDescent="0.25">
      <c r="A467" s="4" t="str">
        <v>AF CO2</v>
      </c>
      <c r="B467" s="38">
        <f ca="1"/>
        <v>4.4320263681452675E-4</v>
      </c>
      <c r="C467" s="38">
        <f ca="1"/>
        <v>3.4866664992134241E-4</v>
      </c>
      <c r="D467" s="38">
        <f ca="1"/>
        <v>2.6333771138015014E-4</v>
      </c>
      <c r="E467" s="38">
        <f ca="1"/>
        <v>2.0319461814268693E-4</v>
      </c>
      <c r="F467" s="38">
        <f ca="1"/>
        <v>1.3352329797919281E-4</v>
      </c>
      <c r="G467" s="38">
        <f ca="1"/>
        <v>1.0934759651652045E-4</v>
      </c>
      <c r="H467" s="38">
        <f ca="1"/>
        <v>1.0689053932273763E-4</v>
      </c>
      <c r="I467" s="38">
        <f ca="1"/>
        <v>1.0468303160991873E-4</v>
      </c>
      <c r="J467" s="38">
        <f ca="1"/>
        <v>1.0272938651094905E-4</v>
      </c>
      <c r="K467" s="38">
        <f ca="1"/>
        <v>1.0103681461290858E-4</v>
      </c>
      <c r="M467" s="4" t="str">
        <f t="shared" si="32"/>
        <v>per Mtonne</v>
      </c>
    </row>
    <row r="468" spans="1:13" s="6" customFormat="1" ht="13" thickBot="1" x14ac:dyDescent="0.3">
      <c r="A468" s="4" t="str">
        <v>LA CO2</v>
      </c>
      <c r="B468" s="39">
        <f ca="1"/>
        <v>6.4885956028103468E-4</v>
      </c>
      <c r="C468" s="39">
        <f ca="1"/>
        <v>5.5958257258731457E-4</v>
      </c>
      <c r="D468" s="39">
        <f ca="1"/>
        <v>4.5064557813073264E-4</v>
      </c>
      <c r="E468" s="39">
        <f ca="1"/>
        <v>3.5836577301988663E-4</v>
      </c>
      <c r="F468" s="39">
        <f ca="1"/>
        <v>2.7578725403567064E-4</v>
      </c>
      <c r="G468" s="39">
        <f ca="1"/>
        <v>3.7638425257072937E-4</v>
      </c>
      <c r="H468" s="39">
        <f ca="1"/>
        <v>3.6792684093236961E-4</v>
      </c>
      <c r="I468" s="39">
        <f ca="1"/>
        <v>3.603284010306027E-4</v>
      </c>
      <c r="J468" s="39">
        <f ca="1"/>
        <v>3.5360377905637298E-4</v>
      </c>
      <c r="K468" s="39">
        <f ca="1"/>
        <v>3.4777779449831345E-4</v>
      </c>
      <c r="M468" s="4" t="str">
        <f t="shared" si="32"/>
        <v>per Mtonne</v>
      </c>
    </row>
    <row r="469" spans="1:13" s="2" customFormat="1" ht="15.5" thickTop="1" x14ac:dyDescent="0.4">
      <c r="A469" s="2" t="s">
        <v>334</v>
      </c>
      <c r="B469" s="2" t="s">
        <v>336</v>
      </c>
    </row>
    <row r="470" spans="1:13" s="7" customFormat="1" x14ac:dyDescent="0.25">
      <c r="A470" s="4" t="str">
        <f t="array" ref="A470:A477">R_CODE&amp;" "&amp;'Base data'!$C$12</f>
        <v>EU CH4</v>
      </c>
      <c r="B470" s="29">
        <f t="array" aca="1" ref="B470:K477" ca="1">2*LN((1+CURVE_ABOVE)/(1-CURVE_ABOVE))/(QMAX_CH4-Q0_CH4)</f>
        <v>0.1341195516000088</v>
      </c>
      <c r="C470" s="29">
        <f ca="1"/>
        <v>0.12489059026328368</v>
      </c>
      <c r="D470" s="29">
        <f ca="1"/>
        <v>0.11602349379148888</v>
      </c>
      <c r="E470" s="29">
        <f ca="1"/>
        <v>0.10702218555107719</v>
      </c>
      <c r="F470" s="29">
        <f ca="1"/>
        <v>8.8079266700902714E-2</v>
      </c>
      <c r="G470" s="29">
        <f ca="1"/>
        <v>7.5487344425289857E-2</v>
      </c>
      <c r="H470" s="29">
        <f ca="1"/>
        <v>7.5139436240065152E-2</v>
      </c>
      <c r="I470" s="29">
        <f ca="1"/>
        <v>7.5083109409966417E-2</v>
      </c>
      <c r="J470" s="29">
        <f ca="1"/>
        <v>7.5357711760272589E-2</v>
      </c>
      <c r="K470" s="29">
        <f ca="1"/>
        <v>7.6016151427290166E-2</v>
      </c>
      <c r="M470" s="4" t="str">
        <f t="shared" ref="M470:M477" si="33">"per "&amp;EMIT_NAME</f>
        <v>per Mtonne</v>
      </c>
    </row>
    <row r="471" spans="1:13" s="7" customFormat="1" x14ac:dyDescent="0.25">
      <c r="A471" s="4" t="str">
        <v>US CH4</v>
      </c>
      <c r="B471" s="26">
        <f ca="1"/>
        <v>0.11031115600820786</v>
      </c>
      <c r="C471" s="26">
        <f ca="1"/>
        <v>0.10272048498624227</v>
      </c>
      <c r="D471" s="26">
        <f ca="1"/>
        <v>9.5427441946871402E-2</v>
      </c>
      <c r="E471" s="26">
        <f ca="1"/>
        <v>8.8024011904491536E-2</v>
      </c>
      <c r="F471" s="26">
        <f ca="1"/>
        <v>7.2443768370988107E-2</v>
      </c>
      <c r="G471" s="26">
        <f ca="1"/>
        <v>6.2087116518088029E-2</v>
      </c>
      <c r="H471" s="26">
        <f ca="1"/>
        <v>6.1800967678198454E-2</v>
      </c>
      <c r="I471" s="26">
        <f ca="1"/>
        <v>6.1754639773964178E-2</v>
      </c>
      <c r="J471" s="26">
        <f ca="1"/>
        <v>6.1980495753524753E-2</v>
      </c>
      <c r="K471" s="26">
        <f ca="1"/>
        <v>6.2522051700915515E-2</v>
      </c>
      <c r="M471" s="4" t="str">
        <f t="shared" si="33"/>
        <v>per Mtonne</v>
      </c>
    </row>
    <row r="472" spans="1:13" s="7" customFormat="1" x14ac:dyDescent="0.25">
      <c r="A472" s="4" t="str">
        <v>OT CH4</v>
      </c>
      <c r="B472" s="26">
        <f ca="1"/>
        <v>0.14424338095246622</v>
      </c>
      <c r="C472" s="26">
        <f ca="1"/>
        <v>0.13431778419936211</v>
      </c>
      <c r="D472" s="26">
        <f ca="1"/>
        <v>0.1247813671813732</v>
      </c>
      <c r="E472" s="26">
        <f ca="1"/>
        <v>0.11510060760454062</v>
      </c>
      <c r="F472" s="26">
        <f ca="1"/>
        <v>9.4727808654195847E-2</v>
      </c>
      <c r="G472" s="26">
        <f ca="1"/>
        <v>8.1185402494489065E-2</v>
      </c>
      <c r="H472" s="26">
        <f ca="1"/>
        <v>8.0811232939795724E-2</v>
      </c>
      <c r="I472" s="26">
        <f ca="1"/>
        <v>8.0750654356622334E-2</v>
      </c>
      <c r="J472" s="26">
        <f ca="1"/>
        <v>8.1045984686563988E-2</v>
      </c>
      <c r="K472" s="26">
        <f ca="1"/>
        <v>8.17541257636165E-2</v>
      </c>
      <c r="M472" s="4" t="str">
        <f t="shared" si="33"/>
        <v>per Mtonne</v>
      </c>
    </row>
    <row r="473" spans="1:13" s="7" customFormat="1" x14ac:dyDescent="0.25">
      <c r="A473" s="4" t="str">
        <v>EE CH4</v>
      </c>
      <c r="B473" s="26">
        <f ca="1"/>
        <v>6.8497423145041578E-2</v>
      </c>
      <c r="C473" s="26">
        <f ca="1"/>
        <v>6.2980396083443274E-2</v>
      </c>
      <c r="D473" s="26">
        <f ca="1"/>
        <v>5.2768811764090595E-2</v>
      </c>
      <c r="E473" s="26">
        <f ca="1"/>
        <v>4.6186904969308155E-2</v>
      </c>
      <c r="F473" s="26">
        <f ca="1"/>
        <v>4.0043338901616626E-2</v>
      </c>
      <c r="G473" s="26">
        <f ca="1"/>
        <v>2.9581878450394526E-2</v>
      </c>
      <c r="H473" s="26">
        <f ca="1"/>
        <v>2.9445540661251601E-2</v>
      </c>
      <c r="I473" s="26">
        <f ca="1"/>
        <v>2.942346737924437E-2</v>
      </c>
      <c r="J473" s="26">
        <f ca="1"/>
        <v>2.9531078176932311E-2</v>
      </c>
      <c r="K473" s="26">
        <f ca="1"/>
        <v>2.9789106623222525E-2</v>
      </c>
      <c r="M473" s="4" t="str">
        <f t="shared" si="33"/>
        <v>per Mtonne</v>
      </c>
    </row>
    <row r="474" spans="1:13" s="7" customFormat="1" x14ac:dyDescent="0.25">
      <c r="A474" s="4" t="str">
        <v>CA CH4</v>
      </c>
      <c r="B474" s="26">
        <f ca="1"/>
        <v>4.8649296309585213E-2</v>
      </c>
      <c r="C474" s="26">
        <f ca="1"/>
        <v>4.429230354575478E-2</v>
      </c>
      <c r="D474" s="26">
        <f ca="1"/>
        <v>3.7557688831366995E-2</v>
      </c>
      <c r="E474" s="26">
        <f ca="1"/>
        <v>3.143421820650056E-2</v>
      </c>
      <c r="F474" s="26">
        <f ca="1"/>
        <v>2.4878112801906518E-2</v>
      </c>
      <c r="G474" s="26">
        <f ca="1"/>
        <v>2.2671252002455011E-2</v>
      </c>
      <c r="H474" s="26">
        <f ca="1"/>
        <v>2.2566764101853973E-2</v>
      </c>
      <c r="I474" s="26">
        <f ca="1"/>
        <v>2.2549847362109191E-2</v>
      </c>
      <c r="J474" s="26">
        <f ca="1"/>
        <v>2.2632319187441696E-2</v>
      </c>
      <c r="K474" s="26">
        <f ca="1"/>
        <v>2.283006957504663E-2</v>
      </c>
      <c r="M474" s="4" t="str">
        <f t="shared" si="33"/>
        <v>per Mtonne</v>
      </c>
    </row>
    <row r="475" spans="1:13" s="7" customFormat="1" x14ac:dyDescent="0.25">
      <c r="A475" s="4" t="str">
        <v>IA CH4</v>
      </c>
      <c r="B475" s="26">
        <f ca="1"/>
        <v>3.8652865561040306E-2</v>
      </c>
      <c r="C475" s="26">
        <f ca="1"/>
        <v>3.5191145282928452E-2</v>
      </c>
      <c r="D475" s="26">
        <f ca="1"/>
        <v>2.9840355509853225E-2</v>
      </c>
      <c r="E475" s="26">
        <f ca="1"/>
        <v>2.4975132273657979E-2</v>
      </c>
      <c r="F475" s="26">
        <f ca="1"/>
        <v>1.9766171815213399E-2</v>
      </c>
      <c r="G475" s="26">
        <f ca="1"/>
        <v>1.8012775563594395E-2</v>
      </c>
      <c r="H475" s="26">
        <f ca="1"/>
        <v>1.792975777955521E-2</v>
      </c>
      <c r="I475" s="26">
        <f ca="1"/>
        <v>1.7916317082223739E-2</v>
      </c>
      <c r="J475" s="26">
        <f ca="1"/>
        <v>1.7981842642076962E-2</v>
      </c>
      <c r="K475" s="26">
        <f ca="1"/>
        <v>1.813895938839321E-2</v>
      </c>
      <c r="M475" s="4" t="str">
        <f t="shared" si="33"/>
        <v>per Mtonne</v>
      </c>
    </row>
    <row r="476" spans="1:13" s="7" customFormat="1" x14ac:dyDescent="0.25">
      <c r="A476" s="4" t="str">
        <v>AF CH4</v>
      </c>
      <c r="B476" s="26">
        <f ca="1"/>
        <v>3.5684606419531174E-2</v>
      </c>
      <c r="C476" s="26">
        <f ca="1"/>
        <v>2.7732187458767297E-2</v>
      </c>
      <c r="D476" s="26">
        <f ca="1"/>
        <v>2.2055042812019972E-2</v>
      </c>
      <c r="E476" s="26">
        <f ca="1"/>
        <v>1.884475642467677E-2</v>
      </c>
      <c r="F476" s="26">
        <f ca="1"/>
        <v>1.6544673389867703E-2</v>
      </c>
      <c r="G476" s="26">
        <f ca="1"/>
        <v>1.5186997937971959E-2</v>
      </c>
      <c r="H476" s="26">
        <f ca="1"/>
        <v>1.5117003676922805E-2</v>
      </c>
      <c r="I476" s="26">
        <f ca="1"/>
        <v>1.5105671506489806E-2</v>
      </c>
      <c r="J476" s="26">
        <f ca="1"/>
        <v>1.5160917658803315E-2</v>
      </c>
      <c r="K476" s="26">
        <f ca="1"/>
        <v>1.529338651091894E-2</v>
      </c>
      <c r="M476" s="4" t="str">
        <f t="shared" si="33"/>
        <v>per Mtonne</v>
      </c>
    </row>
    <row r="477" spans="1:13" s="7" customFormat="1" ht="13" thickBot="1" x14ac:dyDescent="0.3">
      <c r="A477" s="4" t="str">
        <v>LA CH4</v>
      </c>
      <c r="B477" s="35">
        <f ca="1"/>
        <v>4.464946863670894E-2</v>
      </c>
      <c r="C477" s="35">
        <f ca="1"/>
        <v>3.7634194888890443E-2</v>
      </c>
      <c r="D477" s="35">
        <f ca="1"/>
        <v>3.2957214111015286E-2</v>
      </c>
      <c r="E477" s="35">
        <f ca="1"/>
        <v>3.011928391860412E-2</v>
      </c>
      <c r="F477" s="35">
        <f ca="1"/>
        <v>2.9652020949935843E-2</v>
      </c>
      <c r="G477" s="35">
        <f ca="1"/>
        <v>3.0447670978465569E-2</v>
      </c>
      <c r="H477" s="35">
        <f ca="1"/>
        <v>3.0307342900493233E-2</v>
      </c>
      <c r="I477" s="35">
        <f ca="1"/>
        <v>3.0284623585048204E-2</v>
      </c>
      <c r="J477" s="35">
        <f ca="1"/>
        <v>3.0395383899584245E-2</v>
      </c>
      <c r="K477" s="35">
        <f ca="1"/>
        <v>3.0660964236171172E-2</v>
      </c>
      <c r="M477" s="4" t="str">
        <f t="shared" si="33"/>
        <v>per Mtonne</v>
      </c>
    </row>
    <row r="478" spans="1:13" s="2" customFormat="1" ht="15.5" thickTop="1" x14ac:dyDescent="0.4">
      <c r="A478" s="2" t="s">
        <v>334</v>
      </c>
      <c r="B478" s="2" t="s">
        <v>337</v>
      </c>
    </row>
    <row r="479" spans="1:13" s="7" customFormat="1" x14ac:dyDescent="0.25">
      <c r="A479" s="4" t="str">
        <f t="array" ref="A479:A486">R_CODE&amp;" "&amp;'Base data'!$D$12</f>
        <v>EU N2O</v>
      </c>
      <c r="B479" s="29">
        <f t="array" aca="1" ref="B479:K486" ca="1">2*LN((1+CURVE_ABOVE)/(1-CURVE_ABOVE))/(QMAX_N2O-Q0_N2O)</f>
        <v>2.1974032984469027</v>
      </c>
      <c r="C479" s="29">
        <f ca="1"/>
        <v>2.0347888132702718</v>
      </c>
      <c r="D479" s="29">
        <f ca="1"/>
        <v>1.8633438400039739</v>
      </c>
      <c r="E479" s="29">
        <f ca="1"/>
        <v>1.7892373044921179</v>
      </c>
      <c r="F479" s="29">
        <f ca="1"/>
        <v>1.678646989713541</v>
      </c>
      <c r="G479" s="29">
        <f ca="1"/>
        <v>1.6077925214314026</v>
      </c>
      <c r="H479" s="29">
        <f ca="1"/>
        <v>1.5258831977924574</v>
      </c>
      <c r="I479" s="29">
        <f ca="1"/>
        <v>1.4483804396875517</v>
      </c>
      <c r="J479" s="29">
        <f ca="1"/>
        <v>1.3750417973951938</v>
      </c>
      <c r="K479" s="29">
        <f ca="1"/>
        <v>1.3056384251411641</v>
      </c>
      <c r="M479" s="4" t="str">
        <f t="shared" ref="M479:M486" si="34">"per "&amp;EMIT_NAME</f>
        <v>per Mtonne</v>
      </c>
    </row>
    <row r="480" spans="1:13" s="7" customFormat="1" x14ac:dyDescent="0.25">
      <c r="A480" s="4" t="str">
        <v>US N2O</v>
      </c>
      <c r="B480" s="26">
        <f ca="1"/>
        <v>2.4913324350403756</v>
      </c>
      <c r="C480" s="26">
        <f ca="1"/>
        <v>2.3069663054299068</v>
      </c>
      <c r="D480" s="26">
        <f ca="1"/>
        <v>2.1125885036741501</v>
      </c>
      <c r="E480" s="26">
        <f ca="1"/>
        <v>2.0285693271763048</v>
      </c>
      <c r="F480" s="26">
        <f ca="1"/>
        <v>1.903186226857885</v>
      </c>
      <c r="G480" s="26">
        <f ca="1"/>
        <v>1.8228541207198838</v>
      </c>
      <c r="H480" s="26">
        <f ca="1"/>
        <v>1.7299884392775413</v>
      </c>
      <c r="I480" s="26">
        <f ca="1"/>
        <v>1.6421187545417848</v>
      </c>
      <c r="J480" s="26">
        <f ca="1"/>
        <v>1.5589701862230276</v>
      </c>
      <c r="K480" s="26">
        <f ca="1"/>
        <v>1.4802832776706221</v>
      </c>
      <c r="M480" s="4" t="str">
        <f t="shared" si="34"/>
        <v>per Mtonne</v>
      </c>
    </row>
    <row r="481" spans="1:13" s="7" customFormat="1" x14ac:dyDescent="0.25">
      <c r="A481" s="4" t="str">
        <v>OT N2O</v>
      </c>
      <c r="B481" s="26">
        <f ca="1"/>
        <v>4.6349082857651007</v>
      </c>
      <c r="C481" s="26">
        <f ca="1"/>
        <v>4.291911064789188</v>
      </c>
      <c r="D481" s="26">
        <f ca="1"/>
        <v>3.9302879946379896</v>
      </c>
      <c r="E481" s="26">
        <f ca="1"/>
        <v>3.7739775914834981</v>
      </c>
      <c r="F481" s="26">
        <f ca="1"/>
        <v>3.5407131895164663</v>
      </c>
      <c r="G481" s="26">
        <f ca="1"/>
        <v>3.3912622615250156</v>
      </c>
      <c r="H481" s="26">
        <f ca="1"/>
        <v>3.218493701887426</v>
      </c>
      <c r="I481" s="26">
        <f ca="1"/>
        <v>3.0550197615488601</v>
      </c>
      <c r="J481" s="26">
        <f ca="1"/>
        <v>2.9003290495307872</v>
      </c>
      <c r="K481" s="26">
        <f ca="1"/>
        <v>2.7539388691994846</v>
      </c>
      <c r="M481" s="4" t="str">
        <f t="shared" si="34"/>
        <v>per Mtonne</v>
      </c>
    </row>
    <row r="482" spans="1:13" s="7" customFormat="1" x14ac:dyDescent="0.25">
      <c r="A482" s="4" t="str">
        <v>EE N2O</v>
      </c>
      <c r="B482" s="26">
        <f ca="1"/>
        <v>5.7349956991605806</v>
      </c>
      <c r="C482" s="26">
        <f ca="1"/>
        <v>5.129338483300371</v>
      </c>
      <c r="D482" s="26">
        <f ca="1"/>
        <v>4.7052470384680465</v>
      </c>
      <c r="E482" s="26">
        <f ca="1"/>
        <v>4.4949808215608327</v>
      </c>
      <c r="F482" s="26">
        <f ca="1"/>
        <v>4.1134556730067908</v>
      </c>
      <c r="G482" s="26">
        <f ca="1"/>
        <v>3.2484703679303335</v>
      </c>
      <c r="H482" s="26">
        <f ca="1"/>
        <v>3.0829763709428115</v>
      </c>
      <c r="I482" s="26">
        <f ca="1"/>
        <v>2.9263856356453783</v>
      </c>
      <c r="J482" s="26">
        <f ca="1"/>
        <v>2.778208303598289</v>
      </c>
      <c r="K482" s="26">
        <f ca="1"/>
        <v>2.6379820025075644</v>
      </c>
      <c r="M482" s="4" t="str">
        <f t="shared" si="34"/>
        <v>per Mtonne</v>
      </c>
    </row>
    <row r="483" spans="1:13" s="7" customFormat="1" x14ac:dyDescent="0.25">
      <c r="A483" s="4" t="str">
        <v>CA N2O</v>
      </c>
      <c r="B483" s="26">
        <f ca="1"/>
        <v>1.1270479674594798</v>
      </c>
      <c r="C483" s="26">
        <f ca="1"/>
        <v>0.99489482662879558</v>
      </c>
      <c r="D483" s="26">
        <f ca="1"/>
        <v>0.8820987092955328</v>
      </c>
      <c r="E483" s="26">
        <f ca="1"/>
        <v>0.82043292295579739</v>
      </c>
      <c r="F483" s="26">
        <f ca="1"/>
        <v>0.72834242177158803</v>
      </c>
      <c r="G483" s="26">
        <f ca="1"/>
        <v>0.6118823297898115</v>
      </c>
      <c r="H483" s="26">
        <f ca="1"/>
        <v>0.58070985752635995</v>
      </c>
      <c r="I483" s="26">
        <f ca="1"/>
        <v>0.55121440487171869</v>
      </c>
      <c r="J483" s="26">
        <f ca="1"/>
        <v>0.52330370202212584</v>
      </c>
      <c r="K483" s="26">
        <f ca="1"/>
        <v>0.49689065646805303</v>
      </c>
      <c r="M483" s="4" t="str">
        <f t="shared" si="34"/>
        <v>per Mtonne</v>
      </c>
    </row>
    <row r="484" spans="1:13" s="7" customFormat="1" x14ac:dyDescent="0.25">
      <c r="A484" s="4" t="str">
        <v>IA N2O</v>
      </c>
      <c r="B484" s="26">
        <f ca="1"/>
        <v>2.6883505198978326</v>
      </c>
      <c r="C484" s="26">
        <f ca="1"/>
        <v>2.373125280940934</v>
      </c>
      <c r="D484" s="26">
        <f ca="1"/>
        <v>2.1040724017108978</v>
      </c>
      <c r="E484" s="26">
        <f ca="1"/>
        <v>1.9569808372409083</v>
      </c>
      <c r="F484" s="26">
        <f ca="1"/>
        <v>1.7373171193831123</v>
      </c>
      <c r="G484" s="26">
        <f ca="1"/>
        <v>1.4595245516609985</v>
      </c>
      <c r="H484" s="26">
        <f ca="1"/>
        <v>1.3851687705092404</v>
      </c>
      <c r="I484" s="26">
        <f ca="1"/>
        <v>1.3148131886989416</v>
      </c>
      <c r="J484" s="26">
        <f ca="1"/>
        <v>1.2482377148213271</v>
      </c>
      <c r="K484" s="26">
        <f ca="1"/>
        <v>1.1852346068813542</v>
      </c>
      <c r="M484" s="4" t="str">
        <f t="shared" si="34"/>
        <v>per Mtonne</v>
      </c>
    </row>
    <row r="485" spans="1:13" s="7" customFormat="1" x14ac:dyDescent="0.25">
      <c r="A485" s="4" t="str">
        <v>AF N2O</v>
      </c>
      <c r="B485" s="26">
        <f ca="1"/>
        <v>1.2992627255079228</v>
      </c>
      <c r="C485" s="26">
        <f ca="1"/>
        <v>1.0580241286377263</v>
      </c>
      <c r="D485" s="26">
        <f ca="1"/>
        <v>0.90289024485137803</v>
      </c>
      <c r="E485" s="26">
        <f ca="1"/>
        <v>0.8028342175340073</v>
      </c>
      <c r="F485" s="26">
        <f ca="1"/>
        <v>0.61695291519871698</v>
      </c>
      <c r="G485" s="26">
        <f ca="1"/>
        <v>0.51648775969861838</v>
      </c>
      <c r="H485" s="26">
        <f ca="1"/>
        <v>0.49017518360388451</v>
      </c>
      <c r="I485" s="26">
        <f ca="1"/>
        <v>0.46527817396458787</v>
      </c>
      <c r="J485" s="26">
        <f ca="1"/>
        <v>0.44171884615828899</v>
      </c>
      <c r="K485" s="26">
        <f ca="1"/>
        <v>0.41942368569871674</v>
      </c>
      <c r="M485" s="4" t="str">
        <f t="shared" si="34"/>
        <v>per Mtonne</v>
      </c>
    </row>
    <row r="486" spans="1:13" s="7" customFormat="1" ht="13" thickBot="1" x14ac:dyDescent="0.3">
      <c r="A486" s="4" t="str">
        <v>LA N2O</v>
      </c>
      <c r="B486" s="35">
        <f ca="1"/>
        <v>1.3285725713328909</v>
      </c>
      <c r="C486" s="35">
        <f ca="1"/>
        <v>1.1478419999472937</v>
      </c>
      <c r="D486" s="35">
        <f ca="1"/>
        <v>1.0065128906369922</v>
      </c>
      <c r="E486" s="35">
        <f ca="1"/>
        <v>0.93979623710996252</v>
      </c>
      <c r="F486" s="35">
        <f ca="1"/>
        <v>0.85603275665187051</v>
      </c>
      <c r="G486" s="35">
        <f ca="1"/>
        <v>0.85537702744195898</v>
      </c>
      <c r="H486" s="35">
        <f ca="1"/>
        <v>0.81179966727879227</v>
      </c>
      <c r="I486" s="35">
        <f ca="1"/>
        <v>0.77056668605599965</v>
      </c>
      <c r="J486" s="35">
        <f ca="1"/>
        <v>0.73154909578582195</v>
      </c>
      <c r="K486" s="35">
        <f ca="1"/>
        <v>0.69462514604618353</v>
      </c>
      <c r="M486" s="4" t="str">
        <f t="shared" si="34"/>
        <v>per Mtonne</v>
      </c>
    </row>
    <row r="487" spans="1:13" s="2" customFormat="1" ht="15.5" thickTop="1" x14ac:dyDescent="0.4">
      <c r="A487" s="2" t="s">
        <v>334</v>
      </c>
      <c r="B487" s="2" t="s">
        <v>338</v>
      </c>
    </row>
    <row r="488" spans="1:13" s="7" customFormat="1" x14ac:dyDescent="0.25">
      <c r="A488" s="4" t="str">
        <f t="array" ref="A488:A495">R_CODE&amp;" "&amp;GLIN_NAME</f>
        <v>EU Lin</v>
      </c>
      <c r="B488" s="66">
        <f t="array" aca="1" ref="B488:K495" ca="1">2*LN((1+CURVE_ABOVE)/(1-CURVE_ABOVE))/(QMAX_GLIN-Q0_GLIN)</f>
        <v>1.8253508668740939E-2</v>
      </c>
      <c r="C488" s="66">
        <f ca="1"/>
        <v>1.5068551401489806E-2</v>
      </c>
      <c r="D488" s="66">
        <f ca="1"/>
        <v>1.4631082116944786E-2</v>
      </c>
      <c r="E488" s="66">
        <f ca="1"/>
        <v>1.4937634911937846E-2</v>
      </c>
      <c r="F488" s="66">
        <f ca="1"/>
        <v>1.4901731678417744E-2</v>
      </c>
      <c r="G488" s="66">
        <f ca="1"/>
        <v>1.3662939872002247E-2</v>
      </c>
      <c r="H488" s="66">
        <f ca="1"/>
        <v>1.2804240776166629E-2</v>
      </c>
      <c r="I488" s="66">
        <f ca="1"/>
        <v>1.1999509870493358E-2</v>
      </c>
      <c r="J488" s="66">
        <f ca="1"/>
        <v>1.1245355320096941E-2</v>
      </c>
      <c r="K488" s="66">
        <f ca="1"/>
        <v>1.0538598462774815E-2</v>
      </c>
      <c r="M488" s="4" t="str">
        <f t="shared" ref="M488:M495" si="35">"per "&amp;EMIT_NAME</f>
        <v>per Mtonne</v>
      </c>
    </row>
    <row r="489" spans="1:13" s="7" customFormat="1" x14ac:dyDescent="0.25">
      <c r="A489" s="4" t="str">
        <v>US Lin</v>
      </c>
      <c r="B489" s="67">
        <f ca="1"/>
        <v>7.0119186938225921E-3</v>
      </c>
      <c r="C489" s="67">
        <f ca="1"/>
        <v>5.7884464394439622E-3</v>
      </c>
      <c r="D489" s="67">
        <f ca="1"/>
        <v>5.6203966080420964E-3</v>
      </c>
      <c r="E489" s="67">
        <f ca="1"/>
        <v>5.7381560652984666E-3</v>
      </c>
      <c r="F489" s="67">
        <f ca="1"/>
        <v>5.7243641659514991E-3</v>
      </c>
      <c r="G489" s="67">
        <f ca="1"/>
        <v>5.2484936041436005E-3</v>
      </c>
      <c r="H489" s="67">
        <f ca="1"/>
        <v>4.918632186718167E-3</v>
      </c>
      <c r="I489" s="67">
        <f ca="1"/>
        <v>4.6095021567940956E-3</v>
      </c>
      <c r="J489" s="67">
        <f ca="1"/>
        <v>4.3198005719688268E-3</v>
      </c>
      <c r="K489" s="67">
        <f ca="1"/>
        <v>4.0483063781796098E-3</v>
      </c>
      <c r="M489" s="4" t="str">
        <f t="shared" si="35"/>
        <v>per Mtonne</v>
      </c>
    </row>
    <row r="490" spans="1:13" s="7" customFormat="1" x14ac:dyDescent="0.25">
      <c r="A490" s="4" t="str">
        <v>OT Lin</v>
      </c>
      <c r="B490" s="67">
        <f ca="1"/>
        <v>1.9468679813639214E-2</v>
      </c>
      <c r="C490" s="67">
        <f ca="1"/>
        <v>1.6071693821438044E-2</v>
      </c>
      <c r="D490" s="67">
        <f ca="1"/>
        <v>1.5605101366054712E-2</v>
      </c>
      <c r="E490" s="67">
        <f ca="1"/>
        <v>1.5932061969629874E-2</v>
      </c>
      <c r="F490" s="67">
        <f ca="1"/>
        <v>1.5893768588868824E-2</v>
      </c>
      <c r="G490" s="67">
        <f ca="1"/>
        <v>1.4572508031649794E-2</v>
      </c>
      <c r="H490" s="67">
        <f ca="1"/>
        <v>1.3656643687075089E-2</v>
      </c>
      <c r="I490" s="67">
        <f ca="1"/>
        <v>1.2798340298777879E-2</v>
      </c>
      <c r="J490" s="67">
        <f ca="1"/>
        <v>1.1993980230907178E-2</v>
      </c>
      <c r="K490" s="67">
        <f ca="1"/>
        <v>1.1240173211610026E-2</v>
      </c>
      <c r="M490" s="4" t="str">
        <f t="shared" si="35"/>
        <v>per Mtonne</v>
      </c>
    </row>
    <row r="491" spans="1:13" s="7" customFormat="1" x14ac:dyDescent="0.25">
      <c r="A491" s="4" t="str">
        <v>EE Lin</v>
      </c>
      <c r="B491" s="67">
        <f ca="1"/>
        <v>4.4649272191675866E-2</v>
      </c>
      <c r="C491" s="67">
        <f ca="1"/>
        <v>3.1153169767013874E-2</v>
      </c>
      <c r="D491" s="67">
        <f ca="1"/>
        <v>2.3579748300492854E-2</v>
      </c>
      <c r="E491" s="67">
        <f ca="1"/>
        <v>1.9222540094731032E-2</v>
      </c>
      <c r="F491" s="67">
        <f ca="1"/>
        <v>1.5138553285045953E-2</v>
      </c>
      <c r="G491" s="67">
        <f ca="1"/>
        <v>1.2764214660351067E-2</v>
      </c>
      <c r="H491" s="67">
        <f ca="1"/>
        <v>1.196199934720639E-2</v>
      </c>
      <c r="I491" s="67">
        <f ca="1"/>
        <v>1.1210202287418329E-2</v>
      </c>
      <c r="J491" s="67">
        <f ca="1"/>
        <v>1.0505654755297064E-2</v>
      </c>
      <c r="K491" s="67">
        <f ca="1"/>
        <v>9.8453871756950528E-3</v>
      </c>
      <c r="M491" s="4" t="str">
        <f t="shared" si="35"/>
        <v>per Mtonne</v>
      </c>
    </row>
    <row r="492" spans="1:13" s="7" customFormat="1" x14ac:dyDescent="0.25">
      <c r="A492" s="4" t="str">
        <v>CA Lin</v>
      </c>
      <c r="B492" s="67">
        <f ca="1"/>
        <v>1.4582215105409239E-2</v>
      </c>
      <c r="C492" s="67">
        <f ca="1"/>
        <v>1.098071208786541E-2</v>
      </c>
      <c r="D492" s="67">
        <f ca="1"/>
        <v>7.9694593272352839E-3</v>
      </c>
      <c r="E492" s="67">
        <f ca="1"/>
        <v>6.7732267874725059E-3</v>
      </c>
      <c r="F492" s="67">
        <f ca="1"/>
        <v>5.079422906594442E-3</v>
      </c>
      <c r="G492" s="67">
        <f ca="1"/>
        <v>4.3896953623922741E-3</v>
      </c>
      <c r="H492" s="67">
        <f ca="1"/>
        <v>4.1138083663289854E-3</v>
      </c>
      <c r="I492" s="67">
        <f ca="1"/>
        <v>3.8552605312582584E-3</v>
      </c>
      <c r="J492" s="67">
        <f ca="1"/>
        <v>3.6129621120735262E-3</v>
      </c>
      <c r="K492" s="67">
        <f ca="1"/>
        <v>3.3858918528181722E-3</v>
      </c>
      <c r="M492" s="4" t="str">
        <f t="shared" si="35"/>
        <v>per Mtonne</v>
      </c>
    </row>
    <row r="493" spans="1:13" s="7" customFormat="1" x14ac:dyDescent="0.25">
      <c r="A493" s="4" t="str">
        <v>IA Lin</v>
      </c>
      <c r="B493" s="67">
        <f ca="1"/>
        <v>2.0875450412647375E-2</v>
      </c>
      <c r="C493" s="67">
        <f ca="1"/>
        <v>1.5719649520240624E-2</v>
      </c>
      <c r="D493" s="67">
        <f ca="1"/>
        <v>1.1408832732113322E-2</v>
      </c>
      <c r="E493" s="67">
        <f ca="1"/>
        <v>9.6963430393402529E-3</v>
      </c>
      <c r="F493" s="67">
        <f ca="1"/>
        <v>7.2715455261761919E-3</v>
      </c>
      <c r="G493" s="67">
        <f ca="1"/>
        <v>6.2841527985865167E-3</v>
      </c>
      <c r="H493" s="67">
        <f ca="1"/>
        <v>5.8892014647746157E-3</v>
      </c>
      <c r="I493" s="67">
        <f ca="1"/>
        <v>5.5190723402690966E-3</v>
      </c>
      <c r="J493" s="67">
        <f ca="1"/>
        <v>5.1722053795096546E-3</v>
      </c>
      <c r="K493" s="67">
        <f ca="1"/>
        <v>4.8471385838954693E-3</v>
      </c>
      <c r="M493" s="4" t="str">
        <f t="shared" si="35"/>
        <v>per Mtonne</v>
      </c>
    </row>
    <row r="494" spans="1:13" s="7" customFormat="1" x14ac:dyDescent="0.25">
      <c r="A494" s="4" t="str">
        <v>AF Lin</v>
      </c>
      <c r="B494" s="67">
        <f ca="1"/>
        <v>3.1428749362636565E-2</v>
      </c>
      <c r="C494" s="67">
        <f ca="1"/>
        <v>2.4215732298760565E-2</v>
      </c>
      <c r="D494" s="67">
        <f ca="1"/>
        <v>2.0006860893667554E-2</v>
      </c>
      <c r="E494" s="67">
        <f ca="1"/>
        <v>1.6243416952176966E-2</v>
      </c>
      <c r="F494" s="67">
        <f ca="1"/>
        <v>1.0656315808712917E-2</v>
      </c>
      <c r="G494" s="67">
        <f ca="1"/>
        <v>8.7119593092771612E-3</v>
      </c>
      <c r="H494" s="67">
        <f ca="1"/>
        <v>8.1644232993176372E-3</v>
      </c>
      <c r="I494" s="67">
        <f ca="1"/>
        <v>7.6512992593363444E-3</v>
      </c>
      <c r="J494" s="67">
        <f ca="1"/>
        <v>7.1704244390187032E-3</v>
      </c>
      <c r="K494" s="67">
        <f ca="1"/>
        <v>6.719772014267847E-3</v>
      </c>
      <c r="M494" s="4" t="str">
        <f t="shared" si="35"/>
        <v>per Mtonne</v>
      </c>
    </row>
    <row r="495" spans="1:13" s="7" customFormat="1" ht="13" thickBot="1" x14ac:dyDescent="0.3">
      <c r="A495" s="4" t="str">
        <v>LA Lin</v>
      </c>
      <c r="B495" s="68">
        <f ca="1"/>
        <v>4.1467072363726272E-2</v>
      </c>
      <c r="C495" s="68">
        <f ca="1"/>
        <v>3.3262354818905805E-2</v>
      </c>
      <c r="D495" s="68">
        <f ca="1"/>
        <v>2.5077946297120769E-2</v>
      </c>
      <c r="E495" s="68">
        <f ca="1"/>
        <v>2.1129216257274302E-2</v>
      </c>
      <c r="F495" s="68">
        <f ca="1"/>
        <v>1.4068525440060372E-2</v>
      </c>
      <c r="G495" s="68">
        <f ca="1"/>
        <v>1.170174526231786E-2</v>
      </c>
      <c r="H495" s="68">
        <f ca="1"/>
        <v>1.0966304854134426E-2</v>
      </c>
      <c r="I495" s="68">
        <f ca="1"/>
        <v>1.0277085978027132E-2</v>
      </c>
      <c r="J495" s="68">
        <f ca="1"/>
        <v>9.6311836671166828E-3</v>
      </c>
      <c r="K495" s="68">
        <f ca="1"/>
        <v>9.0258755281467443E-3</v>
      </c>
      <c r="M495" s="4" t="str">
        <f t="shared" si="35"/>
        <v>per Mtonne</v>
      </c>
    </row>
    <row r="496" spans="1:13" s="2" customFormat="1" ht="15.5" thickTop="1" x14ac:dyDescent="0.4">
      <c r="A496" s="2" t="s">
        <v>339</v>
      </c>
      <c r="B496" s="2" t="s">
        <v>340</v>
      </c>
    </row>
    <row r="497" spans="1:13" s="6" customFormat="1" x14ac:dyDescent="0.25">
      <c r="A497" s="4" t="str">
        <f t="array" ref="A497:A504">R_CODE&amp;" "&amp;'Base data'!$B$12</f>
        <v>EU CO2</v>
      </c>
      <c r="B497" s="27">
        <f t="array" ref="B497:K504" ca="1">cmax_co2/(EXP(BHI_CO2*(QMAX_CO2-Q0_CO2))-1)</f>
        <v>32.905514107642986</v>
      </c>
      <c r="C497" s="27">
        <f ca="1"/>
        <v>29.940364782688135</v>
      </c>
      <c r="D497" s="27">
        <f ca="1"/>
        <v>25.352781037899415</v>
      </c>
      <c r="E497" s="27">
        <f ca="1"/>
        <v>20.952061755903259</v>
      </c>
      <c r="F497" s="27">
        <f ca="1"/>
        <v>15.181442583012341</v>
      </c>
      <c r="G497" s="27">
        <f ca="1"/>
        <v>10.789360409949635</v>
      </c>
      <c r="H497" s="27">
        <f ca="1"/>
        <v>6.9859697489845045</v>
      </c>
      <c r="I497" s="27">
        <f ca="1"/>
        <v>4.7077850888092163</v>
      </c>
      <c r="J497" s="27">
        <f ca="1"/>
        <v>3.3251368862560704</v>
      </c>
      <c r="K497" s="27">
        <f ca="1"/>
        <v>2.4063810163645973</v>
      </c>
      <c r="M497" s="4" t="str">
        <f t="shared" ref="M497:M504" si="36">CURRENCY_NAME&amp;" per "&amp;EMIT_NAME</f>
        <v>$M(2015) per Mtonne</v>
      </c>
    </row>
    <row r="498" spans="1:13" s="6" customFormat="1" x14ac:dyDescent="0.25">
      <c r="A498" s="4" t="str">
        <v>US CO2</v>
      </c>
      <c r="B498" s="28">
        <f ca="1"/>
        <v>32.905514107642986</v>
      </c>
      <c r="C498" s="28">
        <f ca="1"/>
        <v>29.8059174856886</v>
      </c>
      <c r="D498" s="28">
        <f ca="1"/>
        <v>24.979481630460089</v>
      </c>
      <c r="E498" s="28">
        <f ca="1"/>
        <v>20.492727300313955</v>
      </c>
      <c r="F498" s="28">
        <f ca="1"/>
        <v>14.774969728373051</v>
      </c>
      <c r="G498" s="28">
        <f ca="1"/>
        <v>10.484422446735799</v>
      </c>
      <c r="H498" s="28">
        <f ca="1"/>
        <v>6.7905171355806564</v>
      </c>
      <c r="I498" s="28">
        <f ca="1"/>
        <v>4.5766523218197097</v>
      </c>
      <c r="J498" s="28">
        <f ca="1"/>
        <v>3.232678870192697</v>
      </c>
      <c r="K498" s="28">
        <f ca="1"/>
        <v>2.339520325175402</v>
      </c>
      <c r="M498" s="4" t="str">
        <f t="shared" si="36"/>
        <v>$M(2015) per Mtonne</v>
      </c>
    </row>
    <row r="499" spans="1:13" s="6" customFormat="1" x14ac:dyDescent="0.25">
      <c r="A499" s="4" t="str">
        <v>OT CO2</v>
      </c>
      <c r="B499" s="28">
        <f ca="1"/>
        <v>40.583467399426347</v>
      </c>
      <c r="C499" s="28">
        <f ca="1"/>
        <v>37.112563953755135</v>
      </c>
      <c r="D499" s="28">
        <f ca="1"/>
        <v>31.809562430974687</v>
      </c>
      <c r="E499" s="28">
        <f ca="1"/>
        <v>26.529606916532327</v>
      </c>
      <c r="F499" s="28">
        <f ca="1"/>
        <v>19.34771323099017</v>
      </c>
      <c r="G499" s="28">
        <f ca="1"/>
        <v>13.778392071000761</v>
      </c>
      <c r="H499" s="28">
        <f ca="1"/>
        <v>8.9178263217396996</v>
      </c>
      <c r="I499" s="28">
        <f ca="1"/>
        <v>6.0086264285473678</v>
      </c>
      <c r="J499" s="28">
        <f ca="1"/>
        <v>4.2436450160426569</v>
      </c>
      <c r="K499" s="28">
        <f ca="1"/>
        <v>3.0710109310623461</v>
      </c>
      <c r="M499" s="4" t="str">
        <f t="shared" si="36"/>
        <v>$M(2015) per Mtonne</v>
      </c>
    </row>
    <row r="500" spans="1:13" s="6" customFormat="1" x14ac:dyDescent="0.25">
      <c r="A500" s="4" t="str">
        <v>EE CO2</v>
      </c>
      <c r="B500" s="28">
        <f ca="1"/>
        <v>23.033859875350092</v>
      </c>
      <c r="C500" s="28">
        <f ca="1"/>
        <v>20.867248119102374</v>
      </c>
      <c r="D500" s="28">
        <f ca="1"/>
        <v>17.652341653813519</v>
      </c>
      <c r="E500" s="28">
        <f ca="1"/>
        <v>14.586759588733386</v>
      </c>
      <c r="F500" s="28">
        <f ca="1"/>
        <v>10.552113850264767</v>
      </c>
      <c r="G500" s="28">
        <f ca="1"/>
        <v>7.4477806171655363</v>
      </c>
      <c r="H500" s="28">
        <f ca="1"/>
        <v>4.7402530965915703</v>
      </c>
      <c r="I500" s="28">
        <f ca="1"/>
        <v>3.1698862454983119</v>
      </c>
      <c r="J500" s="28">
        <f ca="1"/>
        <v>2.2311974790605498</v>
      </c>
      <c r="K500" s="28">
        <f ca="1"/>
        <v>1.6115904761978053</v>
      </c>
      <c r="M500" s="4" t="str">
        <f t="shared" si="36"/>
        <v>$M(2015) per Mtonne</v>
      </c>
    </row>
    <row r="501" spans="1:13" s="6" customFormat="1" x14ac:dyDescent="0.25">
      <c r="A501" s="4" t="str">
        <v>CA CO2</v>
      </c>
      <c r="B501" s="28">
        <f ca="1"/>
        <v>32.905514107642986</v>
      </c>
      <c r="C501" s="28">
        <f ca="1"/>
        <v>29.825138458840204</v>
      </c>
      <c r="D501" s="28">
        <f ca="1"/>
        <v>24.834690901306892</v>
      </c>
      <c r="E501" s="28">
        <f ca="1"/>
        <v>19.969655442264806</v>
      </c>
      <c r="F501" s="28">
        <f ca="1"/>
        <v>14.041846789726721</v>
      </c>
      <c r="G501" s="28">
        <f ca="1"/>
        <v>9.7357090925469141</v>
      </c>
      <c r="H501" s="28">
        <f ca="1"/>
        <v>6.2260807846971211</v>
      </c>
      <c r="I501" s="28">
        <f ca="1"/>
        <v>4.1721908727904005</v>
      </c>
      <c r="J501" s="28">
        <f ca="1"/>
        <v>2.9394187469052997</v>
      </c>
      <c r="K501" s="28">
        <f ca="1"/>
        <v>2.1242410650551808</v>
      </c>
      <c r="M501" s="4" t="str">
        <f t="shared" si="36"/>
        <v>$M(2015) per Mtonne</v>
      </c>
    </row>
    <row r="502" spans="1:13" s="6" customFormat="1" x14ac:dyDescent="0.25">
      <c r="A502" s="4" t="str">
        <v>IA CO2</v>
      </c>
      <c r="B502" s="28">
        <f ca="1"/>
        <v>40.583467399426347</v>
      </c>
      <c r="C502" s="28">
        <f ca="1"/>
        <v>37.001466290382943</v>
      </c>
      <c r="D502" s="28">
        <f ca="1"/>
        <v>31.322072335524766</v>
      </c>
      <c r="E502" s="28">
        <f ca="1"/>
        <v>25.604775416485797</v>
      </c>
      <c r="F502" s="28">
        <f ca="1"/>
        <v>18.255888172700541</v>
      </c>
      <c r="G502" s="28">
        <f ca="1"/>
        <v>12.76211251887038</v>
      </c>
      <c r="H502" s="28">
        <f ca="1"/>
        <v>8.1858042590191165</v>
      </c>
      <c r="I502" s="28">
        <f ca="1"/>
        <v>5.4927227203827371</v>
      </c>
      <c r="J502" s="28">
        <f ca="1"/>
        <v>3.8720807313416516</v>
      </c>
      <c r="K502" s="28">
        <f ca="1"/>
        <v>2.7991979430126825</v>
      </c>
      <c r="M502" s="4" t="str">
        <f t="shared" si="36"/>
        <v>$M(2015) per Mtonne</v>
      </c>
    </row>
    <row r="503" spans="1:13" s="6" customFormat="1" x14ac:dyDescent="0.25">
      <c r="A503" s="4" t="str">
        <v>AF CO2</v>
      </c>
      <c r="B503" s="28">
        <f ca="1"/>
        <v>40.583467399426347</v>
      </c>
      <c r="C503" s="28">
        <f ca="1"/>
        <v>36.305481717358361</v>
      </c>
      <c r="D503" s="28">
        <f ca="1"/>
        <v>30.549093238337274</v>
      </c>
      <c r="E503" s="28">
        <f ca="1"/>
        <v>25.007954788262779</v>
      </c>
      <c r="F503" s="28">
        <f ca="1"/>
        <v>17.849485381152899</v>
      </c>
      <c r="G503" s="28">
        <f ca="1"/>
        <v>12.433347748355596</v>
      </c>
      <c r="H503" s="28">
        <f ca="1"/>
        <v>7.8643539018500732</v>
      </c>
      <c r="I503" s="28">
        <f ca="1"/>
        <v>5.2451960704819607</v>
      </c>
      <c r="J503" s="28">
        <f ca="1"/>
        <v>3.6877469001997074</v>
      </c>
      <c r="K503" s="28">
        <f ca="1"/>
        <v>2.6620018065168174</v>
      </c>
      <c r="M503" s="4" t="str">
        <f t="shared" si="36"/>
        <v>$M(2015) per Mtonne</v>
      </c>
    </row>
    <row r="504" spans="1:13" s="6" customFormat="1" ht="13" thickBot="1" x14ac:dyDescent="0.3">
      <c r="A504" s="4" t="str">
        <v>LA CO2</v>
      </c>
      <c r="B504" s="36">
        <f ca="1"/>
        <v>23.033859875350092</v>
      </c>
      <c r="C504" s="36">
        <f ca="1"/>
        <v>20.829911584880293</v>
      </c>
      <c r="D504" s="36">
        <f ca="1"/>
        <v>17.648750987754386</v>
      </c>
      <c r="E504" s="36">
        <f ca="1"/>
        <v>14.650120707347035</v>
      </c>
      <c r="F504" s="36">
        <f ca="1"/>
        <v>10.609480296625462</v>
      </c>
      <c r="G504" s="36">
        <f ca="1"/>
        <v>7.51542407573071</v>
      </c>
      <c r="H504" s="36">
        <f ca="1"/>
        <v>4.8953816736657982</v>
      </c>
      <c r="I504" s="36">
        <f ca="1"/>
        <v>3.3085711535785958</v>
      </c>
      <c r="J504" s="36">
        <f ca="1"/>
        <v>2.3401237968646109</v>
      </c>
      <c r="K504" s="36">
        <f ca="1"/>
        <v>1.6949561404841471</v>
      </c>
      <c r="M504" s="4" t="str">
        <f t="shared" si="36"/>
        <v>$M(2015) per Mtonne</v>
      </c>
    </row>
    <row r="505" spans="1:13" s="2" customFormat="1" ht="15.5" thickTop="1" x14ac:dyDescent="0.4">
      <c r="A505" s="2" t="s">
        <v>339</v>
      </c>
      <c r="B505" s="2" t="s">
        <v>341</v>
      </c>
    </row>
    <row r="506" spans="1:13" s="7" customFormat="1" x14ac:dyDescent="0.25">
      <c r="A506" s="4" t="str">
        <f t="array" ref="A506:A513">R_CODE&amp;" "&amp;'Base data'!$C$12</f>
        <v>EU CH4</v>
      </c>
      <c r="B506" s="27">
        <f t="array" ref="B506:K513" ca="1">cmax_ch4/(EXP(BHI_CH4*(QMAX_CH4-Q0_CH4))-1)</f>
        <v>1597.745518337776</v>
      </c>
      <c r="C506" s="27">
        <f ca="1"/>
        <v>1420.3268423581346</v>
      </c>
      <c r="D506" s="27">
        <f ca="1"/>
        <v>1251.0889474402331</v>
      </c>
      <c r="E506" s="27">
        <f ca="1"/>
        <v>1098.8866788909797</v>
      </c>
      <c r="F506" s="27">
        <f ca="1"/>
        <v>850.48500996060966</v>
      </c>
      <c r="G506" s="27">
        <f ca="1"/>
        <v>643.73264961273594</v>
      </c>
      <c r="H506" s="27">
        <f ca="1"/>
        <v>425.68192028934953</v>
      </c>
      <c r="I506" s="27">
        <f ca="1"/>
        <v>290.78111632426072</v>
      </c>
      <c r="J506" s="27">
        <f ca="1"/>
        <v>207.23412529692342</v>
      </c>
      <c r="K506" s="27">
        <f ca="1"/>
        <v>151.09612027997704</v>
      </c>
      <c r="M506" s="4" t="str">
        <f t="shared" ref="M506:M513" si="37">CURRENCY_NAME&amp;" per "&amp;EMIT_NAME</f>
        <v>$M(2015) per Mtonne</v>
      </c>
    </row>
    <row r="507" spans="1:13" s="7" customFormat="1" x14ac:dyDescent="0.25">
      <c r="A507" s="4" t="str">
        <v>US CH4</v>
      </c>
      <c r="B507" s="28">
        <f ca="1"/>
        <v>1597.745518337776</v>
      </c>
      <c r="C507" s="28">
        <f ca="1"/>
        <v>1416.2970067665776</v>
      </c>
      <c r="D507" s="28">
        <f ca="1"/>
        <v>1244.75873471195</v>
      </c>
      <c r="E507" s="28">
        <f ca="1"/>
        <v>1091.7087351362779</v>
      </c>
      <c r="F507" s="28">
        <f ca="1"/>
        <v>843.7245612663562</v>
      </c>
      <c r="G507" s="28">
        <f ca="1"/>
        <v>637.89451533092233</v>
      </c>
      <c r="H507" s="28">
        <f ca="1"/>
        <v>421.43686573705986</v>
      </c>
      <c r="I507" s="28">
        <f ca="1"/>
        <v>287.74584774877729</v>
      </c>
      <c r="J507" s="28">
        <f ca="1"/>
        <v>205.02339455465534</v>
      </c>
      <c r="K507" s="28">
        <f ca="1"/>
        <v>149.46316343902507</v>
      </c>
      <c r="M507" s="4" t="str">
        <f t="shared" si="37"/>
        <v>$M(2015) per Mtonne</v>
      </c>
    </row>
    <row r="508" spans="1:13" s="7" customFormat="1" x14ac:dyDescent="0.25">
      <c r="A508" s="4" t="str">
        <v>OT CH4</v>
      </c>
      <c r="B508" s="28">
        <f ca="1"/>
        <v>1970.5528059499234</v>
      </c>
      <c r="C508" s="28">
        <f ca="1"/>
        <v>1753.3652448803825</v>
      </c>
      <c r="D508" s="28">
        <f ca="1"/>
        <v>1545.5839477555151</v>
      </c>
      <c r="E508" s="28">
        <f ca="1"/>
        <v>1358.2244261372211</v>
      </c>
      <c r="F508" s="28">
        <f ca="1"/>
        <v>1051.7027377827776</v>
      </c>
      <c r="G508" s="28">
        <f ca="1"/>
        <v>796.33753552808707</v>
      </c>
      <c r="H508" s="28">
        <f ca="1"/>
        <v>526.75762795947219</v>
      </c>
      <c r="I508" s="28">
        <f ca="1"/>
        <v>359.88288786706062</v>
      </c>
      <c r="J508" s="28">
        <f ca="1"/>
        <v>256.50184455700486</v>
      </c>
      <c r="K508" s="28">
        <f ca="1"/>
        <v>187.0265984514335</v>
      </c>
      <c r="M508" s="4" t="str">
        <f t="shared" si="37"/>
        <v>$M(2015) per Mtonne</v>
      </c>
    </row>
    <row r="509" spans="1:13" s="7" customFormat="1" x14ac:dyDescent="0.25">
      <c r="A509" s="4" t="str">
        <v>EE CH4</v>
      </c>
      <c r="B509" s="28">
        <f ca="1"/>
        <v>1118.4218628364433</v>
      </c>
      <c r="C509" s="28">
        <f ca="1"/>
        <v>980.35587253314964</v>
      </c>
      <c r="D509" s="28">
        <f ca="1"/>
        <v>854.32059075697953</v>
      </c>
      <c r="E509" s="28">
        <f ca="1"/>
        <v>742.91815104837497</v>
      </c>
      <c r="F509" s="28">
        <f ca="1"/>
        <v>568.51118725008689</v>
      </c>
      <c r="G509" s="28">
        <f ca="1"/>
        <v>428.2409014897566</v>
      </c>
      <c r="H509" s="28">
        <f ca="1"/>
        <v>280.3525544150134</v>
      </c>
      <c r="I509" s="28">
        <f ca="1"/>
        <v>190.53764504032088</v>
      </c>
      <c r="J509" s="28">
        <f ca="1"/>
        <v>135.45704859059552</v>
      </c>
      <c r="K509" s="28">
        <f ca="1"/>
        <v>98.61520406322316</v>
      </c>
      <c r="M509" s="4" t="str">
        <f t="shared" si="37"/>
        <v>$M(2015) per Mtonne</v>
      </c>
    </row>
    <row r="510" spans="1:13" s="7" customFormat="1" x14ac:dyDescent="0.25">
      <c r="A510" s="4" t="str">
        <v>CA CH4</v>
      </c>
      <c r="B510" s="28">
        <f ca="1"/>
        <v>1597.745518337776</v>
      </c>
      <c r="C510" s="28">
        <f ca="1"/>
        <v>1412.6405102651556</v>
      </c>
      <c r="D510" s="28">
        <f ca="1"/>
        <v>1233.2109513696819</v>
      </c>
      <c r="E510" s="28">
        <f ca="1"/>
        <v>1069.3483796665648</v>
      </c>
      <c r="F510" s="28">
        <f ca="1"/>
        <v>809.24941068115652</v>
      </c>
      <c r="G510" s="28">
        <f ca="1"/>
        <v>599.40746607790152</v>
      </c>
      <c r="H510" s="28">
        <f ca="1"/>
        <v>391.84899357117439</v>
      </c>
      <c r="I510" s="28">
        <f ca="1"/>
        <v>266.17745666251949</v>
      </c>
      <c r="J510" s="28">
        <f ca="1"/>
        <v>189.21238322140962</v>
      </c>
      <c r="K510" s="28">
        <f ca="1"/>
        <v>137.75967523296336</v>
      </c>
      <c r="M510" s="4" t="str">
        <f t="shared" si="37"/>
        <v>$M(2015) per Mtonne</v>
      </c>
    </row>
    <row r="511" spans="1:13" s="7" customFormat="1" x14ac:dyDescent="0.25">
      <c r="A511" s="4" t="str">
        <v>IA CH4</v>
      </c>
      <c r="B511" s="28">
        <f ca="1"/>
        <v>1970.5528059499238</v>
      </c>
      <c r="C511" s="28">
        <f ca="1"/>
        <v>1734.0536399579526</v>
      </c>
      <c r="D511" s="28">
        <f ca="1"/>
        <v>1506.7881477150404</v>
      </c>
      <c r="E511" s="28">
        <f ca="1"/>
        <v>1300.8546675008665</v>
      </c>
      <c r="F511" s="28">
        <f ca="1"/>
        <v>978.70362096088445</v>
      </c>
      <c r="G511" s="28">
        <f ca="1"/>
        <v>721.40086239217305</v>
      </c>
      <c r="H511" s="28">
        <f ca="1"/>
        <v>470.34081470732195</v>
      </c>
      <c r="I511" s="28">
        <f ca="1"/>
        <v>319.08912402369401</v>
      </c>
      <c r="J511" s="28">
        <f ca="1"/>
        <v>226.69139419874699</v>
      </c>
      <c r="K511" s="28">
        <f ca="1"/>
        <v>164.99194363806126</v>
      </c>
      <c r="M511" s="4" t="str">
        <f t="shared" si="37"/>
        <v>$M(2015) per Mtonne</v>
      </c>
    </row>
    <row r="512" spans="1:13" s="7" customFormat="1" x14ac:dyDescent="0.25">
      <c r="A512" s="4" t="str">
        <v>AF CH4</v>
      </c>
      <c r="B512" s="28">
        <f ca="1"/>
        <v>1970.5528059499238</v>
      </c>
      <c r="C512" s="28">
        <f ca="1"/>
        <v>1703.0832572478537</v>
      </c>
      <c r="D512" s="28">
        <f ca="1"/>
        <v>1454.7272308941626</v>
      </c>
      <c r="E512" s="28">
        <f ca="1"/>
        <v>1244.6738007456954</v>
      </c>
      <c r="F512" s="28">
        <f ca="1"/>
        <v>934.4831070092597</v>
      </c>
      <c r="G512" s="28">
        <f ca="1"/>
        <v>693.48330814110864</v>
      </c>
      <c r="H512" s="28">
        <f ca="1"/>
        <v>454.40015371190862</v>
      </c>
      <c r="I512" s="28">
        <f ca="1"/>
        <v>309.00248629273034</v>
      </c>
      <c r="J512" s="28">
        <f ca="1"/>
        <v>219.75927825650899</v>
      </c>
      <c r="K512" s="28">
        <f ca="1"/>
        <v>160.03952488894896</v>
      </c>
      <c r="M512" s="4" t="str">
        <f t="shared" si="37"/>
        <v>$M(2015) per Mtonne</v>
      </c>
    </row>
    <row r="513" spans="1:13" s="7" customFormat="1" ht="13" thickBot="1" x14ac:dyDescent="0.3">
      <c r="A513" s="4" t="str">
        <v>LA CH4</v>
      </c>
      <c r="B513" s="36">
        <f ca="1"/>
        <v>1118.4218628364433</v>
      </c>
      <c r="C513" s="36">
        <f ca="1"/>
        <v>973.42461719740004</v>
      </c>
      <c r="D513" s="36">
        <f ca="1"/>
        <v>839.71179927063042</v>
      </c>
      <c r="E513" s="36">
        <f ca="1"/>
        <v>726.12360860327908</v>
      </c>
      <c r="F513" s="36">
        <f ca="1"/>
        <v>553.5676345114415</v>
      </c>
      <c r="G513" s="36">
        <f ca="1"/>
        <v>418.36164468556285</v>
      </c>
      <c r="H513" s="36">
        <f ca="1"/>
        <v>278.29592338039049</v>
      </c>
      <c r="I513" s="36">
        <f ca="1"/>
        <v>190.73105360335504</v>
      </c>
      <c r="J513" s="36">
        <f ca="1"/>
        <v>136.17450360984674</v>
      </c>
      <c r="K513" s="36">
        <f ca="1"/>
        <v>99.408230129707306</v>
      </c>
      <c r="M513" s="4" t="str">
        <f t="shared" si="37"/>
        <v>$M(2015) per Mtonne</v>
      </c>
    </row>
    <row r="514" spans="1:13" s="2" customFormat="1" ht="15.5" thickTop="1" x14ac:dyDescent="0.4">
      <c r="A514" s="2" t="s">
        <v>339</v>
      </c>
      <c r="B514" s="2" t="s">
        <v>342</v>
      </c>
    </row>
    <row r="515" spans="1:13" s="7" customFormat="1" x14ac:dyDescent="0.25">
      <c r="A515" s="4" t="str">
        <f t="array" ref="A515:A522">R_CODE&amp;" "&amp;'Base data'!$D$12</f>
        <v>EU N2O</v>
      </c>
      <c r="B515" s="27">
        <f t="array" ref="B515:K522" ca="1">cmax_n2o/(EXP(BHI_N2O*(QMAX_N2O-Q0_N2O))-1)</f>
        <v>6895.5332896682967</v>
      </c>
      <c r="C515" s="27">
        <f ca="1"/>
        <v>6299.788059562964</v>
      </c>
      <c r="D515" s="27">
        <f ca="1"/>
        <v>5672.3072312629693</v>
      </c>
      <c r="E515" s="27">
        <f ca="1"/>
        <v>5036.2659527269607</v>
      </c>
      <c r="F515" s="27">
        <f ca="1"/>
        <v>3922.6524992506929</v>
      </c>
      <c r="G515" s="27">
        <f ca="1"/>
        <v>2962.9890471090571</v>
      </c>
      <c r="H515" s="27">
        <f ca="1"/>
        <v>1942.17940174365</v>
      </c>
      <c r="I515" s="27">
        <f ca="1"/>
        <v>1313.3431632326908</v>
      </c>
      <c r="J515" s="27">
        <f ca="1"/>
        <v>927.32514095845943</v>
      </c>
      <c r="K515" s="27">
        <f ca="1"/>
        <v>669.89974228591859</v>
      </c>
      <c r="M515" s="4" t="str">
        <f t="shared" ref="M515:M522" si="38">CURRENCY_NAME&amp;" per "&amp;EMIT_NAME</f>
        <v>$M(2015) per Mtonne</v>
      </c>
    </row>
    <row r="516" spans="1:13" s="7" customFormat="1" x14ac:dyDescent="0.25">
      <c r="A516" s="4" t="str">
        <v>US N2O</v>
      </c>
      <c r="B516" s="28">
        <f ca="1"/>
        <v>6895.5332896682967</v>
      </c>
      <c r="C516" s="28">
        <f ca="1"/>
        <v>6312.4391078197386</v>
      </c>
      <c r="D516" s="28">
        <f ca="1"/>
        <v>5695.0853288687022</v>
      </c>
      <c r="E516" s="28">
        <f ca="1"/>
        <v>5065.3922231462629</v>
      </c>
      <c r="F516" s="28">
        <f ca="1"/>
        <v>3952.7534687455413</v>
      </c>
      <c r="G516" s="28">
        <f ca="1"/>
        <v>2989.2998558506456</v>
      </c>
      <c r="H516" s="28">
        <f ca="1"/>
        <v>1960.4330700451451</v>
      </c>
      <c r="I516" s="28">
        <f ca="1"/>
        <v>1326.03264262727</v>
      </c>
      <c r="J516" s="28">
        <f ca="1"/>
        <v>936.40233621293385</v>
      </c>
      <c r="K516" s="28">
        <f ca="1"/>
        <v>676.50727149726299</v>
      </c>
      <c r="M516" s="4" t="str">
        <f t="shared" si="38"/>
        <v>$M(2015) per Mtonne</v>
      </c>
    </row>
    <row r="517" spans="1:13" s="7" customFormat="1" x14ac:dyDescent="0.25">
      <c r="A517" s="4" t="str">
        <v>OT N2O</v>
      </c>
      <c r="B517" s="28">
        <f ca="1"/>
        <v>8504.4910572575664</v>
      </c>
      <c r="C517" s="28">
        <f ca="1"/>
        <v>7840.2989162140675</v>
      </c>
      <c r="D517" s="28">
        <f ca="1"/>
        <v>7124.7748491159027</v>
      </c>
      <c r="E517" s="28">
        <f ca="1"/>
        <v>6378.456520129911</v>
      </c>
      <c r="F517" s="28">
        <f ca="1"/>
        <v>5013.1098172392431</v>
      </c>
      <c r="G517" s="28">
        <f ca="1"/>
        <v>3808.9166200668938</v>
      </c>
      <c r="H517" s="28">
        <f ca="1"/>
        <v>2503.0258497433192</v>
      </c>
      <c r="I517" s="28">
        <f ca="1"/>
        <v>1694.796611468732</v>
      </c>
      <c r="J517" s="28">
        <f ca="1"/>
        <v>1197.4097307450102</v>
      </c>
      <c r="K517" s="28">
        <f ca="1"/>
        <v>865.32896858750564</v>
      </c>
      <c r="M517" s="4" t="str">
        <f t="shared" si="38"/>
        <v>$M(2015) per Mtonne</v>
      </c>
    </row>
    <row r="518" spans="1:13" s="7" customFormat="1" x14ac:dyDescent="0.25">
      <c r="A518" s="4" t="str">
        <v>EE N2O</v>
      </c>
      <c r="B518" s="28">
        <f ca="1"/>
        <v>4826.8733027678081</v>
      </c>
      <c r="C518" s="28">
        <f ca="1"/>
        <v>4487.3166023891999</v>
      </c>
      <c r="D518" s="28">
        <f ca="1"/>
        <v>4107.8869918593155</v>
      </c>
      <c r="E518" s="28">
        <f ca="1"/>
        <v>3697.3967325897524</v>
      </c>
      <c r="F518" s="28">
        <f ca="1"/>
        <v>2920.6679307759905</v>
      </c>
      <c r="G518" s="28">
        <f ca="1"/>
        <v>2226.6821826890614</v>
      </c>
      <c r="H518" s="28">
        <f ca="1"/>
        <v>1457.4561377692121</v>
      </c>
      <c r="I518" s="28">
        <f ca="1"/>
        <v>985.00718171951451</v>
      </c>
      <c r="J518" s="28">
        <f ca="1"/>
        <v>695.38946360810758</v>
      </c>
      <c r="K518" s="28">
        <f ca="1"/>
        <v>502.35393396142308</v>
      </c>
      <c r="M518" s="4" t="str">
        <f t="shared" si="38"/>
        <v>$M(2015) per Mtonne</v>
      </c>
    </row>
    <row r="519" spans="1:13" s="7" customFormat="1" x14ac:dyDescent="0.25">
      <c r="A519" s="4" t="str">
        <v>CA N2O</v>
      </c>
      <c r="B519" s="28">
        <f ca="1"/>
        <v>6895.5332896682967</v>
      </c>
      <c r="C519" s="28">
        <f ca="1"/>
        <v>6410.4522891274282</v>
      </c>
      <c r="D519" s="28">
        <f ca="1"/>
        <v>5865.5381332762308</v>
      </c>
      <c r="E519" s="28">
        <f ca="1"/>
        <v>5207.0903153657355</v>
      </c>
      <c r="F519" s="28">
        <f ca="1"/>
        <v>3967.6970884517268</v>
      </c>
      <c r="G519" s="28">
        <f ca="1"/>
        <v>2920.9231150553769</v>
      </c>
      <c r="H519" s="28">
        <f ca="1"/>
        <v>1858.0767523856109</v>
      </c>
      <c r="I519" s="28">
        <f ca="1"/>
        <v>1239.119439031012</v>
      </c>
      <c r="J519" s="28">
        <f ca="1"/>
        <v>869.45802707100722</v>
      </c>
      <c r="K519" s="28">
        <f ca="1"/>
        <v>625.91803118079622</v>
      </c>
      <c r="M519" s="4" t="str">
        <f t="shared" si="38"/>
        <v>$M(2015) per Mtonne</v>
      </c>
    </row>
    <row r="520" spans="1:13" s="7" customFormat="1" x14ac:dyDescent="0.25">
      <c r="A520" s="4" t="str">
        <v>IA N2O</v>
      </c>
      <c r="B520" s="28">
        <f ca="1"/>
        <v>8504.4910572575664</v>
      </c>
      <c r="C520" s="28">
        <f ca="1"/>
        <v>7906.2244899238285</v>
      </c>
      <c r="D520" s="28">
        <f ca="1"/>
        <v>7243.2481824804981</v>
      </c>
      <c r="E520" s="28">
        <f ca="1"/>
        <v>6492.9747473091593</v>
      </c>
      <c r="F520" s="28">
        <f ca="1"/>
        <v>5059.9939767558471</v>
      </c>
      <c r="G520" s="28">
        <f ca="1"/>
        <v>3799.9733183766566</v>
      </c>
      <c r="H520" s="28">
        <f ca="1"/>
        <v>2459.818819521498</v>
      </c>
      <c r="I520" s="28">
        <f ca="1"/>
        <v>1653.410359786759</v>
      </c>
      <c r="J520" s="28">
        <f ca="1"/>
        <v>1164.25264488881</v>
      </c>
      <c r="K520" s="28">
        <f ca="1"/>
        <v>839.78465527388801</v>
      </c>
      <c r="M520" s="4" t="str">
        <f t="shared" si="38"/>
        <v>$M(2015) per Mtonne</v>
      </c>
    </row>
    <row r="521" spans="1:13" s="7" customFormat="1" x14ac:dyDescent="0.25">
      <c r="A521" s="4" t="str">
        <v>AF N2O</v>
      </c>
      <c r="B521" s="28">
        <f ca="1"/>
        <v>8504.4910572575664</v>
      </c>
      <c r="C521" s="28">
        <f ca="1"/>
        <v>7766.9186967586302</v>
      </c>
      <c r="D521" s="28">
        <f ca="1"/>
        <v>6886.2727219150675</v>
      </c>
      <c r="E521" s="28">
        <f ca="1"/>
        <v>5995.4940404631734</v>
      </c>
      <c r="F521" s="28">
        <f ca="1"/>
        <v>4519.5062252199568</v>
      </c>
      <c r="G521" s="28">
        <f ca="1"/>
        <v>3289.2656122454569</v>
      </c>
      <c r="H521" s="28">
        <f ca="1"/>
        <v>2096.6283302610182</v>
      </c>
      <c r="I521" s="28">
        <f ca="1"/>
        <v>1398.8659436848384</v>
      </c>
      <c r="J521" s="28">
        <f ca="1"/>
        <v>981.44708055365538</v>
      </c>
      <c r="K521" s="28">
        <f ca="1"/>
        <v>706.31803793153006</v>
      </c>
      <c r="M521" s="4" t="str">
        <f t="shared" si="38"/>
        <v>$M(2015) per Mtonne</v>
      </c>
    </row>
    <row r="522" spans="1:13" s="7" customFormat="1" ht="13" thickBot="1" x14ac:dyDescent="0.3">
      <c r="A522" s="4" t="str">
        <v>LA N2O</v>
      </c>
      <c r="B522" s="36">
        <f ca="1"/>
        <v>4826.8733027678081</v>
      </c>
      <c r="C522" s="36">
        <f ca="1"/>
        <v>4378.0929021136571</v>
      </c>
      <c r="D522" s="36">
        <f ca="1"/>
        <v>3882.2677113215041</v>
      </c>
      <c r="E522" s="36">
        <f ca="1"/>
        <v>3396.5707538643546</v>
      </c>
      <c r="F522" s="36">
        <f ca="1"/>
        <v>2591.6145070087878</v>
      </c>
      <c r="G522" s="36">
        <f ca="1"/>
        <v>1930.0394380006921</v>
      </c>
      <c r="H522" s="36">
        <f ca="1"/>
        <v>1264.5868124400026</v>
      </c>
      <c r="I522" s="36">
        <f ca="1"/>
        <v>854.92383280712045</v>
      </c>
      <c r="J522" s="36">
        <f ca="1"/>
        <v>603.54949339806001</v>
      </c>
      <c r="K522" s="36">
        <f ca="1"/>
        <v>435.95105261047019</v>
      </c>
      <c r="M522" s="4" t="str">
        <f t="shared" si="38"/>
        <v>$M(2015) per Mtonne</v>
      </c>
    </row>
    <row r="523" spans="1:13" s="2" customFormat="1" ht="15.5" thickTop="1" x14ac:dyDescent="0.4">
      <c r="A523" s="2" t="s">
        <v>339</v>
      </c>
      <c r="B523" s="2" t="s">
        <v>343</v>
      </c>
    </row>
    <row r="524" spans="1:13" s="7" customFormat="1" x14ac:dyDescent="0.25">
      <c r="A524" s="4" t="str">
        <f t="array" ref="A524:A531">R_CODE&amp;" "&amp;GLIN_NAME</f>
        <v>EU Lin</v>
      </c>
      <c r="B524" s="27">
        <f t="array" ref="B524:K531" ca="1">cmax_glin/(EXP(BHI_GLIN*(QMAX_GLIN-Q0_GLIN))-1)</f>
        <v>84.091869386198738</v>
      </c>
      <c r="C524" s="27">
        <f ca="1"/>
        <v>67.04968494614252</v>
      </c>
      <c r="D524" s="27">
        <f ca="1"/>
        <v>52.936137473380555</v>
      </c>
      <c r="E524" s="27">
        <f ca="1"/>
        <v>43.482908272273576</v>
      </c>
      <c r="F524" s="27">
        <f ca="1"/>
        <v>31.945147945291591</v>
      </c>
      <c r="G524" s="27">
        <f ca="1"/>
        <v>23.724964177336954</v>
      </c>
      <c r="H524" s="27">
        <f ca="1"/>
        <v>15.568377634549842</v>
      </c>
      <c r="I524" s="27">
        <f ca="1"/>
        <v>10.511353818951003</v>
      </c>
      <c r="J524" s="27">
        <f ca="1"/>
        <v>7.4046209731323431</v>
      </c>
      <c r="K524" s="27">
        <f ca="1"/>
        <v>5.3350160695866844</v>
      </c>
      <c r="M524" s="4" t="str">
        <f t="shared" ref="M524:M531" si="39">CURRENCY_NAME&amp;" per "&amp;EMIT_NAME</f>
        <v>$M(2015) per Mtonne</v>
      </c>
    </row>
    <row r="525" spans="1:13" s="7" customFormat="1" x14ac:dyDescent="0.25">
      <c r="A525" s="4" t="str">
        <v>US Lin</v>
      </c>
      <c r="B525" s="28">
        <f ca="1"/>
        <v>84.091869386198738</v>
      </c>
      <c r="C525" s="28">
        <f ca="1"/>
        <v>63.034976442882474</v>
      </c>
      <c r="D525" s="28">
        <f ca="1"/>
        <v>48.206251090874268</v>
      </c>
      <c r="E525" s="28">
        <f ca="1"/>
        <v>39.205343855229195</v>
      </c>
      <c r="F525" s="28">
        <f ca="1"/>
        <v>28.667345203564604</v>
      </c>
      <c r="G525" s="28">
        <f ca="1"/>
        <v>21.359991500537845</v>
      </c>
      <c r="H525" s="28">
        <f ca="1"/>
        <v>14.060985906641356</v>
      </c>
      <c r="I525" s="28">
        <f ca="1"/>
        <v>9.5091833031827768</v>
      </c>
      <c r="J525" s="28">
        <f ca="1"/>
        <v>6.7039454081059073</v>
      </c>
      <c r="K525" s="28">
        <f ca="1"/>
        <v>4.8324262221589169</v>
      </c>
      <c r="M525" s="4" t="str">
        <f t="shared" si="39"/>
        <v>$M(2015) per Mtonne</v>
      </c>
    </row>
    <row r="526" spans="1:13" s="7" customFormat="1" x14ac:dyDescent="0.25">
      <c r="A526" s="4" t="str">
        <v>OT Lin</v>
      </c>
      <c r="B526" s="28">
        <f ca="1"/>
        <v>103.71330557631183</v>
      </c>
      <c r="C526" s="28">
        <f ca="1"/>
        <v>82.91493845940829</v>
      </c>
      <c r="D526" s="28">
        <f ca="1"/>
        <v>65.56642663138814</v>
      </c>
      <c r="E526" s="28">
        <f ca="1"/>
        <v>53.886474538714722</v>
      </c>
      <c r="F526" s="28">
        <f ca="1"/>
        <v>39.598467544318765</v>
      </c>
      <c r="G526" s="28">
        <f ca="1"/>
        <v>29.403649715768168</v>
      </c>
      <c r="H526" s="28">
        <f ca="1"/>
        <v>19.291411724899337</v>
      </c>
      <c r="I526" s="28">
        <f ca="1"/>
        <v>13.023892702848292</v>
      </c>
      <c r="J526" s="28">
        <f ca="1"/>
        <v>9.1741643305010765</v>
      </c>
      <c r="K526" s="28">
        <f ca="1"/>
        <v>6.6098037825835227</v>
      </c>
      <c r="M526" s="4" t="str">
        <f t="shared" si="39"/>
        <v>$M(2015) per Mtonne</v>
      </c>
    </row>
    <row r="527" spans="1:13" s="7" customFormat="1" x14ac:dyDescent="0.25">
      <c r="A527" s="4" t="str">
        <v>EE Lin</v>
      </c>
      <c r="B527" s="28">
        <f ca="1"/>
        <v>58.864308570339126</v>
      </c>
      <c r="C527" s="28">
        <f ca="1"/>
        <v>47.96486364091966</v>
      </c>
      <c r="D527" s="28">
        <f ca="1"/>
        <v>38.290753698572026</v>
      </c>
      <c r="E527" s="28">
        <f ca="1"/>
        <v>31.400829403570235</v>
      </c>
      <c r="F527" s="28">
        <f ca="1"/>
        <v>22.909175283600934</v>
      </c>
      <c r="G527" s="28">
        <f ca="1"/>
        <v>16.813202965401111</v>
      </c>
      <c r="H527" s="28">
        <f ca="1"/>
        <v>10.932408632249153</v>
      </c>
      <c r="I527" s="28">
        <f ca="1"/>
        <v>7.3474207421765163</v>
      </c>
      <c r="J527" s="28">
        <f ca="1"/>
        <v>5.1645330918454295</v>
      </c>
      <c r="K527" s="28">
        <f ca="1"/>
        <v>3.7162952716744928</v>
      </c>
      <c r="M527" s="4" t="str">
        <f t="shared" si="39"/>
        <v>$M(2015) per Mtonne</v>
      </c>
    </row>
    <row r="528" spans="1:13" s="7" customFormat="1" x14ac:dyDescent="0.25">
      <c r="A528" s="4" t="str">
        <v>CA Lin</v>
      </c>
      <c r="B528" s="28">
        <f ca="1"/>
        <v>84.091869386198738</v>
      </c>
      <c r="C528" s="28">
        <f ca="1"/>
        <v>65.758360346572772</v>
      </c>
      <c r="D528" s="28">
        <f ca="1"/>
        <v>51.253631550904792</v>
      </c>
      <c r="E528" s="28">
        <f ca="1"/>
        <v>41.27991129806356</v>
      </c>
      <c r="F528" s="28">
        <f ca="1"/>
        <v>29.71354511342285</v>
      </c>
      <c r="G528" s="28">
        <f ca="1"/>
        <v>21.547486428333716</v>
      </c>
      <c r="H528" s="28">
        <f ca="1"/>
        <v>13.929724331405545</v>
      </c>
      <c r="I528" s="28">
        <f ca="1"/>
        <v>9.3355237754922609</v>
      </c>
      <c r="J528" s="28">
        <f ca="1"/>
        <v>6.5533573611424378</v>
      </c>
      <c r="K528" s="28">
        <f ca="1"/>
        <v>4.7120764824430008</v>
      </c>
      <c r="M528" s="4" t="str">
        <f t="shared" si="39"/>
        <v>$M(2015) per Mtonne</v>
      </c>
    </row>
    <row r="529" spans="1:13" s="7" customFormat="1" x14ac:dyDescent="0.25">
      <c r="A529" s="4" t="str">
        <v>IA Lin</v>
      </c>
      <c r="B529" s="28">
        <f ca="1"/>
        <v>103.71330557631178</v>
      </c>
      <c r="C529" s="28">
        <f ca="1"/>
        <v>82.59523194170157</v>
      </c>
      <c r="D529" s="28">
        <f ca="1"/>
        <v>65.07340935944157</v>
      </c>
      <c r="E529" s="28">
        <f ca="1"/>
        <v>52.775562727754107</v>
      </c>
      <c r="F529" s="28">
        <f ca="1"/>
        <v>38.196833851843195</v>
      </c>
      <c r="G529" s="28">
        <f ca="1"/>
        <v>27.811242929742495</v>
      </c>
      <c r="H529" s="28">
        <f ca="1"/>
        <v>18.018505184123118</v>
      </c>
      <c r="I529" s="28">
        <f ca="1"/>
        <v>12.088526763765032</v>
      </c>
      <c r="J529" s="28">
        <f ca="1"/>
        <v>8.4900791831138083</v>
      </c>
      <c r="K529" s="28">
        <f ca="1"/>
        <v>6.1063745486670769</v>
      </c>
      <c r="M529" s="4" t="str">
        <f t="shared" si="39"/>
        <v>$M(2015) per Mtonne</v>
      </c>
    </row>
    <row r="530" spans="1:13" s="7" customFormat="1" x14ac:dyDescent="0.25">
      <c r="A530" s="4" t="str">
        <v>AF Lin</v>
      </c>
      <c r="B530" s="28">
        <f ca="1"/>
        <v>103.71330557631177</v>
      </c>
      <c r="C530" s="28">
        <f ca="1"/>
        <v>83.680342242840297</v>
      </c>
      <c r="D530" s="28">
        <f ca="1"/>
        <v>66.633172944752843</v>
      </c>
      <c r="E530" s="28">
        <f ca="1"/>
        <v>54.688694457079848</v>
      </c>
      <c r="F530" s="28">
        <f ca="1"/>
        <v>39.880772117322088</v>
      </c>
      <c r="G530" s="28">
        <f ca="1"/>
        <v>29.029571172084193</v>
      </c>
      <c r="H530" s="28">
        <f ca="1"/>
        <v>18.760142669205425</v>
      </c>
      <c r="I530" s="28">
        <f ca="1"/>
        <v>12.570725359791421</v>
      </c>
      <c r="J530" s="28">
        <f ca="1"/>
        <v>8.8237282609582479</v>
      </c>
      <c r="K530" s="28">
        <f ca="1"/>
        <v>6.3442654027441447</v>
      </c>
      <c r="M530" s="4" t="str">
        <f t="shared" si="39"/>
        <v>$M(2015) per Mtonne</v>
      </c>
    </row>
    <row r="531" spans="1:13" s="7" customFormat="1" ht="13" thickBot="1" x14ac:dyDescent="0.3">
      <c r="A531" s="4" t="str">
        <v>LA Lin</v>
      </c>
      <c r="B531" s="36">
        <f ca="1"/>
        <v>58.864308570339112</v>
      </c>
      <c r="C531" s="36">
        <f ca="1"/>
        <v>47.998118941571775</v>
      </c>
      <c r="D531" s="36">
        <f ca="1"/>
        <v>38.456095608277252</v>
      </c>
      <c r="E531" s="36">
        <f ca="1"/>
        <v>31.56411008042582</v>
      </c>
      <c r="F531" s="36">
        <f ca="1"/>
        <v>23.0544799338549</v>
      </c>
      <c r="G531" s="36">
        <f ca="1"/>
        <v>16.832953767126412</v>
      </c>
      <c r="H531" s="36">
        <f ca="1"/>
        <v>10.908158620218076</v>
      </c>
      <c r="I531" s="36">
        <f ca="1"/>
        <v>7.3189866548938856</v>
      </c>
      <c r="J531" s="36">
        <f ca="1"/>
        <v>5.1405578691761873</v>
      </c>
      <c r="K531" s="36">
        <f ca="1"/>
        <v>3.6973798068854178</v>
      </c>
      <c r="M531" s="4" t="str">
        <f t="shared" si="39"/>
        <v>$M(2015) per Mtonne</v>
      </c>
    </row>
    <row r="532" spans="1:13" s="2" customFormat="1" ht="15.5" thickTop="1" x14ac:dyDescent="0.4">
      <c r="A532" s="2" t="s">
        <v>344</v>
      </c>
      <c r="B532" s="2" t="s">
        <v>345</v>
      </c>
    </row>
    <row r="533" spans="1:13" s="6" customFormat="1" x14ac:dyDescent="0.25">
      <c r="A533" s="4" t="str">
        <f t="array" ref="A533:A540">R_CODE&amp;" "&amp;'Base data'!$B$12</f>
        <v>EU CO2</v>
      </c>
      <c r="B533" s="29">
        <f t="array" aca="1" ref="B533:K540" ca="1">IF(Q0_CO2=0,0,(ALO_CO2/BLO_CO2)*(1-EXP(-BLO_CO2*Q0_CO2))-ALO_CO2*Q0_CO2)</f>
        <v>-15869.495059966888</v>
      </c>
      <c r="C533" s="29">
        <f ca="1"/>
        <v>-18104.100194210201</v>
      </c>
      <c r="D533" s="29">
        <f ca="1"/>
        <v>-19275.034500108781</v>
      </c>
      <c r="E533" s="29">
        <f ca="1"/>
        <v>-20546.575648155485</v>
      </c>
      <c r="F533" s="29">
        <f ca="1"/>
        <v>-22370.630108902038</v>
      </c>
      <c r="G533" s="29">
        <f ca="1"/>
        <v>-19785.777032007056</v>
      </c>
      <c r="H533" s="29">
        <f ca="1"/>
        <v>-16932.299162316947</v>
      </c>
      <c r="I533" s="29">
        <f ca="1"/>
        <v>-14463.445359606187</v>
      </c>
      <c r="J533" s="29">
        <f ca="1"/>
        <v>-12329.52101233264</v>
      </c>
      <c r="K533" s="29">
        <f ca="1"/>
        <v>-10487.068457759042</v>
      </c>
      <c r="M533" s="4" t="str">
        <f t="shared" ref="M533:M540" si="40">CURRENCY_NAME</f>
        <v>$M(2015)</v>
      </c>
    </row>
    <row r="534" spans="1:13" s="6" customFormat="1" x14ac:dyDescent="0.25">
      <c r="A534" s="4" t="str">
        <v>US CO2</v>
      </c>
      <c r="B534" s="26">
        <f ca="1"/>
        <v>-24157.135615607855</v>
      </c>
      <c r="C534" s="26">
        <f ca="1"/>
        <v>-27558.734662790259</v>
      </c>
      <c r="D534" s="26">
        <f ca="1"/>
        <v>-29341.174413876994</v>
      </c>
      <c r="E534" s="26">
        <f ca="1"/>
        <v>-31276.761641959485</v>
      </c>
      <c r="F534" s="26">
        <f ca="1"/>
        <v>-34053.405184302959</v>
      </c>
      <c r="G534" s="26">
        <f ca="1"/>
        <v>-30118.645692018043</v>
      </c>
      <c r="H534" s="26">
        <f ca="1"/>
        <v>-25774.975549158222</v>
      </c>
      <c r="I534" s="26">
        <f ca="1"/>
        <v>-22016.794466406285</v>
      </c>
      <c r="J534" s="26">
        <f ca="1"/>
        <v>-18768.455457777349</v>
      </c>
      <c r="K534" s="26">
        <f ca="1"/>
        <v>-15963.805652728635</v>
      </c>
      <c r="M534" s="4" t="str">
        <f t="shared" si="40"/>
        <v>$M(2015)</v>
      </c>
    </row>
    <row r="535" spans="1:13" s="6" customFormat="1" x14ac:dyDescent="0.25">
      <c r="A535" s="4" t="str">
        <v>OT CO2</v>
      </c>
      <c r="B535" s="26">
        <f ca="1"/>
        <v>-8792.9394378577454</v>
      </c>
      <c r="C535" s="26">
        <f ca="1"/>
        <v>-10031.085172090603</v>
      </c>
      <c r="D535" s="26">
        <f ca="1"/>
        <v>-10679.874210341053</v>
      </c>
      <c r="E535" s="26">
        <f ca="1"/>
        <v>-11384.40729505926</v>
      </c>
      <c r="F535" s="26">
        <f ca="1"/>
        <v>-12395.075898193261</v>
      </c>
      <c r="G535" s="26">
        <f ca="1"/>
        <v>-10962.865454507903</v>
      </c>
      <c r="H535" s="26">
        <f ca="1"/>
        <v>-9381.8158999605257</v>
      </c>
      <c r="I535" s="26">
        <f ca="1"/>
        <v>-8013.8781120139311</v>
      </c>
      <c r="J535" s="26">
        <f ca="1"/>
        <v>-6831.5173954540169</v>
      </c>
      <c r="K535" s="26">
        <f ca="1"/>
        <v>-5810.6548117187449</v>
      </c>
      <c r="M535" s="4" t="str">
        <f t="shared" si="40"/>
        <v>$M(2015)</v>
      </c>
    </row>
    <row r="536" spans="1:13" s="6" customFormat="1" x14ac:dyDescent="0.25">
      <c r="A536" s="4" t="str">
        <v>EE CO2</v>
      </c>
      <c r="B536" s="26">
        <f ca="1"/>
        <v>-9689.905700829393</v>
      </c>
      <c r="C536" s="26">
        <f ca="1"/>
        <v>-11611.475084524864</v>
      </c>
      <c r="D536" s="26">
        <f ca="1"/>
        <v>-13966.941315674687</v>
      </c>
      <c r="E536" s="26">
        <f ca="1"/>
        <v>-16513.001575107854</v>
      </c>
      <c r="F536" s="26">
        <f ca="1"/>
        <v>-20969.070273691945</v>
      </c>
      <c r="G536" s="26">
        <f ca="1"/>
        <v>-25905.435011579008</v>
      </c>
      <c r="H536" s="26">
        <f ca="1"/>
        <v>-22169.388386235154</v>
      </c>
      <c r="I536" s="26">
        <f ca="1"/>
        <v>-18936.928441106305</v>
      </c>
      <c r="J536" s="26">
        <f ca="1"/>
        <v>-16142.990229405259</v>
      </c>
      <c r="K536" s="26">
        <f ca="1"/>
        <v>-13730.674815296788</v>
      </c>
      <c r="M536" s="4" t="str">
        <f t="shared" si="40"/>
        <v>$M(2015)</v>
      </c>
    </row>
    <row r="537" spans="1:13" s="6" customFormat="1" x14ac:dyDescent="0.25">
      <c r="A537" s="4" t="str">
        <v>CA CO2</v>
      </c>
      <c r="B537" s="26">
        <f ca="1"/>
        <v>-26244.59860364586</v>
      </c>
      <c r="C537" s="26">
        <f ca="1"/>
        <v>-28543.669958170482</v>
      </c>
      <c r="D537" s="26">
        <f ca="1"/>
        <v>-33955.983609833696</v>
      </c>
      <c r="E537" s="26">
        <f ca="1"/>
        <v>-39914.574742868586</v>
      </c>
      <c r="F537" s="26">
        <f ca="1"/>
        <v>-47964.921673456513</v>
      </c>
      <c r="G537" s="26">
        <f ca="1"/>
        <v>-46568.472305757765</v>
      </c>
      <c r="H537" s="26">
        <f ca="1"/>
        <v>-39852.430528131576</v>
      </c>
      <c r="I537" s="26">
        <f ca="1"/>
        <v>-34041.652930035991</v>
      </c>
      <c r="J537" s="26">
        <f ca="1"/>
        <v>-29019.176597272501</v>
      </c>
      <c r="K537" s="26">
        <f ca="1"/>
        <v>-24682.718108756431</v>
      </c>
      <c r="M537" s="4" t="str">
        <f t="shared" si="40"/>
        <v>$M(2015)</v>
      </c>
    </row>
    <row r="538" spans="1:13" s="6" customFormat="1" x14ac:dyDescent="0.25">
      <c r="A538" s="4" t="str">
        <v>IA CO2</v>
      </c>
      <c r="B538" s="26">
        <f ca="1"/>
        <v>-15963.032505814685</v>
      </c>
      <c r="C538" s="26">
        <f ca="1"/>
        <v>-17361.421230280277</v>
      </c>
      <c r="D538" s="26">
        <f ca="1"/>
        <v>-20653.410567132341</v>
      </c>
      <c r="E538" s="26">
        <f ca="1"/>
        <v>-24277.668090822615</v>
      </c>
      <c r="F538" s="26">
        <f ca="1"/>
        <v>-29174.216583593552</v>
      </c>
      <c r="G538" s="26">
        <f ca="1"/>
        <v>-28324.839270343178</v>
      </c>
      <c r="H538" s="26">
        <f ca="1"/>
        <v>-24239.869451381535</v>
      </c>
      <c r="I538" s="26">
        <f ca="1"/>
        <v>-20705.518132723002</v>
      </c>
      <c r="J538" s="26">
        <f ca="1"/>
        <v>-17650.643711879282</v>
      </c>
      <c r="K538" s="26">
        <f ca="1"/>
        <v>-15013.033251238376</v>
      </c>
      <c r="M538" s="4" t="str">
        <f t="shared" si="40"/>
        <v>$M(2015)</v>
      </c>
    </row>
    <row r="539" spans="1:13" s="6" customFormat="1" x14ac:dyDescent="0.25">
      <c r="A539" s="4" t="str">
        <v>AF CO2</v>
      </c>
      <c r="B539" s="26">
        <f ca="1"/>
        <v>-14465.424140354193</v>
      </c>
      <c r="C539" s="26">
        <f ca="1"/>
        <v>-17742.780038390818</v>
      </c>
      <c r="D539" s="26">
        <f ca="1"/>
        <v>-22668.228952661786</v>
      </c>
      <c r="E539" s="26">
        <f ca="1"/>
        <v>-28347.64700843157</v>
      </c>
      <c r="F539" s="26">
        <f ca="1"/>
        <v>-39456.502958139812</v>
      </c>
      <c r="G539" s="26">
        <f ca="1"/>
        <v>-44066.932941772975</v>
      </c>
      <c r="H539" s="26">
        <f ca="1"/>
        <v>-37711.659770997154</v>
      </c>
      <c r="I539" s="26">
        <f ca="1"/>
        <v>-32213.022300702156</v>
      </c>
      <c r="J539" s="26">
        <f ca="1"/>
        <v>-27460.340565635532</v>
      </c>
      <c r="K539" s="26">
        <f ca="1"/>
        <v>-23356.825548790272</v>
      </c>
      <c r="M539" s="4" t="str">
        <f t="shared" si="40"/>
        <v>$M(2015)</v>
      </c>
    </row>
    <row r="540" spans="1:13" s="6" customFormat="1" ht="13" thickBot="1" x14ac:dyDescent="0.3">
      <c r="A540" s="4" t="str">
        <v>LA CO2</v>
      </c>
      <c r="B540" s="35">
        <f ca="1"/>
        <v>-9880.5882105962901</v>
      </c>
      <c r="C540" s="35">
        <f ca="1"/>
        <v>-11055.232917053916</v>
      </c>
      <c r="D540" s="35">
        <f ca="1"/>
        <v>-13246.328873781795</v>
      </c>
      <c r="E540" s="35">
        <f ca="1"/>
        <v>-16073.212741782378</v>
      </c>
      <c r="F540" s="35">
        <f ca="1"/>
        <v>-19102.994516980791</v>
      </c>
      <c r="G540" s="35">
        <f ca="1"/>
        <v>-12802.377278342825</v>
      </c>
      <c r="H540" s="35">
        <f ca="1"/>
        <v>-10956.035828922939</v>
      </c>
      <c r="I540" s="35">
        <f ca="1"/>
        <v>-9358.565192503449</v>
      </c>
      <c r="J540" s="35">
        <f ca="1"/>
        <v>-7977.8104951749738</v>
      </c>
      <c r="K540" s="35">
        <f ca="1"/>
        <v>-6785.6524776788592</v>
      </c>
      <c r="M540" s="4" t="str">
        <f t="shared" si="40"/>
        <v>$M(2015)</v>
      </c>
    </row>
    <row r="541" spans="1:13" s="2" customFormat="1" ht="15.5" thickTop="1" x14ac:dyDescent="0.4">
      <c r="A541" s="2" t="s">
        <v>344</v>
      </c>
      <c r="B541" s="2" t="s">
        <v>346</v>
      </c>
    </row>
    <row r="542" spans="1:13" s="6" customFormat="1" x14ac:dyDescent="0.25">
      <c r="A542" s="4" t="str">
        <f t="array" ref="A542:A549">R_CODE&amp;" "&amp;'Base data'!$C$12</f>
        <v>EU CH4</v>
      </c>
      <c r="B542" s="29">
        <f t="array" aca="1" ref="B542:K549" ca="1">IF(Q0_CH4=0,0,(ALO_CH4/BLO_CH4)*(1-EXP(-BLO_CH4*Q0_CH4))-ALO_CH4*Q0_CH4)</f>
        <v>-3951.8833767281194</v>
      </c>
      <c r="C542" s="29">
        <f ca="1"/>
        <v>-4095.105211558528</v>
      </c>
      <c r="D542" s="29">
        <f ca="1"/>
        <v>-4253.5095577771117</v>
      </c>
      <c r="E542" s="29">
        <f ca="1"/>
        <v>-4449.5706445273536</v>
      </c>
      <c r="F542" s="29">
        <f ca="1"/>
        <v>-4944.9813303920446</v>
      </c>
      <c r="G542" s="29">
        <f ca="1"/>
        <v>-5277.28590717306</v>
      </c>
      <c r="H542" s="29">
        <f ca="1"/>
        <v>-4435.1640459103082</v>
      </c>
      <c r="I542" s="29">
        <f ca="1"/>
        <v>-3713.0279607078655</v>
      </c>
      <c r="J542" s="29">
        <f ca="1"/>
        <v>-3094.8215756722434</v>
      </c>
      <c r="K542" s="29">
        <f ca="1"/>
        <v>-2566.5533099714712</v>
      </c>
      <c r="M542" s="4" t="str">
        <f t="shared" ref="M542:M549" si="41">CURRENCY_NAME</f>
        <v>$M(2015)</v>
      </c>
    </row>
    <row r="543" spans="1:13" s="6" customFormat="1" x14ac:dyDescent="0.25">
      <c r="A543" s="4" t="str">
        <v>US CH4</v>
      </c>
      <c r="B543" s="26">
        <f ca="1"/>
        <v>-5205.2175208653034</v>
      </c>
      <c r="C543" s="26">
        <f ca="1"/>
        <v>-5393.8619551671436</v>
      </c>
      <c r="D543" s="26">
        <f ca="1"/>
        <v>-5602.504012565314</v>
      </c>
      <c r="E543" s="26">
        <f ca="1"/>
        <v>-5860.745591737923</v>
      </c>
      <c r="F543" s="26">
        <f ca="1"/>
        <v>-6513.2750659811063</v>
      </c>
      <c r="G543" s="26">
        <f ca="1"/>
        <v>-6950.969562612825</v>
      </c>
      <c r="H543" s="26">
        <f ca="1"/>
        <v>-5841.7699610350737</v>
      </c>
      <c r="I543" s="26">
        <f ca="1"/>
        <v>-4890.6094522811654</v>
      </c>
      <c r="J543" s="26">
        <f ca="1"/>
        <v>-4076.3397990196818</v>
      </c>
      <c r="K543" s="26">
        <f ca="1"/>
        <v>-3380.5320106280642</v>
      </c>
      <c r="M543" s="4" t="str">
        <f t="shared" si="41"/>
        <v>$M(2015)</v>
      </c>
    </row>
    <row r="544" spans="1:13" s="6" customFormat="1" x14ac:dyDescent="0.25">
      <c r="A544" s="4" t="str">
        <v>OT CH4</v>
      </c>
      <c r="B544" s="26">
        <f ca="1"/>
        <v>-3674.5174923275531</v>
      </c>
      <c r="C544" s="26">
        <f ca="1"/>
        <v>-3807.6871957825424</v>
      </c>
      <c r="D544" s="26">
        <f ca="1"/>
        <v>-3954.9738147320104</v>
      </c>
      <c r="E544" s="26">
        <f ca="1"/>
        <v>-4137.2742077727034</v>
      </c>
      <c r="F544" s="26">
        <f ca="1"/>
        <v>-4597.9141248855813</v>
      </c>
      <c r="G544" s="26">
        <f ca="1"/>
        <v>-4906.8956569198817</v>
      </c>
      <c r="H544" s="26">
        <f ca="1"/>
        <v>-4123.8787470323841</v>
      </c>
      <c r="I544" s="26">
        <f ca="1"/>
        <v>-3452.4263219574768</v>
      </c>
      <c r="J544" s="26">
        <f ca="1"/>
        <v>-2877.6092134721775</v>
      </c>
      <c r="K544" s="26">
        <f ca="1"/>
        <v>-2386.4178502882401</v>
      </c>
      <c r="M544" s="4" t="str">
        <f t="shared" si="41"/>
        <v>$M(2015)</v>
      </c>
    </row>
    <row r="545" spans="1:13" s="6" customFormat="1" x14ac:dyDescent="0.25">
      <c r="A545" s="4" t="str">
        <v>EE CH4</v>
      </c>
      <c r="B545" s="26">
        <f ca="1"/>
        <v>-5416.5158554649988</v>
      </c>
      <c r="C545" s="26">
        <f ca="1"/>
        <v>-5684.4367010478582</v>
      </c>
      <c r="D545" s="26">
        <f ca="1"/>
        <v>-6546.5739380782798</v>
      </c>
      <c r="E545" s="26">
        <f ca="1"/>
        <v>-7217.2392330764169</v>
      </c>
      <c r="F545" s="26">
        <f ca="1"/>
        <v>-7613.8813336842186</v>
      </c>
      <c r="G545" s="26">
        <f ca="1"/>
        <v>-9426.6430612736021</v>
      </c>
      <c r="H545" s="26">
        <f ca="1"/>
        <v>-7922.3883477987838</v>
      </c>
      <c r="I545" s="26">
        <f ca="1"/>
        <v>-6632.460298303462</v>
      </c>
      <c r="J545" s="26">
        <f ca="1"/>
        <v>-5528.1784700231292</v>
      </c>
      <c r="K545" s="26">
        <f ca="1"/>
        <v>-4584.5501601393453</v>
      </c>
      <c r="M545" s="4" t="str">
        <f t="shared" si="41"/>
        <v>$M(2015)</v>
      </c>
    </row>
    <row r="546" spans="1:13" s="6" customFormat="1" x14ac:dyDescent="0.25">
      <c r="A546" s="4" t="str">
        <v>CA CH4</v>
      </c>
      <c r="B546" s="26">
        <f ca="1"/>
        <v>-7626.3668062658608</v>
      </c>
      <c r="C546" s="26">
        <f ca="1"/>
        <v>-8082.850659899108</v>
      </c>
      <c r="D546" s="26">
        <f ca="1"/>
        <v>-9197.9815208874352</v>
      </c>
      <c r="E546" s="26">
        <f ca="1"/>
        <v>-10604.429237242117</v>
      </c>
      <c r="F546" s="26">
        <f ca="1"/>
        <v>-12255.15910427278</v>
      </c>
      <c r="G546" s="26">
        <f ca="1"/>
        <v>-12300.062175818692</v>
      </c>
      <c r="H546" s="26">
        <f ca="1"/>
        <v>-10337.282171978301</v>
      </c>
      <c r="I546" s="26">
        <f ca="1"/>
        <v>-8654.1596533898683</v>
      </c>
      <c r="J546" s="26">
        <f ca="1"/>
        <v>-7213.2718358299553</v>
      </c>
      <c r="K546" s="26">
        <f ca="1"/>
        <v>-5982.0077679121096</v>
      </c>
      <c r="M546" s="4" t="str">
        <f t="shared" si="41"/>
        <v>$M(2015)</v>
      </c>
    </row>
    <row r="547" spans="1:13" s="6" customFormat="1" x14ac:dyDescent="0.25">
      <c r="A547" s="4" t="str">
        <v>IA CH4</v>
      </c>
      <c r="B547" s="26">
        <f ca="1"/>
        <v>-9598.7030492656522</v>
      </c>
      <c r="C547" s="26">
        <f ca="1"/>
        <v>-10173.243071941984</v>
      </c>
      <c r="D547" s="26">
        <f ca="1"/>
        <v>-11576.769845254876</v>
      </c>
      <c r="E547" s="26">
        <f ca="1"/>
        <v>-13346.954039977147</v>
      </c>
      <c r="F547" s="26">
        <f ca="1"/>
        <v>-15424.596803653672</v>
      </c>
      <c r="G547" s="26">
        <f ca="1"/>
        <v>-15481.112738530417</v>
      </c>
      <c r="H547" s="26">
        <f ca="1"/>
        <v>-13010.717216455449</v>
      </c>
      <c r="I547" s="26">
        <f ca="1"/>
        <v>-10892.304391335525</v>
      </c>
      <c r="J547" s="26">
        <f ca="1"/>
        <v>-9078.7731726825295</v>
      </c>
      <c r="K547" s="26">
        <f ca="1"/>
        <v>-7529.0787423721376</v>
      </c>
      <c r="M547" s="4" t="str">
        <f t="shared" si="41"/>
        <v>$M(2015)</v>
      </c>
    </row>
    <row r="548" spans="1:13" s="6" customFormat="1" x14ac:dyDescent="0.25">
      <c r="A548" s="4" t="str">
        <v>AF CH4</v>
      </c>
      <c r="B548" s="26">
        <f ca="1"/>
        <v>-10397.126821624262</v>
      </c>
      <c r="C548" s="26">
        <f ca="1"/>
        <v>-12909.478398541349</v>
      </c>
      <c r="D548" s="26">
        <f ca="1"/>
        <v>-15663.307969181607</v>
      </c>
      <c r="E548" s="26">
        <f ca="1"/>
        <v>-17688.843256278938</v>
      </c>
      <c r="F548" s="26">
        <f ca="1"/>
        <v>-18427.999357674107</v>
      </c>
      <c r="G548" s="26">
        <f ca="1"/>
        <v>-18361.615005993001</v>
      </c>
      <c r="H548" s="26">
        <f ca="1"/>
        <v>-15431.563900818004</v>
      </c>
      <c r="I548" s="26">
        <f ca="1"/>
        <v>-12918.987358319264</v>
      </c>
      <c r="J548" s="26">
        <f ca="1"/>
        <v>-10768.020396146192</v>
      </c>
      <c r="K548" s="26">
        <f ca="1"/>
        <v>-8929.9811681602987</v>
      </c>
      <c r="M548" s="4" t="str">
        <f t="shared" si="41"/>
        <v>$M(2015)</v>
      </c>
    </row>
    <row r="549" spans="1:13" s="6" customFormat="1" ht="13" thickBot="1" x14ac:dyDescent="0.3">
      <c r="A549" s="4" t="str">
        <v>LA CH4</v>
      </c>
      <c r="B549" s="35">
        <f ca="1"/>
        <v>-8309.5586543795489</v>
      </c>
      <c r="C549" s="35">
        <f ca="1"/>
        <v>-9512.8400115964505</v>
      </c>
      <c r="D549" s="35">
        <f ca="1"/>
        <v>-10481.921398893137</v>
      </c>
      <c r="E549" s="35">
        <f ca="1"/>
        <v>-11067.392687678204</v>
      </c>
      <c r="F549" s="35">
        <f ca="1"/>
        <v>-10282.10627249235</v>
      </c>
      <c r="G549" s="35">
        <f ca="1"/>
        <v>-9158.5924398314655</v>
      </c>
      <c r="H549" s="35">
        <f ca="1"/>
        <v>-7697.1118515816324</v>
      </c>
      <c r="I549" s="35">
        <f ca="1"/>
        <v>-6443.8634570849563</v>
      </c>
      <c r="J549" s="35">
        <f ca="1"/>
        <v>-5370.9823542159675</v>
      </c>
      <c r="K549" s="35">
        <f ca="1"/>
        <v>-4454.1865183349228</v>
      </c>
      <c r="M549" s="4" t="str">
        <f t="shared" si="41"/>
        <v>$M(2015)</v>
      </c>
    </row>
    <row r="550" spans="1:13" s="2" customFormat="1" ht="15.5" thickTop="1" x14ac:dyDescent="0.4">
      <c r="A550" s="2" t="s">
        <v>344</v>
      </c>
      <c r="B550" s="2" t="s">
        <v>347</v>
      </c>
    </row>
    <row r="551" spans="1:13" s="7" customFormat="1" x14ac:dyDescent="0.25">
      <c r="A551" s="4" t="str">
        <f t="array" ref="A551:A558">R_CODE&amp;" "&amp;'Base data'!$D$12</f>
        <v>EU N2O</v>
      </c>
      <c r="B551" s="29">
        <f t="array" aca="1" ref="B551:K558" ca="1">IF(Q0_N2O=0,0,(ALO_N2O/BLO_N2O)*(1-EXP(-BLO_N2O*Q0_N2O))-ALO_N2O*Q0_N2O)</f>
        <v>-408.19320311850402</v>
      </c>
      <c r="C551" s="29">
        <f ca="1"/>
        <v>-425.35816085223451</v>
      </c>
      <c r="D551" s="29">
        <f ca="1"/>
        <v>-448.20807715603502</v>
      </c>
      <c r="E551" s="29">
        <f ca="1"/>
        <v>-450.40510693942355</v>
      </c>
      <c r="F551" s="29">
        <f ca="1"/>
        <v>-439.09480516109704</v>
      </c>
      <c r="G551" s="29">
        <f ca="1"/>
        <v>-419.30891431756964</v>
      </c>
      <c r="H551" s="29">
        <f ca="1"/>
        <v>-369.60314492106528</v>
      </c>
      <c r="I551" s="29">
        <f ca="1"/>
        <v>-325.7370409412992</v>
      </c>
      <c r="J551" s="29">
        <f ca="1"/>
        <v>-287.02964068757382</v>
      </c>
      <c r="K551" s="29">
        <f ca="1"/>
        <v>-252.87888807170648</v>
      </c>
      <c r="M551" s="4" t="str">
        <f t="shared" ref="M551:M558" si="42">CURRENCY_NAME</f>
        <v>$M(2015)</v>
      </c>
    </row>
    <row r="552" spans="1:13" s="7" customFormat="1" x14ac:dyDescent="0.25">
      <c r="A552" s="4" t="str">
        <v>US N2O</v>
      </c>
      <c r="B552" s="26">
        <f ca="1"/>
        <v>-390.03714164376845</v>
      </c>
      <c r="C552" s="26">
        <f ca="1"/>
        <v>-406.43861770890692</v>
      </c>
      <c r="D552" s="26">
        <f ca="1"/>
        <v>-428.27219057059506</v>
      </c>
      <c r="E552" s="26">
        <f ca="1"/>
        <v>-430.37149847252095</v>
      </c>
      <c r="F552" s="26">
        <f ca="1"/>
        <v>-419.56426860430048</v>
      </c>
      <c r="G552" s="26">
        <f ca="1"/>
        <v>-400.65843614426154</v>
      </c>
      <c r="H552" s="26">
        <f ca="1"/>
        <v>-353.16353404764698</v>
      </c>
      <c r="I552" s="26">
        <f ca="1"/>
        <v>-311.24855437477561</v>
      </c>
      <c r="J552" s="26">
        <f ca="1"/>
        <v>-274.26282399003577</v>
      </c>
      <c r="K552" s="26">
        <f ca="1"/>
        <v>-241.63106571107861</v>
      </c>
      <c r="M552" s="4" t="str">
        <f t="shared" si="42"/>
        <v>$M(2015)</v>
      </c>
    </row>
    <row r="553" spans="1:13" s="7" customFormat="1" x14ac:dyDescent="0.25">
      <c r="A553" s="4" t="str">
        <v>OT N2O</v>
      </c>
      <c r="B553" s="26">
        <f ca="1"/>
        <v>-193.52380578726846</v>
      </c>
      <c r="C553" s="26">
        <f ca="1"/>
        <v>-201.66168736253996</v>
      </c>
      <c r="D553" s="26">
        <f ca="1"/>
        <v>-212.49479955365177</v>
      </c>
      <c r="E553" s="26">
        <f ca="1"/>
        <v>-213.53640818863411</v>
      </c>
      <c r="F553" s="26">
        <f ca="1"/>
        <v>-208.17421051355717</v>
      </c>
      <c r="G553" s="26">
        <f ca="1"/>
        <v>-198.79374835084133</v>
      </c>
      <c r="H553" s="26">
        <f ca="1"/>
        <v>-175.22831514493063</v>
      </c>
      <c r="I553" s="26">
        <f ca="1"/>
        <v>-154.43145884656673</v>
      </c>
      <c r="J553" s="26">
        <f ca="1"/>
        <v>-136.08033650546949</v>
      </c>
      <c r="K553" s="26">
        <f ca="1"/>
        <v>-119.88951420311119</v>
      </c>
      <c r="M553" s="4" t="str">
        <f t="shared" si="42"/>
        <v>$M(2015)</v>
      </c>
    </row>
    <row r="554" spans="1:13" s="7" customFormat="1" x14ac:dyDescent="0.25">
      <c r="A554" s="4" t="str">
        <v>EE N2O</v>
      </c>
      <c r="B554" s="26">
        <f ca="1"/>
        <v>-109.48143583564428</v>
      </c>
      <c r="C554" s="26">
        <f ca="1"/>
        <v>-118.11656047017428</v>
      </c>
      <c r="D554" s="26">
        <f ca="1"/>
        <v>-124.24768071613265</v>
      </c>
      <c r="E554" s="26">
        <f ca="1"/>
        <v>-125.49934160407865</v>
      </c>
      <c r="F554" s="26">
        <f ca="1"/>
        <v>-125.43215778489778</v>
      </c>
      <c r="G554" s="26">
        <f ca="1"/>
        <v>-145.27243969511167</v>
      </c>
      <c r="H554" s="26">
        <f ca="1"/>
        <v>-128.0515361068708</v>
      </c>
      <c r="I554" s="26">
        <f ca="1"/>
        <v>-112.85382452129326</v>
      </c>
      <c r="J554" s="26">
        <f ca="1"/>
        <v>-99.443381105689824</v>
      </c>
      <c r="K554" s="26">
        <f ca="1"/>
        <v>-87.611619412748951</v>
      </c>
      <c r="M554" s="4" t="str">
        <f t="shared" si="42"/>
        <v>$M(2015)</v>
      </c>
    </row>
    <row r="555" spans="1:13" s="7" customFormat="1" x14ac:dyDescent="0.25">
      <c r="A555" s="4" t="str">
        <v>CA N2O</v>
      </c>
      <c r="B555" s="26">
        <f ca="1"/>
        <v>-557.0974632700528</v>
      </c>
      <c r="C555" s="26">
        <f ca="1"/>
        <v>-608.96870997681083</v>
      </c>
      <c r="D555" s="26">
        <f ca="1"/>
        <v>-662.75579542905848</v>
      </c>
      <c r="E555" s="26">
        <f ca="1"/>
        <v>-687.58471027282019</v>
      </c>
      <c r="F555" s="26">
        <f ca="1"/>
        <v>-708.4025392380322</v>
      </c>
      <c r="G555" s="26">
        <f ca="1"/>
        <v>-771.2483146696261</v>
      </c>
      <c r="H555" s="26">
        <f ca="1"/>
        <v>-679.82290116797776</v>
      </c>
      <c r="I555" s="26">
        <f ca="1"/>
        <v>-599.13857128536938</v>
      </c>
      <c r="J555" s="26">
        <f ca="1"/>
        <v>-527.94281037598216</v>
      </c>
      <c r="K555" s="26">
        <f ca="1"/>
        <v>-465.12823739569257</v>
      </c>
      <c r="M555" s="4" t="str">
        <f t="shared" si="42"/>
        <v>$M(2015)</v>
      </c>
    </row>
    <row r="556" spans="1:13" s="7" customFormat="1" x14ac:dyDescent="0.25">
      <c r="A556" s="4" t="str">
        <v>IA N2O</v>
      </c>
      <c r="B556" s="26">
        <f ca="1"/>
        <v>-233.55420322168652</v>
      </c>
      <c r="C556" s="26">
        <f ca="1"/>
        <v>-255.3003939575072</v>
      </c>
      <c r="D556" s="26">
        <f ca="1"/>
        <v>-277.84976945219864</v>
      </c>
      <c r="E556" s="26">
        <f ca="1"/>
        <v>-288.25889497424907</v>
      </c>
      <c r="F556" s="26">
        <f ca="1"/>
        <v>-296.98643688089481</v>
      </c>
      <c r="G556" s="26">
        <f ca="1"/>
        <v>-323.33352329665172</v>
      </c>
      <c r="H556" s="26">
        <f ca="1"/>
        <v>-285.00488062207546</v>
      </c>
      <c r="I556" s="26">
        <f ca="1"/>
        <v>-251.17926549972904</v>
      </c>
      <c r="J556" s="26">
        <f ca="1"/>
        <v>-221.3315811926598</v>
      </c>
      <c r="K556" s="26">
        <f ca="1"/>
        <v>-194.99757590567026</v>
      </c>
      <c r="M556" s="4" t="str">
        <f t="shared" si="42"/>
        <v>$M(2015)</v>
      </c>
    </row>
    <row r="557" spans="1:13" s="7" customFormat="1" x14ac:dyDescent="0.25">
      <c r="A557" s="4" t="str">
        <v>AF N2O</v>
      </c>
      <c r="B557" s="26">
        <f ca="1"/>
        <v>-483.25527341661291</v>
      </c>
      <c r="C557" s="26">
        <f ca="1"/>
        <v>-572.63327247066059</v>
      </c>
      <c r="D557" s="26">
        <f ca="1"/>
        <v>-647.49401719623029</v>
      </c>
      <c r="E557" s="26">
        <f ca="1"/>
        <v>-702.65706332447121</v>
      </c>
      <c r="F557" s="26">
        <f ca="1"/>
        <v>-836.30307646991696</v>
      </c>
      <c r="G557" s="26">
        <f ca="1"/>
        <v>-913.69680455135619</v>
      </c>
      <c r="H557" s="26">
        <f ca="1"/>
        <v>-805.38524447096165</v>
      </c>
      <c r="I557" s="26">
        <f ca="1"/>
        <v>-709.79863119883248</v>
      </c>
      <c r="J557" s="26">
        <f ca="1"/>
        <v>-625.45311237799092</v>
      </c>
      <c r="K557" s="26">
        <f ca="1"/>
        <v>-551.03677522731095</v>
      </c>
      <c r="M557" s="4" t="str">
        <f t="shared" si="42"/>
        <v>$M(2015)</v>
      </c>
    </row>
    <row r="558" spans="1:13" s="7" customFormat="1" ht="13" thickBot="1" x14ac:dyDescent="0.3">
      <c r="A558" s="4" t="str">
        <v>LA N2O</v>
      </c>
      <c r="B558" s="35">
        <f ca="1"/>
        <v>-472.59410377968942</v>
      </c>
      <c r="C558" s="35">
        <f ca="1"/>
        <v>-527.82510063454743</v>
      </c>
      <c r="D558" s="35">
        <f ca="1"/>
        <v>-580.8331290780792</v>
      </c>
      <c r="E558" s="35">
        <f ca="1"/>
        <v>-600.25472687952401</v>
      </c>
      <c r="F558" s="35">
        <f ca="1"/>
        <v>-602.73350173631275</v>
      </c>
      <c r="G558" s="35">
        <f ca="1"/>
        <v>-551.70199863537709</v>
      </c>
      <c r="H558" s="35">
        <f ca="1"/>
        <v>-486.30207179530146</v>
      </c>
      <c r="I558" s="35">
        <f ca="1"/>
        <v>-428.58563312294052</v>
      </c>
      <c r="J558" s="35">
        <f ca="1"/>
        <v>-377.6567132913284</v>
      </c>
      <c r="K558" s="35">
        <f ca="1"/>
        <v>-332.72316232272965</v>
      </c>
      <c r="M558" s="4" t="str">
        <f t="shared" si="42"/>
        <v>$M(2015)</v>
      </c>
    </row>
    <row r="559" spans="1:13" s="2" customFormat="1" ht="15.5" thickTop="1" x14ac:dyDescent="0.4">
      <c r="A559" s="2" t="s">
        <v>344</v>
      </c>
      <c r="B559" s="2" t="s">
        <v>348</v>
      </c>
    </row>
    <row r="560" spans="1:13" s="7" customFormat="1" x14ac:dyDescent="0.25">
      <c r="A560" s="4" t="str">
        <f t="array" ref="A560:A567">R_CODE&amp;" "&amp;GLIN_NAME</f>
        <v>EU Lin</v>
      </c>
      <c r="B560" s="32">
        <f t="array" aca="1" ref="B560:K567" ca="1">IF(Q0_GLIN=0,0,(ALO_GLIN/BLO_GLIN)*(1-EXP(-BLO_GLIN*Q0_GLIN))-ALO_GLIN*Q0_GLIN)</f>
        <v>-1154.029597219796</v>
      </c>
      <c r="C560" s="32">
        <f ca="1"/>
        <v>-1348.9329698587949</v>
      </c>
      <c r="D560" s="32">
        <f ca="1"/>
        <v>-1340.5530204378308</v>
      </c>
      <c r="E560" s="32">
        <f ca="1"/>
        <v>-1267.0016265323766</v>
      </c>
      <c r="F560" s="32">
        <f ca="1"/>
        <v>-1161.6323511344121</v>
      </c>
      <c r="G560" s="32">
        <f ca="1"/>
        <v>-1158.7979151540949</v>
      </c>
      <c r="H560" s="32">
        <f ca="1"/>
        <v>-1034.4056384947914</v>
      </c>
      <c r="I560" s="32">
        <f ca="1"/>
        <v>-923.36637040594871</v>
      </c>
      <c r="J560" s="32">
        <f ca="1"/>
        <v>-824.24671934050889</v>
      </c>
      <c r="K560" s="32">
        <f ca="1"/>
        <v>-735.76716254557505</v>
      </c>
      <c r="M560" s="4" t="str">
        <f t="shared" ref="M560:M567" si="43">CURRENCY_NAME</f>
        <v>$M(2015)</v>
      </c>
    </row>
    <row r="561" spans="1:18" s="7" customFormat="1" x14ac:dyDescent="0.25">
      <c r="A561" s="4" t="str">
        <v>US Lin</v>
      </c>
      <c r="B561" s="33">
        <f ca="1"/>
        <v>-3254.5319416889406</v>
      </c>
      <c r="C561" s="33">
        <f ca="1"/>
        <v>-3804.1879066006541</v>
      </c>
      <c r="D561" s="33">
        <f ca="1"/>
        <v>-3780.5552258392877</v>
      </c>
      <c r="E561" s="33">
        <f ca="1"/>
        <v>-3573.1295572102235</v>
      </c>
      <c r="F561" s="33">
        <f ca="1"/>
        <v>-3275.9728176591311</v>
      </c>
      <c r="G561" s="33">
        <f ca="1"/>
        <v>-3267.9792943934908</v>
      </c>
      <c r="H561" s="33">
        <f ca="1"/>
        <v>-2917.1749141051359</v>
      </c>
      <c r="I561" s="33">
        <f ca="1"/>
        <v>-2604.0279673998584</v>
      </c>
      <c r="J561" s="33">
        <f ca="1"/>
        <v>-2324.4960808531941</v>
      </c>
      <c r="K561" s="33">
        <f ca="1"/>
        <v>-2074.970813503618</v>
      </c>
      <c r="M561" s="4" t="str">
        <f t="shared" si="43"/>
        <v>$M(2015)</v>
      </c>
    </row>
    <row r="562" spans="1:18" s="7" customFormat="1" x14ac:dyDescent="0.25">
      <c r="A562" s="4" t="str">
        <v>OT Lin</v>
      </c>
      <c r="B562" s="33">
        <f ca="1"/>
        <v>-1081.9988544923081</v>
      </c>
      <c r="C562" s="33">
        <f ca="1"/>
        <v>-1264.7369978121449</v>
      </c>
      <c r="D562" s="33">
        <f ca="1"/>
        <v>-1256.8800973513332</v>
      </c>
      <c r="E562" s="33">
        <f ca="1"/>
        <v>-1187.9195402358673</v>
      </c>
      <c r="F562" s="33">
        <f ca="1"/>
        <v>-1089.1270694414043</v>
      </c>
      <c r="G562" s="33">
        <f ca="1"/>
        <v>-1086.4695496592226</v>
      </c>
      <c r="H562" s="33">
        <f ca="1"/>
        <v>-969.8414309547228</v>
      </c>
      <c r="I562" s="33">
        <f ca="1"/>
        <v>-865.732869817959</v>
      </c>
      <c r="J562" s="33">
        <f ca="1"/>
        <v>-772.79994230132002</v>
      </c>
      <c r="K562" s="33">
        <f ca="1"/>
        <v>-689.8429892658495</v>
      </c>
      <c r="M562" s="4" t="str">
        <f t="shared" si="43"/>
        <v>$M(2015)</v>
      </c>
    </row>
    <row r="563" spans="1:18" s="7" customFormat="1" x14ac:dyDescent="0.25">
      <c r="A563" s="4" t="str">
        <v>EE Lin</v>
      </c>
      <c r="B563" s="33">
        <f ca="1"/>
        <v>-330.25314313037529</v>
      </c>
      <c r="C563" s="33">
        <f ca="1"/>
        <v>-456.7280364036269</v>
      </c>
      <c r="D563" s="33">
        <f ca="1"/>
        <v>-582.26316718631051</v>
      </c>
      <c r="E563" s="33">
        <f ca="1"/>
        <v>-689.20160112512019</v>
      </c>
      <c r="F563" s="33">
        <f ca="1"/>
        <v>-800.42216027813822</v>
      </c>
      <c r="G563" s="33">
        <f ca="1"/>
        <v>-868.27201374264143</v>
      </c>
      <c r="H563" s="33">
        <f ca="1"/>
        <v>-775.06651937942274</v>
      </c>
      <c r="I563" s="33">
        <f ca="1"/>
        <v>-691.86625844765535</v>
      </c>
      <c r="J563" s="33">
        <f ca="1"/>
        <v>-617.59720954225315</v>
      </c>
      <c r="K563" s="33">
        <f ca="1"/>
        <v>-551.30064311878164</v>
      </c>
      <c r="M563" s="4" t="str">
        <f t="shared" si="43"/>
        <v>$M(2015)</v>
      </c>
    </row>
    <row r="564" spans="1:18" s="7" customFormat="1" x14ac:dyDescent="0.25">
      <c r="A564" s="4" t="str">
        <v>CA Lin</v>
      </c>
      <c r="B564" s="33">
        <f ca="1"/>
        <v>-1011.201821753046</v>
      </c>
      <c r="C564" s="33">
        <f ca="1"/>
        <v>-1295.7744399072972</v>
      </c>
      <c r="D564" s="33">
        <f ca="1"/>
        <v>-1722.7792204146908</v>
      </c>
      <c r="E564" s="33">
        <f ca="1"/>
        <v>-1955.9666059733609</v>
      </c>
      <c r="F564" s="33">
        <f ca="1"/>
        <v>-2385.5531911254711</v>
      </c>
      <c r="G564" s="33">
        <f ca="1"/>
        <v>-2524.7333703235654</v>
      </c>
      <c r="H564" s="33">
        <f ca="1"/>
        <v>-2253.7134385604845</v>
      </c>
      <c r="I564" s="33">
        <f ca="1"/>
        <v>-2011.7864020219979</v>
      </c>
      <c r="J564" s="33">
        <f ca="1"/>
        <v>-1795.829255890555</v>
      </c>
      <c r="K564" s="33">
        <f ca="1"/>
        <v>-1603.0542373042442</v>
      </c>
      <c r="M564" s="4" t="str">
        <f t="shared" si="43"/>
        <v>$M(2015)</v>
      </c>
    </row>
    <row r="565" spans="1:18" s="7" customFormat="1" x14ac:dyDescent="0.25">
      <c r="A565" s="4" t="str">
        <v>IA Lin</v>
      </c>
      <c r="B565" s="33">
        <f ca="1"/>
        <v>-706.35900966481813</v>
      </c>
      <c r="C565" s="33">
        <f ca="1"/>
        <v>-905.14270290291347</v>
      </c>
      <c r="D565" s="33">
        <f ca="1"/>
        <v>-1203.4201262549122</v>
      </c>
      <c r="E565" s="33">
        <f ca="1"/>
        <v>-1366.3094794841199</v>
      </c>
      <c r="F565" s="33">
        <f ca="1"/>
        <v>-1666.3903815608985</v>
      </c>
      <c r="G565" s="33">
        <f ca="1"/>
        <v>-1763.6124903708906</v>
      </c>
      <c r="H565" s="33">
        <f ca="1"/>
        <v>-1574.2958114632963</v>
      </c>
      <c r="I565" s="33">
        <f ca="1"/>
        <v>-1405.301513525606</v>
      </c>
      <c r="J565" s="33">
        <f ca="1"/>
        <v>-1254.4480710278526</v>
      </c>
      <c r="K565" s="33">
        <f ca="1"/>
        <v>-1119.788136396131</v>
      </c>
      <c r="M565" s="4" t="str">
        <f t="shared" si="43"/>
        <v>$M(2015)</v>
      </c>
    </row>
    <row r="566" spans="1:18" s="7" customFormat="1" x14ac:dyDescent="0.25">
      <c r="A566" s="4" t="str">
        <v>AF Lin</v>
      </c>
      <c r="B566" s="33">
        <f ca="1"/>
        <v>-469.1743317446344</v>
      </c>
      <c r="C566" s="33">
        <f ca="1"/>
        <v>-587.57364344357848</v>
      </c>
      <c r="D566" s="33">
        <f ca="1"/>
        <v>-686.24553346330322</v>
      </c>
      <c r="E566" s="33">
        <f ca="1"/>
        <v>-815.60458923052533</v>
      </c>
      <c r="F566" s="33">
        <f ca="1"/>
        <v>-1137.0940709165902</v>
      </c>
      <c r="G566" s="33">
        <f ca="1"/>
        <v>-1272.1375265360284</v>
      </c>
      <c r="H566" s="33">
        <f ca="1"/>
        <v>-1135.5787002902043</v>
      </c>
      <c r="I566" s="33">
        <f ca="1"/>
        <v>-1013.6789125812079</v>
      </c>
      <c r="J566" s="33">
        <f ca="1"/>
        <v>-904.86457481918728</v>
      </c>
      <c r="K566" s="33">
        <f ca="1"/>
        <v>-807.73101679484148</v>
      </c>
      <c r="M566" s="4" t="str">
        <f t="shared" si="43"/>
        <v>$M(2015)</v>
      </c>
    </row>
    <row r="567" spans="1:18" s="7" customFormat="1" ht="13" thickBot="1" x14ac:dyDescent="0.3">
      <c r="A567" s="4" t="str">
        <v>LA Lin</v>
      </c>
      <c r="B567" s="34">
        <f ca="1"/>
        <v>-355.59690229502291</v>
      </c>
      <c r="C567" s="34">
        <f ca="1"/>
        <v>-427.76664890093133</v>
      </c>
      <c r="D567" s="34">
        <f ca="1"/>
        <v>-547.47780237799225</v>
      </c>
      <c r="E567" s="34">
        <f ca="1"/>
        <v>-627.00884167529875</v>
      </c>
      <c r="F567" s="34">
        <f ca="1"/>
        <v>-861.30089294206721</v>
      </c>
      <c r="G567" s="34">
        <f ca="1"/>
        <v>-947.10747145345954</v>
      </c>
      <c r="H567" s="34">
        <f ca="1"/>
        <v>-845.43930906341518</v>
      </c>
      <c r="I567" s="34">
        <f ca="1"/>
        <v>-754.68481334300986</v>
      </c>
      <c r="J567" s="34">
        <f ca="1"/>
        <v>-673.67244624753164</v>
      </c>
      <c r="K567" s="34">
        <f ca="1"/>
        <v>-601.3564296103865</v>
      </c>
      <c r="M567" s="4" t="str">
        <f t="shared" si="43"/>
        <v>$M(2015)</v>
      </c>
    </row>
    <row r="568" spans="1:18" s="2" customFormat="1" ht="15.5" thickTop="1" x14ac:dyDescent="0.4">
      <c r="A568" s="2" t="s">
        <v>349</v>
      </c>
      <c r="B568" s="2" t="s">
        <v>350</v>
      </c>
    </row>
    <row r="569" spans="1:18" s="6" customFormat="1" x14ac:dyDescent="0.25">
      <c r="A569" s="4" t="str">
        <f t="array" ref="A569:A576">R_CODE&amp;" "&amp;'Base data'!$B$12</f>
        <v>EU CO2</v>
      </c>
      <c r="B569" s="29">
        <f t="array" aca="1" ref="B569:K576" ca="1">IF(cbe_co2&lt;Q0_CO2,ALO_CO2*(EXP(BLO_CO2*(cbe_co2-Q0_CO2))-1),ahi_co2*(EXP(BHI_CO2*(cbe_co2-Q0_CO2))-1))</f>
        <v>5.4095119842871968</v>
      </c>
      <c r="C569" s="29">
        <f ca="1"/>
        <v>61.139548252672647</v>
      </c>
      <c r="D569" s="29">
        <f ca="1"/>
        <v>136.06797465792209</v>
      </c>
      <c r="E569" s="29">
        <f ca="1"/>
        <v>161.26541488790463</v>
      </c>
      <c r="F569" s="29">
        <f ca="1"/>
        <v>164.47639297538601</v>
      </c>
      <c r="G569" s="29">
        <f ca="1"/>
        <v>114.12244407734686</v>
      </c>
      <c r="H569" s="29">
        <f ca="1"/>
        <v>63.792080742503124</v>
      </c>
      <c r="I569" s="29">
        <f ca="1"/>
        <v>37.309090119417526</v>
      </c>
      <c r="J569" s="29">
        <f ca="1"/>
        <v>22.987239539080427</v>
      </c>
      <c r="K569" s="29">
        <f ca="1"/>
        <v>14.583710797714009</v>
      </c>
      <c r="M569" s="4" t="str">
        <f t="shared" ref="M569:M576" si="44">CURRENCY_NAME&amp;" per "&amp;EMIT_NAME</f>
        <v>$M(2015) per Mtonne</v>
      </c>
      <c r="Q569" s="4"/>
      <c r="R569" s="4"/>
    </row>
    <row r="570" spans="1:18" s="6" customFormat="1" x14ac:dyDescent="0.25">
      <c r="A570" s="4" t="str">
        <v>US CO2</v>
      </c>
      <c r="B570" s="26">
        <f ca="1"/>
        <v>4.5303204248823015</v>
      </c>
      <c r="C570" s="26">
        <f ca="1"/>
        <v>58.840385046168173</v>
      </c>
      <c r="D570" s="26">
        <f ca="1"/>
        <v>130.60868458619251</v>
      </c>
      <c r="E570" s="26">
        <f ca="1"/>
        <v>153.96166031837743</v>
      </c>
      <c r="F570" s="26">
        <f ca="1"/>
        <v>156.61953380633486</v>
      </c>
      <c r="G570" s="26">
        <f ca="1"/>
        <v>108.65803889060912</v>
      </c>
      <c r="H570" s="26">
        <f ca="1"/>
        <v>60.900408750356924</v>
      </c>
      <c r="I570" s="26">
        <f ca="1"/>
        <v>35.69672503386051</v>
      </c>
      <c r="J570" s="26">
        <f ca="1"/>
        <v>22.035070310684095</v>
      </c>
      <c r="K570" s="26">
        <f ca="1"/>
        <v>14.002292613061467</v>
      </c>
      <c r="M570" s="4" t="str">
        <f t="shared" si="44"/>
        <v>$M(2015) per Mtonne</v>
      </c>
      <c r="Q570" s="4"/>
      <c r="R570" s="4"/>
    </row>
    <row r="571" spans="1:18" s="6" customFormat="1" x14ac:dyDescent="0.25">
      <c r="A571" s="4" t="str">
        <v>OT CO2</v>
      </c>
      <c r="B571" s="26">
        <f ca="1"/>
        <v>6.6717314472875415</v>
      </c>
      <c r="C571" s="26">
        <f ca="1"/>
        <v>75.785495971745831</v>
      </c>
      <c r="D571" s="26">
        <f ca="1"/>
        <v>170.72141822497551</v>
      </c>
      <c r="E571" s="26">
        <f ca="1"/>
        <v>204.19508667218361</v>
      </c>
      <c r="F571" s="26">
        <f ca="1"/>
        <v>209.61394591817401</v>
      </c>
      <c r="G571" s="26">
        <f ca="1"/>
        <v>145.73836806382903</v>
      </c>
      <c r="H571" s="26">
        <f ca="1"/>
        <v>81.432745517790593</v>
      </c>
      <c r="I571" s="26">
        <f ca="1"/>
        <v>47.618228251215847</v>
      </c>
      <c r="J571" s="26">
        <f ca="1"/>
        <v>29.33704320739503</v>
      </c>
      <c r="K571" s="26">
        <f ca="1"/>
        <v>18.611655831166978</v>
      </c>
      <c r="M571" s="4" t="str">
        <f t="shared" si="44"/>
        <v>$M(2015) per Mtonne</v>
      </c>
      <c r="Q571" s="4"/>
      <c r="R571" s="4"/>
    </row>
    <row r="572" spans="1:18" s="6" customFormat="1" x14ac:dyDescent="0.25">
      <c r="A572" s="4" t="str">
        <v>EE CO2</v>
      </c>
      <c r="B572" s="26">
        <f ca="1"/>
        <v>14.649533453301824</v>
      </c>
      <c r="C572" s="26">
        <f ca="1"/>
        <v>67.113791755095619</v>
      </c>
      <c r="D572" s="26">
        <f ca="1"/>
        <v>110.82209560522416</v>
      </c>
      <c r="E572" s="26">
        <f ca="1"/>
        <v>110.9171215410469</v>
      </c>
      <c r="F572" s="26">
        <f ca="1"/>
        <v>108.03205995023245</v>
      </c>
      <c r="G572" s="26">
        <f ca="1"/>
        <v>74.806880250494643</v>
      </c>
      <c r="H572" s="26">
        <f ca="1"/>
        <v>40.796729720081771</v>
      </c>
      <c r="I572" s="26">
        <f ca="1"/>
        <v>23.515673993782261</v>
      </c>
      <c r="J572" s="26">
        <f ca="1"/>
        <v>14.347651019045367</v>
      </c>
      <c r="K572" s="26">
        <f ca="1"/>
        <v>9.0308257833459145</v>
      </c>
      <c r="M572" s="4" t="str">
        <f t="shared" si="44"/>
        <v>$M(2015) per Mtonne</v>
      </c>
      <c r="Q572" s="4"/>
      <c r="R572" s="4"/>
    </row>
    <row r="573" spans="1:18" s="6" customFormat="1" x14ac:dyDescent="0.25">
      <c r="A573" s="4" t="str">
        <v>CA CO2</v>
      </c>
      <c r="B573" s="26">
        <f ca="1"/>
        <v>1.7065699546663056</v>
      </c>
      <c r="C573" s="26">
        <f ca="1"/>
        <v>37.224926634882912</v>
      </c>
      <c r="D573" s="26">
        <f ca="1"/>
        <v>103.37424743300416</v>
      </c>
      <c r="E573" s="26">
        <f ca="1"/>
        <v>132.74780180479107</v>
      </c>
      <c r="F573" s="26">
        <f ca="1"/>
        <v>152.66550981380135</v>
      </c>
      <c r="G573" s="26">
        <f ca="1"/>
        <v>99.355997246721344</v>
      </c>
      <c r="H573" s="26">
        <f ca="1"/>
        <v>54.43730275065586</v>
      </c>
      <c r="I573" s="26">
        <f ca="1"/>
        <v>31.44166366327303</v>
      </c>
      <c r="J573" s="26">
        <f ca="1"/>
        <v>19.20108958782069</v>
      </c>
      <c r="K573" s="26">
        <f ca="1"/>
        <v>12.092555725203519</v>
      </c>
      <c r="M573" s="4" t="str">
        <f t="shared" si="44"/>
        <v>$M(2015) per Mtonne</v>
      </c>
      <c r="Q573" s="4"/>
      <c r="R573" s="4"/>
    </row>
    <row r="574" spans="1:18" s="6" customFormat="1" x14ac:dyDescent="0.25">
      <c r="A574" s="4" t="str">
        <v>IA CO2</v>
      </c>
      <c r="B574" s="26">
        <f ca="1"/>
        <v>2.1047696107551461</v>
      </c>
      <c r="C574" s="26">
        <f ca="1"/>
        <v>46.181742624378103</v>
      </c>
      <c r="D574" s="26">
        <f ca="1"/>
        <v>130.37793256998432</v>
      </c>
      <c r="E574" s="26">
        <f ca="1"/>
        <v>170.20712560969247</v>
      </c>
      <c r="F574" s="26">
        <f ca="1"/>
        <v>198.48133345452314</v>
      </c>
      <c r="G574" s="26">
        <f ca="1"/>
        <v>130.24140350063806</v>
      </c>
      <c r="H574" s="26">
        <f ca="1"/>
        <v>71.572008156574128</v>
      </c>
      <c r="I574" s="26">
        <f ca="1"/>
        <v>41.393202189330459</v>
      </c>
      <c r="J574" s="26">
        <f ca="1"/>
        <v>25.293493515356101</v>
      </c>
      <c r="K574" s="26">
        <f ca="1"/>
        <v>15.934847352589252</v>
      </c>
      <c r="M574" s="4" t="str">
        <f t="shared" si="44"/>
        <v>$M(2015) per Mtonne</v>
      </c>
      <c r="Q574" s="4"/>
      <c r="R574" s="4"/>
    </row>
    <row r="575" spans="1:18" s="6" customFormat="1" x14ac:dyDescent="0.25">
      <c r="A575" s="4" t="str">
        <v>AF CO2</v>
      </c>
      <c r="B575" s="26">
        <f ca="1"/>
        <v>37.215115594730513</v>
      </c>
      <c r="C575" s="26">
        <f ca="1"/>
        <v>83.936697507906928</v>
      </c>
      <c r="D575" s="26">
        <f ca="1"/>
        <v>155.63546692424345</v>
      </c>
      <c r="E575" s="26">
        <f ca="1"/>
        <v>174.85302241976464</v>
      </c>
      <c r="F575" s="26">
        <f ca="1"/>
        <v>159.05119519871465</v>
      </c>
      <c r="G575" s="26">
        <f ca="1"/>
        <v>120.95139405765221</v>
      </c>
      <c r="H575" s="26">
        <f ca="1"/>
        <v>65.569052582224955</v>
      </c>
      <c r="I575" s="26">
        <f ca="1"/>
        <v>37.700234620806171</v>
      </c>
      <c r="J575" s="26">
        <f ca="1"/>
        <v>22.976261736982345</v>
      </c>
      <c r="K575" s="26">
        <f ca="1"/>
        <v>14.451431700096963</v>
      </c>
      <c r="M575" s="4" t="str">
        <f t="shared" si="44"/>
        <v>$M(2015) per Mtonne</v>
      </c>
      <c r="Q575" s="4"/>
      <c r="R575" s="4"/>
    </row>
    <row r="576" spans="1:18" s="6" customFormat="1" ht="13" thickBot="1" x14ac:dyDescent="0.3">
      <c r="A576" s="4" t="str">
        <v>LA CO2</v>
      </c>
      <c r="B576" s="35">
        <f ca="1"/>
        <v>17.202113851983036</v>
      </c>
      <c r="C576" s="35">
        <f ca="1"/>
        <v>69.221098392451168</v>
      </c>
      <c r="D576" s="35">
        <f ca="1"/>
        <v>89.409545965184378</v>
      </c>
      <c r="E576" s="35">
        <f ca="1"/>
        <v>98.415079689893716</v>
      </c>
      <c r="F576" s="35">
        <f ca="1"/>
        <v>94.575008336600717</v>
      </c>
      <c r="G576" s="35">
        <f ca="1"/>
        <v>73.109916757077272</v>
      </c>
      <c r="H576" s="35">
        <f ca="1"/>
        <v>40.815245902799667</v>
      </c>
      <c r="I576" s="35">
        <f ca="1"/>
        <v>23.780599823808515</v>
      </c>
      <c r="J576" s="35">
        <f ca="1"/>
        <v>14.579985641311351</v>
      </c>
      <c r="K576" s="35">
        <f ca="1"/>
        <v>9.2015500661576493</v>
      </c>
      <c r="M576" s="4" t="str">
        <f t="shared" si="44"/>
        <v>$M(2015) per Mtonne</v>
      </c>
    </row>
    <row r="577" spans="1:18" s="2" customFormat="1" ht="15.5" thickTop="1" x14ac:dyDescent="0.4">
      <c r="A577" s="2" t="s">
        <v>349</v>
      </c>
      <c r="B577" s="2" t="s">
        <v>351</v>
      </c>
    </row>
    <row r="578" spans="1:18" s="6" customFormat="1" x14ac:dyDescent="0.25">
      <c r="A578" s="4" t="str">
        <f t="array" ref="A578:A585">R_CODE&amp;" "&amp;'Base data'!$C$12</f>
        <v>EU CH4</v>
      </c>
      <c r="B578" s="29">
        <f t="array" ref="B578:K585" ca="1">IF(cbe_ch4&lt;Q0_CH4,ALO_CH4*(EXP(BLO_CH4*(cbe_ch4-Q0_CH4))-1),ahi_ch4*(EXP(BHI_CH4*(cbe_ch4-Q0_CH4))-1))</f>
        <v>4705.5087204636593</v>
      </c>
      <c r="C578" s="29">
        <f ca="1"/>
        <v>6283.5839171825264</v>
      </c>
      <c r="D578" s="29">
        <f ca="1"/>
        <v>6915.468052800742</v>
      </c>
      <c r="E578" s="29">
        <f ca="1"/>
        <v>7872.5867012981844</v>
      </c>
      <c r="F578" s="29">
        <f ca="1"/>
        <v>7348.5887076649806</v>
      </c>
      <c r="G578" s="29">
        <f ca="1"/>
        <v>6026.1010406166761</v>
      </c>
      <c r="H578" s="29">
        <f ca="1"/>
        <v>3371.9878629001346</v>
      </c>
      <c r="I578" s="29">
        <f ca="1"/>
        <v>1956.3078287090623</v>
      </c>
      <c r="J578" s="29">
        <f ca="1"/>
        <v>1187.7977909498036</v>
      </c>
      <c r="K578" s="29">
        <f ca="1"/>
        <v>739.54207825401159</v>
      </c>
      <c r="M578" s="4" t="str">
        <f t="shared" ref="M578:M585" si="45">CURRENCY_NAME&amp;" per "&amp;EMIT_NAME</f>
        <v>$M(2015) per Mtonne</v>
      </c>
      <c r="Q578" s="4"/>
      <c r="R578" s="4"/>
    </row>
    <row r="579" spans="1:18" s="6" customFormat="1" x14ac:dyDescent="0.25">
      <c r="A579" s="4" t="str">
        <v>US CH4</v>
      </c>
      <c r="B579" s="26">
        <f ca="1"/>
        <v>4537.8560859757945</v>
      </c>
      <c r="C579" s="26">
        <f ca="1"/>
        <v>6066.9151824213277</v>
      </c>
      <c r="D579" s="26">
        <f ca="1"/>
        <v>6675.8133599415205</v>
      </c>
      <c r="E579" s="26">
        <f ca="1"/>
        <v>7602.690258601755</v>
      </c>
      <c r="F579" s="26">
        <f ca="1"/>
        <v>7103.9258821008743</v>
      </c>
      <c r="G579" s="26">
        <f ca="1"/>
        <v>5830.0824080887924</v>
      </c>
      <c r="H579" s="26">
        <f ca="1"/>
        <v>3268.2036188531797</v>
      </c>
      <c r="I579" s="26">
        <f ca="1"/>
        <v>1899.694910181528</v>
      </c>
      <c r="J579" s="26">
        <f ca="1"/>
        <v>1155.5356442252173</v>
      </c>
      <c r="K579" s="26">
        <f ca="1"/>
        <v>720.64446539533378</v>
      </c>
      <c r="M579" s="4" t="str">
        <f t="shared" si="45"/>
        <v>$M(2015) per Mtonne</v>
      </c>
      <c r="Q579" s="4"/>
      <c r="R579" s="4"/>
    </row>
    <row r="580" spans="1:18" s="6" customFormat="1" x14ac:dyDescent="0.25">
      <c r="A580" s="4" t="str">
        <v>OT CH4</v>
      </c>
      <c r="B580" s="26">
        <f ca="1"/>
        <v>5803.4607552385178</v>
      </c>
      <c r="C580" s="26">
        <f ca="1"/>
        <v>7756.9594019537208</v>
      </c>
      <c r="D580" s="26">
        <f ca="1"/>
        <v>8543.3065614509578</v>
      </c>
      <c r="E580" s="26">
        <f ca="1"/>
        <v>9730.5206806015667</v>
      </c>
      <c r="F580" s="26">
        <f ca="1"/>
        <v>9087.2040919907759</v>
      </c>
      <c r="G580" s="26">
        <f ca="1"/>
        <v>7454.6637558539996</v>
      </c>
      <c r="H580" s="26">
        <f ca="1"/>
        <v>4172.6468602708146</v>
      </c>
      <c r="I580" s="26">
        <f ca="1"/>
        <v>2421.2085016127839</v>
      </c>
      <c r="J580" s="26">
        <f ca="1"/>
        <v>1470.1841402945972</v>
      </c>
      <c r="K580" s="26">
        <f ca="1"/>
        <v>915.40430721357677</v>
      </c>
      <c r="M580" s="4" t="str">
        <f t="shared" si="45"/>
        <v>$M(2015) per Mtonne</v>
      </c>
      <c r="Q580" s="4"/>
      <c r="R580" s="4"/>
    </row>
    <row r="581" spans="1:18" s="6" customFormat="1" x14ac:dyDescent="0.25">
      <c r="A581" s="4" t="str">
        <v>EE CH4</v>
      </c>
      <c r="B581" s="26">
        <f ca="1"/>
        <v>4314.5203707889068</v>
      </c>
      <c r="C581" s="26">
        <f ca="1"/>
        <v>5524.4438023598677</v>
      </c>
      <c r="D581" s="26">
        <f ca="1"/>
        <v>6360.5068911856843</v>
      </c>
      <c r="E581" s="26">
        <f ca="1"/>
        <v>7085.4305162470782</v>
      </c>
      <c r="F581" s="26">
        <f ca="1"/>
        <v>5716.166006599361</v>
      </c>
      <c r="G581" s="26">
        <f ca="1"/>
        <v>4552.2179736914059</v>
      </c>
      <c r="H581" s="26">
        <f ca="1"/>
        <v>2498.586033302794</v>
      </c>
      <c r="I581" s="26">
        <f ca="1"/>
        <v>1431.1678435742253</v>
      </c>
      <c r="J581" s="26">
        <f ca="1"/>
        <v>861.36263632297243</v>
      </c>
      <c r="K581" s="26">
        <f ca="1"/>
        <v>532.84771904703598</v>
      </c>
      <c r="M581" s="4" t="str">
        <f t="shared" si="45"/>
        <v>$M(2015) per Mtonne</v>
      </c>
      <c r="Q581" s="4"/>
      <c r="R581" s="4"/>
    </row>
    <row r="582" spans="1:18" s="6" customFormat="1" x14ac:dyDescent="0.25">
      <c r="A582" s="4" t="str">
        <v>CA CH4</v>
      </c>
      <c r="B582" s="26">
        <f ca="1"/>
        <v>1442.4551931037472</v>
      </c>
      <c r="C582" s="26">
        <f ca="1"/>
        <v>2620.7850625664005</v>
      </c>
      <c r="D582" s="26">
        <f ca="1"/>
        <v>4164.2516024372962</v>
      </c>
      <c r="E582" s="26">
        <f ca="1"/>
        <v>6375.8897532404917</v>
      </c>
      <c r="F582" s="26">
        <f ca="1"/>
        <v>6756.4512298259888</v>
      </c>
      <c r="G582" s="26">
        <f ca="1"/>
        <v>5332.3327425282578</v>
      </c>
      <c r="H582" s="26">
        <f ca="1"/>
        <v>2915.6148432455243</v>
      </c>
      <c r="I582" s="26">
        <f ca="1"/>
        <v>1663.1978864421503</v>
      </c>
      <c r="J582" s="26">
        <f ca="1"/>
        <v>995.91144623736693</v>
      </c>
      <c r="K582" s="26">
        <f ca="1"/>
        <v>611.98541808779783</v>
      </c>
      <c r="M582" s="4" t="str">
        <f t="shared" si="45"/>
        <v>$M(2015) per Mtonne</v>
      </c>
      <c r="Q582" s="4"/>
      <c r="R582" s="4"/>
    </row>
    <row r="583" spans="1:18" s="6" customFormat="1" x14ac:dyDescent="0.25">
      <c r="A583" s="4" t="str">
        <v>IA CH4</v>
      </c>
      <c r="B583" s="26">
        <f ca="1"/>
        <v>1779.0280714946216</v>
      </c>
      <c r="C583" s="26">
        <f ca="1"/>
        <v>3217.0830754652998</v>
      </c>
      <c r="D583" s="26">
        <f ca="1"/>
        <v>5088.0548471345182</v>
      </c>
      <c r="E583" s="26">
        <f ca="1"/>
        <v>7756.2243537134636</v>
      </c>
      <c r="F583" s="26">
        <f ca="1"/>
        <v>8171.230273631505</v>
      </c>
      <c r="G583" s="26">
        <f ca="1"/>
        <v>6417.5867948264249</v>
      </c>
      <c r="H583" s="26">
        <f ca="1"/>
        <v>3499.6457391583795</v>
      </c>
      <c r="I583" s="26">
        <f ca="1"/>
        <v>1993.8140641856025</v>
      </c>
      <c r="J583" s="26">
        <f ca="1"/>
        <v>1193.1806491854047</v>
      </c>
      <c r="K583" s="26">
        <f ca="1"/>
        <v>732.96241035487287</v>
      </c>
      <c r="M583" s="4" t="str">
        <f t="shared" si="45"/>
        <v>$M(2015) per Mtonne</v>
      </c>
      <c r="Q583" s="4"/>
      <c r="R583" s="4"/>
    </row>
    <row r="584" spans="1:18" s="6" customFormat="1" x14ac:dyDescent="0.25">
      <c r="A584" s="4" t="str">
        <v>AF CH4</v>
      </c>
      <c r="B584" s="26">
        <f ca="1"/>
        <v>4766.6365765850351</v>
      </c>
      <c r="C584" s="26">
        <f ca="1"/>
        <v>6875.7210659579114</v>
      </c>
      <c r="D584" s="26">
        <f ca="1"/>
        <v>7365.5468096028244</v>
      </c>
      <c r="E584" s="26">
        <f ca="1"/>
        <v>8468.4442991609849</v>
      </c>
      <c r="F584" s="26">
        <f ca="1"/>
        <v>8229.602351983176</v>
      </c>
      <c r="G584" s="26">
        <f ca="1"/>
        <v>6364.783832091478</v>
      </c>
      <c r="H584" s="26">
        <f ca="1"/>
        <v>3489.8159888369755</v>
      </c>
      <c r="I584" s="26">
        <f ca="1"/>
        <v>1994.2640073120069</v>
      </c>
      <c r="J584" s="26">
        <f ca="1"/>
        <v>1195.8472138709258</v>
      </c>
      <c r="K584" s="26">
        <f ca="1"/>
        <v>735.95707024677654</v>
      </c>
      <c r="M584" s="4" t="str">
        <f t="shared" si="45"/>
        <v>$M(2015) per Mtonne</v>
      </c>
      <c r="Q584" s="4"/>
      <c r="R584" s="4"/>
    </row>
    <row r="585" spans="1:18" s="6" customFormat="1" ht="13" thickBot="1" x14ac:dyDescent="0.3">
      <c r="A585" s="4" t="str">
        <v>LA CH4</v>
      </c>
      <c r="B585" s="35">
        <f ca="1"/>
        <v>2869.8037849843208</v>
      </c>
      <c r="C585" s="35">
        <f ca="1"/>
        <v>4070.2181172647565</v>
      </c>
      <c r="D585" s="35">
        <f ca="1"/>
        <v>4424.4510219137364</v>
      </c>
      <c r="E585" s="35">
        <f ca="1"/>
        <v>4840.7351473496437</v>
      </c>
      <c r="F585" s="35">
        <f ca="1"/>
        <v>3952.3778249423785</v>
      </c>
      <c r="G585" s="35">
        <f ca="1"/>
        <v>3075.161315763904</v>
      </c>
      <c r="H585" s="35">
        <f ca="1"/>
        <v>1705.3989575168773</v>
      </c>
      <c r="I585" s="35">
        <f ca="1"/>
        <v>976.92127361350367</v>
      </c>
      <c r="J585" s="35">
        <f ca="1"/>
        <v>583.75237448170606</v>
      </c>
      <c r="K585" s="35">
        <f ca="1"/>
        <v>356.57514181932731</v>
      </c>
      <c r="M585" s="4" t="str">
        <f t="shared" si="45"/>
        <v>$M(2015) per Mtonne</v>
      </c>
    </row>
    <row r="586" spans="1:18" s="2" customFormat="1" ht="15.5" thickTop="1" x14ac:dyDescent="0.4">
      <c r="A586" s="2" t="s">
        <v>349</v>
      </c>
      <c r="B586" s="2" t="s">
        <v>352</v>
      </c>
    </row>
    <row r="587" spans="1:18" s="7" customFormat="1" x14ac:dyDescent="0.25">
      <c r="A587" s="4" t="str">
        <f t="array" ref="A587:A594">R_CODE&amp;" "&amp;'Base data'!$D$12</f>
        <v>EU N2O</v>
      </c>
      <c r="B587" s="29">
        <f t="array" ref="B587:K594" ca="1">IF(cbe_n2o&lt;Q0_N2O,ALO_N2O*(EXP(BLO_N2O*(cbe_n2o-Q0_N2O))-1),ahi_n2o*(EXP(BHI_N2O*(cbe_n2o-Q0_N2O))-1))</f>
        <v>5044.8190859264814</v>
      </c>
      <c r="C587" s="29">
        <f ca="1"/>
        <v>7465.9234337016378</v>
      </c>
      <c r="D587" s="29">
        <f ca="1"/>
        <v>10431.012753829838</v>
      </c>
      <c r="E587" s="29">
        <f ca="1"/>
        <v>13338.457398611625</v>
      </c>
      <c r="F587" s="29">
        <f ca="1"/>
        <v>15191.010007592882</v>
      </c>
      <c r="G587" s="29">
        <f ca="1"/>
        <v>14295.825268569466</v>
      </c>
      <c r="H587" s="29">
        <f ca="1"/>
        <v>8247.7474078672985</v>
      </c>
      <c r="I587" s="29">
        <f ca="1"/>
        <v>4923.1471431864211</v>
      </c>
      <c r="J587" s="29">
        <f ca="1"/>
        <v>3077.0793087723714</v>
      </c>
      <c r="K587" s="29">
        <f ca="1"/>
        <v>1973.0731733994189</v>
      </c>
      <c r="M587" s="4" t="str">
        <f t="shared" ref="M587:M594" si="46">CURRENCY_NAME&amp;" per "&amp;EMIT_NAME</f>
        <v>$M(2015) per Mtonne</v>
      </c>
      <c r="Q587" s="4"/>
      <c r="R587" s="4"/>
    </row>
    <row r="588" spans="1:18" s="7" customFormat="1" x14ac:dyDescent="0.25">
      <c r="A588" s="4" t="str">
        <v>US N2O</v>
      </c>
      <c r="B588" s="26">
        <f ca="1"/>
        <v>4727.2320972628922</v>
      </c>
      <c r="C588" s="26">
        <f ca="1"/>
        <v>7123.892079319703</v>
      </c>
      <c r="D588" s="26">
        <f ca="1"/>
        <v>10065.649826249564</v>
      </c>
      <c r="E588" s="26">
        <f ca="1"/>
        <v>12962.59117277963</v>
      </c>
      <c r="F588" s="26">
        <f ca="1"/>
        <v>14866.558573487866</v>
      </c>
      <c r="G588" s="26">
        <f ca="1"/>
        <v>14050.344132181848</v>
      </c>
      <c r="H588" s="26">
        <f ca="1"/>
        <v>8133.3339028609835</v>
      </c>
      <c r="I588" s="26">
        <f ca="1"/>
        <v>4868.2272062027296</v>
      </c>
      <c r="J588" s="26">
        <f ca="1"/>
        <v>3049.8013855326967</v>
      </c>
      <c r="K588" s="26">
        <f ca="1"/>
        <v>1959.4973829786761</v>
      </c>
      <c r="M588" s="4" t="str">
        <f t="shared" si="46"/>
        <v>$M(2015) per Mtonne</v>
      </c>
      <c r="Q588" s="4"/>
      <c r="R588" s="4"/>
    </row>
    <row r="589" spans="1:18" s="7" customFormat="1" x14ac:dyDescent="0.25">
      <c r="A589" s="4" t="str">
        <v>OT N2O</v>
      </c>
      <c r="B589" s="26">
        <f ca="1"/>
        <v>6221.9435393093263</v>
      </c>
      <c r="C589" s="26">
        <f ca="1"/>
        <v>9291.5937571793329</v>
      </c>
      <c r="D589" s="26">
        <f ca="1"/>
        <v>13102.008457808201</v>
      </c>
      <c r="E589" s="26">
        <f ca="1"/>
        <v>16893.224337484047</v>
      </c>
      <c r="F589" s="26">
        <f ca="1"/>
        <v>19413.955586784818</v>
      </c>
      <c r="G589" s="26">
        <f ca="1"/>
        <v>18377.255398953999</v>
      </c>
      <c r="H589" s="26">
        <f ca="1"/>
        <v>10629.463449932193</v>
      </c>
      <c r="I589" s="26">
        <f ca="1"/>
        <v>6353.0487153843842</v>
      </c>
      <c r="J589" s="26">
        <f ca="1"/>
        <v>3973.2824484731809</v>
      </c>
      <c r="K589" s="26">
        <f ca="1"/>
        <v>2548.6759679281718</v>
      </c>
      <c r="M589" s="4" t="str">
        <f t="shared" si="46"/>
        <v>$M(2015) per Mtonne</v>
      </c>
      <c r="Q589" s="4"/>
      <c r="R589" s="4"/>
    </row>
    <row r="590" spans="1:18" s="7" customFormat="1" x14ac:dyDescent="0.25">
      <c r="A590" s="4" t="str">
        <v>EE N2O</v>
      </c>
      <c r="B590" s="26">
        <f ca="1"/>
        <v>-8399.176815230192</v>
      </c>
      <c r="C590" s="26">
        <f ca="1"/>
        <v>-70.704080667462264</v>
      </c>
      <c r="D590" s="26">
        <f ca="1"/>
        <v>1223.0845491915079</v>
      </c>
      <c r="E590" s="26">
        <f ca="1"/>
        <v>2046.6448783038986</v>
      </c>
      <c r="F590" s="26">
        <f ca="1"/>
        <v>1972.1541106237512</v>
      </c>
      <c r="G590" s="26">
        <f ca="1"/>
        <v>3543.6113257520765</v>
      </c>
      <c r="H590" s="26">
        <f ca="1"/>
        <v>2066.4453927046102</v>
      </c>
      <c r="I590" s="26">
        <f ca="1"/>
        <v>1245.1725353442371</v>
      </c>
      <c r="J590" s="26">
        <f ca="1"/>
        <v>784.24460095015115</v>
      </c>
      <c r="K590" s="26">
        <f ca="1"/>
        <v>505.68396753327812</v>
      </c>
      <c r="M590" s="4" t="str">
        <f t="shared" si="46"/>
        <v>$M(2015) per Mtonne</v>
      </c>
      <c r="Q590" s="4"/>
      <c r="R590" s="4"/>
    </row>
    <row r="591" spans="1:18" s="7" customFormat="1" x14ac:dyDescent="0.25">
      <c r="A591" s="4" t="str">
        <v>CA N2O</v>
      </c>
      <c r="B591" s="26">
        <f ca="1"/>
        <v>-8399.176815230192</v>
      </c>
      <c r="C591" s="26">
        <f ca="1"/>
        <v>-4449.5206601672071</v>
      </c>
      <c r="D591" s="26">
        <f ca="1"/>
        <v>1626.295587719829</v>
      </c>
      <c r="E591" s="26">
        <f ca="1"/>
        <v>5998.8134616254265</v>
      </c>
      <c r="F591" s="26">
        <f ca="1"/>
        <v>8223.9201921346012</v>
      </c>
      <c r="G591" s="26">
        <f ca="1"/>
        <v>9595.2383121451694</v>
      </c>
      <c r="H591" s="26">
        <f ca="1"/>
        <v>5382.5517963860793</v>
      </c>
      <c r="I591" s="26">
        <f ca="1"/>
        <v>3174.2428809136159</v>
      </c>
      <c r="J591" s="26">
        <f ca="1"/>
        <v>1974.7938984332502</v>
      </c>
      <c r="K591" s="26">
        <f ca="1"/>
        <v>1263.5937580714597</v>
      </c>
      <c r="M591" s="4" t="str">
        <f t="shared" si="46"/>
        <v>$M(2015) per Mtonne</v>
      </c>
      <c r="Q591" s="4"/>
      <c r="R591" s="4"/>
    </row>
    <row r="592" spans="1:18" s="7" customFormat="1" x14ac:dyDescent="0.25">
      <c r="A592" s="4" t="str">
        <v>IA N2O</v>
      </c>
      <c r="B592" s="26">
        <f ca="1"/>
        <v>-8399.176815230192</v>
      </c>
      <c r="C592" s="26">
        <f ca="1"/>
        <v>-4449.5206601672071</v>
      </c>
      <c r="D592" s="26">
        <f ca="1"/>
        <v>2008.2833479676167</v>
      </c>
      <c r="E592" s="26">
        <f ca="1"/>
        <v>7480.2129329720237</v>
      </c>
      <c r="F592" s="26">
        <f ca="1"/>
        <v>10487.944444811454</v>
      </c>
      <c r="G592" s="26">
        <f ca="1"/>
        <v>12482.919999394042</v>
      </c>
      <c r="H592" s="26">
        <f ca="1"/>
        <v>7125.7025248287327</v>
      </c>
      <c r="I592" s="26">
        <f ca="1"/>
        <v>4235.5287944527126</v>
      </c>
      <c r="J592" s="26">
        <f ca="1"/>
        <v>2644.3588393869954</v>
      </c>
      <c r="K592" s="26">
        <f ca="1"/>
        <v>1695.3444311652454</v>
      </c>
      <c r="M592" s="4" t="str">
        <f t="shared" si="46"/>
        <v>$M(2015) per Mtonne</v>
      </c>
      <c r="Q592" s="4"/>
      <c r="R592" s="4"/>
    </row>
    <row r="593" spans="1:18" s="7" customFormat="1" x14ac:dyDescent="0.25">
      <c r="A593" s="4" t="str">
        <v>AF N2O</v>
      </c>
      <c r="B593" s="26">
        <f ca="1"/>
        <v>2981.3288230274293</v>
      </c>
      <c r="C593" s="26">
        <f ca="1"/>
        <v>9786.5259987654208</v>
      </c>
      <c r="D593" s="26">
        <f ca="1"/>
        <v>15788.229493812529</v>
      </c>
      <c r="E593" s="26">
        <f ca="1"/>
        <v>25720.950106452277</v>
      </c>
      <c r="F593" s="26">
        <f ca="1"/>
        <v>30213.261754517916</v>
      </c>
      <c r="G593" s="26">
        <f ca="1"/>
        <v>26127.239640811014</v>
      </c>
      <c r="H593" s="26">
        <f ca="1"/>
        <v>14328.020095321828</v>
      </c>
      <c r="I593" s="26">
        <f ca="1"/>
        <v>8268.1229484674077</v>
      </c>
      <c r="J593" s="26">
        <f ca="1"/>
        <v>5042.3360934290959</v>
      </c>
      <c r="K593" s="26">
        <f ca="1"/>
        <v>3169.1294385700148</v>
      </c>
      <c r="M593" s="4" t="str">
        <f t="shared" si="46"/>
        <v>$M(2015) per Mtonne</v>
      </c>
      <c r="Q593" s="4"/>
      <c r="R593" s="4"/>
    </row>
    <row r="594" spans="1:18" s="7" customFormat="1" ht="13" thickBot="1" x14ac:dyDescent="0.3">
      <c r="A594" s="4" t="str">
        <v>LA N2O</v>
      </c>
      <c r="B594" s="35">
        <f ca="1"/>
        <v>3362.0924361429556</v>
      </c>
      <c r="C594" s="35">
        <f ca="1"/>
        <v>6866.8669750890076</v>
      </c>
      <c r="D594" s="35">
        <f ca="1"/>
        <v>9340.2940173749776</v>
      </c>
      <c r="E594" s="35">
        <f ca="1"/>
        <v>13603.003935140741</v>
      </c>
      <c r="F594" s="35">
        <f ca="1"/>
        <v>14796.975410924557</v>
      </c>
      <c r="G594" s="35">
        <f ca="1"/>
        <v>11489.421701917739</v>
      </c>
      <c r="H594" s="35">
        <f ca="1"/>
        <v>6536.7591533374525</v>
      </c>
      <c r="I594" s="35">
        <f ca="1"/>
        <v>3854.4012485436078</v>
      </c>
      <c r="J594" s="35">
        <f ca="1"/>
        <v>2383.3333025535399</v>
      </c>
      <c r="K594" s="35">
        <f ca="1"/>
        <v>1513.8094965134806</v>
      </c>
      <c r="M594" s="4" t="str">
        <f t="shared" si="46"/>
        <v>$M(2015) per Mtonne</v>
      </c>
    </row>
    <row r="595" spans="1:18" s="2" customFormat="1" ht="15.5" thickTop="1" x14ac:dyDescent="0.4">
      <c r="A595" s="2" t="s">
        <v>349</v>
      </c>
      <c r="B595" s="2" t="s">
        <v>353</v>
      </c>
    </row>
    <row r="596" spans="1:18" s="7" customFormat="1" x14ac:dyDescent="0.25">
      <c r="A596" s="4" t="str">
        <f t="array" ref="A596:A603">R_CODE&amp;" "&amp;GLIN_NAME</f>
        <v>EU Lin</v>
      </c>
      <c r="B596" s="29">
        <f t="array" ref="B596:K603" ca="1">IF(cbe_glin&lt;Q0_GLIN,ALO_GLIN*(EXP(BLO_GLIN*(cbe_glin-Q0_GLIN))-1),ahi_glin*(EXP(BHI_GLIN*(cbe_glin-Q0_GLIN))-1))</f>
        <v>103.09469356040468</v>
      </c>
      <c r="C596" s="29">
        <f ca="1"/>
        <v>190.7696445182435</v>
      </c>
      <c r="D596" s="29">
        <f ca="1"/>
        <v>208.19073079076631</v>
      </c>
      <c r="E596" s="29">
        <f ca="1"/>
        <v>236.52696984151081</v>
      </c>
      <c r="F596" s="29">
        <f ca="1"/>
        <v>164.68793301915537</v>
      </c>
      <c r="G596" s="29">
        <f ca="1"/>
        <v>118.25963973835368</v>
      </c>
      <c r="H596" s="29">
        <f ca="1"/>
        <v>68.751162487479519</v>
      </c>
      <c r="I596" s="29">
        <f ca="1"/>
        <v>41.250616723114327</v>
      </c>
      <c r="J596" s="29">
        <f ca="1"/>
        <v>25.900000467545073</v>
      </c>
      <c r="K596" s="29">
        <f ca="1"/>
        <v>16.680246035438842</v>
      </c>
      <c r="M596" s="4" t="str">
        <f t="shared" ref="M596:M603" si="47">CURRENCY_NAME&amp;" per "&amp;EMIT_NAME</f>
        <v>$M(2015) per Mtonne</v>
      </c>
      <c r="Q596" s="4"/>
      <c r="R596" s="4"/>
    </row>
    <row r="597" spans="1:18" s="7" customFormat="1" x14ac:dyDescent="0.25">
      <c r="A597" s="4" t="str">
        <v>US Lin</v>
      </c>
      <c r="B597" s="26">
        <f ca="1"/>
        <v>99.406957819293623</v>
      </c>
      <c r="C597" s="26">
        <f ca="1"/>
        <v>174.70049979302075</v>
      </c>
      <c r="D597" s="26">
        <f ca="1"/>
        <v>185.15298064253921</v>
      </c>
      <c r="E597" s="26">
        <f ca="1"/>
        <v>208.67653812802095</v>
      </c>
      <c r="F597" s="26">
        <f ca="1"/>
        <v>144.79845845530329</v>
      </c>
      <c r="G597" s="26">
        <f ca="1"/>
        <v>104.44739563976773</v>
      </c>
      <c r="H597" s="26">
        <f ca="1"/>
        <v>61.042947236999275</v>
      </c>
      <c r="I597" s="26">
        <f ca="1"/>
        <v>36.753954639383828</v>
      </c>
      <c r="J597" s="26">
        <f ca="1"/>
        <v>23.132657806281113</v>
      </c>
      <c r="K597" s="26">
        <f ca="1"/>
        <v>14.926387064161101</v>
      </c>
      <c r="M597" s="4" t="str">
        <f t="shared" si="47"/>
        <v>$M(2015) per Mtonne</v>
      </c>
      <c r="Q597" s="4"/>
      <c r="R597" s="4"/>
    </row>
    <row r="598" spans="1:18" s="7" customFormat="1" x14ac:dyDescent="0.25">
      <c r="A598" s="4" t="str">
        <v>OT Lin</v>
      </c>
      <c r="B598" s="26">
        <f ca="1"/>
        <v>127.15012205783249</v>
      </c>
      <c r="C598" s="26">
        <f ca="1"/>
        <v>235.90943563506443</v>
      </c>
      <c r="D598" s="26">
        <f ca="1"/>
        <v>257.86396452880723</v>
      </c>
      <c r="E598" s="26">
        <f ca="1"/>
        <v>293.11757296167377</v>
      </c>
      <c r="F598" s="26">
        <f ca="1"/>
        <v>204.14335791364383</v>
      </c>
      <c r="G598" s="26">
        <f ca="1"/>
        <v>146.56565954696416</v>
      </c>
      <c r="H598" s="26">
        <f ca="1"/>
        <v>85.192369638313423</v>
      </c>
      <c r="I598" s="26">
        <f ca="1"/>
        <v>51.110790805991073</v>
      </c>
      <c r="J598" s="26">
        <f ca="1"/>
        <v>32.089537237825382</v>
      </c>
      <c r="K598" s="26">
        <f ca="1"/>
        <v>20.665945875587401</v>
      </c>
      <c r="M598" s="4" t="str">
        <f t="shared" si="47"/>
        <v>$M(2015) per Mtonne</v>
      </c>
      <c r="Q598" s="4"/>
      <c r="R598" s="4"/>
    </row>
    <row r="599" spans="1:18" s="7" customFormat="1" x14ac:dyDescent="0.25">
      <c r="A599" s="4" t="str">
        <v>EE Lin</v>
      </c>
      <c r="B599" s="26">
        <f ca="1"/>
        <v>121.09589736306843</v>
      </c>
      <c r="C599" s="26">
        <f ca="1"/>
        <v>204.40239453854835</v>
      </c>
      <c r="D599" s="26">
        <f ca="1"/>
        <v>218.60761457236379</v>
      </c>
      <c r="E599" s="26">
        <f ca="1"/>
        <v>214.90826844673623</v>
      </c>
      <c r="F599" s="26">
        <f ca="1"/>
        <v>150.11978918869644</v>
      </c>
      <c r="G599" s="26">
        <f ca="1"/>
        <v>104.38038563338407</v>
      </c>
      <c r="H599" s="26">
        <f ca="1"/>
        <v>59.289232924120434</v>
      </c>
      <c r="I599" s="26">
        <f ca="1"/>
        <v>34.965064934098109</v>
      </c>
      <c r="J599" s="26">
        <f ca="1"/>
        <v>21.657565827915718</v>
      </c>
      <c r="K599" s="26">
        <f ca="1"/>
        <v>13.788006266492797</v>
      </c>
      <c r="M599" s="4" t="str">
        <f t="shared" si="47"/>
        <v>$M(2015) per Mtonne</v>
      </c>
      <c r="Q599" s="4"/>
      <c r="R599" s="4"/>
    </row>
    <row r="600" spans="1:18" s="7" customFormat="1" x14ac:dyDescent="0.25">
      <c r="A600" s="4" t="str">
        <v>CA Lin</v>
      </c>
      <c r="B600" s="26">
        <f ca="1"/>
        <v>157.36540493745838</v>
      </c>
      <c r="C600" s="26">
        <f ca="1"/>
        <v>254.59835629046924</v>
      </c>
      <c r="D600" s="26">
        <f ca="1"/>
        <v>283.73747898316338</v>
      </c>
      <c r="E600" s="26">
        <f ca="1"/>
        <v>278.05621198829766</v>
      </c>
      <c r="F600" s="26">
        <f ca="1"/>
        <v>193.30464597222215</v>
      </c>
      <c r="G600" s="26">
        <f ca="1"/>
        <v>132.75550710134476</v>
      </c>
      <c r="H600" s="26">
        <f ca="1"/>
        <v>74.995588082953745</v>
      </c>
      <c r="I600" s="26">
        <f ca="1"/>
        <v>44.116976221824856</v>
      </c>
      <c r="J600" s="26">
        <f ca="1"/>
        <v>27.298199122062211</v>
      </c>
      <c r="K600" s="26">
        <f ca="1"/>
        <v>17.370385939118965</v>
      </c>
      <c r="M600" s="4" t="str">
        <f t="shared" si="47"/>
        <v>$M(2015) per Mtonne</v>
      </c>
      <c r="Q600" s="4"/>
      <c r="R600" s="4"/>
    </row>
    <row r="601" spans="1:18" s="7" customFormat="1" x14ac:dyDescent="0.25">
      <c r="A601" s="4" t="str">
        <v>IA Lin</v>
      </c>
      <c r="B601" s="26">
        <f ca="1"/>
        <v>194.08399942286545</v>
      </c>
      <c r="C601" s="26">
        <f ca="1"/>
        <v>319.78611052584216</v>
      </c>
      <c r="D601" s="26">
        <f ca="1"/>
        <v>360.24306106288765</v>
      </c>
      <c r="E601" s="26">
        <f ca="1"/>
        <v>355.48945228277393</v>
      </c>
      <c r="F601" s="26">
        <f ca="1"/>
        <v>248.49358825429573</v>
      </c>
      <c r="G601" s="26">
        <f ca="1"/>
        <v>171.34693044297541</v>
      </c>
      <c r="H601" s="26">
        <f ca="1"/>
        <v>97.008983129152369</v>
      </c>
      <c r="I601" s="26">
        <f ca="1"/>
        <v>57.126869431147043</v>
      </c>
      <c r="J601" s="26">
        <f ca="1"/>
        <v>35.365669737002264</v>
      </c>
      <c r="K601" s="26">
        <f ca="1"/>
        <v>22.510263361465615</v>
      </c>
      <c r="M601" s="4" t="str">
        <f t="shared" si="47"/>
        <v>$M(2015) per Mtonne</v>
      </c>
      <c r="Q601" s="4"/>
      <c r="R601" s="4"/>
    </row>
    <row r="602" spans="1:18" s="7" customFormat="1" x14ac:dyDescent="0.25">
      <c r="A602" s="4" t="str">
        <v>AF Lin</v>
      </c>
      <c r="B602" s="26">
        <f ca="1"/>
        <v>217.8336541446325</v>
      </c>
      <c r="C602" s="26">
        <f ca="1"/>
        <v>335.18619440890279</v>
      </c>
      <c r="D602" s="26">
        <f ca="1"/>
        <v>357.06642260357921</v>
      </c>
      <c r="E602" s="26">
        <f ca="1"/>
        <v>366.43227435812111</v>
      </c>
      <c r="F602" s="26">
        <f ca="1"/>
        <v>261.60965767401655</v>
      </c>
      <c r="G602" s="26">
        <f ca="1"/>
        <v>180.74463190126156</v>
      </c>
      <c r="H602" s="26">
        <f ca="1"/>
        <v>102.02277284016316</v>
      </c>
      <c r="I602" s="26">
        <f ca="1"/>
        <v>59.980453468784752</v>
      </c>
      <c r="J602" s="26">
        <f ca="1"/>
        <v>37.096558157505818</v>
      </c>
      <c r="K602" s="26">
        <f ca="1"/>
        <v>23.595659061646042</v>
      </c>
      <c r="M602" s="4" t="str">
        <f t="shared" si="47"/>
        <v>$M(2015) per Mtonne</v>
      </c>
      <c r="Q602" s="4"/>
      <c r="R602" s="4"/>
    </row>
    <row r="603" spans="1:18" s="7" customFormat="1" ht="13" thickBot="1" x14ac:dyDescent="0.3">
      <c r="A603" s="4" t="str">
        <v>LA Lin</v>
      </c>
      <c r="B603" s="35">
        <f ca="1"/>
        <v>99.547368409317059</v>
      </c>
      <c r="C603" s="35">
        <f ca="1"/>
        <v>168.37084474707848</v>
      </c>
      <c r="D603" s="35">
        <f ca="1"/>
        <v>200.27260726302484</v>
      </c>
      <c r="E603" s="35">
        <f ca="1"/>
        <v>208.29361928356312</v>
      </c>
      <c r="F603" s="35">
        <f ca="1"/>
        <v>149.60443435133257</v>
      </c>
      <c r="G603" s="35">
        <f ca="1"/>
        <v>103.79721131310428</v>
      </c>
      <c r="H603" s="35">
        <f ca="1"/>
        <v>58.775701661004156</v>
      </c>
      <c r="I603" s="35">
        <f ca="1"/>
        <v>34.614352407479359</v>
      </c>
      <c r="J603" s="35">
        <f ca="1"/>
        <v>21.429142479910958</v>
      </c>
      <c r="K603" s="35">
        <f ca="1"/>
        <v>13.639638387901707</v>
      </c>
      <c r="M603" s="4" t="str">
        <f t="shared" si="47"/>
        <v>$M(2015) per Mtonne</v>
      </c>
    </row>
    <row r="604" spans="1:18" s="2" customFormat="1" ht="15.5" thickTop="1" x14ac:dyDescent="0.4">
      <c r="A604" s="2" t="s">
        <v>354</v>
      </c>
      <c r="B604" s="2" t="s">
        <v>355</v>
      </c>
    </row>
    <row r="605" spans="1:18" s="6" customFormat="1" x14ac:dyDescent="0.25">
      <c r="A605" s="4" t="str">
        <f t="array" ref="A605:A612">R_CODE&amp;" "&amp;'Base data'!$B$12</f>
        <v>EU CO2</v>
      </c>
      <c r="B605" s="76">
        <f t="array" ref="B605:K612" ca="1">IF(cbe_co2&lt;Q0_CO2,(ALO_CO2/BLO_CO2)*(EXP(BLO_CO2*(cbe_co2-Q0_CO2))-EXP(-BLO_CO2*Q0_CO2))-ALO_CO2*cbe_co2,(ahi_co2/BHI_CO2)*(EXP(BHI_CO2*(cbe_co2-Q0_CO2))-1)-ahi_co2*(cbe_co2-Q0_CO2)+TCQ0_CO2)</f>
        <v>-15174.276614055432</v>
      </c>
      <c r="C605" s="76">
        <f ca="1"/>
        <v>38906.570768912381</v>
      </c>
      <c r="D605" s="76">
        <f ca="1"/>
        <v>182199.20301754339</v>
      </c>
      <c r="E605" s="76">
        <f ca="1"/>
        <v>268965.89579958597</v>
      </c>
      <c r="F605" s="76">
        <f ca="1"/>
        <v>355009.45489369438</v>
      </c>
      <c r="G605" s="76">
        <f ca="1"/>
        <v>232285.10420352005</v>
      </c>
      <c r="H605" s="76">
        <f ca="1"/>
        <v>123072.63414386526</v>
      </c>
      <c r="I605" s="76">
        <f ca="1"/>
        <v>66613.459389053314</v>
      </c>
      <c r="J605" s="76">
        <f ca="1"/>
        <v>36955.492363011799</v>
      </c>
      <c r="K605" s="76">
        <f ca="1"/>
        <v>20248.00474099641</v>
      </c>
      <c r="M605" s="4" t="str">
        <f t="shared" ref="M605:M612" si="48">CURRENCY_NAME</f>
        <v>$M(2015)</v>
      </c>
      <c r="Q605" s="4"/>
      <c r="R605" s="4"/>
    </row>
    <row r="606" spans="1:18" s="6" customFormat="1" x14ac:dyDescent="0.25">
      <c r="A606" s="4" t="str">
        <v>US CO2</v>
      </c>
      <c r="B606" s="65">
        <f ca="1"/>
        <v>-23461.052773663068</v>
      </c>
      <c r="C606" s="65">
        <f ca="1"/>
        <v>48299.282957129384</v>
      </c>
      <c r="D606" s="65">
        <f ca="1"/>
        <v>240357.49719670854</v>
      </c>
      <c r="E606" s="65">
        <f ca="1"/>
        <v>354926.11910576478</v>
      </c>
      <c r="F606" s="65">
        <f ca="1"/>
        <v>468830.20919079619</v>
      </c>
      <c r="G606" s="65">
        <f ca="1"/>
        <v>305811.80974734935</v>
      </c>
      <c r="H606" s="65">
        <f ca="1"/>
        <v>161329.60868070315</v>
      </c>
      <c r="I606" s="65">
        <f ca="1"/>
        <v>86589.371688342915</v>
      </c>
      <c r="J606" s="65">
        <f ca="1"/>
        <v>47383.918667079997</v>
      </c>
      <c r="K606" s="65">
        <f ca="1"/>
        <v>25362.844288104741</v>
      </c>
      <c r="M606" s="4" t="str">
        <f t="shared" si="48"/>
        <v>$M(2015)</v>
      </c>
      <c r="Q606" s="4"/>
      <c r="R606" s="4"/>
    </row>
    <row r="607" spans="1:18" s="6" customFormat="1" x14ac:dyDescent="0.25">
      <c r="A607" s="4" t="str">
        <v>OT CO2</v>
      </c>
      <c r="B607" s="65">
        <f ca="1"/>
        <v>-8317.8528945417474</v>
      </c>
      <c r="C607" s="65">
        <f ca="1"/>
        <v>29124.254643034405</v>
      </c>
      <c r="D607" s="65">
        <f ca="1"/>
        <v>129382.85472369991</v>
      </c>
      <c r="E607" s="65">
        <f ca="1"/>
        <v>191730.7342957581</v>
      </c>
      <c r="F607" s="65">
        <f ca="1"/>
        <v>254086.10960202044</v>
      </c>
      <c r="G607" s="65">
        <f ca="1"/>
        <v>167396.73515518705</v>
      </c>
      <c r="H607" s="65">
        <f ca="1"/>
        <v>89643.58785556673</v>
      </c>
      <c r="I607" s="65">
        <f ca="1"/>
        <v>49322.031724313551</v>
      </c>
      <c r="J607" s="65">
        <f ca="1"/>
        <v>28019.492810508971</v>
      </c>
      <c r="K607" s="65">
        <f ca="1"/>
        <v>15922.471028762346</v>
      </c>
      <c r="M607" s="4" t="str">
        <f t="shared" si="48"/>
        <v>$M(2015)</v>
      </c>
      <c r="Q607" s="4"/>
      <c r="R607" s="4"/>
    </row>
    <row r="608" spans="1:18" s="6" customFormat="1" x14ac:dyDescent="0.25">
      <c r="A608" s="4" t="str">
        <v>EE CO2</v>
      </c>
      <c r="B608" s="65">
        <f ca="1"/>
        <v>-4685.5549711393651</v>
      </c>
      <c r="C608" s="65">
        <f ca="1"/>
        <v>57999.508048125339</v>
      </c>
      <c r="D608" s="65">
        <f ca="1"/>
        <v>163350.66721444856</v>
      </c>
      <c r="E608" s="65">
        <f ca="1"/>
        <v>211463.71265031892</v>
      </c>
      <c r="F608" s="65">
        <f ca="1"/>
        <v>307409.79074515094</v>
      </c>
      <c r="G608" s="65">
        <f ca="1"/>
        <v>280092.61299038219</v>
      </c>
      <c r="H608" s="65">
        <f ca="1"/>
        <v>143218.71495883435</v>
      </c>
      <c r="I608" s="65">
        <f ca="1"/>
        <v>75195.574680587742</v>
      </c>
      <c r="J608" s="65">
        <f ca="1"/>
        <v>40353.707386063616</v>
      </c>
      <c r="K608" s="65">
        <f ca="1"/>
        <v>21113.829655524965</v>
      </c>
      <c r="M608" s="4" t="str">
        <f t="shared" si="48"/>
        <v>$M(2015)</v>
      </c>
      <c r="Q608" s="4"/>
      <c r="R608" s="4"/>
    </row>
    <row r="609" spans="1:18" s="6" customFormat="1" x14ac:dyDescent="0.25">
      <c r="A609" s="4" t="str">
        <v>CA CO2</v>
      </c>
      <c r="B609" s="65">
        <f ca="1"/>
        <v>-26069.47086114499</v>
      </c>
      <c r="C609" s="65">
        <f ca="1"/>
        <v>31733.37261653701</v>
      </c>
      <c r="D609" s="65">
        <f ca="1"/>
        <v>322191.6235868443</v>
      </c>
      <c r="E609" s="65">
        <f ca="1"/>
        <v>598445.54571055248</v>
      </c>
      <c r="F609" s="65">
        <f ca="1"/>
        <v>1025647.0763306468</v>
      </c>
      <c r="G609" s="65">
        <f ca="1"/>
        <v>686281.76821546641</v>
      </c>
      <c r="H609" s="65">
        <f ca="1"/>
        <v>358205.75739285152</v>
      </c>
      <c r="I609" s="65">
        <f ca="1"/>
        <v>193046.2150508108</v>
      </c>
      <c r="J609" s="65">
        <f ca="1"/>
        <v>107445.01359436759</v>
      </c>
      <c r="K609" s="65">
        <f ca="1"/>
        <v>59559.576954808879</v>
      </c>
      <c r="M609" s="4" t="str">
        <f t="shared" si="48"/>
        <v>$M(2015)</v>
      </c>
      <c r="Q609" s="4"/>
      <c r="R609" s="4"/>
    </row>
    <row r="610" spans="1:18" s="6" customFormat="1" x14ac:dyDescent="0.25">
      <c r="A610" s="4" t="str">
        <v>IA CO2</v>
      </c>
      <c r="B610" s="65">
        <f ca="1"/>
        <v>-15831.658064579544</v>
      </c>
      <c r="C610" s="65">
        <f ca="1"/>
        <v>28123.12487768523</v>
      </c>
      <c r="D610" s="65">
        <f ca="1"/>
        <v>252556.9869299198</v>
      </c>
      <c r="E610" s="65">
        <f ca="1"/>
        <v>473564.42108139757</v>
      </c>
      <c r="F610" s="65">
        <f ca="1"/>
        <v>819813.79177040816</v>
      </c>
      <c r="G610" s="65">
        <f ca="1"/>
        <v>555988.33554404182</v>
      </c>
      <c r="H610" s="65">
        <f ca="1"/>
        <v>294083.57743178605</v>
      </c>
      <c r="I610" s="65">
        <f ca="1"/>
        <v>161135.9391821989</v>
      </c>
      <c r="J610" s="65">
        <f ca="1"/>
        <v>91688.862794465836</v>
      </c>
      <c r="K610" s="65">
        <f ca="1"/>
        <v>52507.437785050264</v>
      </c>
      <c r="M610" s="4" t="str">
        <f t="shared" si="48"/>
        <v>$M(2015)</v>
      </c>
      <c r="Q610" s="4"/>
      <c r="R610" s="4"/>
    </row>
    <row r="611" spans="1:18" s="6" customFormat="1" x14ac:dyDescent="0.25">
      <c r="A611" s="4" t="str">
        <v>AF CO2</v>
      </c>
      <c r="B611" s="65">
        <f ca="1"/>
        <v>9913.7613514237637</v>
      </c>
      <c r="C611" s="65">
        <f ca="1"/>
        <v>98297.749229648791</v>
      </c>
      <c r="D611" s="65">
        <f ca="1"/>
        <v>358670.73799420573</v>
      </c>
      <c r="E611" s="65">
        <f ca="1"/>
        <v>576372.049607808</v>
      </c>
      <c r="F611" s="65">
        <f ca="1"/>
        <v>845118.4851861205</v>
      </c>
      <c r="G611" s="65">
        <f ca="1"/>
        <v>792246.42699785542</v>
      </c>
      <c r="H611" s="65">
        <f ca="1"/>
        <v>411343.82155551924</v>
      </c>
      <c r="I611" s="65">
        <f ca="1"/>
        <v>222571.27718494623</v>
      </c>
      <c r="J611" s="65">
        <f ca="1"/>
        <v>125181.4331593134</v>
      </c>
      <c r="K611" s="65">
        <f ca="1"/>
        <v>70648.689128250553</v>
      </c>
      <c r="M611" s="4" t="str">
        <f t="shared" si="48"/>
        <v>$M(2015)</v>
      </c>
      <c r="Q611" s="4"/>
      <c r="R611" s="4"/>
    </row>
    <row r="612" spans="1:18" s="6" customFormat="1" ht="13" thickBot="1" x14ac:dyDescent="0.3">
      <c r="A612" s="4" t="str">
        <v>LA CO2</v>
      </c>
      <c r="B612" s="77">
        <f ca="1"/>
        <v>-3170.4840935782504</v>
      </c>
      <c r="C612" s="77">
        <f ca="1"/>
        <v>58150.62799729823</v>
      </c>
      <c r="D612" s="77">
        <f ca="1"/>
        <v>114556.97221844758</v>
      </c>
      <c r="E612" s="77">
        <f ca="1"/>
        <v>175008.99354303937</v>
      </c>
      <c r="F612" s="77">
        <f ca="1"/>
        <v>235575.93044740561</v>
      </c>
      <c r="G612" s="77">
        <f ca="1"/>
        <v>134060.57102120612</v>
      </c>
      <c r="H612" s="77">
        <f ca="1"/>
        <v>70252.430290424236</v>
      </c>
      <c r="I612" s="77">
        <f ca="1"/>
        <v>37332.008544092176</v>
      </c>
      <c r="J612" s="77">
        <f ca="1"/>
        <v>20162.502725383358</v>
      </c>
      <c r="K612" s="77">
        <f ca="1"/>
        <v>10603.61337204237</v>
      </c>
      <c r="M612" s="4" t="str">
        <f t="shared" si="48"/>
        <v>$M(2015)</v>
      </c>
    </row>
    <row r="613" spans="1:18" s="2" customFormat="1" ht="15.5" thickTop="1" x14ac:dyDescent="0.4">
      <c r="A613" s="2" t="s">
        <v>354</v>
      </c>
      <c r="B613" s="2" t="s">
        <v>356</v>
      </c>
    </row>
    <row r="614" spans="1:18" s="6" customFormat="1" x14ac:dyDescent="0.25">
      <c r="A614" s="4" t="str">
        <f t="array" ref="A614:A621">R_CODE&amp;" "&amp;'Base data'!$C$12</f>
        <v>EU CH4</v>
      </c>
      <c r="B614" s="76">
        <f t="array" ref="B614:K621" ca="1">IF(cbe_ch4&lt;Q0_CH4,(ALO_CH4/BLO_CH4)*(EXP(BLO_CH4*(cbe_ch4-Q0_CH4))-EXP(-BLO_CH4*Q0_CH4))-ALO_CH4*cbe_ch4,(ahi_ch4/BHI_CH4)*(EXP(BHI_CH4*(cbe_ch4-Q0_CH4))-1)-ahi_ch4*(cbe_ch4-Q0_CH4)+TCQ0_CH4)</f>
        <v>14782.499242224372</v>
      </c>
      <c r="C614" s="76">
        <f ca="1"/>
        <v>26988.397108770427</v>
      </c>
      <c r="D614" s="76">
        <f ca="1"/>
        <v>35121.134872632407</v>
      </c>
      <c r="E614" s="76">
        <f ca="1"/>
        <v>47550.832573261963</v>
      </c>
      <c r="F614" s="76">
        <f ca="1"/>
        <v>56606.569514668874</v>
      </c>
      <c r="G614" s="76">
        <f ca="1"/>
        <v>54613.695819999077</v>
      </c>
      <c r="H614" s="76">
        <f ca="1"/>
        <v>28043.174309351722</v>
      </c>
      <c r="I614" s="76">
        <f ca="1"/>
        <v>14423.045291378538</v>
      </c>
      <c r="J614" s="76">
        <f ca="1"/>
        <v>7423.5301288720057</v>
      </c>
      <c r="K614" s="76">
        <f ca="1"/>
        <v>3635.9998877933886</v>
      </c>
      <c r="M614" s="4" t="str">
        <f t="shared" ref="M614:M621" si="49">CURRENCY_NAME</f>
        <v>$M(2015)</v>
      </c>
      <c r="Q614" s="4"/>
      <c r="R614" s="4"/>
    </row>
    <row r="615" spans="1:18" s="6" customFormat="1" x14ac:dyDescent="0.25">
      <c r="A615" s="4" t="str">
        <v>US CH4</v>
      </c>
      <c r="B615" s="65">
        <f ca="1"/>
        <v>16443.238814643992</v>
      </c>
      <c r="C615" s="65">
        <f ca="1"/>
        <v>30716.987207100894</v>
      </c>
      <c r="D615" s="65">
        <f ca="1"/>
        <v>40216.185076432826</v>
      </c>
      <c r="E615" s="65">
        <f ca="1"/>
        <v>54775.728232927257</v>
      </c>
      <c r="F615" s="65">
        <f ca="1"/>
        <v>65426.877791567727</v>
      </c>
      <c r="G615" s="65">
        <f ca="1"/>
        <v>63151.084334114101</v>
      </c>
      <c r="H615" s="65">
        <f ca="1"/>
        <v>32245.791576013224</v>
      </c>
      <c r="I615" s="65">
        <f ca="1"/>
        <v>16419.989774963728</v>
      </c>
      <c r="J615" s="65">
        <f ca="1"/>
        <v>8306.9648811742081</v>
      </c>
      <c r="K615" s="65">
        <f ca="1"/>
        <v>3934.5685628837664</v>
      </c>
      <c r="M615" s="4" t="str">
        <f t="shared" si="49"/>
        <v>$M(2015)</v>
      </c>
      <c r="Q615" s="4"/>
      <c r="R615" s="4"/>
    </row>
    <row r="616" spans="1:18" s="6" customFormat="1" x14ac:dyDescent="0.25">
      <c r="A616" s="4" t="str">
        <v>OT CH4</v>
      </c>
      <c r="B616" s="65">
        <f ca="1"/>
        <v>17809.527564326199</v>
      </c>
      <c r="C616" s="65">
        <f ca="1"/>
        <v>31871.113307403699</v>
      </c>
      <c r="D616" s="65">
        <f ca="1"/>
        <v>41274.054285706188</v>
      </c>
      <c r="E616" s="65">
        <f ca="1"/>
        <v>55624.232504231768</v>
      </c>
      <c r="F616" s="65">
        <f ca="1"/>
        <v>66174.097517792659</v>
      </c>
      <c r="G616" s="65">
        <f ca="1"/>
        <v>63982.009321276491</v>
      </c>
      <c r="H616" s="65">
        <f ca="1"/>
        <v>33245.478635346561</v>
      </c>
      <c r="I616" s="65">
        <f ca="1"/>
        <v>17418.150774050373</v>
      </c>
      <c r="J616" s="65">
        <f ca="1"/>
        <v>9227.6225284449538</v>
      </c>
      <c r="K616" s="65">
        <f ca="1"/>
        <v>4752.2431608093448</v>
      </c>
      <c r="M616" s="4" t="str">
        <f t="shared" si="49"/>
        <v>$M(2015)</v>
      </c>
      <c r="Q616" s="4"/>
      <c r="R616" s="4"/>
    </row>
    <row r="617" spans="1:18" s="6" customFormat="1" x14ac:dyDescent="0.25">
      <c r="A617" s="4" t="str">
        <v>EE CH4</v>
      </c>
      <c r="B617" s="65">
        <f ca="1"/>
        <v>31764.226719585233</v>
      </c>
      <c r="C617" s="65">
        <f ca="1"/>
        <v>52575.565293858104</v>
      </c>
      <c r="D617" s="65">
        <f ca="1"/>
        <v>79446.25783404494</v>
      </c>
      <c r="E617" s="65">
        <f ca="1"/>
        <v>108311.54478104648</v>
      </c>
      <c r="F617" s="65">
        <f ca="1"/>
        <v>101021.40535125021</v>
      </c>
      <c r="G617" s="65">
        <f ca="1"/>
        <v>108939.39575355689</v>
      </c>
      <c r="H617" s="65">
        <f ca="1"/>
        <v>55092.924651993832</v>
      </c>
      <c r="I617" s="65">
        <f ca="1"/>
        <v>28140.926294113851</v>
      </c>
      <c r="J617" s="65">
        <f ca="1"/>
        <v>14484.698753801793</v>
      </c>
      <c r="K617" s="65">
        <f ca="1"/>
        <v>7155.9042883838983</v>
      </c>
      <c r="M617" s="4" t="str">
        <f t="shared" si="49"/>
        <v>$M(2015)</v>
      </c>
      <c r="Q617" s="4"/>
      <c r="R617" s="4"/>
    </row>
    <row r="618" spans="1:18" s="6" customFormat="1" x14ac:dyDescent="0.25">
      <c r="A618" s="4" t="str">
        <v>CA CH4</v>
      </c>
      <c r="B618" s="65">
        <f ca="1"/>
        <v>895.39356124851201</v>
      </c>
      <c r="C618" s="65">
        <f ca="1"/>
        <v>17626.032903825748</v>
      </c>
      <c r="D618" s="65">
        <f ca="1"/>
        <v>53203.431237654477</v>
      </c>
      <c r="E618" s="65">
        <f ca="1"/>
        <v>126214.3797709058</v>
      </c>
      <c r="F618" s="65">
        <f ca="1"/>
        <v>186616.75098980471</v>
      </c>
      <c r="G618" s="65">
        <f ca="1"/>
        <v>162300.44641747451</v>
      </c>
      <c r="H618" s="65">
        <f ca="1"/>
        <v>81823.794009498321</v>
      </c>
      <c r="I618" s="65">
        <f ca="1"/>
        <v>41721.200378975831</v>
      </c>
      <c r="J618" s="65">
        <f ca="1"/>
        <v>21451.81295719395</v>
      </c>
      <c r="K618" s="65">
        <f ca="1"/>
        <v>10600.940570167026</v>
      </c>
      <c r="M618" s="4" t="str">
        <f t="shared" si="49"/>
        <v>$M(2015)</v>
      </c>
      <c r="Q618" s="4"/>
      <c r="R618" s="4"/>
    </row>
    <row r="619" spans="1:18" s="6" customFormat="1" x14ac:dyDescent="0.25">
      <c r="A619" s="4" t="str">
        <v>IA CH4</v>
      </c>
      <c r="B619" s="65">
        <f ca="1"/>
        <v>3629.6157741000534</v>
      </c>
      <c r="C619" s="65">
        <f ca="1"/>
        <v>29546.730882990669</v>
      </c>
      <c r="D619" s="65">
        <f ca="1"/>
        <v>84386.295320738078</v>
      </c>
      <c r="E619" s="65">
        <f ca="1"/>
        <v>196136.74596875036</v>
      </c>
      <c r="F619" s="65">
        <f ca="1"/>
        <v>287292.61514710222</v>
      </c>
      <c r="G619" s="65">
        <f ca="1"/>
        <v>249000.13191337712</v>
      </c>
      <c r="H619" s="65">
        <f ca="1"/>
        <v>126220.40879376685</v>
      </c>
      <c r="I619" s="65">
        <f ca="1"/>
        <v>65114.725201116598</v>
      </c>
      <c r="J619" s="65">
        <f ca="1"/>
        <v>34146.084796931347</v>
      </c>
      <c r="K619" s="65">
        <f ca="1"/>
        <v>17468.459571002404</v>
      </c>
      <c r="M619" s="4" t="str">
        <f t="shared" si="49"/>
        <v>$M(2015)</v>
      </c>
      <c r="Q619" s="4"/>
      <c r="R619" s="4"/>
    </row>
    <row r="620" spans="1:18" s="6" customFormat="1" x14ac:dyDescent="0.25">
      <c r="A620" s="4" t="str">
        <v>AF CH4</v>
      </c>
      <c r="B620" s="65">
        <f ca="1"/>
        <v>55294.488117282002</v>
      </c>
      <c r="C620" s="65">
        <f ca="1"/>
        <v>135729.48688685364</v>
      </c>
      <c r="D620" s="65">
        <f ca="1"/>
        <v>199425.24148999926</v>
      </c>
      <c r="E620" s="65">
        <f ca="1"/>
        <v>295986.35445353371</v>
      </c>
      <c r="F620" s="65">
        <f ca="1"/>
        <v>350036.64069647272</v>
      </c>
      <c r="G620" s="65">
        <f ca="1"/>
        <v>294784.18791839853</v>
      </c>
      <c r="H620" s="65">
        <f ca="1"/>
        <v>150464.06594425693</v>
      </c>
      <c r="I620" s="65">
        <f ca="1"/>
        <v>78011.105891136875</v>
      </c>
      <c r="J620" s="65">
        <f ca="1"/>
        <v>41107.724621998539</v>
      </c>
      <c r="K620" s="65">
        <f ca="1"/>
        <v>21167.110803877167</v>
      </c>
      <c r="M620" s="4" t="str">
        <f t="shared" si="49"/>
        <v>$M(2015)</v>
      </c>
      <c r="Q620" s="4"/>
      <c r="R620" s="4"/>
    </row>
    <row r="621" spans="1:18" s="6" customFormat="1" ht="13" thickBot="1" x14ac:dyDescent="0.3">
      <c r="A621" s="4" t="str">
        <v>LA CH4</v>
      </c>
      <c r="B621" s="77">
        <f ca="1"/>
        <v>24116.608779926843</v>
      </c>
      <c r="C621" s="77">
        <f ca="1"/>
        <v>56089.010603992996</v>
      </c>
      <c r="D621" s="77">
        <f ca="1"/>
        <v>76996.964370300557</v>
      </c>
      <c r="E621" s="77">
        <f ca="1"/>
        <v>100546.10709414893</v>
      </c>
      <c r="F621" s="77">
        <f ca="1"/>
        <v>83865.754037711449</v>
      </c>
      <c r="G621" s="77">
        <f ca="1"/>
        <v>62678.237101760227</v>
      </c>
      <c r="H621" s="77">
        <f ca="1"/>
        <v>30538.407868468465</v>
      </c>
      <c r="I621" s="77">
        <f ca="1"/>
        <v>14402.964115160397</v>
      </c>
      <c r="J621" s="77">
        <f ca="1"/>
        <v>6373.9883317742324</v>
      </c>
      <c r="K621" s="77">
        <f ca="1"/>
        <v>2236.8748990397607</v>
      </c>
      <c r="M621" s="4" t="str">
        <f t="shared" si="49"/>
        <v>$M(2015)</v>
      </c>
    </row>
    <row r="622" spans="1:18" s="2" customFormat="1" ht="15.5" thickTop="1" x14ac:dyDescent="0.4">
      <c r="A622" s="2" t="s">
        <v>354</v>
      </c>
      <c r="B622" s="2" t="s">
        <v>357</v>
      </c>
    </row>
    <row r="623" spans="1:18" s="7" customFormat="1" x14ac:dyDescent="0.25">
      <c r="A623" s="4" t="str">
        <f t="array" ref="A623:A630">R_CODE&amp;" "&amp;'Base data'!$D$12</f>
        <v>EU N2O</v>
      </c>
      <c r="B623" s="76">
        <f t="array" ref="B623:K630" ca="1">IF(cbe_n2o&lt;Q0_N2O,(ALO_N2O/BLO_N2O)*(EXP(BLO_N2O*(cbe_n2o-Q0_N2O))-EXP(-BLO_N2O*Q0_N2O))-ALO_N2O*cbe_n2o,(ahi_n2o/BHI_N2O)*(EXP(BHI_N2O*(cbe_n2o-Q0_N2O))-1)-ahi_n2o*(cbe_n2o-Q0_N2O)+TCQ0_N2O)</f>
        <v>164.67757592373823</v>
      </c>
      <c r="C623" s="76">
        <f ca="1"/>
        <v>823.7152698391792</v>
      </c>
      <c r="D623" s="76">
        <f ca="1"/>
        <v>1973.4383841837116</v>
      </c>
      <c r="E623" s="76">
        <f ca="1"/>
        <v>3361.2539931338133</v>
      </c>
      <c r="F623" s="76">
        <f ca="1"/>
        <v>4909.831474433423</v>
      </c>
      <c r="G623" s="76">
        <f ca="1"/>
        <v>5224.8707942260444</v>
      </c>
      <c r="H623" s="76">
        <f ca="1"/>
        <v>2925.8079060785694</v>
      </c>
      <c r="I623" s="76">
        <f ca="1"/>
        <v>1660.7344542145879</v>
      </c>
      <c r="J623" s="76">
        <f ca="1"/>
        <v>964.23816375522779</v>
      </c>
      <c r="K623" s="76">
        <f ca="1"/>
        <v>554.09384281090274</v>
      </c>
      <c r="M623" s="4" t="str">
        <f t="shared" ref="M623:M630" si="50">CURRENCY_NAME</f>
        <v>$M(2015)</v>
      </c>
      <c r="Q623" s="4"/>
      <c r="R623" s="4"/>
    </row>
    <row r="624" spans="1:18" s="7" customFormat="1" x14ac:dyDescent="0.25">
      <c r="A624" s="4" t="str">
        <v>US N2O</v>
      </c>
      <c r="B624" s="65">
        <f ca="1"/>
        <v>62.383543428913413</v>
      </c>
      <c r="C624" s="65">
        <f ca="1"/>
        <v>614.47876015411327</v>
      </c>
      <c r="D624" s="65">
        <f ca="1"/>
        <v>1592.2439179257015</v>
      </c>
      <c r="E624" s="65">
        <f ca="1"/>
        <v>2789.6851295648244</v>
      </c>
      <c r="F624" s="65">
        <f ca="1"/>
        <v>4150.8769482319667</v>
      </c>
      <c r="G624" s="65">
        <f ca="1"/>
        <v>4452.9704845719789</v>
      </c>
      <c r="H624" s="65">
        <f ca="1"/>
        <v>2491.1727669254828</v>
      </c>
      <c r="I624" s="65">
        <f ca="1"/>
        <v>1408.6262608886072</v>
      </c>
      <c r="J624" s="65">
        <f ca="1"/>
        <v>811.95189554228682</v>
      </c>
      <c r="K624" s="65">
        <f ca="1"/>
        <v>460.52897367142566</v>
      </c>
      <c r="M624" s="4" t="str">
        <f t="shared" si="50"/>
        <v>$M(2015)</v>
      </c>
      <c r="Q624" s="4"/>
      <c r="R624" s="4"/>
    </row>
    <row r="625" spans="1:18" s="7" customFormat="1" x14ac:dyDescent="0.25">
      <c r="A625" s="4" t="str">
        <v>OT N2O</v>
      </c>
      <c r="B625" s="65">
        <f ca="1"/>
        <v>141.44608133897631</v>
      </c>
      <c r="C625" s="65">
        <f ca="1"/>
        <v>535.33117103642132</v>
      </c>
      <c r="D625" s="65">
        <f ca="1"/>
        <v>1229.5898918989037</v>
      </c>
      <c r="E625" s="65">
        <f ca="1"/>
        <v>2075.167560430064</v>
      </c>
      <c r="F625" s="65">
        <f ca="1"/>
        <v>3032.7033326964261</v>
      </c>
      <c r="G625" s="65">
        <f ca="1"/>
        <v>3241.0671428181276</v>
      </c>
      <c r="H625" s="65">
        <f ca="1"/>
        <v>1838.283637125417</v>
      </c>
      <c r="I625" s="65">
        <f ca="1"/>
        <v>1060.8876712640047</v>
      </c>
      <c r="J625" s="65">
        <f ca="1"/>
        <v>629.92120970067515</v>
      </c>
      <c r="K625" s="65">
        <f ca="1"/>
        <v>374.30613616252492</v>
      </c>
      <c r="M625" s="4" t="str">
        <f t="shared" si="50"/>
        <v>$M(2015)</v>
      </c>
      <c r="Q625" s="4"/>
      <c r="R625" s="4"/>
    </row>
    <row r="626" spans="1:18" s="7" customFormat="1" x14ac:dyDescent="0.25">
      <c r="A626" s="4" t="str">
        <v>EE N2O</v>
      </c>
      <c r="B626" s="65">
        <f ca="1"/>
        <v>0</v>
      </c>
      <c r="C626" s="65">
        <f ca="1"/>
        <v>-118.07166853372732</v>
      </c>
      <c r="D626" s="65">
        <f ca="1"/>
        <v>-91.843927399405331</v>
      </c>
      <c r="E626" s="65">
        <f ca="1"/>
        <v>-32.547760508125336</v>
      </c>
      <c r="F626" s="65">
        <f ca="1"/>
        <v>-12.336174128030763</v>
      </c>
      <c r="G626" s="65">
        <f ca="1"/>
        <v>292.88506203490851</v>
      </c>
      <c r="H626" s="65">
        <f ca="1"/>
        <v>124.85083239278339</v>
      </c>
      <c r="I626" s="65">
        <f ca="1"/>
        <v>37.582935887102025</v>
      </c>
      <c r="J626" s="65">
        <f ca="1"/>
        <v>-6.1561696840647784</v>
      </c>
      <c r="K626" s="65">
        <f ca="1"/>
        <v>-28.545071256114397</v>
      </c>
      <c r="M626" s="4" t="str">
        <f t="shared" si="50"/>
        <v>$M(2015)</v>
      </c>
      <c r="Q626" s="4"/>
      <c r="R626" s="4"/>
    </row>
    <row r="627" spans="1:18" s="7" customFormat="1" x14ac:dyDescent="0.25">
      <c r="A627" s="4" t="str">
        <v>CA N2O</v>
      </c>
      <c r="B627" s="65">
        <f ca="1"/>
        <v>0</v>
      </c>
      <c r="C627" s="65">
        <f ca="1"/>
        <v>-335.0563943948319</v>
      </c>
      <c r="D627" s="65">
        <f ca="1"/>
        <v>-446.35727436064894</v>
      </c>
      <c r="E627" s="65">
        <f ca="1"/>
        <v>1759.9007864460909</v>
      </c>
      <c r="F627" s="65">
        <f ca="1"/>
        <v>4467.6397822428808</v>
      </c>
      <c r="G627" s="65">
        <f ca="1"/>
        <v>7963.9960684588068</v>
      </c>
      <c r="H627" s="65">
        <f ca="1"/>
        <v>4237.0194861018654</v>
      </c>
      <c r="I627" s="65">
        <f ca="1"/>
        <v>2304.0311479506304</v>
      </c>
      <c r="J627" s="65">
        <f ca="1"/>
        <v>1276.6020742683713</v>
      </c>
      <c r="K627" s="65">
        <f ca="1"/>
        <v>686.12203721890114</v>
      </c>
      <c r="M627" s="4" t="str">
        <f t="shared" si="50"/>
        <v>$M(2015)</v>
      </c>
      <c r="Q627" s="4"/>
      <c r="R627" s="4"/>
    </row>
    <row r="628" spans="1:18" s="7" customFormat="1" x14ac:dyDescent="0.25">
      <c r="A628" s="4" t="str">
        <v>IA N2O</v>
      </c>
      <c r="B628" s="65">
        <f ca="1"/>
        <v>0</v>
      </c>
      <c r="C628" s="65">
        <f ca="1"/>
        <v>-140.4670356383989</v>
      </c>
      <c r="D628" s="65">
        <f ca="1"/>
        <v>-165.81926318749152</v>
      </c>
      <c r="E628" s="65">
        <f ca="1"/>
        <v>991.19675657767118</v>
      </c>
      <c r="F628" s="65">
        <f ca="1"/>
        <v>2470.3745644681358</v>
      </c>
      <c r="G628" s="65">
        <f ca="1"/>
        <v>4440.8884513983494</v>
      </c>
      <c r="H628" s="65">
        <f ca="1"/>
        <v>2443.8614557070377</v>
      </c>
      <c r="I628" s="65">
        <f ca="1"/>
        <v>1372.8595929531098</v>
      </c>
      <c r="J628" s="65">
        <f ca="1"/>
        <v>791.69958630597694</v>
      </c>
      <c r="K628" s="65">
        <f ca="1"/>
        <v>452.55752035708497</v>
      </c>
      <c r="M628" s="4" t="str">
        <f t="shared" si="50"/>
        <v>$M(2015)</v>
      </c>
      <c r="Q628" s="4"/>
      <c r="R628" s="4"/>
    </row>
    <row r="629" spans="1:18" s="7" customFormat="1" x14ac:dyDescent="0.25">
      <c r="A629" s="4" t="str">
        <v>AF N2O</v>
      </c>
      <c r="B629" s="65">
        <f ca="1"/>
        <v>-155.70869423979661</v>
      </c>
      <c r="C629" s="65">
        <f ca="1"/>
        <v>2691.5281605197042</v>
      </c>
      <c r="D629" s="65">
        <f ca="1"/>
        <v>7749.7415052842898</v>
      </c>
      <c r="E629" s="65">
        <f ca="1"/>
        <v>18894.780788978489</v>
      </c>
      <c r="F629" s="65">
        <f ca="1"/>
        <v>33196.633450618923</v>
      </c>
      <c r="G629" s="65">
        <f ca="1"/>
        <v>35719.921110146854</v>
      </c>
      <c r="H629" s="65">
        <f ca="1"/>
        <v>19620.393666455064</v>
      </c>
      <c r="I629" s="65">
        <f ca="1"/>
        <v>11248.720904496888</v>
      </c>
      <c r="J629" s="65">
        <f ca="1"/>
        <v>6758.3310546098928</v>
      </c>
      <c r="K629" s="65">
        <f ca="1"/>
        <v>4138.0841065107397</v>
      </c>
      <c r="M629" s="4" t="str">
        <f t="shared" si="50"/>
        <v>$M(2015)</v>
      </c>
      <c r="Q629" s="4"/>
      <c r="R629" s="4"/>
    </row>
    <row r="630" spans="1:18" s="7" customFormat="1" ht="13" thickBot="1" x14ac:dyDescent="0.3">
      <c r="A630" s="4" t="str">
        <v>LA N2O</v>
      </c>
      <c r="B630" s="77">
        <f ca="1"/>
        <v>137.58089173572154</v>
      </c>
      <c r="C630" s="77">
        <f ca="1"/>
        <v>1856.6338904630322</v>
      </c>
      <c r="D630" s="77">
        <f ca="1"/>
        <v>3972.0692674630823</v>
      </c>
      <c r="E630" s="77">
        <f ca="1"/>
        <v>8053.8463768909387</v>
      </c>
      <c r="F630" s="77">
        <f ca="1"/>
        <v>10919.899351924714</v>
      </c>
      <c r="G630" s="77">
        <f ca="1"/>
        <v>8504.8373796174164</v>
      </c>
      <c r="H630" s="77">
        <f ca="1"/>
        <v>4731.4620232280731</v>
      </c>
      <c r="I630" s="77">
        <f ca="1"/>
        <v>2680.3670913379456</v>
      </c>
      <c r="J630" s="77">
        <f ca="1"/>
        <v>1560.9180080073797</v>
      </c>
      <c r="K630" s="77">
        <f ca="1"/>
        <v>906.48408952991963</v>
      </c>
      <c r="M630" s="4" t="str">
        <f t="shared" si="50"/>
        <v>$M(2015)</v>
      </c>
    </row>
    <row r="631" spans="1:18" s="2" customFormat="1" ht="15.5" thickTop="1" x14ac:dyDescent="0.4">
      <c r="A631" s="2" t="s">
        <v>354</v>
      </c>
      <c r="B631" s="2" t="s">
        <v>358</v>
      </c>
    </row>
    <row r="632" spans="1:18" s="7" customFormat="1" x14ac:dyDescent="0.25">
      <c r="A632" s="4" t="str">
        <f t="array" ref="A632:A639">R_CODE&amp;" "&amp;GLIN_NAME</f>
        <v>EU Lin</v>
      </c>
      <c r="B632" s="76">
        <f t="array" ref="B632:K639" ca="1">IF(cbe_glin&lt;Q0_GLIN,(ALO_GLIN/BLO_GLIN)*(EXP(BLO_GLIN*(cbe_glin-Q0_GLIN))-EXP(-BLO_GLIN*Q0_GLIN))-ALO_GLIN*cbe_glin,(ahi_glin/BHI_GLIN)*(EXP(BHI_GLIN*(cbe_glin-Q0_GLIN))-1)-ahi_glin*(cbe_glin-Q0_GLIN)+TCQ0_GLIN)</f>
        <v>807.49600728823225</v>
      </c>
      <c r="C632" s="76">
        <f ca="1"/>
        <v>5318.2933282339072</v>
      </c>
      <c r="D632" s="76">
        <f ca="1"/>
        <v>7114.6577308698625</v>
      </c>
      <c r="E632" s="76">
        <f ca="1"/>
        <v>9145.7529185945568</v>
      </c>
      <c r="F632" s="76">
        <f ca="1"/>
        <v>5994.140286224494</v>
      </c>
      <c r="G632" s="76">
        <f ca="1"/>
        <v>4389.8726458109722</v>
      </c>
      <c r="H632" s="76">
        <f ca="1"/>
        <v>2280.932172305239</v>
      </c>
      <c r="I632" s="76">
        <f ca="1"/>
        <v>1117.8352749197102</v>
      </c>
      <c r="J632" s="76">
        <f ca="1"/>
        <v>488.87072947650586</v>
      </c>
      <c r="K632" s="76">
        <f ca="1"/>
        <v>129.44838710019746</v>
      </c>
      <c r="M632" s="4" t="str">
        <f t="shared" ref="M632:M639" si="51">CURRENCY_NAME</f>
        <v>$M(2015)</v>
      </c>
      <c r="Q632" s="4"/>
      <c r="R632" s="4"/>
    </row>
    <row r="633" spans="1:18" s="7" customFormat="1" x14ac:dyDescent="0.25">
      <c r="A633" s="4" t="str">
        <v>US Lin</v>
      </c>
      <c r="B633" s="65">
        <f ca="1"/>
        <v>1564.4354259183501</v>
      </c>
      <c r="C633" s="65">
        <f ca="1"/>
        <v>11920.848612741811</v>
      </c>
      <c r="D633" s="65">
        <f ca="1"/>
        <v>15635.755723460714</v>
      </c>
      <c r="E633" s="65">
        <f ca="1"/>
        <v>20193.464030209718</v>
      </c>
      <c r="F633" s="65">
        <f ca="1"/>
        <v>13003.717957905541</v>
      </c>
      <c r="G633" s="65">
        <f ca="1"/>
        <v>9415.8821428143856</v>
      </c>
      <c r="H633" s="65">
        <f ca="1"/>
        <v>4703.6840735502838</v>
      </c>
      <c r="I633" s="65">
        <f ca="1"/>
        <v>2105.7202737840207</v>
      </c>
      <c r="J633" s="65">
        <f ca="1"/>
        <v>713.46848305854382</v>
      </c>
      <c r="K633" s="65">
        <f ca="1"/>
        <v>-68.917566876277533</v>
      </c>
      <c r="M633" s="4" t="str">
        <f t="shared" si="51"/>
        <v>$M(2015)</v>
      </c>
      <c r="Q633" s="4"/>
      <c r="R633" s="4"/>
    </row>
    <row r="634" spans="1:18" s="7" customFormat="1" x14ac:dyDescent="0.25">
      <c r="A634" s="4" t="str">
        <v>OT Lin</v>
      </c>
      <c r="B634" s="65">
        <f ca="1"/>
        <v>1186.2165969189564</v>
      </c>
      <c r="C634" s="65">
        <f ca="1"/>
        <v>6465.4694227753489</v>
      </c>
      <c r="D634" s="65">
        <f ca="1"/>
        <v>8562.0361730577297</v>
      </c>
      <c r="E634" s="65">
        <f ca="1"/>
        <v>10910.723760291032</v>
      </c>
      <c r="F634" s="65">
        <f ca="1"/>
        <v>7227.3589579715817</v>
      </c>
      <c r="G634" s="65">
        <f ca="1"/>
        <v>5361.0767451251395</v>
      </c>
      <c r="H634" s="65">
        <f ca="1"/>
        <v>2881.91035787894</v>
      </c>
      <c r="I634" s="65">
        <f ca="1"/>
        <v>1505.5202655025787</v>
      </c>
      <c r="J634" s="65">
        <f ca="1"/>
        <v>752.57675781461535</v>
      </c>
      <c r="K634" s="65">
        <f ca="1"/>
        <v>315.20547686083398</v>
      </c>
      <c r="M634" s="4" t="str">
        <f t="shared" si="51"/>
        <v>$M(2015)</v>
      </c>
      <c r="Q634" s="4"/>
      <c r="R634" s="4"/>
    </row>
    <row r="635" spans="1:18" s="7" customFormat="1" x14ac:dyDescent="0.25">
      <c r="A635" s="4" t="str">
        <v>EE Lin</v>
      </c>
      <c r="B635" s="65">
        <f ca="1"/>
        <v>908.62449733691255</v>
      </c>
      <c r="C635" s="65">
        <f ca="1"/>
        <v>3548.0244992610296</v>
      </c>
      <c r="D635" s="65">
        <f ca="1"/>
        <v>5597.7109037090668</v>
      </c>
      <c r="E635" s="65">
        <f ca="1"/>
        <v>7126.1192230037614</v>
      </c>
      <c r="F635" s="65">
        <f ca="1"/>
        <v>6056.1930664343818</v>
      </c>
      <c r="G635" s="65">
        <f ca="1"/>
        <v>4707.514172170534</v>
      </c>
      <c r="H635" s="65">
        <f ca="1"/>
        <v>2481.5608010754195</v>
      </c>
      <c r="I635" s="65">
        <f ca="1"/>
        <v>1279.7033253407137</v>
      </c>
      <c r="J635" s="65">
        <f ca="1"/>
        <v>634.05775780104284</v>
      </c>
      <c r="K635" s="65">
        <f ca="1"/>
        <v>264.18698935131943</v>
      </c>
      <c r="M635" s="4" t="str">
        <f t="shared" si="51"/>
        <v>$M(2015)</v>
      </c>
      <c r="Q635" s="4"/>
      <c r="R635" s="4"/>
    </row>
    <row r="636" spans="1:18" s="7" customFormat="1" x14ac:dyDescent="0.25">
      <c r="A636" s="4" t="str">
        <v>CA Lin</v>
      </c>
      <c r="B636" s="65">
        <f ca="1"/>
        <v>3697.7370584797682</v>
      </c>
      <c r="C636" s="65">
        <f ca="1"/>
        <v>12407.653108656461</v>
      </c>
      <c r="D636" s="65">
        <f ca="1"/>
        <v>21806.814290590577</v>
      </c>
      <c r="E636" s="65">
        <f ca="1"/>
        <v>26627.596003610066</v>
      </c>
      <c r="F636" s="65">
        <f ca="1"/>
        <v>23879.739387733229</v>
      </c>
      <c r="G636" s="65">
        <f ca="1"/>
        <v>18054.338021154988</v>
      </c>
      <c r="H636" s="65">
        <f ca="1"/>
        <v>9699.4581962727425</v>
      </c>
      <c r="I636" s="65">
        <f ca="1"/>
        <v>5206.091486233674</v>
      </c>
      <c r="J636" s="65">
        <f ca="1"/>
        <v>2781.4502044499613</v>
      </c>
      <c r="K636" s="65">
        <f ca="1"/>
        <v>1377.5055663799628</v>
      </c>
      <c r="M636" s="4" t="str">
        <f t="shared" si="51"/>
        <v>$M(2015)</v>
      </c>
      <c r="Q636" s="4"/>
      <c r="R636" s="4"/>
    </row>
    <row r="637" spans="1:18" s="7" customFormat="1" x14ac:dyDescent="0.25">
      <c r="A637" s="4" t="str">
        <v>IA Lin</v>
      </c>
      <c r="B637" s="65">
        <f ca="1"/>
        <v>3350.5117125793236</v>
      </c>
      <c r="C637" s="65">
        <f ca="1"/>
        <v>11118.078988562351</v>
      </c>
      <c r="D637" s="65">
        <f ca="1"/>
        <v>19664.587594600955</v>
      </c>
      <c r="E637" s="65">
        <f ca="1"/>
        <v>24160.593077843831</v>
      </c>
      <c r="F637" s="65">
        <f ca="1"/>
        <v>21918.984507468896</v>
      </c>
      <c r="G637" s="65">
        <f ca="1"/>
        <v>16790.372555107784</v>
      </c>
      <c r="H637" s="65">
        <f ca="1"/>
        <v>9226.2832018380141</v>
      </c>
      <c r="I637" s="65">
        <f ca="1"/>
        <v>5123.4759100304</v>
      </c>
      <c r="J637" s="65">
        <f ca="1"/>
        <v>2887.8654251556786</v>
      </c>
      <c r="K637" s="65">
        <f ca="1"/>
        <v>1578.3028689676144</v>
      </c>
      <c r="M637" s="4" t="str">
        <f t="shared" si="51"/>
        <v>$M(2015)</v>
      </c>
      <c r="Q637" s="4"/>
      <c r="R637" s="4"/>
    </row>
    <row r="638" spans="1:18" s="7" customFormat="1" x14ac:dyDescent="0.25">
      <c r="A638" s="4" t="str">
        <v>AF Lin</v>
      </c>
      <c r="B638" s="65">
        <f ca="1"/>
        <v>2727.9201681391846</v>
      </c>
      <c r="C638" s="65">
        <f ca="1"/>
        <v>7688.6561694520715</v>
      </c>
      <c r="D638" s="65">
        <f ca="1"/>
        <v>11000.090675130445</v>
      </c>
      <c r="E638" s="65">
        <f ca="1"/>
        <v>14870.642942295299</v>
      </c>
      <c r="F638" s="65">
        <f ca="1"/>
        <v>15842.233645621172</v>
      </c>
      <c r="G638" s="65">
        <f ca="1"/>
        <v>12884.535979573961</v>
      </c>
      <c r="H638" s="65">
        <f ca="1"/>
        <v>7081.3524267196617</v>
      </c>
      <c r="I638" s="65">
        <f ca="1"/>
        <v>3945.6041339591889</v>
      </c>
      <c r="J638" s="65">
        <f ca="1"/>
        <v>2238.9031956189865</v>
      </c>
      <c r="K638" s="65">
        <f ca="1"/>
        <v>1238.7124204670963</v>
      </c>
      <c r="M638" s="4" t="str">
        <f t="shared" si="51"/>
        <v>$M(2015)</v>
      </c>
      <c r="Q638" s="4"/>
      <c r="R638" s="4"/>
    </row>
    <row r="639" spans="1:18" s="7" customFormat="1" ht="13" thickBot="1" x14ac:dyDescent="0.3">
      <c r="A639" s="4" t="str">
        <v>LA Lin</v>
      </c>
      <c r="B639" s="77">
        <f ca="1"/>
        <v>639.74524348191073</v>
      </c>
      <c r="C639" s="77">
        <f ca="1"/>
        <v>2461.2097837278798</v>
      </c>
      <c r="D639" s="77">
        <f ca="1"/>
        <v>4638.7148953199139</v>
      </c>
      <c r="E639" s="77">
        <f ca="1"/>
        <v>6201.4889956863262</v>
      </c>
      <c r="F639" s="77">
        <f ca="1"/>
        <v>6473.1712916325641</v>
      </c>
      <c r="G639" s="77">
        <f ca="1"/>
        <v>5090.1582620447025</v>
      </c>
      <c r="H639" s="77">
        <f ca="1"/>
        <v>2669.5990889242353</v>
      </c>
      <c r="I639" s="77">
        <f ca="1"/>
        <v>1370.2620069205204</v>
      </c>
      <c r="J639" s="77">
        <f ca="1"/>
        <v>674.57423013358664</v>
      </c>
      <c r="K639" s="77">
        <f ca="1"/>
        <v>276.8270402394761</v>
      </c>
      <c r="M639" s="4" t="str">
        <f t="shared" si="51"/>
        <v>$M(2015)</v>
      </c>
    </row>
    <row r="640" spans="1:18" s="2" customFormat="1" ht="15.5" thickTop="1" x14ac:dyDescent="0.4">
      <c r="A640" s="2" t="s">
        <v>354</v>
      </c>
      <c r="B640" s="2" t="s">
        <v>394</v>
      </c>
    </row>
    <row r="641" spans="1:18" s="7" customFormat="1" x14ac:dyDescent="0.25">
      <c r="A641" s="4" t="str">
        <f t="array" ref="A641:A648">R_CODE</f>
        <v>EU</v>
      </c>
      <c r="B641" s="76">
        <f t="array" ref="B641:K648" ca="1">tc_co2+tc_ch4+tc_n2o+tc_glin</f>
        <v>580.39621138091047</v>
      </c>
      <c r="C641" s="76">
        <f ca="1"/>
        <v>72036.976475755888</v>
      </c>
      <c r="D641" s="76">
        <f ca="1"/>
        <v>226408.43400522938</v>
      </c>
      <c r="E641" s="76">
        <f ca="1"/>
        <v>329023.73528457637</v>
      </c>
      <c r="F641" s="76">
        <f ca="1"/>
        <v>422519.99616902118</v>
      </c>
      <c r="G641" s="76">
        <f ca="1"/>
        <v>296513.54346355615</v>
      </c>
      <c r="H641" s="76">
        <f ca="1"/>
        <v>156322.5485316008</v>
      </c>
      <c r="I641" s="76">
        <f ca="1"/>
        <v>83815.07440956615</v>
      </c>
      <c r="J641" s="76">
        <f ca="1"/>
        <v>45832.131385115536</v>
      </c>
      <c r="K641" s="76">
        <f ca="1"/>
        <v>24567.546858700902</v>
      </c>
      <c r="M641" s="4" t="str">
        <f t="shared" ref="M641:M648" si="52">CURRENCY_NAME</f>
        <v>$M(2015)</v>
      </c>
      <c r="O641"/>
      <c r="P641"/>
      <c r="Q641" s="4"/>
      <c r="R641" s="4"/>
    </row>
    <row r="642" spans="1:18" s="7" customFormat="1" x14ac:dyDescent="0.25">
      <c r="A642" s="4" t="str">
        <v>US</v>
      </c>
      <c r="B642" s="65">
        <f ca="1"/>
        <v>-5390.9949896718135</v>
      </c>
      <c r="C642" s="65">
        <f ca="1"/>
        <v>91551.597537126218</v>
      </c>
      <c r="D642" s="65">
        <f ca="1"/>
        <v>297801.68191452773</v>
      </c>
      <c r="E642" s="65">
        <f ca="1"/>
        <v>432684.99649846659</v>
      </c>
      <c r="F642" s="65">
        <f ca="1"/>
        <v>551411.68188850139</v>
      </c>
      <c r="G642" s="65">
        <f ca="1"/>
        <v>382831.74670884985</v>
      </c>
      <c r="H642" s="65">
        <f ca="1"/>
        <v>200770.25709719214</v>
      </c>
      <c r="I642" s="65">
        <f ca="1"/>
        <v>106523.70799797928</v>
      </c>
      <c r="J642" s="65">
        <f ca="1"/>
        <v>57216.303926855042</v>
      </c>
      <c r="K642" s="65">
        <f ca="1"/>
        <v>29689.024257783658</v>
      </c>
      <c r="M642" s="4" t="str">
        <f t="shared" si="52"/>
        <v>$M(2015)</v>
      </c>
      <c r="O642"/>
      <c r="P642"/>
      <c r="Q642" s="4"/>
      <c r="R642" s="4"/>
    </row>
    <row r="643" spans="1:18" s="7" customFormat="1" x14ac:dyDescent="0.25">
      <c r="A643" s="4" t="str">
        <v>OT</v>
      </c>
      <c r="B643" s="65">
        <f ca="1"/>
        <v>10819.337348042383</v>
      </c>
      <c r="C643" s="65">
        <f ca="1"/>
        <v>67996.168544249871</v>
      </c>
      <c r="D643" s="65">
        <f ca="1"/>
        <v>180448.53507436276</v>
      </c>
      <c r="E643" s="65">
        <f ca="1"/>
        <v>260340.85812071097</v>
      </c>
      <c r="F643" s="65">
        <f ca="1"/>
        <v>330520.26941048104</v>
      </c>
      <c r="G643" s="65">
        <f ca="1"/>
        <v>239980.8883644068</v>
      </c>
      <c r="H643" s="65">
        <f ca="1"/>
        <v>127609.26048591765</v>
      </c>
      <c r="I643" s="65">
        <f ca="1"/>
        <v>69306.590435130507</v>
      </c>
      <c r="J643" s="65">
        <f ca="1"/>
        <v>38629.613306469219</v>
      </c>
      <c r="K643" s="65">
        <f ca="1"/>
        <v>21364.22580259505</v>
      </c>
      <c r="M643" s="4" t="str">
        <f t="shared" si="52"/>
        <v>$M(2015)</v>
      </c>
      <c r="O643"/>
      <c r="P643"/>
      <c r="Q643" s="4"/>
      <c r="R643" s="4"/>
    </row>
    <row r="644" spans="1:18" s="7" customFormat="1" x14ac:dyDescent="0.25">
      <c r="A644" s="4" t="str">
        <v>EE</v>
      </c>
      <c r="B644" s="65">
        <f ca="1"/>
        <v>27987.296245782782</v>
      </c>
      <c r="C644" s="65">
        <f ca="1"/>
        <v>114005.02617271074</v>
      </c>
      <c r="D644" s="65">
        <f ca="1"/>
        <v>248302.79202480314</v>
      </c>
      <c r="E644" s="65">
        <f ca="1"/>
        <v>326868.82889386103</v>
      </c>
      <c r="F644" s="65">
        <f ca="1"/>
        <v>414475.05298870744</v>
      </c>
      <c r="G644" s="65">
        <f ca="1"/>
        <v>394032.40797814453</v>
      </c>
      <c r="H644" s="65">
        <f ca="1"/>
        <v>200918.0512442964</v>
      </c>
      <c r="I644" s="65">
        <f ca="1"/>
        <v>104653.78723592941</v>
      </c>
      <c r="J644" s="65">
        <f ca="1"/>
        <v>55466.307727982385</v>
      </c>
      <c r="K644" s="65">
        <f ca="1"/>
        <v>28505.375862004068</v>
      </c>
      <c r="M644" s="4" t="str">
        <f t="shared" si="52"/>
        <v>$M(2015)</v>
      </c>
      <c r="O644"/>
      <c r="P644"/>
      <c r="Q644" s="4"/>
      <c r="R644" s="4"/>
    </row>
    <row r="645" spans="1:18" s="7" customFormat="1" x14ac:dyDescent="0.25">
      <c r="A645" s="4" t="str">
        <v>CA</v>
      </c>
      <c r="B645" s="65">
        <f ca="1"/>
        <v>-21476.34024141671</v>
      </c>
      <c r="C645" s="65">
        <f ca="1"/>
        <v>61432.002234624393</v>
      </c>
      <c r="D645" s="65">
        <f ca="1"/>
        <v>396755.51184072869</v>
      </c>
      <c r="E645" s="65">
        <f ca="1"/>
        <v>753047.42227151443</v>
      </c>
      <c r="F645" s="65">
        <f ca="1"/>
        <v>1240611.2064904275</v>
      </c>
      <c r="G645" s="65">
        <f ca="1"/>
        <v>874600.5487225547</v>
      </c>
      <c r="H645" s="65">
        <f ca="1"/>
        <v>453966.02908472443</v>
      </c>
      <c r="I645" s="65">
        <f ca="1"/>
        <v>242277.53806397092</v>
      </c>
      <c r="J645" s="65">
        <f ca="1"/>
        <v>132954.87883027986</v>
      </c>
      <c r="K645" s="65">
        <f ca="1"/>
        <v>72224.145128574761</v>
      </c>
      <c r="M645" s="4" t="str">
        <f t="shared" si="52"/>
        <v>$M(2015)</v>
      </c>
      <c r="O645"/>
      <c r="P645"/>
      <c r="Q645" s="4"/>
      <c r="R645" s="4"/>
    </row>
    <row r="646" spans="1:18" s="7" customFormat="1" x14ac:dyDescent="0.25">
      <c r="A646" s="4" t="str">
        <v>IA</v>
      </c>
      <c r="B646" s="65">
        <f ca="1"/>
        <v>-8851.5305779001665</v>
      </c>
      <c r="C646" s="65">
        <f ca="1"/>
        <v>68647.46771359985</v>
      </c>
      <c r="D646" s="65">
        <f ca="1"/>
        <v>356442.05058207142</v>
      </c>
      <c r="E646" s="65">
        <f ca="1"/>
        <v>694852.95688456937</v>
      </c>
      <c r="F646" s="65">
        <f ca="1"/>
        <v>1131495.7659894475</v>
      </c>
      <c r="G646" s="65">
        <f ca="1"/>
        <v>826219.72846392507</v>
      </c>
      <c r="H646" s="65">
        <f ca="1"/>
        <v>431974.130883098</v>
      </c>
      <c r="I646" s="65">
        <f ca="1"/>
        <v>232746.99988629899</v>
      </c>
      <c r="J646" s="65">
        <f ca="1"/>
        <v>129514.51260285883</v>
      </c>
      <c r="K646" s="65">
        <f ca="1"/>
        <v>72006.75774537737</v>
      </c>
      <c r="M646" s="4" t="str">
        <f t="shared" si="52"/>
        <v>$M(2015)</v>
      </c>
      <c r="O646"/>
      <c r="P646"/>
      <c r="Q646" s="4"/>
      <c r="R646" s="4"/>
    </row>
    <row r="647" spans="1:18" s="7" customFormat="1" x14ac:dyDescent="0.25">
      <c r="A647" s="4" t="str">
        <v>AF</v>
      </c>
      <c r="B647" s="65">
        <f ca="1"/>
        <v>67780.460942605147</v>
      </c>
      <c r="C647" s="65">
        <f ca="1"/>
        <v>244407.42044647419</v>
      </c>
      <c r="D647" s="65">
        <f ca="1"/>
        <v>576845.81166461983</v>
      </c>
      <c r="E647" s="65">
        <f ca="1"/>
        <v>906123.8277926154</v>
      </c>
      <c r="F647" s="65">
        <f ca="1"/>
        <v>1244193.9929788334</v>
      </c>
      <c r="G647" s="65">
        <f ca="1"/>
        <v>1135635.0720059746</v>
      </c>
      <c r="H647" s="65">
        <f ca="1"/>
        <v>588509.63359295088</v>
      </c>
      <c r="I647" s="65">
        <f ca="1"/>
        <v>315776.70811453916</v>
      </c>
      <c r="J647" s="65">
        <f ca="1"/>
        <v>175286.3920315408</v>
      </c>
      <c r="K647" s="65">
        <f ca="1"/>
        <v>97192.596459105553</v>
      </c>
      <c r="M647" s="4" t="str">
        <f t="shared" si="52"/>
        <v>$M(2015)</v>
      </c>
      <c r="O647" s="4"/>
      <c r="P647" s="4"/>
      <c r="Q647" s="4"/>
      <c r="R647" s="4"/>
    </row>
    <row r="648" spans="1:18" s="7" customFormat="1" ht="13" thickBot="1" x14ac:dyDescent="0.3">
      <c r="A648" s="4" t="str">
        <v>LA</v>
      </c>
      <c r="B648" s="77">
        <f ca="1"/>
        <v>21723.450821566224</v>
      </c>
      <c r="C648" s="77">
        <f ca="1"/>
        <v>118557.48227548215</v>
      </c>
      <c r="D648" s="77">
        <f ca="1"/>
        <v>200164.72075153113</v>
      </c>
      <c r="E648" s="77">
        <f ca="1"/>
        <v>289810.4360097656</v>
      </c>
      <c r="F648" s="77">
        <f ca="1"/>
        <v>336834.75512867438</v>
      </c>
      <c r="G648" s="77">
        <f ca="1"/>
        <v>210333.80376462848</v>
      </c>
      <c r="H648" s="77">
        <f ca="1"/>
        <v>108191.89927104501</v>
      </c>
      <c r="I648" s="77">
        <f ca="1"/>
        <v>55785.601757511038</v>
      </c>
      <c r="J648" s="77">
        <f ca="1"/>
        <v>28771.983295298553</v>
      </c>
      <c r="K648" s="77">
        <f ca="1"/>
        <v>14023.799400851525</v>
      </c>
      <c r="M648" s="4" t="str">
        <f t="shared" si="52"/>
        <v>$M(2015)</v>
      </c>
    </row>
    <row r="649" spans="1:18" s="2" customFormat="1" ht="15.5" thickTop="1" x14ac:dyDescent="0.4">
      <c r="A649" s="2" t="s">
        <v>359</v>
      </c>
      <c r="B649" s="2" t="s">
        <v>397</v>
      </c>
    </row>
    <row r="650" spans="1:18" s="7" customFormat="1" x14ac:dyDescent="0.25">
      <c r="A650" s="4" t="str">
        <f t="array" ref="A650:A657">R_CODE</f>
        <v>EU</v>
      </c>
      <c r="B650" s="32">
        <f t="array" aca="1" ref="B650:K657" ca="1">tct/POP</f>
        <v>1.1419285623970943</v>
      </c>
      <c r="C650" s="32">
        <f ca="1"/>
        <v>140.04300915053332</v>
      </c>
      <c r="D650" s="32">
        <f ca="1"/>
        <v>438.82955598082742</v>
      </c>
      <c r="E650" s="32">
        <f ca="1"/>
        <v>640.27717997450725</v>
      </c>
      <c r="F650" s="32">
        <f ca="1"/>
        <v>864.41944960148089</v>
      </c>
      <c r="G650" s="32">
        <f ca="1"/>
        <v>657.23557778087979</v>
      </c>
      <c r="H650" s="32">
        <f ca="1"/>
        <v>346.49594519102942</v>
      </c>
      <c r="I650" s="32">
        <f ca="1"/>
        <v>185.77987437895624</v>
      </c>
      <c r="J650" s="32">
        <f ca="1"/>
        <v>101.5889763414058</v>
      </c>
      <c r="K650" s="32">
        <f ca="1"/>
        <v>54.455070300428545</v>
      </c>
      <c r="M650" s="1" t="str">
        <f t="shared" ref="M650:M657" si="53">CURRENCY_NAME&amp;"/"&amp;POP_UNIT_NAME</f>
        <v>$M(2015)/million</v>
      </c>
      <c r="O650"/>
      <c r="P650"/>
    </row>
    <row r="651" spans="1:18" s="7" customFormat="1" x14ac:dyDescent="0.25">
      <c r="A651" s="4" t="str">
        <v>US</v>
      </c>
      <c r="B651" s="33">
        <f ca="1"/>
        <v>-16.347146134905302</v>
      </c>
      <c r="C651" s="33">
        <f ca="1"/>
        <v>258.90726572546441</v>
      </c>
      <c r="D651" s="33">
        <f ca="1"/>
        <v>794.06741706871003</v>
      </c>
      <c r="E651" s="33">
        <f ca="1"/>
        <v>1099.7799605640482</v>
      </c>
      <c r="F651" s="33">
        <f ca="1"/>
        <v>1281.1312131749312</v>
      </c>
      <c r="G651" s="33">
        <f ca="1"/>
        <v>874.03354318994968</v>
      </c>
      <c r="H651" s="33">
        <f ca="1"/>
        <v>458.37353011183654</v>
      </c>
      <c r="I651" s="33">
        <f ca="1"/>
        <v>243.2016015798543</v>
      </c>
      <c r="J651" s="33">
        <f ca="1"/>
        <v>130.62910607425363</v>
      </c>
      <c r="K651" s="33">
        <f ca="1"/>
        <v>67.782265418071063</v>
      </c>
      <c r="M651" s="1" t="str">
        <f t="shared" si="53"/>
        <v>$M(2015)/million</v>
      </c>
      <c r="O651"/>
      <c r="P651"/>
    </row>
    <row r="652" spans="1:18" s="7" customFormat="1" x14ac:dyDescent="0.25">
      <c r="A652" s="4" t="str">
        <v>OT</v>
      </c>
      <c r="B652" s="33">
        <f ca="1"/>
        <v>38.364318454398614</v>
      </c>
      <c r="C652" s="33">
        <f ca="1"/>
        <v>236.33826957604782</v>
      </c>
      <c r="D652" s="33">
        <f ca="1"/>
        <v>624.69228121641038</v>
      </c>
      <c r="E652" s="33">
        <f ca="1"/>
        <v>910.33287933207816</v>
      </c>
      <c r="F652" s="33">
        <f ca="1"/>
        <v>1264.7742739767243</v>
      </c>
      <c r="G652" s="33">
        <f ca="1"/>
        <v>1070.0998836580713</v>
      </c>
      <c r="H652" s="33">
        <f ca="1"/>
        <v>569.0230406694601</v>
      </c>
      <c r="I652" s="33">
        <f ca="1"/>
        <v>309.04533634675334</v>
      </c>
      <c r="J652" s="33">
        <f ca="1"/>
        <v>172.25348646196633</v>
      </c>
      <c r="K652" s="33">
        <f ca="1"/>
        <v>95.265317590984168</v>
      </c>
      <c r="M652" s="1" t="str">
        <f t="shared" si="53"/>
        <v>$M(2015)/million</v>
      </c>
      <c r="O652"/>
      <c r="P652"/>
    </row>
    <row r="653" spans="1:18" s="7" customFormat="1" x14ac:dyDescent="0.25">
      <c r="A653" s="4" t="str">
        <v>EE</v>
      </c>
      <c r="B653" s="33">
        <f ca="1"/>
        <v>91.254534542003</v>
      </c>
      <c r="C653" s="33">
        <f ca="1"/>
        <v>379.99905099504213</v>
      </c>
      <c r="D653" s="33">
        <f ca="1"/>
        <v>852.8811840139133</v>
      </c>
      <c r="E653" s="33">
        <f ca="1"/>
        <v>1171.0062631860585</v>
      </c>
      <c r="F653" s="33">
        <f ca="1"/>
        <v>1756.6013809182903</v>
      </c>
      <c r="G653" s="33">
        <f ca="1"/>
        <v>2051.6542203449285</v>
      </c>
      <c r="H653" s="33">
        <f ca="1"/>
        <v>1046.1433106327215</v>
      </c>
      <c r="I653" s="33">
        <f ca="1"/>
        <v>544.91300692602965</v>
      </c>
      <c r="J653" s="33">
        <f ca="1"/>
        <v>288.80285487425567</v>
      </c>
      <c r="K653" s="33">
        <f ca="1"/>
        <v>148.42224524091162</v>
      </c>
      <c r="M653" s="1" t="str">
        <f t="shared" si="53"/>
        <v>$M(2015)/million</v>
      </c>
      <c r="O653"/>
      <c r="P653"/>
    </row>
    <row r="654" spans="1:18" s="7" customFormat="1" x14ac:dyDescent="0.25">
      <c r="A654" s="4" t="str">
        <v>CA</v>
      </c>
      <c r="B654" s="33">
        <f ca="1"/>
        <v>-13.715777548942437</v>
      </c>
      <c r="C654" s="33">
        <f ca="1"/>
        <v>39.508992347013518</v>
      </c>
      <c r="D654" s="33">
        <f ca="1"/>
        <v>264.53738928882615</v>
      </c>
      <c r="E654" s="33">
        <f ca="1"/>
        <v>537.0096202211746</v>
      </c>
      <c r="F654" s="33">
        <f ca="1"/>
        <v>1163.5643134067791</v>
      </c>
      <c r="G654" s="33">
        <f ca="1"/>
        <v>1175.8326754468953</v>
      </c>
      <c r="H654" s="33">
        <f ca="1"/>
        <v>610.32215371960126</v>
      </c>
      <c r="I654" s="33">
        <f ca="1"/>
        <v>325.7233787453481</v>
      </c>
      <c r="J654" s="33">
        <f ca="1"/>
        <v>178.74753350780074</v>
      </c>
      <c r="K654" s="33">
        <f ca="1"/>
        <v>97.09976734228735</v>
      </c>
      <c r="M654" s="1" t="str">
        <f t="shared" si="53"/>
        <v>$M(2015)/million</v>
      </c>
      <c r="O654"/>
      <c r="P654"/>
    </row>
    <row r="655" spans="1:18" s="7" customFormat="1" x14ac:dyDescent="0.25">
      <c r="A655" s="4" t="str">
        <v>IA</v>
      </c>
      <c r="B655" s="33">
        <f ca="1"/>
        <v>-3.8171325382884933</v>
      </c>
      <c r="C655" s="33">
        <f ca="1"/>
        <v>27.69125896839947</v>
      </c>
      <c r="D655" s="33">
        <f ca="1"/>
        <v>138.29375560805354</v>
      </c>
      <c r="E655" s="33">
        <f ca="1"/>
        <v>266.91056985500637</v>
      </c>
      <c r="F655" s="33">
        <f ca="1"/>
        <v>473.26427768591662</v>
      </c>
      <c r="G655" s="33">
        <f ca="1"/>
        <v>424.56457416697623</v>
      </c>
      <c r="H655" s="33">
        <f ca="1"/>
        <v>221.97595459322167</v>
      </c>
      <c r="I655" s="33">
        <f ca="1"/>
        <v>119.6003042424112</v>
      </c>
      <c r="J655" s="33">
        <f ca="1"/>
        <v>66.552845444524053</v>
      </c>
      <c r="K655" s="33">
        <f ca="1"/>
        <v>37.001680528917063</v>
      </c>
      <c r="M655" s="1" t="str">
        <f t="shared" si="53"/>
        <v>$M(2015)/million</v>
      </c>
      <c r="O655"/>
      <c r="P655"/>
    </row>
    <row r="656" spans="1:18" s="7" customFormat="1" x14ac:dyDescent="0.25">
      <c r="A656" s="4" t="str">
        <v>AF</v>
      </c>
      <c r="B656" s="33">
        <f ca="1"/>
        <v>46.934007540803151</v>
      </c>
      <c r="C656" s="33">
        <f ca="1"/>
        <v>145.68311884846841</v>
      </c>
      <c r="D656" s="33">
        <f ca="1"/>
        <v>302.17611490565008</v>
      </c>
      <c r="E656" s="33">
        <f ca="1"/>
        <v>428.43447541105689</v>
      </c>
      <c r="F656" s="33">
        <f ca="1"/>
        <v>504.05408073131747</v>
      </c>
      <c r="G656" s="33">
        <f ca="1"/>
        <v>448.72048283058342</v>
      </c>
      <c r="H656" s="33">
        <f ca="1"/>
        <v>232.53625521605002</v>
      </c>
      <c r="I656" s="33">
        <f ca="1"/>
        <v>124.77201561018957</v>
      </c>
      <c r="J656" s="33">
        <f ca="1"/>
        <v>69.260448540999377</v>
      </c>
      <c r="K656" s="33">
        <f ca="1"/>
        <v>38.403453614418183</v>
      </c>
      <c r="M656" s="1" t="str">
        <f t="shared" si="53"/>
        <v>$M(2015)/million</v>
      </c>
      <c r="O656" s="4"/>
      <c r="P656" s="4"/>
    </row>
    <row r="657" spans="1:16" s="7" customFormat="1" ht="13" thickBot="1" x14ac:dyDescent="0.3">
      <c r="A657" s="4" t="str">
        <v>LA</v>
      </c>
      <c r="B657" s="34">
        <f ca="1"/>
        <v>34.275836292729053</v>
      </c>
      <c r="C657" s="34">
        <f ca="1"/>
        <v>175.8510973742265</v>
      </c>
      <c r="D657" s="34">
        <f ca="1"/>
        <v>285.84574803543626</v>
      </c>
      <c r="E657" s="34">
        <f ca="1"/>
        <v>410.56814913841635</v>
      </c>
      <c r="F657" s="34">
        <f ca="1"/>
        <v>510.55514245952719</v>
      </c>
      <c r="G657" s="34">
        <f ca="1"/>
        <v>377.15854152644903</v>
      </c>
      <c r="H657" s="34">
        <f ca="1"/>
        <v>194.00352298913742</v>
      </c>
      <c r="I657" s="34">
        <f ca="1"/>
        <v>100.03154899714909</v>
      </c>
      <c r="J657" s="34">
        <f ca="1"/>
        <v>51.592274100750394</v>
      </c>
      <c r="K657" s="34">
        <f ca="1"/>
        <v>25.146674638202533</v>
      </c>
      <c r="M657" s="1" t="str">
        <f t="shared" si="53"/>
        <v>$M(2015)/million</v>
      </c>
      <c r="O657" s="4"/>
      <c r="P657" s="4"/>
    </row>
    <row r="658" spans="1:16" s="2" customFormat="1" ht="15.5" thickTop="1" x14ac:dyDescent="0.4">
      <c r="A658" s="2" t="s">
        <v>360</v>
      </c>
      <c r="B658" s="2" t="s">
        <v>398</v>
      </c>
    </row>
    <row r="659" spans="1:16" s="7" customFormat="1" ht="13" x14ac:dyDescent="0.3">
      <c r="A659" s="4" t="str">
        <f t="array" ref="A659:A666">R_CODE</f>
        <v>EU</v>
      </c>
      <c r="B659" s="244">
        <f t="array" aca="1" ref="B659:K666" ca="1" xml:space="preserve"> (((CONS_PER_CAP_FOCUS_0)^EMUC)/(1-EMUC))*( (CONS_PER_CAP)^(1-EMUC) - IF((CONS_PER_CAP - tct_per_cap) &lt; 0.01*CONS_PER_CAP_FOCUS_0, 0.01*CONS_PER_CAP_FOCUS_0, (CONS_PER_CAP - tct_per_cap)) ^(1-EMUC) )</f>
        <v>1.0501296755137461</v>
      </c>
      <c r="C659" s="244">
        <f ca="1"/>
        <v>109.26592419552335</v>
      </c>
      <c r="D659" s="244">
        <f ca="1"/>
        <v>283.96503022284122</v>
      </c>
      <c r="E659" s="244">
        <f ca="1"/>
        <v>342.38335305421549</v>
      </c>
      <c r="F659" s="244">
        <f ca="1"/>
        <v>281.37566595535441</v>
      </c>
      <c r="G659" s="244">
        <f ca="1"/>
        <v>130.5827742090103</v>
      </c>
      <c r="H659" s="244">
        <f ca="1"/>
        <v>32.238362476610334</v>
      </c>
      <c r="I659" s="244">
        <f ca="1"/>
        <v>9.2623735402151066</v>
      </c>
      <c r="J659" s="244">
        <f ca="1"/>
        <v>3.0301524322827502</v>
      </c>
      <c r="K659" s="244">
        <f ca="1"/>
        <v>1.0638961146539261</v>
      </c>
      <c r="M659" s="1" t="str">
        <f t="shared" ref="M659:M666" si="54">CURRENCY_NAME&amp;"/"&amp;POP_UNIT_NAME</f>
        <v>$M(2015)/million</v>
      </c>
      <c r="O659" s="242" t="s">
        <v>885</v>
      </c>
      <c r="P659"/>
    </row>
    <row r="660" spans="1:16" s="7" customFormat="1" x14ac:dyDescent="0.25">
      <c r="A660" s="4" t="str">
        <v>US</v>
      </c>
      <c r="B660" s="108">
        <f ca="1"/>
        <v>-8.8463609635180198</v>
      </c>
      <c r="C660" s="108">
        <f ca="1"/>
        <v>119.60643988872596</v>
      </c>
      <c r="D660" s="108">
        <f ca="1"/>
        <v>323.51869534130276</v>
      </c>
      <c r="E660" s="108">
        <f ca="1"/>
        <v>395.78757321504469</v>
      </c>
      <c r="F660" s="108">
        <f ca="1"/>
        <v>328.41295394722283</v>
      </c>
      <c r="G660" s="108">
        <f ca="1"/>
        <v>149.64991008210052</v>
      </c>
      <c r="H660" s="108">
        <f ca="1"/>
        <v>34.547925670975467</v>
      </c>
      <c r="I660" s="108">
        <f ca="1"/>
        <v>8.7838995885906925</v>
      </c>
      <c r="J660" s="108">
        <f ca="1"/>
        <v>2.4368403285004625</v>
      </c>
      <c r="K660" s="108">
        <f ca="1"/>
        <v>0.69838324793431694</v>
      </c>
      <c r="M660" s="1" t="str">
        <f t="shared" si="54"/>
        <v>$M(2015)/million</v>
      </c>
      <c r="O660"/>
      <c r="P660"/>
    </row>
    <row r="661" spans="1:16" s="7" customFormat="1" x14ac:dyDescent="0.25">
      <c r="A661" s="4" t="str">
        <v>OT</v>
      </c>
      <c r="B661" s="108">
        <f ca="1"/>
        <v>34.923870118581412</v>
      </c>
      <c r="C661" s="108">
        <f ca="1"/>
        <v>176.7208931139744</v>
      </c>
      <c r="D661" s="108">
        <f ca="1"/>
        <v>388.18475776857986</v>
      </c>
      <c r="E661" s="108">
        <f ca="1"/>
        <v>468.74401598895361</v>
      </c>
      <c r="F661" s="108">
        <f ca="1"/>
        <v>398.39271109883828</v>
      </c>
      <c r="G661" s="108">
        <f ca="1"/>
        <v>206.46416806734857</v>
      </c>
      <c r="H661" s="108">
        <f ca="1"/>
        <v>63.157371799544904</v>
      </c>
      <c r="I661" s="108">
        <f ca="1"/>
        <v>24.157017331614846</v>
      </c>
      <c r="J661" s="108">
        <f ca="1"/>
        <v>10.776621597074927</v>
      </c>
      <c r="K661" s="108">
        <f ca="1"/>
        <v>5.1738244033807819</v>
      </c>
      <c r="M661" s="1" t="str">
        <f t="shared" si="54"/>
        <v>$M(2015)/million</v>
      </c>
      <c r="O661"/>
      <c r="P661"/>
    </row>
    <row r="662" spans="1:16" s="7" customFormat="1" x14ac:dyDescent="0.25">
      <c r="A662" s="4" t="str">
        <v>EE</v>
      </c>
      <c r="B662" s="108">
        <f ca="1"/>
        <v>212.31638755462308</v>
      </c>
      <c r="C662" s="108">
        <f ca="1"/>
        <v>556.43995263480258</v>
      </c>
      <c r="D662" s="108">
        <f ca="1"/>
        <v>861.80025259848492</v>
      </c>
      <c r="E662" s="108">
        <f ca="1"/>
        <v>919.69982295094428</v>
      </c>
      <c r="F662" s="108">
        <f ca="1"/>
        <v>804.55798715021774</v>
      </c>
      <c r="G662" s="108">
        <f ca="1"/>
        <v>586.89612672969088</v>
      </c>
      <c r="H662" s="108">
        <f ca="1"/>
        <v>205.14356849216253</v>
      </c>
      <c r="I662" s="108">
        <f ca="1"/>
        <v>90.669638570703327</v>
      </c>
      <c r="J662" s="108">
        <f ca="1"/>
        <v>44.727189084588751</v>
      </c>
      <c r="K662" s="108">
        <f ca="1"/>
        <v>22.274960244644696</v>
      </c>
      <c r="M662" s="1" t="str">
        <f t="shared" si="54"/>
        <v>$M(2015)/million</v>
      </c>
      <c r="O662"/>
      <c r="P662"/>
    </row>
    <row r="663" spans="1:16" s="7" customFormat="1" x14ac:dyDescent="0.25">
      <c r="A663" s="4" t="str">
        <v>CA</v>
      </c>
      <c r="B663" s="108">
        <f ca="1"/>
        <v>-36.930718868289283</v>
      </c>
      <c r="C663" s="108">
        <f ca="1"/>
        <v>51.307467701353396</v>
      </c>
      <c r="D663" s="108">
        <f ca="1"/>
        <v>210.78963124142763</v>
      </c>
      <c r="E663" s="108">
        <f ca="1"/>
        <v>304.11640818541991</v>
      </c>
      <c r="F663" s="108">
        <f ca="1"/>
        <v>397.29108603887869</v>
      </c>
      <c r="G663" s="108">
        <f ca="1"/>
        <v>268.50203171353422</v>
      </c>
      <c r="H663" s="108">
        <f ca="1"/>
        <v>144.73254999588033</v>
      </c>
      <c r="I663" s="108">
        <f ca="1"/>
        <v>80.334899785088609</v>
      </c>
      <c r="J663" s="108">
        <f ca="1"/>
        <v>45.884606609726404</v>
      </c>
      <c r="K663" s="108">
        <f ca="1"/>
        <v>25.952139718415705</v>
      </c>
      <c r="M663" s="1" t="str">
        <f t="shared" si="54"/>
        <v>$M(2015)/million</v>
      </c>
      <c r="O663"/>
      <c r="P663"/>
    </row>
    <row r="664" spans="1:16" s="7" customFormat="1" x14ac:dyDescent="0.25">
      <c r="A664" s="4" t="str">
        <v>IA</v>
      </c>
      <c r="B664" s="108">
        <f ca="1"/>
        <v>-24.408345241142754</v>
      </c>
      <c r="C664" s="108">
        <f ca="1"/>
        <v>94.238119941803248</v>
      </c>
      <c r="D664" s="108">
        <f ca="1"/>
        <v>264.56764785542953</v>
      </c>
      <c r="E664" s="108">
        <f ca="1"/>
        <v>311.95413038983861</v>
      </c>
      <c r="F664" s="108">
        <f ca="1"/>
        <v>221.03028075467711</v>
      </c>
      <c r="G664" s="108">
        <f ca="1"/>
        <v>102.82399539745761</v>
      </c>
      <c r="H664" s="108">
        <f ca="1"/>
        <v>29.780795552365095</v>
      </c>
      <c r="I664" s="108">
        <f ca="1"/>
        <v>13.80669839037003</v>
      </c>
      <c r="J664" s="108">
        <f ca="1"/>
        <v>7.394863220888765</v>
      </c>
      <c r="K664" s="108">
        <f ca="1"/>
        <v>4.0715188608996566</v>
      </c>
      <c r="M664" s="1" t="str">
        <f t="shared" si="54"/>
        <v>$M(2015)/million</v>
      </c>
      <c r="O664"/>
      <c r="P664"/>
    </row>
    <row r="665" spans="1:16" s="7" customFormat="1" x14ac:dyDescent="0.25">
      <c r="A665" s="4" t="str">
        <v>AF</v>
      </c>
      <c r="B665" s="108">
        <f ca="1"/>
        <v>347.84213031471819</v>
      </c>
      <c r="C665" s="108">
        <f ca="1"/>
        <v>746.62481627861871</v>
      </c>
      <c r="D665" s="108">
        <f ca="1"/>
        <v>1007.3506918786268</v>
      </c>
      <c r="E665" s="108">
        <f ca="1"/>
        <v>898.22074423248773</v>
      </c>
      <c r="F665" s="108">
        <f ca="1"/>
        <v>337.82468971969007</v>
      </c>
      <c r="G665" s="108">
        <f ca="1"/>
        <v>122.69002226460064</v>
      </c>
      <c r="H665" s="108">
        <f ca="1"/>
        <v>13.546846192299981</v>
      </c>
      <c r="I665" s="108">
        <f ca="1"/>
        <v>3.4093547903003514</v>
      </c>
      <c r="J665" s="108">
        <f ca="1"/>
        <v>1.3074672112121821</v>
      </c>
      <c r="K665" s="108">
        <f ca="1"/>
        <v>0.60531563562019264</v>
      </c>
      <c r="M665" s="1" t="str">
        <f t="shared" si="54"/>
        <v>$M(2015)/million</v>
      </c>
      <c r="O665" s="4"/>
      <c r="P665" s="4"/>
    </row>
    <row r="666" spans="1:16" s="7" customFormat="1" x14ac:dyDescent="0.25">
      <c r="A666" s="4" t="str">
        <v>LA</v>
      </c>
      <c r="B666" s="108">
        <f ca="1"/>
        <v>92.259935038406724</v>
      </c>
      <c r="C666" s="108">
        <f ca="1"/>
        <v>333.71293658982921</v>
      </c>
      <c r="D666" s="108">
        <f ca="1"/>
        <v>377.43441431994552</v>
      </c>
      <c r="E666" s="108">
        <f ca="1"/>
        <v>380.80882310291202</v>
      </c>
      <c r="F666" s="108">
        <f ca="1"/>
        <v>217.90162653653076</v>
      </c>
      <c r="G666" s="108">
        <f ca="1"/>
        <v>84.971913736550164</v>
      </c>
      <c r="H666" s="108">
        <f ca="1"/>
        <v>21.673145345191667</v>
      </c>
      <c r="I666" s="108">
        <f ca="1"/>
        <v>8.4476845392717479</v>
      </c>
      <c r="J666" s="108">
        <f ca="1"/>
        <v>3.8974905086843079</v>
      </c>
      <c r="K666" s="108">
        <f ca="1"/>
        <v>1.8172424236547795</v>
      </c>
      <c r="M666" s="1" t="str">
        <f t="shared" si="54"/>
        <v>$M(2015)/million</v>
      </c>
    </row>
    <row r="667" spans="1:16" s="2" customFormat="1" ht="15" x14ac:dyDescent="0.4">
      <c r="A667" s="2" t="s">
        <v>361</v>
      </c>
      <c r="B667" s="2" t="s">
        <v>399</v>
      </c>
    </row>
    <row r="668" spans="1:16" s="7" customFormat="1" x14ac:dyDescent="0.25">
      <c r="A668" s="4" t="str">
        <f t="array" ref="A668:A675">R_CODE</f>
        <v>EU</v>
      </c>
      <c r="B668" s="29">
        <f t="array" ref="B668:K675" ca="1">IF(EQUITY_SWITCH=0,tct_per_cap,(1-EQUITY_PROP)*tct_per_cap+EQUITY_PROP*wtct_per_cap)</f>
        <v>1.0501296755137461</v>
      </c>
      <c r="C668" s="29">
        <f ca="1"/>
        <v>109.26592419552335</v>
      </c>
      <c r="D668" s="29">
        <f ca="1"/>
        <v>283.96503022284122</v>
      </c>
      <c r="E668" s="29">
        <f ca="1"/>
        <v>342.38335305421549</v>
      </c>
      <c r="F668" s="29">
        <f ca="1"/>
        <v>281.37566595535441</v>
      </c>
      <c r="G668" s="29">
        <f ca="1"/>
        <v>130.5827742090103</v>
      </c>
      <c r="H668" s="29">
        <f ca="1"/>
        <v>32.238362476610334</v>
      </c>
      <c r="I668" s="29">
        <f ca="1"/>
        <v>9.2623735402151066</v>
      </c>
      <c r="J668" s="29">
        <f ca="1"/>
        <v>3.0301524322827502</v>
      </c>
      <c r="K668" s="29">
        <f ca="1"/>
        <v>1.0638961146539261</v>
      </c>
      <c r="M668" s="1" t="str">
        <f t="shared" ref="M668:M675" si="55">CURRENCY_NAME&amp;"/"&amp;POP_UNIT_NAME</f>
        <v>$M(2015)/million</v>
      </c>
      <c r="O668"/>
      <c r="P668"/>
    </row>
    <row r="669" spans="1:16" s="7" customFormat="1" x14ac:dyDescent="0.25">
      <c r="A669" s="4" t="str">
        <v>US</v>
      </c>
      <c r="B669" s="26">
        <f ca="1"/>
        <v>-8.8463609635180198</v>
      </c>
      <c r="C669" s="26">
        <f ca="1"/>
        <v>119.60643988872596</v>
      </c>
      <c r="D669" s="26">
        <f ca="1"/>
        <v>323.51869534130276</v>
      </c>
      <c r="E669" s="26">
        <f ca="1"/>
        <v>395.78757321504469</v>
      </c>
      <c r="F669" s="26">
        <f ca="1"/>
        <v>328.41295394722283</v>
      </c>
      <c r="G669" s="26">
        <f ca="1"/>
        <v>149.64991008210052</v>
      </c>
      <c r="H669" s="26">
        <f ca="1"/>
        <v>34.547925670975467</v>
      </c>
      <c r="I669" s="26">
        <f ca="1"/>
        <v>8.7838995885906925</v>
      </c>
      <c r="J669" s="26">
        <f ca="1"/>
        <v>2.4368403285004625</v>
      </c>
      <c r="K669" s="26">
        <f ca="1"/>
        <v>0.69838324793431694</v>
      </c>
      <c r="M669" s="1" t="str">
        <f t="shared" si="55"/>
        <v>$M(2015)/million</v>
      </c>
      <c r="O669"/>
      <c r="P669"/>
    </row>
    <row r="670" spans="1:16" s="7" customFormat="1" x14ac:dyDescent="0.25">
      <c r="A670" s="4" t="str">
        <v>OT</v>
      </c>
      <c r="B670" s="26">
        <f ca="1"/>
        <v>34.923870118581412</v>
      </c>
      <c r="C670" s="26">
        <f ca="1"/>
        <v>176.7208931139744</v>
      </c>
      <c r="D670" s="26">
        <f ca="1"/>
        <v>388.18475776857986</v>
      </c>
      <c r="E670" s="26">
        <f ca="1"/>
        <v>468.74401598895361</v>
      </c>
      <c r="F670" s="26">
        <f ca="1"/>
        <v>398.39271109883828</v>
      </c>
      <c r="G670" s="26">
        <f ca="1"/>
        <v>206.46416806734857</v>
      </c>
      <c r="H670" s="26">
        <f ca="1"/>
        <v>63.157371799544904</v>
      </c>
      <c r="I670" s="26">
        <f ca="1"/>
        <v>24.157017331614846</v>
      </c>
      <c r="J670" s="26">
        <f ca="1"/>
        <v>10.776621597074927</v>
      </c>
      <c r="K670" s="26">
        <f ca="1"/>
        <v>5.1738244033807819</v>
      </c>
      <c r="M670" s="1" t="str">
        <f t="shared" si="55"/>
        <v>$M(2015)/million</v>
      </c>
      <c r="O670"/>
      <c r="P670"/>
    </row>
    <row r="671" spans="1:16" s="7" customFormat="1" x14ac:dyDescent="0.25">
      <c r="A671" s="4" t="str">
        <v>EE</v>
      </c>
      <c r="B671" s="26">
        <f ca="1"/>
        <v>212.31638755462308</v>
      </c>
      <c r="C671" s="26">
        <f ca="1"/>
        <v>556.43995263480258</v>
      </c>
      <c r="D671" s="26">
        <f ca="1"/>
        <v>861.80025259848492</v>
      </c>
      <c r="E671" s="26">
        <f ca="1"/>
        <v>919.69982295094428</v>
      </c>
      <c r="F671" s="26">
        <f ca="1"/>
        <v>804.55798715021774</v>
      </c>
      <c r="G671" s="26">
        <f ca="1"/>
        <v>586.89612672969088</v>
      </c>
      <c r="H671" s="26">
        <f ca="1"/>
        <v>205.14356849216253</v>
      </c>
      <c r="I671" s="26">
        <f ca="1"/>
        <v>90.669638570703327</v>
      </c>
      <c r="J671" s="26">
        <f ca="1"/>
        <v>44.727189084588751</v>
      </c>
      <c r="K671" s="26">
        <f ca="1"/>
        <v>22.274960244644696</v>
      </c>
      <c r="M671" s="1" t="str">
        <f t="shared" si="55"/>
        <v>$M(2015)/million</v>
      </c>
      <c r="O671"/>
      <c r="P671"/>
    </row>
    <row r="672" spans="1:16" s="7" customFormat="1" x14ac:dyDescent="0.25">
      <c r="A672" s="4" t="str">
        <v>CA</v>
      </c>
      <c r="B672" s="26">
        <f ca="1"/>
        <v>-36.930718868289283</v>
      </c>
      <c r="C672" s="26">
        <f ca="1"/>
        <v>51.307467701353396</v>
      </c>
      <c r="D672" s="26">
        <f ca="1"/>
        <v>210.78963124142763</v>
      </c>
      <c r="E672" s="26">
        <f ca="1"/>
        <v>304.11640818541991</v>
      </c>
      <c r="F672" s="26">
        <f ca="1"/>
        <v>397.29108603887869</v>
      </c>
      <c r="G672" s="26">
        <f ca="1"/>
        <v>268.50203171353422</v>
      </c>
      <c r="H672" s="26">
        <f ca="1"/>
        <v>144.73254999588033</v>
      </c>
      <c r="I672" s="26">
        <f ca="1"/>
        <v>80.334899785088609</v>
      </c>
      <c r="J672" s="26">
        <f ca="1"/>
        <v>45.884606609726404</v>
      </c>
      <c r="K672" s="26">
        <f ca="1"/>
        <v>25.952139718415705</v>
      </c>
      <c r="M672" s="1" t="str">
        <f t="shared" si="55"/>
        <v>$M(2015)/million</v>
      </c>
      <c r="O672"/>
      <c r="P672"/>
    </row>
    <row r="673" spans="1:16" s="7" customFormat="1" x14ac:dyDescent="0.25">
      <c r="A673" s="4" t="str">
        <v>IA</v>
      </c>
      <c r="B673" s="26">
        <f ca="1"/>
        <v>-24.408345241142754</v>
      </c>
      <c r="C673" s="26">
        <f ca="1"/>
        <v>94.238119941803248</v>
      </c>
      <c r="D673" s="26">
        <f ca="1"/>
        <v>264.56764785542953</v>
      </c>
      <c r="E673" s="26">
        <f ca="1"/>
        <v>311.95413038983861</v>
      </c>
      <c r="F673" s="26">
        <f ca="1"/>
        <v>221.03028075467711</v>
      </c>
      <c r="G673" s="26">
        <f ca="1"/>
        <v>102.82399539745761</v>
      </c>
      <c r="H673" s="26">
        <f ca="1"/>
        <v>29.780795552365095</v>
      </c>
      <c r="I673" s="26">
        <f ca="1"/>
        <v>13.80669839037003</v>
      </c>
      <c r="J673" s="26">
        <f ca="1"/>
        <v>7.394863220888765</v>
      </c>
      <c r="K673" s="26">
        <f ca="1"/>
        <v>4.0715188608996566</v>
      </c>
      <c r="M673" s="1" t="str">
        <f t="shared" si="55"/>
        <v>$M(2015)/million</v>
      </c>
      <c r="O673"/>
      <c r="P673"/>
    </row>
    <row r="674" spans="1:16" s="7" customFormat="1" x14ac:dyDescent="0.25">
      <c r="A674" s="4" t="str">
        <v>AF</v>
      </c>
      <c r="B674" s="26">
        <f ca="1"/>
        <v>347.84213031471819</v>
      </c>
      <c r="C674" s="26">
        <f ca="1"/>
        <v>746.62481627861871</v>
      </c>
      <c r="D674" s="26">
        <f ca="1"/>
        <v>1007.3506918786268</v>
      </c>
      <c r="E674" s="26">
        <f ca="1"/>
        <v>898.22074423248773</v>
      </c>
      <c r="F674" s="26">
        <f ca="1"/>
        <v>337.82468971969007</v>
      </c>
      <c r="G674" s="26">
        <f ca="1"/>
        <v>122.69002226460064</v>
      </c>
      <c r="H674" s="26">
        <f ca="1"/>
        <v>13.546846192299981</v>
      </c>
      <c r="I674" s="26">
        <f ca="1"/>
        <v>3.4093547903003514</v>
      </c>
      <c r="J674" s="26">
        <f ca="1"/>
        <v>1.3074672112121821</v>
      </c>
      <c r="K674" s="26">
        <f ca="1"/>
        <v>0.60531563562019264</v>
      </c>
      <c r="M674" s="1" t="str">
        <f t="shared" si="55"/>
        <v>$M(2015)/million</v>
      </c>
      <c r="O674" s="4"/>
      <c r="P674" s="4"/>
    </row>
    <row r="675" spans="1:16" s="7" customFormat="1" x14ac:dyDescent="0.25">
      <c r="A675" s="4" t="str">
        <v>LA</v>
      </c>
      <c r="B675" s="26">
        <f ca="1"/>
        <v>92.259935038406724</v>
      </c>
      <c r="C675" s="26">
        <f ca="1"/>
        <v>333.71293658982921</v>
      </c>
      <c r="D675" s="26">
        <f ca="1"/>
        <v>377.43441431994552</v>
      </c>
      <c r="E675" s="26">
        <f ca="1"/>
        <v>380.80882310291202</v>
      </c>
      <c r="F675" s="26">
        <f ca="1"/>
        <v>217.90162653653076</v>
      </c>
      <c r="G675" s="26">
        <f ca="1"/>
        <v>84.971913736550164</v>
      </c>
      <c r="H675" s="26">
        <f ca="1"/>
        <v>21.673145345191667</v>
      </c>
      <c r="I675" s="26">
        <f ca="1"/>
        <v>8.4476845392717479</v>
      </c>
      <c r="J675" s="26">
        <f ca="1"/>
        <v>3.8974905086843079</v>
      </c>
      <c r="K675" s="26">
        <f ca="1"/>
        <v>1.8172424236547795</v>
      </c>
      <c r="M675" s="1" t="str">
        <f t="shared" si="55"/>
        <v>$M(2015)/million</v>
      </c>
    </row>
    <row r="676" spans="1:16" s="2" customFormat="1" ht="15" x14ac:dyDescent="0.4">
      <c r="A676" s="2" t="s">
        <v>46</v>
      </c>
      <c r="B676" s="2" t="s">
        <v>364</v>
      </c>
    </row>
    <row r="677" spans="1:16" x14ac:dyDescent="0.25">
      <c r="A677" s="4" t="str">
        <f t="array" ref="A677:A684">R_CODE</f>
        <v>EU</v>
      </c>
      <c r="B677" s="27">
        <f t="array" aca="1" ref="B677:K684" ca="1">pct_per_cap*POP</f>
        <v>533.73854126866001</v>
      </c>
      <c r="C677" s="27">
        <f ca="1"/>
        <v>56205.496144501165</v>
      </c>
      <c r="D677" s="27">
        <f ca="1"/>
        <v>146508.08481051822</v>
      </c>
      <c r="E677" s="27">
        <f ca="1"/>
        <v>175942.94040846673</v>
      </c>
      <c r="F677" s="27">
        <f ca="1"/>
        <v>137533.74632688097</v>
      </c>
      <c r="G677" s="27">
        <f ca="1"/>
        <v>58912.758841737697</v>
      </c>
      <c r="H677" s="27">
        <f ca="1"/>
        <v>14544.421234282683</v>
      </c>
      <c r="I677" s="27">
        <f ca="1"/>
        <v>4178.7439574792943</v>
      </c>
      <c r="J677" s="27">
        <f ca="1"/>
        <v>1367.0611654416894</v>
      </c>
      <c r="K677" s="27">
        <f ca="1"/>
        <v>479.9795043023654</v>
      </c>
      <c r="M677" s="4" t="str">
        <f t="shared" ref="M677:M685" si="56">CURRENCY_NAME</f>
        <v>$M(2015)</v>
      </c>
    </row>
    <row r="678" spans="1:16" x14ac:dyDescent="0.25">
      <c r="A678" s="4" t="str">
        <v>US</v>
      </c>
      <c r="B678" s="28">
        <f ca="1"/>
        <v>-2917.3708510088045</v>
      </c>
      <c r="C678" s="28">
        <f ca="1"/>
        <v>42293.755707699063</v>
      </c>
      <c r="D678" s="28">
        <f ca="1"/>
        <v>121330.26684193622</v>
      </c>
      <c r="E678" s="28">
        <f ca="1"/>
        <v>155714.1890845673</v>
      </c>
      <c r="F678" s="28">
        <f ca="1"/>
        <v>141352.21859221236</v>
      </c>
      <c r="G678" s="28">
        <f ca="1"/>
        <v>65547.526085165518</v>
      </c>
      <c r="H678" s="28">
        <f ca="1"/>
        <v>15132.191244647343</v>
      </c>
      <c r="I678" s="28">
        <f ca="1"/>
        <v>3847.3988196635041</v>
      </c>
      <c r="J678" s="28">
        <f ca="1"/>
        <v>1067.350156843645</v>
      </c>
      <c r="K678" s="28">
        <f ca="1"/>
        <v>305.89590154984415</v>
      </c>
      <c r="M678" s="4" t="str">
        <f t="shared" si="56"/>
        <v>$M(2015)</v>
      </c>
    </row>
    <row r="679" spans="1:16" x14ac:dyDescent="0.25">
      <c r="A679" s="4" t="str">
        <v>OT</v>
      </c>
      <c r="B679" s="28">
        <f ca="1"/>
        <v>9849.0771512409592</v>
      </c>
      <c r="C679" s="28">
        <f ca="1"/>
        <v>50843.833523125664</v>
      </c>
      <c r="D679" s="28">
        <f ca="1"/>
        <v>112131.00110848062</v>
      </c>
      <c r="E679" s="28">
        <f ca="1"/>
        <v>134053.40192814922</v>
      </c>
      <c r="F679" s="28">
        <f ca="1"/>
        <v>104110.96186321008</v>
      </c>
      <c r="G679" s="28">
        <f ca="1"/>
        <v>46301.709985095535</v>
      </c>
      <c r="H679" s="28">
        <f ca="1"/>
        <v>14163.689224415326</v>
      </c>
      <c r="I679" s="28">
        <f ca="1"/>
        <v>5417.4592185337406</v>
      </c>
      <c r="J679" s="28">
        <f ca="1"/>
        <v>2416.7680642973091</v>
      </c>
      <c r="K679" s="28">
        <f ca="1"/>
        <v>1160.2832553540404</v>
      </c>
      <c r="M679" s="4" t="str">
        <f t="shared" si="56"/>
        <v>$M(2015)</v>
      </c>
    </row>
    <row r="680" spans="1:16" x14ac:dyDescent="0.25">
      <c r="A680" s="4" t="str">
        <v>EE</v>
      </c>
      <c r="B680" s="28">
        <f ca="1"/>
        <v>65116.343709918139</v>
      </c>
      <c r="C680" s="28">
        <f ca="1"/>
        <v>166939.76260614468</v>
      </c>
      <c r="D680" s="28">
        <f ca="1"/>
        <v>250899.43698933048</v>
      </c>
      <c r="E680" s="28">
        <f ca="1"/>
        <v>256720.40663893655</v>
      </c>
      <c r="F680" s="28">
        <f ca="1"/>
        <v>189837.72754536272</v>
      </c>
      <c r="G680" s="28">
        <f ca="1"/>
        <v>112716.8953496789</v>
      </c>
      <c r="H680" s="28">
        <f ca="1"/>
        <v>39399.043694900189</v>
      </c>
      <c r="I680" s="28">
        <f ca="1"/>
        <v>17413.643908531438</v>
      </c>
      <c r="J680" s="28">
        <f ca="1"/>
        <v>8590.1229565532285</v>
      </c>
      <c r="K680" s="28">
        <f ca="1"/>
        <v>4278.0387337098018</v>
      </c>
      <c r="M680" s="4" t="str">
        <f t="shared" si="56"/>
        <v>$M(2015)</v>
      </c>
    </row>
    <row r="681" spans="1:16" x14ac:dyDescent="0.25">
      <c r="A681" s="4" t="str">
        <v>CA</v>
      </c>
      <c r="B681" s="28">
        <f ca="1"/>
        <v>-57826.592837723867</v>
      </c>
      <c r="C681" s="28">
        <f ca="1"/>
        <v>79777.293300691192</v>
      </c>
      <c r="D681" s="28">
        <f ca="1"/>
        <v>316144.14982602093</v>
      </c>
      <c r="E681" s="28">
        <f ca="1"/>
        <v>426461.77764968091</v>
      </c>
      <c r="F681" s="28">
        <f ca="1"/>
        <v>423598.22134410421</v>
      </c>
      <c r="G681" s="28">
        <f ca="1"/>
        <v>199715.51154633961</v>
      </c>
      <c r="H681" s="28">
        <f ca="1"/>
        <v>107654.06531699029</v>
      </c>
      <c r="I681" s="28">
        <f ca="1"/>
        <v>59754.205594691492</v>
      </c>
      <c r="J681" s="28">
        <f ca="1"/>
        <v>34129.60275451855</v>
      </c>
      <c r="K681" s="28">
        <f ca="1"/>
        <v>19303.559181687233</v>
      </c>
      <c r="M681" s="4" t="str">
        <f t="shared" si="56"/>
        <v>$M(2015)</v>
      </c>
    </row>
    <row r="682" spans="1:16" x14ac:dyDescent="0.25">
      <c r="A682" s="4" t="str">
        <v>IA</v>
      </c>
      <c r="B682" s="28">
        <f ca="1"/>
        <v>-56600.39626362858</v>
      </c>
      <c r="C682" s="28">
        <f ca="1"/>
        <v>233619.14687511238</v>
      </c>
      <c r="D682" s="28">
        <f ca="1"/>
        <v>681903.78158891306</v>
      </c>
      <c r="E682" s="28">
        <f ca="1"/>
        <v>812115.64619372494</v>
      </c>
      <c r="F682" s="28">
        <f ca="1"/>
        <v>528446.44867819967</v>
      </c>
      <c r="G682" s="28">
        <f ca="1"/>
        <v>200099.62848066411</v>
      </c>
      <c r="H682" s="28">
        <f ca="1"/>
        <v>57954.625307569142</v>
      </c>
      <c r="I682" s="28">
        <f ca="1"/>
        <v>26868.390085199277</v>
      </c>
      <c r="J682" s="28">
        <f ca="1"/>
        <v>14390.701095065167</v>
      </c>
      <c r="K682" s="28">
        <f ca="1"/>
        <v>7923.3393749080305</v>
      </c>
      <c r="M682" s="4" t="str">
        <f t="shared" si="56"/>
        <v>$M(2015)</v>
      </c>
    </row>
    <row r="683" spans="1:16" x14ac:dyDescent="0.25">
      <c r="A683" s="4" t="str">
        <v>AF</v>
      </c>
      <c r="B683" s="28">
        <f ca="1"/>
        <v>502341.50381239469</v>
      </c>
      <c r="C683" s="28">
        <f ca="1"/>
        <v>1252586.0705781996</v>
      </c>
      <c r="D683" s="28">
        <f ca="1"/>
        <v>1923004.4958023175</v>
      </c>
      <c r="E683" s="28">
        <f ca="1"/>
        <v>1899705.2424079238</v>
      </c>
      <c r="F683" s="28">
        <f ca="1"/>
        <v>833877.6843535268</v>
      </c>
      <c r="G683" s="28">
        <f ca="1"/>
        <v>310507.53776595375</v>
      </c>
      <c r="H683" s="28">
        <f ca="1"/>
        <v>34284.759086548889</v>
      </c>
      <c r="I683" s="28">
        <f ca="1"/>
        <v>8628.4959588940001</v>
      </c>
      <c r="J683" s="28">
        <f ca="1"/>
        <v>3308.9766956570884</v>
      </c>
      <c r="K683" s="28">
        <f ca="1"/>
        <v>1531.9507170868721</v>
      </c>
      <c r="M683" s="4" t="str">
        <f t="shared" si="56"/>
        <v>$M(2015)</v>
      </c>
      <c r="O683" s="4"/>
      <c r="P683" s="4"/>
    </row>
    <row r="684" spans="1:16" x14ac:dyDescent="0.25">
      <c r="A684" s="4" t="str">
        <v>LA</v>
      </c>
      <c r="B684" s="28">
        <f ca="1"/>
        <v>58472.801202895105</v>
      </c>
      <c r="C684" s="28">
        <f ca="1"/>
        <v>224986.74250892943</v>
      </c>
      <c r="D684" s="28">
        <f ca="1"/>
        <v>264300.08024818962</v>
      </c>
      <c r="E684" s="28">
        <f ca="1"/>
        <v>268804.02508430765</v>
      </c>
      <c r="F684" s="28">
        <f ca="1"/>
        <v>143758.89088687519</v>
      </c>
      <c r="G684" s="28">
        <f ca="1"/>
        <v>47387.143234339652</v>
      </c>
      <c r="H684" s="28">
        <f ca="1"/>
        <v>12086.681323848883</v>
      </c>
      <c r="I684" s="28">
        <f ca="1"/>
        <v>4711.1053483169371</v>
      </c>
      <c r="J684" s="28">
        <f ca="1"/>
        <v>2173.552799600639</v>
      </c>
      <c r="K684" s="28">
        <f ca="1"/>
        <v>1013.4398913061809</v>
      </c>
      <c r="M684" s="4" t="str">
        <f t="shared" si="56"/>
        <v>$M(2015)</v>
      </c>
    </row>
    <row r="685" spans="1:16" ht="13.5" thickBot="1" x14ac:dyDescent="0.35">
      <c r="A685" s="2" t="s">
        <v>206</v>
      </c>
      <c r="B685" s="42">
        <f ca="1">_xll.RiskOutput(,"pct_g_a",1)+SUM(B677:B684)</f>
        <v>518969.10446535633</v>
      </c>
      <c r="C685" s="42">
        <f ca="1">_xll.RiskOutput(,"pct_g_a",2)+SUM(C677:C684)</f>
        <v>2107252.101244403</v>
      </c>
      <c r="D685" s="42">
        <f ca="1">_xll.RiskOutput(,"pct_g_a",3)+SUM(D677:D684)</f>
        <v>3816221.2972157067</v>
      </c>
      <c r="E685" s="42">
        <f ca="1">_xll.RiskOutput(,"pct_g_a",4)+SUM(E677:E684)</f>
        <v>4129517.6293957569</v>
      </c>
      <c r="F685" s="42">
        <f ca="1">_xll.RiskOutput(,"pct_g_a",5)+SUM(F677:F684)</f>
        <v>2502515.8995903721</v>
      </c>
      <c r="G685" s="42">
        <f ca="1">_xll.RiskOutput(,"pct_g_a",6)+SUM(G677:G684)</f>
        <v>1041188.7112889747</v>
      </c>
      <c r="H685" s="42">
        <f ca="1">_xll.RiskOutput(,"pct_g_a",7)+SUM(H677:H684)</f>
        <v>295219.47643320274</v>
      </c>
      <c r="I685" s="42">
        <f ca="1">_xll.RiskOutput(,"pct_g_a",8)+SUM(I677:I684)</f>
        <v>130819.44289130968</v>
      </c>
      <c r="J685" s="42">
        <f ca="1">_xll.RiskOutput(,"pct_g_a",9)+SUM(J677:J684)</f>
        <v>67444.135687977323</v>
      </c>
      <c r="K685" s="42">
        <f ca="1">_xll.RiskOutput(,"pct_g_a",10)+SUM(K677:K684)</f>
        <v>35996.48655990437</v>
      </c>
      <c r="L685" s="1"/>
      <c r="M685" s="4" t="str">
        <f t="shared" si="56"/>
        <v>$M(2015)</v>
      </c>
    </row>
    <row r="686" spans="1:16" ht="15.5" thickTop="1" x14ac:dyDescent="0.4">
      <c r="A686" s="2" t="s">
        <v>114</v>
      </c>
      <c r="B686" s="53" t="s">
        <v>363</v>
      </c>
      <c r="C686" s="1"/>
      <c r="D686" s="1"/>
      <c r="E686" s="1"/>
      <c r="F686" s="1"/>
      <c r="G686" s="1"/>
      <c r="H686" s="1"/>
      <c r="I686" s="1"/>
      <c r="J686" s="1"/>
      <c r="K686" s="1"/>
      <c r="L686" s="1"/>
      <c r="M686" s="1"/>
      <c r="O686" s="2"/>
      <c r="P686" s="2"/>
    </row>
    <row r="687" spans="1:16" x14ac:dyDescent="0.25">
      <c r="A687" s="1" t="str">
        <f t="array" ref="A687:A694">R_CODE&amp;" total"</f>
        <v>EU total</v>
      </c>
      <c r="B687" s="27">
        <f t="array" aca="1" ref="B687:K694" ca="1">IF(EQUITY_SWITCH=0,pct*DFC,pct*DF)</f>
        <v>506.99672749505476</v>
      </c>
      <c r="C687" s="27">
        <f ca="1"/>
        <v>48173.539976119479</v>
      </c>
      <c r="D687" s="27">
        <f ca="1"/>
        <v>113303.81942227039</v>
      </c>
      <c r="E687" s="27">
        <f ca="1"/>
        <v>122774.44739819362</v>
      </c>
      <c r="F687" s="27">
        <f ca="1"/>
        <v>74221.268782460233</v>
      </c>
      <c r="G687" s="27">
        <f ca="1"/>
        <v>24587.332868188794</v>
      </c>
      <c r="H687" s="27">
        <f ca="1"/>
        <v>3630.4831178898589</v>
      </c>
      <c r="I687" s="27">
        <f ca="1"/>
        <v>623.84924917624676</v>
      </c>
      <c r="J687" s="27">
        <f ca="1"/>
        <v>122.06404539406373</v>
      </c>
      <c r="K687" s="27">
        <f ca="1"/>
        <v>25.632349919705245</v>
      </c>
      <c r="L687" s="1"/>
      <c r="M687" s="4" t="str">
        <f t="shared" ref="M687:M695" si="57">CURRENCY_NAME</f>
        <v>$M(2015)</v>
      </c>
    </row>
    <row r="688" spans="1:16" x14ac:dyDescent="0.25">
      <c r="A688" s="1" t="str">
        <v>US total</v>
      </c>
      <c r="B688" s="28">
        <f ca="1"/>
        <v>-2771.2023022268791</v>
      </c>
      <c r="C688" s="28">
        <f ca="1"/>
        <v>36249.834466133507</v>
      </c>
      <c r="D688" s="28">
        <f ca="1"/>
        <v>93832.245930278339</v>
      </c>
      <c r="E688" s="28">
        <f ca="1"/>
        <v>108658.6564515299</v>
      </c>
      <c r="F688" s="28">
        <f ca="1"/>
        <v>76281.940173392446</v>
      </c>
      <c r="G688" s="28">
        <f ca="1"/>
        <v>27356.363447037569</v>
      </c>
      <c r="H688" s="28">
        <f ca="1"/>
        <v>3777.1984161790101</v>
      </c>
      <c r="I688" s="28">
        <f ca="1"/>
        <v>574.38237167718307</v>
      </c>
      <c r="J688" s="28">
        <f ca="1"/>
        <v>95.303034926187365</v>
      </c>
      <c r="K688" s="28">
        <f ca="1"/>
        <v>16.335761667418915</v>
      </c>
      <c r="L688" s="1"/>
      <c r="M688" s="4" t="str">
        <f t="shared" si="57"/>
        <v>$M(2015)</v>
      </c>
    </row>
    <row r="689" spans="1:24" x14ac:dyDescent="0.25">
      <c r="A689" s="1" t="str">
        <v>OT total</v>
      </c>
      <c r="B689" s="28">
        <f ca="1"/>
        <v>9355.6104692316094</v>
      </c>
      <c r="C689" s="28">
        <f ca="1"/>
        <v>43578.077141573041</v>
      </c>
      <c r="D689" s="28">
        <f ca="1"/>
        <v>86717.881253209664</v>
      </c>
      <c r="E689" s="28">
        <f ca="1"/>
        <v>93543.578988546084</v>
      </c>
      <c r="F689" s="28">
        <f ca="1"/>
        <v>56184.375762470532</v>
      </c>
      <c r="G689" s="28">
        <f ca="1"/>
        <v>19324.091727365205</v>
      </c>
      <c r="H689" s="28">
        <f ca="1"/>
        <v>3535.447288550316</v>
      </c>
      <c r="I689" s="28">
        <f ca="1"/>
        <v>808.77840334680445</v>
      </c>
      <c r="J689" s="28">
        <f ca="1"/>
        <v>215.79172473383613</v>
      </c>
      <c r="K689" s="28">
        <f ca="1"/>
        <v>61.962617446419394</v>
      </c>
      <c r="L689" s="1"/>
      <c r="M689" s="4" t="str">
        <f t="shared" si="57"/>
        <v>$M(2015)</v>
      </c>
    </row>
    <row r="690" spans="1:24" x14ac:dyDescent="0.25">
      <c r="A690" s="1" t="str">
        <v>EE total</v>
      </c>
      <c r="B690" s="28">
        <f ca="1"/>
        <v>61853.830320928682</v>
      </c>
      <c r="C690" s="28">
        <f ca="1"/>
        <v>143083.5039127717</v>
      </c>
      <c r="D690" s="28">
        <f ca="1"/>
        <v>194036.14850712658</v>
      </c>
      <c r="E690" s="28">
        <f ca="1"/>
        <v>179141.6352810837</v>
      </c>
      <c r="F690" s="28">
        <f ca="1"/>
        <v>102447.56198022602</v>
      </c>
      <c r="G690" s="28">
        <f ca="1"/>
        <v>47042.57414385266</v>
      </c>
      <c r="H690" s="28">
        <f ca="1"/>
        <v>9834.5311024261246</v>
      </c>
      <c r="I690" s="28">
        <f ca="1"/>
        <v>2599.7019172031169</v>
      </c>
      <c r="J690" s="28">
        <f ca="1"/>
        <v>767.00676240080554</v>
      </c>
      <c r="K690" s="28">
        <f ca="1"/>
        <v>228.46014217187059</v>
      </c>
      <c r="L690" s="1"/>
      <c r="M690" s="4" t="str">
        <f t="shared" si="57"/>
        <v>$M(2015)</v>
      </c>
    </row>
    <row r="691" spans="1:24" x14ac:dyDescent="0.25">
      <c r="A691" s="1" t="str">
        <v>CA total</v>
      </c>
      <c r="B691" s="28">
        <f ca="1"/>
        <v>-54929.316629877139</v>
      </c>
      <c r="C691" s="28">
        <f ca="1"/>
        <v>68376.847312706246</v>
      </c>
      <c r="D691" s="28">
        <f ca="1"/>
        <v>244493.94522917844</v>
      </c>
      <c r="E691" s="28">
        <f ca="1"/>
        <v>297588.57596579811</v>
      </c>
      <c r="F691" s="28">
        <f ca="1"/>
        <v>228598.42243683501</v>
      </c>
      <c r="G691" s="28">
        <f ca="1"/>
        <v>83351.583899200312</v>
      </c>
      <c r="H691" s="28">
        <f ca="1"/>
        <v>26871.90231979149</v>
      </c>
      <c r="I691" s="28">
        <f ca="1"/>
        <v>8920.7706130571369</v>
      </c>
      <c r="J691" s="28">
        <f ca="1"/>
        <v>3047.4111072878773</v>
      </c>
      <c r="K691" s="28">
        <f ca="1"/>
        <v>1030.8681500055206</v>
      </c>
      <c r="L691" s="1"/>
      <c r="M691" s="4" t="str">
        <f t="shared" si="57"/>
        <v>$M(2015)</v>
      </c>
    </row>
    <row r="692" spans="1:24" x14ac:dyDescent="0.25">
      <c r="A692" s="1" t="str">
        <v>IA total</v>
      </c>
      <c r="B692" s="28">
        <f ca="1"/>
        <v>-53764.555979738827</v>
      </c>
      <c r="C692" s="28">
        <f ca="1"/>
        <v>200234.17785052699</v>
      </c>
      <c r="D692" s="28">
        <f ca="1"/>
        <v>527358.63029291772</v>
      </c>
      <c r="E692" s="28">
        <f ca="1"/>
        <v>566701.05349713366</v>
      </c>
      <c r="F692" s="28">
        <f ca="1"/>
        <v>285180.66985000978</v>
      </c>
      <c r="G692" s="28">
        <f ca="1"/>
        <v>83511.895707885356</v>
      </c>
      <c r="H692" s="28">
        <f ca="1"/>
        <v>14466.253788553659</v>
      </c>
      <c r="I692" s="28">
        <f ca="1"/>
        <v>4011.2112998033899</v>
      </c>
      <c r="J692" s="28">
        <f ca="1"/>
        <v>1284.9367944358908</v>
      </c>
      <c r="K692" s="28">
        <f ca="1"/>
        <v>423.13016612117951</v>
      </c>
      <c r="L692" s="1"/>
      <c r="M692" s="4" t="str">
        <f t="shared" si="57"/>
        <v>$M(2015)</v>
      </c>
    </row>
    <row r="693" spans="1:24" x14ac:dyDescent="0.25">
      <c r="A693" s="1" t="str">
        <v>AF total</v>
      </c>
      <c r="B693" s="28">
        <f ca="1"/>
        <v>477172.77060873038</v>
      </c>
      <c r="C693" s="28">
        <f ca="1"/>
        <v>1073587.2696398713</v>
      </c>
      <c r="D693" s="28">
        <f ca="1"/>
        <v>1487179.0483261948</v>
      </c>
      <c r="E693" s="28">
        <f ca="1"/>
        <v>1325630.1208483188</v>
      </c>
      <c r="F693" s="28">
        <f ca="1"/>
        <v>450009.26241767011</v>
      </c>
      <c r="G693" s="28">
        <f ca="1"/>
        <v>129590.81087413592</v>
      </c>
      <c r="H693" s="28">
        <f ca="1"/>
        <v>8557.9368927549785</v>
      </c>
      <c r="I693" s="28">
        <f ca="1"/>
        <v>1288.1575852097355</v>
      </c>
      <c r="J693" s="28">
        <f ca="1"/>
        <v>295.45648124389947</v>
      </c>
      <c r="K693" s="28">
        <f ca="1"/>
        <v>81.810778352271754</v>
      </c>
      <c r="L693" s="1"/>
      <c r="M693" s="4" t="str">
        <f t="shared" si="57"/>
        <v>$M(2015)</v>
      </c>
      <c r="O693" s="4"/>
      <c r="P693" s="4"/>
    </row>
    <row r="694" spans="1:24" x14ac:dyDescent="0.25">
      <c r="A694" s="1" t="str">
        <v>LA total</v>
      </c>
      <c r="B694" s="28">
        <f ca="1"/>
        <v>55543.148124306987</v>
      </c>
      <c r="C694" s="28">
        <f ca="1"/>
        <v>192835.37336786202</v>
      </c>
      <c r="D694" s="28">
        <f ca="1"/>
        <v>204399.69988320078</v>
      </c>
      <c r="E694" s="28">
        <f ca="1"/>
        <v>187573.68474983104</v>
      </c>
      <c r="F694" s="28">
        <f ca="1"/>
        <v>77580.721570860682</v>
      </c>
      <c r="G694" s="28">
        <f ca="1"/>
        <v>19777.099006774049</v>
      </c>
      <c r="H694" s="28">
        <f ca="1"/>
        <v>3016.9981871892728</v>
      </c>
      <c r="I694" s="28">
        <f ca="1"/>
        <v>703.32606262638785</v>
      </c>
      <c r="J694" s="28">
        <f ca="1"/>
        <v>194.07518427394268</v>
      </c>
      <c r="K694" s="28">
        <f ca="1"/>
        <v>54.120739914310676</v>
      </c>
      <c r="L694" s="1"/>
      <c r="M694" s="4" t="str">
        <f t="shared" si="57"/>
        <v>$M(2015)</v>
      </c>
    </row>
    <row r="695" spans="1:24" ht="13" x14ac:dyDescent="0.3">
      <c r="A695" s="2" t="s">
        <v>257</v>
      </c>
      <c r="B695" s="40">
        <f ca="1">SUM(B687:B694)</f>
        <v>492967.28133884986</v>
      </c>
      <c r="C695" s="40">
        <f t="shared" ref="C695:K695" ca="1" si="58">SUM(C687:C694)</f>
        <v>1806118.6236675645</v>
      </c>
      <c r="D695" s="40">
        <f t="shared" ca="1" si="58"/>
        <v>2951321.4188443767</v>
      </c>
      <c r="E695" s="40">
        <f t="shared" ca="1" si="58"/>
        <v>2881611.7531804345</v>
      </c>
      <c r="F695" s="40">
        <f t="shared" ca="1" si="58"/>
        <v>1350504.2229739246</v>
      </c>
      <c r="G695" s="40">
        <f t="shared" ca="1" si="58"/>
        <v>434541.75167443987</v>
      </c>
      <c r="H695" s="40">
        <f t="shared" ca="1" si="58"/>
        <v>73690.7511133347</v>
      </c>
      <c r="I695" s="40">
        <f t="shared" ca="1" si="58"/>
        <v>19530.177502099999</v>
      </c>
      <c r="J695" s="40">
        <f t="shared" ca="1" si="58"/>
        <v>6022.0451346965028</v>
      </c>
      <c r="K695" s="40">
        <f t="shared" ca="1" si="58"/>
        <v>1922.3207055986968</v>
      </c>
      <c r="L695" s="1"/>
      <c r="M695" s="4" t="str">
        <f t="shared" si="57"/>
        <v>$M(2015)</v>
      </c>
    </row>
    <row r="696" spans="1:24" s="2" customFormat="1" ht="15" x14ac:dyDescent="0.4">
      <c r="A696" s="2" t="s">
        <v>113</v>
      </c>
      <c r="B696" s="2" t="s">
        <v>365</v>
      </c>
      <c r="L696" s="2" t="s">
        <v>88</v>
      </c>
    </row>
    <row r="697" spans="1:24" x14ac:dyDescent="0.25">
      <c r="A697" s="1" t="str">
        <f t="array" ref="A697:A704">R_CODE&amp;" total"</f>
        <v>EU total</v>
      </c>
      <c r="B697" s="27">
        <f t="array" ref="B697:K704" ca="1">pcdt*YAGG</f>
        <v>5069.967274950548</v>
      </c>
      <c r="C697" s="27">
        <f ca="1"/>
        <v>481735.39976119477</v>
      </c>
      <c r="D697" s="27">
        <f ca="1"/>
        <v>1133038.1942227038</v>
      </c>
      <c r="E697" s="27">
        <f ca="1"/>
        <v>2148552.8294683881</v>
      </c>
      <c r="F697" s="27">
        <f ca="1"/>
        <v>1855531.7195615058</v>
      </c>
      <c r="G697" s="27">
        <f ca="1"/>
        <v>922024.98255707975</v>
      </c>
      <c r="H697" s="27">
        <f ca="1"/>
        <v>181524.15589449296</v>
      </c>
      <c r="I697" s="27">
        <f ca="1"/>
        <v>31192.462458812337</v>
      </c>
      <c r="J697" s="27">
        <f ca="1"/>
        <v>6103.2022697031862</v>
      </c>
      <c r="K697" s="27">
        <f ca="1"/>
        <v>640.80874799263108</v>
      </c>
      <c r="L697" s="40">
        <f t="shared" ref="L697:L704" ca="1" si="59">SUM(B697:K697)</f>
        <v>6765413.7222168241</v>
      </c>
      <c r="M697" s="4" t="str">
        <f t="shared" ref="M697:M706" si="60">CURRENCY_NAME</f>
        <v>$M(2015)</v>
      </c>
      <c r="Q697" s="4"/>
      <c r="R697" s="4"/>
      <c r="S697" s="4"/>
    </row>
    <row r="698" spans="1:24" x14ac:dyDescent="0.25">
      <c r="A698" s="1" t="str">
        <v>US total</v>
      </c>
      <c r="B698" s="28">
        <f ca="1"/>
        <v>-27712.02302226879</v>
      </c>
      <c r="C698" s="28">
        <f ca="1"/>
        <v>362498.34466133505</v>
      </c>
      <c r="D698" s="28">
        <f ca="1"/>
        <v>938322.45930278336</v>
      </c>
      <c r="E698" s="28">
        <f ca="1"/>
        <v>1901526.4879017731</v>
      </c>
      <c r="F698" s="28">
        <f ca="1"/>
        <v>1907048.5043348111</v>
      </c>
      <c r="G698" s="28">
        <f ca="1"/>
        <v>1025863.6292639088</v>
      </c>
      <c r="H698" s="28">
        <f ca="1"/>
        <v>188859.9208089505</v>
      </c>
      <c r="I698" s="28">
        <f ca="1"/>
        <v>28719.118583859155</v>
      </c>
      <c r="J698" s="28">
        <f ca="1"/>
        <v>4765.1517463093678</v>
      </c>
      <c r="K698" s="28">
        <f ca="1"/>
        <v>408.39404168547287</v>
      </c>
      <c r="L698" s="40">
        <f t="shared" ca="1" si="59"/>
        <v>6330299.9876231467</v>
      </c>
      <c r="M698" s="4" t="str">
        <f t="shared" si="60"/>
        <v>$M(2015)</v>
      </c>
      <c r="Q698" s="4"/>
      <c r="R698" s="4"/>
      <c r="S698" s="4"/>
    </row>
    <row r="699" spans="1:24" x14ac:dyDescent="0.25">
      <c r="A699" s="1" t="str">
        <v>OT total</v>
      </c>
      <c r="B699" s="28">
        <f ca="1"/>
        <v>93556.10469231609</v>
      </c>
      <c r="C699" s="28">
        <f ca="1"/>
        <v>435780.77141573041</v>
      </c>
      <c r="D699" s="28">
        <f ca="1"/>
        <v>867178.81253209664</v>
      </c>
      <c r="E699" s="28">
        <f ca="1"/>
        <v>1637012.6322995564</v>
      </c>
      <c r="F699" s="28">
        <f ca="1"/>
        <v>1404609.3940617633</v>
      </c>
      <c r="G699" s="28">
        <f ca="1"/>
        <v>724653.43977619521</v>
      </c>
      <c r="H699" s="28">
        <f ca="1"/>
        <v>176772.3644275158</v>
      </c>
      <c r="I699" s="28">
        <f ca="1"/>
        <v>40438.92016734022</v>
      </c>
      <c r="J699" s="28">
        <f ca="1"/>
        <v>10789.586236691806</v>
      </c>
      <c r="K699" s="28">
        <f ca="1"/>
        <v>1549.0654361604848</v>
      </c>
      <c r="L699" s="40">
        <f t="shared" ca="1" si="59"/>
        <v>5392341.0910453666</v>
      </c>
      <c r="M699" s="4" t="str">
        <f t="shared" si="60"/>
        <v>$M(2015)</v>
      </c>
      <c r="Q699" s="4"/>
      <c r="R699" s="4"/>
      <c r="S699" s="4"/>
    </row>
    <row r="700" spans="1:24" x14ac:dyDescent="0.25">
      <c r="A700" s="1" t="str">
        <v>EE total</v>
      </c>
      <c r="B700" s="28">
        <f ca="1"/>
        <v>618538.30320928688</v>
      </c>
      <c r="C700" s="28">
        <f ca="1"/>
        <v>1430835.039127717</v>
      </c>
      <c r="D700" s="28">
        <f ca="1"/>
        <v>1940361.4850712658</v>
      </c>
      <c r="E700" s="28">
        <f ca="1"/>
        <v>3134978.6174189649</v>
      </c>
      <c r="F700" s="28">
        <f ca="1"/>
        <v>2561189.0495056505</v>
      </c>
      <c r="G700" s="28">
        <f ca="1"/>
        <v>1764096.5303944747</v>
      </c>
      <c r="H700" s="28">
        <f ca="1"/>
        <v>491726.55512130621</v>
      </c>
      <c r="I700" s="28">
        <f ca="1"/>
        <v>129985.09586015584</v>
      </c>
      <c r="J700" s="28">
        <f ca="1"/>
        <v>38350.33812004028</v>
      </c>
      <c r="K700" s="28">
        <f ca="1"/>
        <v>5711.5035542967644</v>
      </c>
      <c r="L700" s="40">
        <f t="shared" ca="1" si="59"/>
        <v>12115772.517383158</v>
      </c>
      <c r="M700" s="4" t="str">
        <f t="shared" si="60"/>
        <v>$M(2015)</v>
      </c>
      <c r="Q700" s="4"/>
      <c r="R700" s="4"/>
      <c r="S700" s="4"/>
    </row>
    <row r="701" spans="1:24" x14ac:dyDescent="0.25">
      <c r="A701" s="1" t="str">
        <v>CA total</v>
      </c>
      <c r="B701" s="28">
        <f ca="1"/>
        <v>-549293.16629877139</v>
      </c>
      <c r="C701" s="28">
        <f ca="1"/>
        <v>683768.47312706243</v>
      </c>
      <c r="D701" s="28">
        <f ca="1"/>
        <v>2444939.4522917843</v>
      </c>
      <c r="E701" s="28">
        <f ca="1"/>
        <v>5207800.079401467</v>
      </c>
      <c r="F701" s="28">
        <f ca="1"/>
        <v>5714960.5609208755</v>
      </c>
      <c r="G701" s="28">
        <f ca="1"/>
        <v>3125684.3962200116</v>
      </c>
      <c r="H701" s="28">
        <f ca="1"/>
        <v>1343595.1159895745</v>
      </c>
      <c r="I701" s="28">
        <f ca="1"/>
        <v>446038.53065285686</v>
      </c>
      <c r="J701" s="28">
        <f ca="1"/>
        <v>152370.55536439386</v>
      </c>
      <c r="K701" s="28">
        <f ca="1"/>
        <v>25771.703750138015</v>
      </c>
      <c r="L701" s="40">
        <f t="shared" ca="1" si="59"/>
        <v>18595635.701419391</v>
      </c>
      <c r="M701" s="4" t="str">
        <f t="shared" si="60"/>
        <v>$M(2015)</v>
      </c>
      <c r="Q701" s="4"/>
      <c r="R701" s="4"/>
      <c r="S701" s="4"/>
    </row>
    <row r="702" spans="1:24" x14ac:dyDescent="0.25">
      <c r="A702" s="1" t="str">
        <v>IA total</v>
      </c>
      <c r="B702" s="28">
        <f ca="1"/>
        <v>-537645.55979738827</v>
      </c>
      <c r="C702" s="28">
        <f ca="1"/>
        <v>2002341.7785052699</v>
      </c>
      <c r="D702" s="28">
        <f ca="1"/>
        <v>5273586.3029291769</v>
      </c>
      <c r="E702" s="28">
        <f ca="1"/>
        <v>9917268.4361998383</v>
      </c>
      <c r="F702" s="28">
        <f ca="1"/>
        <v>7129516.7462502448</v>
      </c>
      <c r="G702" s="28">
        <f ca="1"/>
        <v>3131696.0890457011</v>
      </c>
      <c r="H702" s="28">
        <f ca="1"/>
        <v>723312.6894276829</v>
      </c>
      <c r="I702" s="28">
        <f ca="1"/>
        <v>200560.56499016949</v>
      </c>
      <c r="J702" s="28">
        <f ca="1"/>
        <v>64246.839721794538</v>
      </c>
      <c r="K702" s="28">
        <f ca="1"/>
        <v>10578.254153029487</v>
      </c>
      <c r="L702" s="40">
        <f t="shared" ca="1" si="59"/>
        <v>27915462.141425516</v>
      </c>
      <c r="M702" s="4" t="str">
        <f t="shared" si="60"/>
        <v>$M(2015)</v>
      </c>
      <c r="Q702" s="4"/>
      <c r="R702" s="4"/>
      <c r="S702" s="4"/>
    </row>
    <row r="703" spans="1:24" x14ac:dyDescent="0.25">
      <c r="A703" s="1" t="str">
        <v>AF total</v>
      </c>
      <c r="B703" s="28">
        <f ca="1"/>
        <v>4771727.7060873043</v>
      </c>
      <c r="C703" s="28">
        <f ca="1"/>
        <v>10735872.696398713</v>
      </c>
      <c r="D703" s="28">
        <f ca="1"/>
        <v>14871790.483261947</v>
      </c>
      <c r="E703" s="28">
        <f ca="1"/>
        <v>23198527.114845578</v>
      </c>
      <c r="F703" s="28">
        <f ca="1"/>
        <v>11250231.560441753</v>
      </c>
      <c r="G703" s="28">
        <f ca="1"/>
        <v>4859655.4077800969</v>
      </c>
      <c r="H703" s="28">
        <f ca="1"/>
        <v>427896.8446377489</v>
      </c>
      <c r="I703" s="28">
        <f ca="1"/>
        <v>64407.879260486778</v>
      </c>
      <c r="J703" s="28">
        <f ca="1"/>
        <v>14772.824062194974</v>
      </c>
      <c r="K703" s="28">
        <f ca="1"/>
        <v>2045.2694588067939</v>
      </c>
      <c r="L703" s="40">
        <f t="shared" ca="1" si="59"/>
        <v>70196927.786234632</v>
      </c>
      <c r="M703" s="4" t="str">
        <f t="shared" si="60"/>
        <v>$M(2015)</v>
      </c>
      <c r="O703" s="4"/>
      <c r="P703" s="4"/>
      <c r="Q703" s="4"/>
      <c r="R703" s="4"/>
      <c r="S703" s="4"/>
      <c r="T703" s="4"/>
      <c r="U703" s="4"/>
      <c r="V703" s="4"/>
      <c r="W703" s="4"/>
      <c r="X703" s="4"/>
    </row>
    <row r="704" spans="1:24" x14ac:dyDescent="0.25">
      <c r="A704" s="1" t="str">
        <v>LA total</v>
      </c>
      <c r="B704" s="28">
        <f ca="1"/>
        <v>555431.48124306987</v>
      </c>
      <c r="C704" s="28">
        <f ca="1"/>
        <v>1928353.7336786203</v>
      </c>
      <c r="D704" s="28">
        <f ca="1"/>
        <v>2043996.9988320079</v>
      </c>
      <c r="E704" s="28">
        <f ca="1"/>
        <v>3282539.4831220433</v>
      </c>
      <c r="F704" s="28">
        <f ca="1"/>
        <v>1939518.039271517</v>
      </c>
      <c r="G704" s="28">
        <f ca="1"/>
        <v>741641.21275402687</v>
      </c>
      <c r="H704" s="28">
        <f ca="1"/>
        <v>150849.90935946364</v>
      </c>
      <c r="I704" s="28">
        <f ca="1"/>
        <v>35166.303131319393</v>
      </c>
      <c r="J704" s="28">
        <f ca="1"/>
        <v>9703.7592136971343</v>
      </c>
      <c r="K704" s="28">
        <f ca="1"/>
        <v>1353.018497857767</v>
      </c>
      <c r="L704" s="40">
        <f t="shared" ca="1" si="59"/>
        <v>10688553.939103624</v>
      </c>
      <c r="M704" s="4" t="str">
        <f t="shared" si="60"/>
        <v>$M(2015)</v>
      </c>
      <c r="Q704" s="4"/>
      <c r="R704" s="4"/>
      <c r="S704" s="4"/>
    </row>
    <row r="705" spans="1:19" ht="13" x14ac:dyDescent="0.3">
      <c r="A705" s="2" t="s">
        <v>257</v>
      </c>
      <c r="B705" s="40">
        <f t="shared" ref="B705:K705" ca="1" si="61">SUM(B697:B704)</f>
        <v>4929672.8133884994</v>
      </c>
      <c r="C705" s="40">
        <f t="shared" ca="1" si="61"/>
        <v>18061186.236675642</v>
      </c>
      <c r="D705" s="40">
        <f t="shared" ca="1" si="61"/>
        <v>29513214.188443765</v>
      </c>
      <c r="E705" s="40">
        <f t="shared" ca="1" si="61"/>
        <v>50428205.680657603</v>
      </c>
      <c r="F705" s="40">
        <f t="shared" ca="1" si="61"/>
        <v>33762605.574348122</v>
      </c>
      <c r="G705" s="40">
        <f t="shared" ca="1" si="61"/>
        <v>16295315.687791493</v>
      </c>
      <c r="H705" s="40">
        <f t="shared" ca="1" si="61"/>
        <v>3684537.5556667354</v>
      </c>
      <c r="I705" s="40">
        <f t="shared" ca="1" si="61"/>
        <v>976508.8751050001</v>
      </c>
      <c r="J705" s="40">
        <f t="shared" ca="1" si="61"/>
        <v>301102.25673482509</v>
      </c>
      <c r="K705" s="40">
        <f t="shared" ca="1" si="61"/>
        <v>48058.017639967416</v>
      </c>
      <c r="L705" s="40">
        <f ca="1">SUM(L697:L704)</f>
        <v>158000406.88645166</v>
      </c>
      <c r="M705" s="4" t="str">
        <f t="shared" si="60"/>
        <v>$M(2015)</v>
      </c>
      <c r="Q705" s="4"/>
      <c r="R705" s="4"/>
      <c r="S705" s="4"/>
    </row>
    <row r="706" spans="1:19" ht="13.5" thickBot="1" x14ac:dyDescent="0.35">
      <c r="A706" s="2" t="s">
        <v>366</v>
      </c>
      <c r="L706" s="42">
        <f ca="1">SUM(B705:K705)</f>
        <v>158000406.88645166</v>
      </c>
      <c r="M706" s="4" t="str">
        <f t="shared" si="60"/>
        <v>$M(2015)</v>
      </c>
    </row>
    <row r="707" spans="1:19" ht="13" thickTop="1" x14ac:dyDescent="0.25"/>
    <row r="709" spans="1:19" ht="13" x14ac:dyDescent="0.3">
      <c r="A709" s="2" t="str">
        <f xml:space="preserve"> "Scenario = "&amp;SCENARIO_PAIR</f>
        <v>Scenario = 2 degC Target</v>
      </c>
    </row>
    <row r="710" spans="1:19" x14ac:dyDescent="0.25">
      <c r="A710" s="3" t="s">
        <v>813</v>
      </c>
      <c r="B710" s="51">
        <f t="shared" ref="B710:K710" ca="1" si="62" xml:space="preserve"> SUM(B641:B648)</f>
        <v>93172.075760388761</v>
      </c>
      <c r="C710" s="51">
        <f t="shared" ca="1" si="62"/>
        <v>838634.14140002336</v>
      </c>
      <c r="D710" s="51">
        <f t="shared" ca="1" si="62"/>
        <v>2483169.5378578738</v>
      </c>
      <c r="E710" s="51">
        <f t="shared" ca="1" si="62"/>
        <v>3992753.06175608</v>
      </c>
      <c r="F710" s="51">
        <f t="shared" ca="1" si="62"/>
        <v>5672062.7210440934</v>
      </c>
      <c r="G710" s="51">
        <f t="shared" ca="1" si="62"/>
        <v>4360147.73947204</v>
      </c>
      <c r="H710" s="51">
        <f t="shared" ca="1" si="62"/>
        <v>2268261.8101908248</v>
      </c>
      <c r="I710" s="51">
        <f t="shared" ca="1" si="62"/>
        <v>1210886.0079009254</v>
      </c>
      <c r="J710" s="51">
        <f t="shared" ca="1" si="62"/>
        <v>663672.12310640013</v>
      </c>
      <c r="K710" s="51">
        <f t="shared" ca="1" si="62"/>
        <v>359573.47151499288</v>
      </c>
      <c r="L710" s="51" t="str">
        <f>CURRENCY_NAME</f>
        <v>$M(2015)</v>
      </c>
    </row>
    <row r="711" spans="1:19" x14ac:dyDescent="0.25">
      <c r="A711" t="s">
        <v>815</v>
      </c>
    </row>
    <row r="712" spans="1:19" x14ac:dyDescent="0.25">
      <c r="A712" s="3" t="s">
        <v>814</v>
      </c>
      <c r="B712">
        <f t="array" ref="B712:K712">Y</f>
        <v>2020</v>
      </c>
      <c r="C712">
        <v>2030</v>
      </c>
      <c r="D712">
        <v>2040</v>
      </c>
      <c r="E712">
        <v>2050</v>
      </c>
      <c r="F712">
        <v>2075</v>
      </c>
      <c r="G712">
        <v>2100</v>
      </c>
      <c r="H712">
        <v>2150</v>
      </c>
      <c r="I712">
        <v>2200</v>
      </c>
      <c r="J712">
        <v>2250</v>
      </c>
      <c r="K712">
        <v>2300</v>
      </c>
    </row>
    <row r="713" spans="1:19" x14ac:dyDescent="0.25">
      <c r="A713" t="str">
        <f t="array" ref="A713:A720">R_CODE</f>
        <v>EU</v>
      </c>
      <c r="B713" s="158">
        <f t="array" aca="1" ref="B713:K720" ca="1">tct/GDP</f>
        <v>3.0985162946653833E-5</v>
      </c>
      <c r="C713" s="158">
        <f ca="1"/>
        <v>3.2942592183924715E-3</v>
      </c>
      <c r="D713" s="158">
        <f ca="1"/>
        <v>8.7647497139166138E-3</v>
      </c>
      <c r="E713" s="158">
        <f ca="1"/>
        <v>1.0846315690183503E-2</v>
      </c>
      <c r="F713" s="158">
        <f ca="1"/>
        <v>9.5759437233168734E-3</v>
      </c>
      <c r="G713" s="158">
        <f ca="1"/>
        <v>4.7823646820177234E-3</v>
      </c>
      <c r="H713" s="158">
        <f ca="1"/>
        <v>1.3185221141070883E-3</v>
      </c>
      <c r="I713" s="158">
        <f ca="1"/>
        <v>4.1435753051586362E-4</v>
      </c>
      <c r="J713" s="158">
        <f ca="1"/>
        <v>1.4590100047869216E-4</v>
      </c>
      <c r="K713" s="158">
        <f ca="1"/>
        <v>5.4421109034466731E-5</v>
      </c>
    </row>
    <row r="714" spans="1:19" x14ac:dyDescent="0.25">
      <c r="A714" t="str">
        <v>US</v>
      </c>
      <c r="B714" s="158">
        <f ca="1"/>
        <v>-2.8161299023541178E-4</v>
      </c>
      <c r="C714" s="158">
        <f ca="1"/>
        <v>3.8850110818370092E-3</v>
      </c>
      <c r="D714" s="158">
        <f ca="1"/>
        <v>1.0655895827505238E-2</v>
      </c>
      <c r="E714" s="158">
        <f ca="1"/>
        <v>1.3248909439921165E-2</v>
      </c>
      <c r="F714" s="158">
        <f ca="1"/>
        <v>1.1551133506526805E-2</v>
      </c>
      <c r="G714" s="158">
        <f ca="1"/>
        <v>5.5957113217848155E-3</v>
      </c>
      <c r="H714" s="158">
        <f ca="1"/>
        <v>1.4560246429112665E-3</v>
      </c>
      <c r="I714" s="158">
        <f ca="1"/>
        <v>4.1147308174056233E-4</v>
      </c>
      <c r="J714" s="158">
        <f ca="1"/>
        <v>1.2547140721840458E-4</v>
      </c>
      <c r="K714" s="158">
        <f ca="1"/>
        <v>3.9143844427424382E-5</v>
      </c>
    </row>
    <row r="715" spans="1:19" x14ac:dyDescent="0.25">
      <c r="A715" t="str">
        <v>OT</v>
      </c>
      <c r="B715" s="158">
        <f ca="1"/>
        <v>1.0313531338476459E-3</v>
      </c>
      <c r="C715" s="158">
        <f ca="1"/>
        <v>5.3539083166558501E-3</v>
      </c>
      <c r="D715" s="158">
        <f ca="1"/>
        <v>1.2027752235952443E-2</v>
      </c>
      <c r="E715" s="158">
        <f ca="1"/>
        <v>1.4893674356461247E-2</v>
      </c>
      <c r="F715" s="158">
        <f ca="1"/>
        <v>1.3589596243896794E-2</v>
      </c>
      <c r="G715" s="158">
        <f ca="1"/>
        <v>7.5805857504099398E-3</v>
      </c>
      <c r="H715" s="158">
        <f ca="1"/>
        <v>2.5170166896476289E-3</v>
      </c>
      <c r="I715" s="158">
        <f ca="1"/>
        <v>1.0130795514067025E-3</v>
      </c>
      <c r="J715" s="158">
        <f ca="1"/>
        <v>4.6669997089852591E-4</v>
      </c>
      <c r="K715" s="158">
        <f ca="1"/>
        <v>2.2866751760612883E-4</v>
      </c>
    </row>
    <row r="716" spans="1:19" x14ac:dyDescent="0.25">
      <c r="A716" t="str">
        <v>EE</v>
      </c>
      <c r="B716" s="158">
        <f ca="1"/>
        <v>5.4690505845699953E-3</v>
      </c>
      <c r="C716" s="158">
        <f ca="1"/>
        <v>1.5224939814679836E-2</v>
      </c>
      <c r="D716" s="158">
        <f ca="1"/>
        <v>2.4722040522380577E-2</v>
      </c>
      <c r="E716" s="158">
        <f ca="1"/>
        <v>2.7307281847270815E-2</v>
      </c>
      <c r="F716" s="158">
        <f ca="1"/>
        <v>2.5824771333256502E-2</v>
      </c>
      <c r="G716" s="158">
        <f ca="1"/>
        <v>2.0216742577550181E-2</v>
      </c>
      <c r="H716" s="158">
        <f ca="1"/>
        <v>7.5149527620149174E-3</v>
      </c>
      <c r="I716" s="158">
        <f ca="1"/>
        <v>3.408594997728707E-3</v>
      </c>
      <c r="J716" s="158">
        <f ca="1"/>
        <v>1.7004924340322232E-3</v>
      </c>
      <c r="K716" s="158">
        <f ca="1"/>
        <v>8.5111377077153288E-4</v>
      </c>
    </row>
    <row r="717" spans="1:19" x14ac:dyDescent="0.25">
      <c r="A717" t="str">
        <v>CA</v>
      </c>
      <c r="B717" s="158">
        <f ca="1"/>
        <v>-9.3517614364685235E-4</v>
      </c>
      <c r="C717" s="158">
        <f ca="1"/>
        <v>1.4398582038496679E-3</v>
      </c>
      <c r="D717" s="158">
        <f ca="1"/>
        <v>6.3246828208350925E-3</v>
      </c>
      <c r="E717" s="158">
        <f ca="1"/>
        <v>9.5627272977606148E-3</v>
      </c>
      <c r="F717" s="158">
        <f ca="1"/>
        <v>1.3398329810035947E-2</v>
      </c>
      <c r="G717" s="158">
        <f ca="1"/>
        <v>9.6123045984304618E-3</v>
      </c>
      <c r="H717" s="158">
        <f ca="1"/>
        <v>5.1670987745481229E-3</v>
      </c>
      <c r="I717" s="158">
        <f ca="1"/>
        <v>2.8558946951596181E-3</v>
      </c>
      <c r="J717" s="158">
        <f ca="1"/>
        <v>1.6230763359631622E-3</v>
      </c>
      <c r="K717" s="158">
        <f ca="1"/>
        <v>9.1310917549706193E-4</v>
      </c>
    </row>
    <row r="718" spans="1:19" x14ac:dyDescent="0.25">
      <c r="A718" t="str">
        <v>IA</v>
      </c>
      <c r="B718" s="158">
        <f ca="1"/>
        <v>-5.4611324557653218E-4</v>
      </c>
      <c r="C718" s="158">
        <f ca="1"/>
        <v>2.3034214156175906E-3</v>
      </c>
      <c r="D718" s="158">
        <f ca="1"/>
        <v>7.0018566624548391E-3</v>
      </c>
      <c r="E718" s="158">
        <f ca="1"/>
        <v>8.8483931805743224E-3</v>
      </c>
      <c r="F718" s="158">
        <f ca="1"/>
        <v>7.1543920693404907E-3</v>
      </c>
      <c r="G718" s="158">
        <f ca="1"/>
        <v>3.6631502039153325E-3</v>
      </c>
      <c r="H718" s="158">
        <f ca="1"/>
        <v>1.1560706013773788E-3</v>
      </c>
      <c r="I718" s="158">
        <f ca="1"/>
        <v>5.4779506537905678E-4</v>
      </c>
      <c r="J718" s="158">
        <f ca="1"/>
        <v>2.9504862573133102E-4</v>
      </c>
      <c r="K718" s="158">
        <f ca="1"/>
        <v>1.6268885277649474E-4</v>
      </c>
    </row>
    <row r="719" spans="1:19" x14ac:dyDescent="0.25">
      <c r="A719" t="str">
        <v>AF</v>
      </c>
      <c r="B719" s="158">
        <f ca="1"/>
        <v>7.5837844383230702E-3</v>
      </c>
      <c r="C719" s="158">
        <f ca="1"/>
        <v>1.7062394991321284E-2</v>
      </c>
      <c r="D719" s="158">
        <f ca="1"/>
        <v>2.4372079026243922E-2</v>
      </c>
      <c r="E719" s="158">
        <f ca="1"/>
        <v>2.3236293997572099E-2</v>
      </c>
      <c r="F719" s="158">
        <f ca="1"/>
        <v>1.0365143015688104E-2</v>
      </c>
      <c r="G719" s="158">
        <f ca="1"/>
        <v>4.2941928424039951E-3</v>
      </c>
      <c r="H719" s="158">
        <f ca="1"/>
        <v>5.9263189470781189E-4</v>
      </c>
      <c r="I719" s="158">
        <f ca="1"/>
        <v>1.6622577002009198E-4</v>
      </c>
      <c r="J719" s="158">
        <f ca="1"/>
        <v>6.7208851633347269E-5</v>
      </c>
      <c r="K719" s="158">
        <f ca="1"/>
        <v>3.1928398165313908E-5</v>
      </c>
    </row>
    <row r="720" spans="1:19" x14ac:dyDescent="0.25">
      <c r="A720" t="str">
        <v>LA</v>
      </c>
      <c r="B720" s="158">
        <f ca="1"/>
        <v>2.3318677081360559E-3</v>
      </c>
      <c r="C720" s="158">
        <f ca="1"/>
        <v>8.8324051065889787E-3</v>
      </c>
      <c r="D720" s="158">
        <f ca="1"/>
        <v>1.0510348817598882E-2</v>
      </c>
      <c r="E720" s="158">
        <f ca="1"/>
        <v>1.1148855335984661E-2</v>
      </c>
      <c r="F720" s="158">
        <f ca="1"/>
        <v>7.1445355703794169E-3</v>
      </c>
      <c r="G720" s="158">
        <f ca="1"/>
        <v>3.0596796300141173E-3</v>
      </c>
      <c r="H720" s="158">
        <f ca="1"/>
        <v>8.6378264014011529E-4</v>
      </c>
      <c r="I720" s="158">
        <f ca="1"/>
        <v>3.5051791815660598E-4</v>
      </c>
      <c r="J720" s="158">
        <f ca="1"/>
        <v>1.6433100362631969E-4</v>
      </c>
      <c r="K720" s="158">
        <f ca="1"/>
        <v>7.7112037242949531E-5</v>
      </c>
    </row>
    <row r="721" spans="1:11" x14ac:dyDescent="0.25">
      <c r="A721" s="3" t="s">
        <v>206</v>
      </c>
      <c r="B721" s="231">
        <f t="array" aca="1" ref="B721:K721" ca="1">tct_g/GDP_G</f>
        <v>8.4007502943775E-4</v>
      </c>
      <c r="C721" s="231">
        <f ca="1"/>
        <v>5.0570044972889786E-3</v>
      </c>
      <c r="D721" s="231">
        <f ca="1"/>
        <v>1.0558761188931466E-2</v>
      </c>
      <c r="E721" s="231">
        <f ca="1"/>
        <v>1.2687054131026483E-2</v>
      </c>
      <c r="F721" s="231">
        <f ca="1"/>
        <v>1.0309816792413886E-2</v>
      </c>
      <c r="G721" s="231">
        <f ca="1"/>
        <v>5.2449561697975435E-3</v>
      </c>
      <c r="H721" s="231">
        <f ca="1"/>
        <v>1.1852788554460548E-3</v>
      </c>
      <c r="I721" s="231">
        <f ca="1"/>
        <v>3.8700955903647115E-4</v>
      </c>
      <c r="J721" s="231">
        <f ca="1"/>
        <v>1.5841026548389479E-4</v>
      </c>
      <c r="K721" s="231">
        <f ca="1"/>
        <v>7.0720111907807728E-5</v>
      </c>
    </row>
  </sheetData>
  <phoneticPr fontId="0" type="noConversion"/>
  <pageMargins left="0.75" right="0.75" top="1" bottom="1" header="0.5" footer="0.5"/>
  <pageSetup paperSize="9" orientation="portrait" horizontalDpi="4294967293"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O707"/>
  <sheetViews>
    <sheetView topLeftCell="A653" workbookViewId="0">
      <selection activeCell="O660" sqref="O660"/>
    </sheetView>
  </sheetViews>
  <sheetFormatPr defaultRowHeight="12.5" x14ac:dyDescent="0.25"/>
  <cols>
    <col min="1" max="1" width="21.54296875" bestFit="1" customWidth="1"/>
    <col min="2" max="6" width="10.1796875" bestFit="1" customWidth="1"/>
    <col min="7" max="7" width="9" customWidth="1"/>
    <col min="8" max="11" width="10.1796875" bestFit="1" customWidth="1"/>
    <col min="12" max="12" width="10.81640625" customWidth="1"/>
    <col min="13" max="13" width="7.1796875" bestFit="1" customWidth="1"/>
  </cols>
  <sheetData>
    <row r="1" spans="1:8" ht="13" x14ac:dyDescent="0.3">
      <c r="A1" s="2" t="str">
        <f>MODEL_NAME</f>
        <v>PAGE-ICE Nonlinear Arctic Feedbacks</v>
      </c>
      <c r="B1" t="s">
        <v>39</v>
      </c>
      <c r="C1" s="51" t="str">
        <f>VERSION</f>
        <v>6.22</v>
      </c>
      <c r="F1" s="304" t="s">
        <v>977</v>
      </c>
      <c r="G1" s="305"/>
      <c r="H1" s="305"/>
    </row>
    <row r="2" spans="1:8" s="3" customFormat="1" x14ac:dyDescent="0.25">
      <c r="A2" s="4" t="str">
        <f>"Uncertainty in BAU emissions in "&amp;Y_LAST</f>
        <v>Uncertainty in BAU emissions in 2300</v>
      </c>
      <c r="B2" s="4"/>
      <c r="C2" s="4"/>
      <c r="D2" s="4"/>
      <c r="E2" s="4"/>
    </row>
    <row r="3" spans="1:8" x14ac:dyDescent="0.25">
      <c r="A3" s="4"/>
      <c r="B3" s="58" t="s">
        <v>14</v>
      </c>
      <c r="C3" s="58" t="s">
        <v>15</v>
      </c>
      <c r="D3" s="58" t="s">
        <v>146</v>
      </c>
      <c r="E3" s="4" t="str">
        <f>GLIN_NAME</f>
        <v>Lin</v>
      </c>
    </row>
    <row r="4" spans="1:8" ht="15.5" x14ac:dyDescent="0.4">
      <c r="A4" s="4"/>
      <c r="B4" s="4" t="s">
        <v>99</v>
      </c>
      <c r="C4" s="4" t="s">
        <v>100</v>
      </c>
      <c r="D4" s="4" t="s">
        <v>100</v>
      </c>
      <c r="E4" s="4" t="s">
        <v>126</v>
      </c>
    </row>
    <row r="5" spans="1:8" x14ac:dyDescent="0.25">
      <c r="A5" s="14" t="str">
        <f t="array" ref="A5:A12">R_CODE</f>
        <v>EU</v>
      </c>
      <c r="B5" s="26">
        <f ca="1">EMIT_CO2_1</f>
        <v>-22</v>
      </c>
      <c r="C5" s="26">
        <f ca="1">EMIT_CH4_1</f>
        <v>-30.333333333333332</v>
      </c>
      <c r="D5" s="26">
        <f ca="1">EMIT_N2O_1</f>
        <v>-7</v>
      </c>
      <c r="E5" s="26">
        <f ca="1">EMIT_GLIN_1</f>
        <v>0</v>
      </c>
    </row>
    <row r="6" spans="1:8" x14ac:dyDescent="0.25">
      <c r="A6" s="14" t="str">
        <v>US</v>
      </c>
      <c r="B6" s="26">
        <f t="array" aca="1" ref="B6:B12" ca="1">EMIT_CO2_1*EMITF</f>
        <v>-22</v>
      </c>
      <c r="C6" s="26">
        <f t="array" aca="1" ref="C6:C12" ca="1">EMIT_CH4_1*EMITF</f>
        <v>-30.333333333333332</v>
      </c>
      <c r="D6" s="26">
        <f t="array" aca="1" ref="D6:D12" ca="1">EMIT_N2O_1*EMITF</f>
        <v>-7</v>
      </c>
      <c r="E6" s="26">
        <f t="array" aca="1" ref="E6:E12" ca="1">EMIT_GLIN_1*EMITF</f>
        <v>0</v>
      </c>
    </row>
    <row r="7" spans="1:8" x14ac:dyDescent="0.25">
      <c r="A7" s="14" t="str">
        <v>OT</v>
      </c>
      <c r="B7" s="26">
        <f ca="1"/>
        <v>-22</v>
      </c>
      <c r="C7" s="26">
        <f ca="1"/>
        <v>-30.333333333333332</v>
      </c>
      <c r="D7" s="26">
        <f ca="1"/>
        <v>-7</v>
      </c>
      <c r="E7" s="26">
        <f ca="1"/>
        <v>0</v>
      </c>
    </row>
    <row r="8" spans="1:8" x14ac:dyDescent="0.25">
      <c r="A8" s="14" t="str">
        <v>EE</v>
      </c>
      <c r="B8" s="26">
        <f ca="1"/>
        <v>-22</v>
      </c>
      <c r="C8" s="26">
        <f ca="1"/>
        <v>-30.333333333333332</v>
      </c>
      <c r="D8" s="26">
        <f ca="1"/>
        <v>-7</v>
      </c>
      <c r="E8" s="26">
        <f ca="1"/>
        <v>0</v>
      </c>
    </row>
    <row r="9" spans="1:8" x14ac:dyDescent="0.25">
      <c r="A9" s="14" t="str">
        <v>CA</v>
      </c>
      <c r="B9" s="26">
        <f ca="1"/>
        <v>-22</v>
      </c>
      <c r="C9" s="26">
        <f ca="1"/>
        <v>-30.333333333333332</v>
      </c>
      <c r="D9" s="26">
        <f ca="1"/>
        <v>-7</v>
      </c>
      <c r="E9" s="26">
        <f ca="1"/>
        <v>0</v>
      </c>
    </row>
    <row r="10" spans="1:8" x14ac:dyDescent="0.25">
      <c r="A10" s="14" t="str">
        <v>IA</v>
      </c>
      <c r="B10" s="26">
        <f ca="1"/>
        <v>-22</v>
      </c>
      <c r="C10" s="26">
        <f ca="1"/>
        <v>-30.333333333333332</v>
      </c>
      <c r="D10" s="26">
        <f ca="1"/>
        <v>-7</v>
      </c>
      <c r="E10" s="26">
        <f ca="1"/>
        <v>0</v>
      </c>
    </row>
    <row r="11" spans="1:8" x14ac:dyDescent="0.25">
      <c r="A11" s="14" t="str">
        <v>AF</v>
      </c>
      <c r="B11" s="26">
        <f ca="1"/>
        <v>-22</v>
      </c>
      <c r="C11" s="26">
        <f ca="1"/>
        <v>-30.333333333333332</v>
      </c>
      <c r="D11" s="26">
        <f ca="1"/>
        <v>-7</v>
      </c>
      <c r="E11" s="26">
        <f ca="1"/>
        <v>0</v>
      </c>
    </row>
    <row r="12" spans="1:8" x14ac:dyDescent="0.25">
      <c r="A12" s="14" t="str">
        <v>LA</v>
      </c>
      <c r="B12" s="26">
        <f ca="1"/>
        <v>-22</v>
      </c>
      <c r="C12" s="26">
        <f ca="1"/>
        <v>-30.333333333333332</v>
      </c>
      <c r="D12" s="26">
        <f ca="1"/>
        <v>-7</v>
      </c>
      <c r="E12" s="26">
        <f ca="1"/>
        <v>0</v>
      </c>
    </row>
    <row r="13" spans="1:8" x14ac:dyDescent="0.25">
      <c r="A13" s="4"/>
      <c r="B13" s="4" t="str">
        <f>'Library data'!$G$131</f>
        <v>% relative to RCP8.5</v>
      </c>
      <c r="C13" s="4" t="str">
        <f>'Library data'!$G$138</f>
        <v>% relative to RCP8.5</v>
      </c>
      <c r="D13" s="4" t="str">
        <f>'Library data'!$G$138</f>
        <v>% relative to RCP8.5</v>
      </c>
      <c r="E13" s="4" t="str">
        <f>'Library data'!$G$138</f>
        <v>% relative to RCP8.5</v>
      </c>
    </row>
    <row r="15" spans="1:8" s="3" customFormat="1" x14ac:dyDescent="0.25">
      <c r="A15" s="58" t="s">
        <v>275</v>
      </c>
      <c r="B15" s="4"/>
      <c r="C15" s="4"/>
      <c r="D15" s="4"/>
      <c r="E15" s="4"/>
    </row>
    <row r="16" spans="1:8" x14ac:dyDescent="0.25">
      <c r="A16" s="4"/>
      <c r="B16" s="58" t="s">
        <v>14</v>
      </c>
      <c r="C16" s="58" t="s">
        <v>15</v>
      </c>
      <c r="D16" s="58" t="s">
        <v>146</v>
      </c>
      <c r="E16" s="4" t="str">
        <f>GLIN_NAME</f>
        <v>Lin</v>
      </c>
    </row>
    <row r="17" spans="1:5" ht="13" x14ac:dyDescent="0.3">
      <c r="A17" s="4"/>
      <c r="B17" s="71" t="s">
        <v>281</v>
      </c>
      <c r="C17" s="71" t="s">
        <v>282</v>
      </c>
      <c r="D17" s="71" t="s">
        <v>283</v>
      </c>
      <c r="E17" s="71" t="s">
        <v>284</v>
      </c>
    </row>
    <row r="18" spans="1:5" x14ac:dyDescent="0.25">
      <c r="A18" s="14" t="str">
        <f t="array" ref="A18:A25">R_CODE</f>
        <v>EU</v>
      </c>
      <c r="B18" s="26">
        <f ca="1">Q0_PROP_INIT_CO2_1</f>
        <v>10</v>
      </c>
      <c r="C18" s="26">
        <f ca="1">Q0_PROP_INIT_CH4_1</f>
        <v>10</v>
      </c>
      <c r="D18" s="26">
        <f ca="1">Q0_PROP_INIT_N2O_1</f>
        <v>10</v>
      </c>
      <c r="E18" s="26">
        <f ca="1">Q0_PROP_INIT_GLIN_1</f>
        <v>10</v>
      </c>
    </row>
    <row r="19" spans="1:5" x14ac:dyDescent="0.25">
      <c r="A19" s="14" t="str">
        <v>US</v>
      </c>
      <c r="B19" s="26">
        <f t="array" aca="1" ref="B19:B25" ca="1">Q0_PROP_INIT_CO2_1*Q0F</f>
        <v>10.833333333333332</v>
      </c>
      <c r="C19" s="26">
        <f t="array" aca="1" ref="C19:C25" ca="1">Q0_PROP_INIT_CH4_1*Q0F</f>
        <v>10.833333333333332</v>
      </c>
      <c r="D19" s="26">
        <f t="array" aca="1" ref="D19:D25" ca="1">Q0_PROP_INIT_N2O_1*Q0F</f>
        <v>10.833333333333332</v>
      </c>
      <c r="E19" s="26">
        <f t="array" aca="1" ref="E19:E25" ca="1">Q0_PROP_INIT_GLIN_1*Q0F</f>
        <v>10.833333333333332</v>
      </c>
    </row>
    <row r="20" spans="1:5" x14ac:dyDescent="0.25">
      <c r="A20" s="14" t="str">
        <v>OT</v>
      </c>
      <c r="B20" s="26">
        <f ca="1"/>
        <v>10</v>
      </c>
      <c r="C20" s="26">
        <f ca="1"/>
        <v>10</v>
      </c>
      <c r="D20" s="26">
        <f ca="1"/>
        <v>10</v>
      </c>
      <c r="E20" s="26">
        <f ca="1"/>
        <v>10</v>
      </c>
    </row>
    <row r="21" spans="1:5" x14ac:dyDescent="0.25">
      <c r="A21" s="14" t="str">
        <v>EE</v>
      </c>
      <c r="B21" s="26">
        <f ca="1"/>
        <v>7.0000000000000009</v>
      </c>
      <c r="C21" s="26">
        <f ca="1"/>
        <v>7.0000000000000009</v>
      </c>
      <c r="D21" s="26">
        <f ca="1"/>
        <v>7.0000000000000009</v>
      </c>
      <c r="E21" s="26">
        <f ca="1"/>
        <v>7.0000000000000009</v>
      </c>
    </row>
    <row r="22" spans="1:5" x14ac:dyDescent="0.25">
      <c r="A22" s="14" t="str">
        <v>CA</v>
      </c>
      <c r="B22" s="26">
        <f ca="1"/>
        <v>7.0000000000000009</v>
      </c>
      <c r="C22" s="26">
        <f ca="1"/>
        <v>7.0000000000000009</v>
      </c>
      <c r="D22" s="26">
        <f ca="1"/>
        <v>7.0000000000000009</v>
      </c>
      <c r="E22" s="26">
        <f ca="1"/>
        <v>7.0000000000000009</v>
      </c>
    </row>
    <row r="23" spans="1:5" x14ac:dyDescent="0.25">
      <c r="A23" s="14" t="str">
        <v>IA</v>
      </c>
      <c r="B23" s="26">
        <f ca="1"/>
        <v>7.0000000000000009</v>
      </c>
      <c r="C23" s="26">
        <f ca="1"/>
        <v>7.0000000000000009</v>
      </c>
      <c r="D23" s="26">
        <f ca="1"/>
        <v>7.0000000000000009</v>
      </c>
      <c r="E23" s="26">
        <f ca="1"/>
        <v>7.0000000000000009</v>
      </c>
    </row>
    <row r="24" spans="1:5" x14ac:dyDescent="0.25">
      <c r="A24" s="14" t="str">
        <v>AF</v>
      </c>
      <c r="B24" s="26">
        <f ca="1"/>
        <v>7.0000000000000009</v>
      </c>
      <c r="C24" s="26">
        <f ca="1"/>
        <v>7.0000000000000009</v>
      </c>
      <c r="D24" s="26">
        <f ca="1"/>
        <v>7.0000000000000009</v>
      </c>
      <c r="E24" s="26">
        <f ca="1"/>
        <v>7.0000000000000009</v>
      </c>
    </row>
    <row r="25" spans="1:5" x14ac:dyDescent="0.25">
      <c r="A25" s="14" t="str">
        <v>LA</v>
      </c>
      <c r="B25" s="26">
        <f ca="1"/>
        <v>7.0000000000000009</v>
      </c>
      <c r="C25" s="26">
        <f ca="1"/>
        <v>7.0000000000000009</v>
      </c>
      <c r="D25" s="26">
        <f ca="1"/>
        <v>7.0000000000000009</v>
      </c>
      <c r="E25" s="26">
        <f ca="1"/>
        <v>7.0000000000000009</v>
      </c>
    </row>
    <row r="26" spans="1:5" x14ac:dyDescent="0.25">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5">
      <c r="A28" s="58" t="s">
        <v>276</v>
      </c>
      <c r="B28" s="4"/>
      <c r="C28" s="4"/>
      <c r="D28" s="4"/>
      <c r="E28" s="4"/>
    </row>
    <row r="29" spans="1:5" x14ac:dyDescent="0.25">
      <c r="A29" s="4"/>
      <c r="B29" s="58" t="s">
        <v>14</v>
      </c>
      <c r="C29" s="58" t="s">
        <v>15</v>
      </c>
      <c r="D29" s="58" t="s">
        <v>146</v>
      </c>
      <c r="E29" s="4" t="str">
        <f>GLIN_NAME</f>
        <v>Lin</v>
      </c>
    </row>
    <row r="30" spans="1:5" ht="13.5" x14ac:dyDescent="0.35">
      <c r="A30" s="4"/>
      <c r="B30" s="72" t="s">
        <v>277</v>
      </c>
      <c r="C30" s="72" t="s">
        <v>278</v>
      </c>
      <c r="D30" s="72" t="s">
        <v>279</v>
      </c>
      <c r="E30" s="72" t="s">
        <v>280</v>
      </c>
    </row>
    <row r="31" spans="1:5" x14ac:dyDescent="0.25">
      <c r="A31" s="14" t="str">
        <f t="array" ref="A31:A38">R_CODE</f>
        <v>EU</v>
      </c>
      <c r="B31" s="26">
        <f ca="1">CMAX_INIT_CO2_1</f>
        <v>150</v>
      </c>
      <c r="C31" s="26">
        <f ca="1">CMAX_INIT_CH4_1</f>
        <v>7283.333333333333</v>
      </c>
      <c r="D31" s="26">
        <f ca="1">CMAX_INIT_N2O_1</f>
        <v>31433.333333333332</v>
      </c>
      <c r="E31" s="26">
        <f ca="1">CMAX_INIT_GLIN_1</f>
        <v>383.33333333333331</v>
      </c>
    </row>
    <row r="32" spans="1:5" x14ac:dyDescent="0.25">
      <c r="A32" s="14" t="str">
        <v>US</v>
      </c>
      <c r="B32" s="26">
        <f t="array" aca="1" ref="B32:B38" ca="1">CMAX_INIT_CO2_1*CMAXF</f>
        <v>150</v>
      </c>
      <c r="C32" s="26">
        <f t="array" aca="1" ref="C32:C38" ca="1">CMAX_INIT_CH4_1*CMAXF</f>
        <v>7283.333333333333</v>
      </c>
      <c r="D32" s="26">
        <f t="array" aca="1" ref="D32:D38" ca="1">CMAX_INIT_N2O_1*CMAXF</f>
        <v>31433.333333333332</v>
      </c>
      <c r="E32" s="26">
        <f t="array" aca="1" ref="E32:E38" ca="1">CMAX_INIT_GLIN_1*CMAXF</f>
        <v>383.33333333333331</v>
      </c>
    </row>
    <row r="33" spans="1:13" x14ac:dyDescent="0.25">
      <c r="A33" s="14" t="str">
        <v>OT</v>
      </c>
      <c r="B33" s="26">
        <f ca="1"/>
        <v>185</v>
      </c>
      <c r="C33" s="26">
        <f ca="1"/>
        <v>8982.7777777777774</v>
      </c>
      <c r="D33" s="26">
        <f ca="1"/>
        <v>38767.777777777781</v>
      </c>
      <c r="E33" s="26">
        <f ca="1"/>
        <v>472.77777777777777</v>
      </c>
    </row>
    <row r="34" spans="1:13" x14ac:dyDescent="0.25">
      <c r="A34" s="14" t="str">
        <v>EE</v>
      </c>
      <c r="B34" s="26">
        <f ca="1"/>
        <v>105.00000000000001</v>
      </c>
      <c r="C34" s="26">
        <f ca="1"/>
        <v>5098.3333333333339</v>
      </c>
      <c r="D34" s="26">
        <f ca="1"/>
        <v>22003.333333333336</v>
      </c>
      <c r="E34" s="26">
        <f ca="1"/>
        <v>268.33333333333337</v>
      </c>
    </row>
    <row r="35" spans="1:13" x14ac:dyDescent="0.25">
      <c r="A35" s="14" t="str">
        <v>CA</v>
      </c>
      <c r="B35" s="26">
        <f ca="1"/>
        <v>150</v>
      </c>
      <c r="C35" s="26">
        <f ca="1"/>
        <v>7283.333333333333</v>
      </c>
      <c r="D35" s="26">
        <f ca="1"/>
        <v>31433.333333333332</v>
      </c>
      <c r="E35" s="26">
        <f ca="1"/>
        <v>383.33333333333331</v>
      </c>
    </row>
    <row r="36" spans="1:13" x14ac:dyDescent="0.25">
      <c r="A36" s="14" t="str">
        <v>IA</v>
      </c>
      <c r="B36" s="26">
        <f ca="1"/>
        <v>185</v>
      </c>
      <c r="C36" s="26">
        <f ca="1"/>
        <v>8982.7777777777774</v>
      </c>
      <c r="D36" s="26">
        <f ca="1"/>
        <v>38767.777777777781</v>
      </c>
      <c r="E36" s="26">
        <f ca="1"/>
        <v>472.77777777777777</v>
      </c>
    </row>
    <row r="37" spans="1:13" x14ac:dyDescent="0.25">
      <c r="A37" s="14" t="str">
        <v>AF</v>
      </c>
      <c r="B37" s="26">
        <f ca="1"/>
        <v>185</v>
      </c>
      <c r="C37" s="26">
        <f ca="1"/>
        <v>8982.7777777777774</v>
      </c>
      <c r="D37" s="26">
        <f ca="1"/>
        <v>38767.777777777781</v>
      </c>
      <c r="E37" s="26">
        <f ca="1"/>
        <v>472.77777777777777</v>
      </c>
    </row>
    <row r="38" spans="1:13" x14ac:dyDescent="0.25">
      <c r="A38" s="14" t="str">
        <v>LA</v>
      </c>
      <c r="B38" s="26">
        <f ca="1"/>
        <v>105.00000000000001</v>
      </c>
      <c r="C38" s="26">
        <f ca="1"/>
        <v>5098.3333333333339</v>
      </c>
      <c r="D38" s="26">
        <f ca="1"/>
        <v>22003.333333333336</v>
      </c>
      <c r="E38" s="26">
        <f ca="1"/>
        <v>268.33333333333337</v>
      </c>
    </row>
    <row r="39" spans="1:13" x14ac:dyDescent="0.25">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5">
      <c r="A40" s="4"/>
      <c r="B40" s="4"/>
      <c r="C40" s="4"/>
      <c r="D40" s="4"/>
      <c r="E40" s="4"/>
    </row>
    <row r="41" spans="1:13" x14ac:dyDescent="0.25">
      <c r="B41">
        <f t="array" ref="B41:K41">Y</f>
        <v>2020</v>
      </c>
      <c r="C41">
        <v>2030</v>
      </c>
      <c r="D41">
        <v>2040</v>
      </c>
      <c r="E41">
        <v>2050</v>
      </c>
      <c r="F41">
        <v>2075</v>
      </c>
      <c r="G41">
        <v>2100</v>
      </c>
      <c r="H41">
        <v>2150</v>
      </c>
      <c r="I41">
        <v>2200</v>
      </c>
      <c r="J41">
        <v>2250</v>
      </c>
      <c r="K41">
        <v>2300</v>
      </c>
    </row>
    <row r="42" spans="1:13" s="4" customFormat="1" x14ac:dyDescent="0.25">
      <c r="A42" s="4" t="s">
        <v>59</v>
      </c>
      <c r="B42" s="12">
        <f t="array" ref="B42:K42">YP</f>
        <v>5</v>
      </c>
      <c r="C42" s="12">
        <v>10</v>
      </c>
      <c r="D42" s="12">
        <v>10</v>
      </c>
      <c r="E42" s="12">
        <v>10</v>
      </c>
      <c r="F42" s="12">
        <v>25</v>
      </c>
      <c r="G42" s="12">
        <v>25</v>
      </c>
      <c r="H42" s="12">
        <v>50</v>
      </c>
      <c r="I42" s="12">
        <v>50</v>
      </c>
      <c r="J42" s="12">
        <v>50</v>
      </c>
      <c r="K42" s="12">
        <v>50</v>
      </c>
      <c r="M42" s="4" t="s">
        <v>41</v>
      </c>
    </row>
    <row r="43" spans="1:13" s="4" customFormat="1" x14ac:dyDescent="0.25">
      <c r="A43" s="4" t="s">
        <v>84</v>
      </c>
      <c r="B43" s="14">
        <f t="array" ref="B43:K43">Y_HI</f>
        <v>2025</v>
      </c>
      <c r="C43" s="14">
        <v>2035</v>
      </c>
      <c r="D43" s="14">
        <v>2045</v>
      </c>
      <c r="E43" s="14">
        <v>2062.5</v>
      </c>
      <c r="F43" s="14">
        <v>2087.5</v>
      </c>
      <c r="G43" s="14">
        <v>2125</v>
      </c>
      <c r="H43" s="14">
        <v>2175</v>
      </c>
      <c r="I43" s="14">
        <v>2225</v>
      </c>
      <c r="J43" s="14">
        <v>2275</v>
      </c>
      <c r="K43" s="14">
        <v>2300</v>
      </c>
    </row>
    <row r="44" spans="1:13" s="4" customFormat="1" x14ac:dyDescent="0.25">
      <c r="A44" s="4" t="s">
        <v>85</v>
      </c>
      <c r="B44" s="14">
        <f t="array" ref="B44:K44">Y_LO</f>
        <v>2015</v>
      </c>
      <c r="C44" s="14">
        <v>2025</v>
      </c>
      <c r="D44" s="14">
        <v>2035</v>
      </c>
      <c r="E44" s="14">
        <v>2045</v>
      </c>
      <c r="F44" s="14">
        <v>2062.5</v>
      </c>
      <c r="G44" s="14">
        <v>2087.5</v>
      </c>
      <c r="H44" s="14">
        <v>2125</v>
      </c>
      <c r="I44" s="14">
        <v>2175</v>
      </c>
      <c r="J44" s="14">
        <v>2225</v>
      </c>
      <c r="K44" s="14">
        <v>2275</v>
      </c>
    </row>
    <row r="45" spans="1:13" s="4" customFormat="1" x14ac:dyDescent="0.25">
      <c r="A45" s="4" t="s">
        <v>83</v>
      </c>
      <c r="B45" s="65">
        <f t="array" ref="B45:K45">YAGG</f>
        <v>10</v>
      </c>
      <c r="C45" s="65">
        <v>10</v>
      </c>
      <c r="D45" s="65">
        <v>10</v>
      </c>
      <c r="E45" s="65">
        <v>17.5</v>
      </c>
      <c r="F45" s="65">
        <v>25</v>
      </c>
      <c r="G45" s="65">
        <v>37.5</v>
      </c>
      <c r="H45" s="65">
        <v>50</v>
      </c>
      <c r="I45" s="65">
        <v>50</v>
      </c>
      <c r="J45" s="65">
        <v>50</v>
      </c>
      <c r="K45" s="65">
        <v>25</v>
      </c>
      <c r="M45" s="4" t="s">
        <v>41</v>
      </c>
    </row>
    <row r="46" spans="1:13" ht="16" thickBot="1" x14ac:dyDescent="0.45">
      <c r="A46" t="s">
        <v>101</v>
      </c>
      <c r="B46" s="15">
        <f t="array" ref="B46:K46">Y-Y_0</f>
        <v>5</v>
      </c>
      <c r="C46" s="15">
        <v>15</v>
      </c>
      <c r="D46" s="15">
        <v>25</v>
      </c>
      <c r="E46" s="15">
        <v>35</v>
      </c>
      <c r="F46" s="15">
        <v>60</v>
      </c>
      <c r="G46" s="15">
        <v>85</v>
      </c>
      <c r="H46" s="15">
        <v>135</v>
      </c>
      <c r="I46" s="15">
        <v>185</v>
      </c>
      <c r="J46" s="15">
        <v>235</v>
      </c>
      <c r="K46" s="15">
        <v>285</v>
      </c>
      <c r="M46" t="s">
        <v>41</v>
      </c>
    </row>
    <row r="47" spans="1:13" ht="13" thickTop="1" x14ac:dyDescent="0.25"/>
    <row r="48" spans="1:13" s="2" customFormat="1" ht="15" x14ac:dyDescent="0.4">
      <c r="A48" s="2" t="s">
        <v>102</v>
      </c>
      <c r="B48" s="5" t="s">
        <v>103</v>
      </c>
    </row>
    <row r="49" spans="1:13" s="4" customFormat="1" x14ac:dyDescent="0.25">
      <c r="A49" s="4" t="str">
        <f t="array" ref="A49:A56">R_CODE&amp;" "&amp;'Base data'!$B$12</f>
        <v>EU CO2</v>
      </c>
      <c r="B49" s="12">
        <f t="array" aca="1" ref="B49:K56" ca="1">(1+(EMIT_CO2/100)*(YMINUSY0/YMINUSY0_LAST))*BAU_CO2</f>
        <v>110.68339416867038</v>
      </c>
      <c r="C49" s="12">
        <f ca="1"/>
        <v>129.1694081823909</v>
      </c>
      <c r="D49" s="12">
        <f ca="1"/>
        <v>140.68288133172564</v>
      </c>
      <c r="E49" s="12">
        <f ca="1"/>
        <v>153.40831760141373</v>
      </c>
      <c r="F49" s="12">
        <f ca="1"/>
        <v>176.78527385155107</v>
      </c>
      <c r="G49" s="12">
        <f ca="1"/>
        <v>165.49290989267865</v>
      </c>
      <c r="H49" s="12">
        <f ca="1"/>
        <v>158.65692788434419</v>
      </c>
      <c r="I49" s="12">
        <f ca="1"/>
        <v>151.82094587600974</v>
      </c>
      <c r="J49" s="12">
        <f ca="1"/>
        <v>144.98496386767528</v>
      </c>
      <c r="K49" s="12">
        <f ca="1"/>
        <v>138.14898185934084</v>
      </c>
      <c r="M49" s="4" t="str">
        <f>'Library data'!$G$131</f>
        <v>% relative to RCP8.5</v>
      </c>
    </row>
    <row r="50" spans="1:13" s="4" customFormat="1" x14ac:dyDescent="0.25">
      <c r="A50" s="4" t="str">
        <v>US CO2</v>
      </c>
      <c r="B50" s="14">
        <f ca="1"/>
        <v>110.6833941686704</v>
      </c>
      <c r="C50" s="14">
        <f ca="1"/>
        <v>129.16940818239092</v>
      </c>
      <c r="D50" s="14">
        <f ca="1"/>
        <v>140.68288133172567</v>
      </c>
      <c r="E50" s="14">
        <f ca="1"/>
        <v>153.40831760141376</v>
      </c>
      <c r="F50" s="14">
        <f ca="1"/>
        <v>176.78527385155112</v>
      </c>
      <c r="G50" s="14">
        <f ca="1"/>
        <v>165.49290989267868</v>
      </c>
      <c r="H50" s="14">
        <f ca="1"/>
        <v>158.65692788434424</v>
      </c>
      <c r="I50" s="14">
        <f ca="1"/>
        <v>151.82094587600977</v>
      </c>
      <c r="J50" s="14">
        <f ca="1"/>
        <v>144.98496386767533</v>
      </c>
      <c r="K50" s="14">
        <f ca="1"/>
        <v>138.14898185934086</v>
      </c>
      <c r="M50" s="4" t="str">
        <f>'Library data'!$G$131</f>
        <v>% relative to RCP8.5</v>
      </c>
    </row>
    <row r="51" spans="1:13" s="4" customFormat="1" x14ac:dyDescent="0.25">
      <c r="A51" s="4" t="str">
        <v>OT CO2</v>
      </c>
      <c r="B51" s="14">
        <f ca="1"/>
        <v>110.68339416867038</v>
      </c>
      <c r="C51" s="14">
        <f ca="1"/>
        <v>129.1694081823909</v>
      </c>
      <c r="D51" s="14">
        <f ca="1"/>
        <v>140.68288133172564</v>
      </c>
      <c r="E51" s="14">
        <f ca="1"/>
        <v>153.40831760141373</v>
      </c>
      <c r="F51" s="14">
        <f ca="1"/>
        <v>176.78527385155107</v>
      </c>
      <c r="G51" s="14">
        <f ca="1"/>
        <v>165.49290989267868</v>
      </c>
      <c r="H51" s="14">
        <f ca="1"/>
        <v>158.65692788434421</v>
      </c>
      <c r="I51" s="14">
        <f ca="1"/>
        <v>151.82094587600974</v>
      </c>
      <c r="J51" s="14">
        <f ca="1"/>
        <v>144.9849638676753</v>
      </c>
      <c r="K51" s="14">
        <f ca="1"/>
        <v>138.14898185934084</v>
      </c>
      <c r="M51" s="4" t="str">
        <f>'Library data'!$G$131</f>
        <v>% relative to RCP8.5</v>
      </c>
    </row>
    <row r="52" spans="1:13" s="4" customFormat="1" x14ac:dyDescent="0.25">
      <c r="A52" s="4" t="str">
        <v>EE CO2</v>
      </c>
      <c r="B52" s="14">
        <f ca="1"/>
        <v>125.51343305026488</v>
      </c>
      <c r="C52" s="14">
        <f ca="1"/>
        <v>153.85847295428374</v>
      </c>
      <c r="D52" s="14">
        <f ca="1"/>
        <v>189.32095943995546</v>
      </c>
      <c r="E52" s="14">
        <f ca="1"/>
        <v>228.97431889575128</v>
      </c>
      <c r="F52" s="14">
        <f ca="1"/>
        <v>307.75019845278922</v>
      </c>
      <c r="G52" s="14">
        <f ca="1"/>
        <v>402.40972615718607</v>
      </c>
      <c r="H52" s="14">
        <f ca="1"/>
        <v>385.78746935009235</v>
      </c>
      <c r="I52" s="14">
        <f ca="1"/>
        <v>369.16521254299869</v>
      </c>
      <c r="J52" s="14">
        <f ca="1"/>
        <v>352.54295573590502</v>
      </c>
      <c r="K52" s="14">
        <f ca="1"/>
        <v>335.9206989288113</v>
      </c>
      <c r="M52" s="4" t="str">
        <f>'Library data'!$G$131</f>
        <v>% relative to RCP8.5</v>
      </c>
    </row>
    <row r="53" spans="1:13" s="4" customFormat="1" x14ac:dyDescent="0.25">
      <c r="A53" s="4" t="str">
        <v>CA CO2</v>
      </c>
      <c r="B53" s="14">
        <f ca="1"/>
        <v>115.91476312110974</v>
      </c>
      <c r="C53" s="14">
        <f ca="1"/>
        <v>128.9650389031749</v>
      </c>
      <c r="D53" s="14">
        <f ca="1"/>
        <v>156.9429685108922</v>
      </c>
      <c r="E53" s="14">
        <f ca="1"/>
        <v>188.72108265454276</v>
      </c>
      <c r="F53" s="14">
        <f ca="1"/>
        <v>240.03306204589643</v>
      </c>
      <c r="G53" s="14">
        <f ca="1"/>
        <v>246.65943350382426</v>
      </c>
      <c r="H53" s="14">
        <f ca="1"/>
        <v>236.47072239401552</v>
      </c>
      <c r="I53" s="14">
        <f ca="1"/>
        <v>226.28201128420676</v>
      </c>
      <c r="J53" s="14">
        <f ca="1"/>
        <v>216.09330017439802</v>
      </c>
      <c r="K53" s="14">
        <f ca="1"/>
        <v>205.90458906458929</v>
      </c>
      <c r="M53" s="4" t="str">
        <f>'Library data'!$G$131</f>
        <v>% relative to RCP8.5</v>
      </c>
    </row>
    <row r="54" spans="1:13" s="4" customFormat="1" x14ac:dyDescent="0.25">
      <c r="A54" s="4" t="str">
        <v>IA CO2</v>
      </c>
      <c r="B54" s="14">
        <f ca="1"/>
        <v>115.91476312110977</v>
      </c>
      <c r="C54" s="14">
        <f ca="1"/>
        <v>128.96503890317493</v>
      </c>
      <c r="D54" s="14">
        <f ca="1"/>
        <v>156.94296851089229</v>
      </c>
      <c r="E54" s="14">
        <f ca="1"/>
        <v>188.72108265454276</v>
      </c>
      <c r="F54" s="14">
        <f ca="1"/>
        <v>240.03306204589643</v>
      </c>
      <c r="G54" s="14">
        <f ca="1"/>
        <v>246.65943350382426</v>
      </c>
      <c r="H54" s="14">
        <f ca="1"/>
        <v>236.47072239401552</v>
      </c>
      <c r="I54" s="14">
        <f ca="1"/>
        <v>226.28201128420676</v>
      </c>
      <c r="J54" s="14">
        <f ca="1"/>
        <v>216.09330017439802</v>
      </c>
      <c r="K54" s="14">
        <f ca="1"/>
        <v>205.90458906458929</v>
      </c>
      <c r="M54" s="4" t="str">
        <f>'Library data'!$G$131</f>
        <v>% relative to RCP8.5</v>
      </c>
    </row>
    <row r="55" spans="1:13" s="4" customFormat="1" x14ac:dyDescent="0.25">
      <c r="A55" s="4" t="str">
        <v>AF CO2</v>
      </c>
      <c r="B55" s="14">
        <f ca="1"/>
        <v>122.09757431448212</v>
      </c>
      <c r="C55" s="14">
        <f ca="1"/>
        <v>153.200752188168</v>
      </c>
      <c r="D55" s="14">
        <f ca="1"/>
        <v>200.22586784457488</v>
      </c>
      <c r="E55" s="14">
        <f ca="1"/>
        <v>256.14328539822998</v>
      </c>
      <c r="F55" s="14">
        <f ca="1"/>
        <v>377.34879148130511</v>
      </c>
      <c r="G55" s="14">
        <f ca="1"/>
        <v>446.06239320228917</v>
      </c>
      <c r="H55" s="14">
        <f ca="1"/>
        <v>427.63698454579207</v>
      </c>
      <c r="I55" s="14">
        <f ca="1"/>
        <v>409.21157588929498</v>
      </c>
      <c r="J55" s="14">
        <f ca="1"/>
        <v>390.78616723279782</v>
      </c>
      <c r="K55" s="14">
        <f ca="1"/>
        <v>372.36075857630073</v>
      </c>
      <c r="M55" s="4" t="str">
        <f>'Library data'!$G$131</f>
        <v>% relative to RCP8.5</v>
      </c>
    </row>
    <row r="56" spans="1:13" s="4" customFormat="1" ht="13" thickBot="1" x14ac:dyDescent="0.3">
      <c r="A56" s="4" t="str">
        <v>LA CO2</v>
      </c>
      <c r="B56" s="16">
        <f ca="1"/>
        <v>116.16374256982783</v>
      </c>
      <c r="C56" s="16">
        <f ca="1"/>
        <v>132.95940351034619</v>
      </c>
      <c r="D56" s="16">
        <f ca="1"/>
        <v>162.97089839628569</v>
      </c>
      <c r="E56" s="16">
        <f ca="1"/>
        <v>202.29287400115797</v>
      </c>
      <c r="F56" s="16">
        <f ca="1"/>
        <v>254.47068306080834</v>
      </c>
      <c r="G56" s="16">
        <f ca="1"/>
        <v>180.50338012516704</v>
      </c>
      <c r="H56" s="16">
        <f ca="1"/>
        <v>173.04736367238132</v>
      </c>
      <c r="I56" s="16">
        <f ca="1"/>
        <v>165.5913472195956</v>
      </c>
      <c r="J56" s="16">
        <f ca="1"/>
        <v>158.13533076680989</v>
      </c>
      <c r="K56" s="16">
        <f ca="1"/>
        <v>150.67931431402417</v>
      </c>
      <c r="M56" s="4" t="str">
        <f>'Library data'!$G$131</f>
        <v>% relative to RCP8.5</v>
      </c>
    </row>
    <row r="57" spans="1:13" s="5" customFormat="1" ht="15.5" thickTop="1" x14ac:dyDescent="0.4">
      <c r="A57" s="5" t="s">
        <v>102</v>
      </c>
      <c r="B57" s="5" t="s">
        <v>104</v>
      </c>
    </row>
    <row r="58" spans="1:13" s="4" customFormat="1" x14ac:dyDescent="0.25">
      <c r="A58" s="4" t="str">
        <f t="array" ref="A58:A65">R_CODE&amp;" "&amp;'Base data'!$C$12</f>
        <v>EU CH4</v>
      </c>
      <c r="B58" s="12">
        <f t="array" aca="1" ref="B58:K65" ca="1">(1+(EMIT_CH4/100)*(YMINUSY0/YMINUSY0_LAST))*BAU_CH4</f>
        <v>102.50036452453737</v>
      </c>
      <c r="C58" s="12">
        <f ca="1"/>
        <v>108.65500084242386</v>
      </c>
      <c r="D58" s="12">
        <f ca="1"/>
        <v>115.45039777167159</v>
      </c>
      <c r="E58" s="12">
        <f ca="1"/>
        <v>123.54622845974082</v>
      </c>
      <c r="F58" s="12">
        <f ca="1"/>
        <v>145.32303356042758</v>
      </c>
      <c r="G58" s="12">
        <f ca="1"/>
        <v>164.1492244913027</v>
      </c>
      <c r="H58" s="12">
        <f ca="1"/>
        <v>154.54491700804638</v>
      </c>
      <c r="I58" s="12">
        <f ca="1"/>
        <v>144.94060952479006</v>
      </c>
      <c r="J58" s="12">
        <f ca="1"/>
        <v>135.33630204153374</v>
      </c>
      <c r="K58" s="12">
        <f ca="1"/>
        <v>125.73199455827744</v>
      </c>
      <c r="M58" s="4" t="str">
        <f>'Library data'!$G$138</f>
        <v>% relative to RCP8.5</v>
      </c>
    </row>
    <row r="59" spans="1:13" s="4" customFormat="1" x14ac:dyDescent="0.25">
      <c r="A59" s="4" t="str">
        <v>US CH4</v>
      </c>
      <c r="B59" s="14">
        <f ca="1"/>
        <v>102.50036452453737</v>
      </c>
      <c r="C59" s="14">
        <f ca="1"/>
        <v>108.65500084242386</v>
      </c>
      <c r="D59" s="14">
        <f ca="1"/>
        <v>115.45039777167159</v>
      </c>
      <c r="E59" s="14">
        <f ca="1"/>
        <v>123.54622845974082</v>
      </c>
      <c r="F59" s="14">
        <f ca="1"/>
        <v>145.32303356042758</v>
      </c>
      <c r="G59" s="14">
        <f ca="1"/>
        <v>164.1492244913027</v>
      </c>
      <c r="H59" s="14">
        <f ca="1"/>
        <v>154.54491700804638</v>
      </c>
      <c r="I59" s="14">
        <f ca="1"/>
        <v>144.94060952479006</v>
      </c>
      <c r="J59" s="14">
        <f ca="1"/>
        <v>135.33630204153374</v>
      </c>
      <c r="K59" s="14">
        <f ca="1"/>
        <v>125.73199455827744</v>
      </c>
      <c r="M59" s="4" t="str">
        <f>'Library data'!$G$138</f>
        <v>% relative to RCP8.5</v>
      </c>
    </row>
    <row r="60" spans="1:13" s="4" customFormat="1" x14ac:dyDescent="0.25">
      <c r="A60" s="4" t="str">
        <v>OT CH4</v>
      </c>
      <c r="B60" s="14">
        <f ca="1"/>
        <v>102.50036452453737</v>
      </c>
      <c r="C60" s="14">
        <f ca="1"/>
        <v>108.65500084242386</v>
      </c>
      <c r="D60" s="14">
        <f ca="1"/>
        <v>115.45039777167159</v>
      </c>
      <c r="E60" s="14">
        <f ca="1"/>
        <v>123.54622845974082</v>
      </c>
      <c r="F60" s="14">
        <f ca="1"/>
        <v>145.32303356042758</v>
      </c>
      <c r="G60" s="14">
        <f ca="1"/>
        <v>164.1492244913027</v>
      </c>
      <c r="H60" s="14">
        <f ca="1"/>
        <v>154.54491700804638</v>
      </c>
      <c r="I60" s="14">
        <f ca="1"/>
        <v>144.94060952479006</v>
      </c>
      <c r="J60" s="14">
        <f ca="1"/>
        <v>135.33630204153374</v>
      </c>
      <c r="K60" s="14">
        <f ca="1"/>
        <v>125.73199455827744</v>
      </c>
      <c r="M60" s="4" t="str">
        <f>'Library data'!$G$138</f>
        <v>% relative to RCP8.5</v>
      </c>
    </row>
    <row r="61" spans="1:13" s="4" customFormat="1" x14ac:dyDescent="0.25">
      <c r="A61" s="4" t="str">
        <v>EE CH4</v>
      </c>
      <c r="B61" s="14">
        <f ca="1"/>
        <v>122.15059454609255</v>
      </c>
      <c r="C61" s="14">
        <f ca="1"/>
        <v>131.13733885274053</v>
      </c>
      <c r="D61" s="14">
        <f ca="1"/>
        <v>154.49569202694823</v>
      </c>
      <c r="E61" s="14">
        <f ca="1"/>
        <v>174.23554705496088</v>
      </c>
      <c r="F61" s="14">
        <f ca="1"/>
        <v>194.54952679145853</v>
      </c>
      <c r="G61" s="14">
        <f ca="1"/>
        <v>254.9409212534608</v>
      </c>
      <c r="H61" s="14">
        <f ca="1"/>
        <v>240.02442679318631</v>
      </c>
      <c r="I61" s="14">
        <f ca="1"/>
        <v>225.10793233291179</v>
      </c>
      <c r="J61" s="14">
        <f ca="1"/>
        <v>210.19143787263729</v>
      </c>
      <c r="K61" s="14">
        <f ca="1"/>
        <v>195.2749434123628</v>
      </c>
      <c r="M61" s="4" t="str">
        <f>'Library data'!$G$138</f>
        <v>% relative to RCP8.5</v>
      </c>
    </row>
    <row r="62" spans="1:13" s="4" customFormat="1" x14ac:dyDescent="0.25">
      <c r="A62" s="4" t="str">
        <v>CA CH4</v>
      </c>
      <c r="B62" s="14">
        <f ca="1"/>
        <v>115.48672697106501</v>
      </c>
      <c r="C62" s="14">
        <f ca="1"/>
        <v>125.21094789190855</v>
      </c>
      <c r="D62" s="14">
        <f ca="1"/>
        <v>145.75841815513732</v>
      </c>
      <c r="E62" s="14">
        <f ca="1"/>
        <v>171.90629383288976</v>
      </c>
      <c r="F62" s="14">
        <f ca="1"/>
        <v>210.27219382756687</v>
      </c>
      <c r="G62" s="14">
        <f ca="1"/>
        <v>223.37193772918289</v>
      </c>
      <c r="H62" s="14">
        <f ca="1"/>
        <v>210.30253225541216</v>
      </c>
      <c r="I62" s="14">
        <f ca="1"/>
        <v>197.23312678164137</v>
      </c>
      <c r="J62" s="14">
        <f ca="1"/>
        <v>184.16372130787065</v>
      </c>
      <c r="K62" s="14">
        <f ca="1"/>
        <v>171.09431583409989</v>
      </c>
      <c r="M62" s="4" t="str">
        <f>'Library data'!$G$138</f>
        <v>% relative to RCP8.5</v>
      </c>
    </row>
    <row r="63" spans="1:13" s="4" customFormat="1" x14ac:dyDescent="0.25">
      <c r="A63" s="4" t="str">
        <v>IA CH4</v>
      </c>
      <c r="B63" s="14">
        <f ca="1"/>
        <v>115.48672697106501</v>
      </c>
      <c r="C63" s="14">
        <f ca="1"/>
        <v>125.21094789190855</v>
      </c>
      <c r="D63" s="14">
        <f ca="1"/>
        <v>145.75841815513732</v>
      </c>
      <c r="E63" s="14">
        <f ca="1"/>
        <v>171.90629383288976</v>
      </c>
      <c r="F63" s="14">
        <f ca="1"/>
        <v>210.27219382756687</v>
      </c>
      <c r="G63" s="14">
        <f ca="1"/>
        <v>223.37193772918289</v>
      </c>
      <c r="H63" s="14">
        <f ca="1"/>
        <v>210.30253225541216</v>
      </c>
      <c r="I63" s="14">
        <f ca="1"/>
        <v>197.23312678164137</v>
      </c>
      <c r="J63" s="14">
        <f ca="1"/>
        <v>184.16372130787065</v>
      </c>
      <c r="K63" s="14">
        <f ca="1"/>
        <v>171.09431583409989</v>
      </c>
      <c r="M63" s="4" t="str">
        <f>'Library data'!$G$138</f>
        <v>% relative to RCP8.5</v>
      </c>
    </row>
    <row r="64" spans="1:13" s="4" customFormat="1" x14ac:dyDescent="0.25">
      <c r="A64" s="4" t="str">
        <v>AF CH4</v>
      </c>
      <c r="B64" s="14">
        <f ca="1"/>
        <v>134.3691319788872</v>
      </c>
      <c r="C64" s="14">
        <f ca="1"/>
        <v>170.67040952020926</v>
      </c>
      <c r="D64" s="14">
        <f ca="1"/>
        <v>211.83435153156452</v>
      </c>
      <c r="E64" s="14">
        <f ca="1"/>
        <v>244.72351361678838</v>
      </c>
      <c r="F64" s="14">
        <f ca="1"/>
        <v>269.84406293907898</v>
      </c>
      <c r="G64" s="14">
        <f ca="1"/>
        <v>284.57973389701431</v>
      </c>
      <c r="H64" s="14">
        <f ca="1"/>
        <v>267.92908400012738</v>
      </c>
      <c r="I64" s="14">
        <f ca="1"/>
        <v>251.27843410324036</v>
      </c>
      <c r="J64" s="14">
        <f ca="1"/>
        <v>234.6277842063534</v>
      </c>
      <c r="K64" s="14">
        <f ca="1"/>
        <v>217.97713430946644</v>
      </c>
      <c r="M64" s="4" t="str">
        <f>'Library data'!$G$138</f>
        <v>% relative to RCP8.5</v>
      </c>
    </row>
    <row r="65" spans="1:13" s="4" customFormat="1" ht="13" thickBot="1" x14ac:dyDescent="0.3">
      <c r="A65" s="4" t="str">
        <v>LA CH4</v>
      </c>
      <c r="B65" s="16">
        <f ca="1"/>
        <v>124.39840917846843</v>
      </c>
      <c r="C65" s="16">
        <f ca="1"/>
        <v>145.68352017440563</v>
      </c>
      <c r="D65" s="16">
        <f ca="1"/>
        <v>164.21185156020633</v>
      </c>
      <c r="E65" s="16">
        <f ca="1"/>
        <v>177.36678097383924</v>
      </c>
      <c r="F65" s="16">
        <f ca="1"/>
        <v>174.4084272186642</v>
      </c>
      <c r="G65" s="16">
        <f ca="1"/>
        <v>164.42676926137833</v>
      </c>
      <c r="H65" s="16">
        <f ca="1"/>
        <v>154.80622274123081</v>
      </c>
      <c r="I65" s="16">
        <f ca="1"/>
        <v>145.18567622108327</v>
      </c>
      <c r="J65" s="16">
        <f ca="1"/>
        <v>135.56512970093576</v>
      </c>
      <c r="K65" s="16">
        <f ca="1"/>
        <v>125.94458318078826</v>
      </c>
      <c r="M65" s="4" t="str">
        <f>'Library data'!$G$138</f>
        <v>% relative to RCP8.5</v>
      </c>
    </row>
    <row r="66" spans="1:13" s="5" customFormat="1" ht="15.5" thickTop="1" x14ac:dyDescent="0.4">
      <c r="A66" s="5" t="s">
        <v>102</v>
      </c>
      <c r="B66" s="5" t="s">
        <v>127</v>
      </c>
    </row>
    <row r="67" spans="1:13" s="4" customFormat="1" x14ac:dyDescent="0.25">
      <c r="A67" s="4" t="str">
        <f t="array" ref="A67:A74">R_CODE&amp;" "&amp;'Base data'!$D$12</f>
        <v>EU N2O</v>
      </c>
      <c r="B67" s="12">
        <f t="array" aca="1" ref="B67:K74" ca="1">(1+(EMIT_N2O/100)*(YMINUSY0/YMINUSY0_LAST))*BAU_N2O</f>
        <v>105.94287374534854</v>
      </c>
      <c r="C67" s="12">
        <f ca="1"/>
        <v>112.93384509533442</v>
      </c>
      <c r="D67" s="12">
        <f ca="1"/>
        <v>121.73413925153963</v>
      </c>
      <c r="E67" s="12">
        <f ca="1"/>
        <v>125.14093109449992</v>
      </c>
      <c r="F67" s="12">
        <f ca="1"/>
        <v>129.12572944199357</v>
      </c>
      <c r="G67" s="12">
        <f ca="1"/>
        <v>130.51096390167203</v>
      </c>
      <c r="H67" s="12">
        <f ca="1"/>
        <v>128.87402294608754</v>
      </c>
      <c r="I67" s="12">
        <f ca="1"/>
        <v>127.23708199050304</v>
      </c>
      <c r="J67" s="12">
        <f ca="1"/>
        <v>125.60014103491855</v>
      </c>
      <c r="K67" s="12">
        <f ca="1"/>
        <v>123.96320007933406</v>
      </c>
      <c r="M67" s="4" t="str">
        <f>'Library data'!$G$138</f>
        <v>% relative to RCP8.5</v>
      </c>
    </row>
    <row r="68" spans="1:13" s="4" customFormat="1" x14ac:dyDescent="0.25">
      <c r="A68" s="4" t="str">
        <v>US N2O</v>
      </c>
      <c r="B68" s="14">
        <f ca="1"/>
        <v>105.94287374534854</v>
      </c>
      <c r="C68" s="14">
        <f ca="1"/>
        <v>112.93384509533442</v>
      </c>
      <c r="D68" s="14">
        <f ca="1"/>
        <v>121.73413925153963</v>
      </c>
      <c r="E68" s="14">
        <f ca="1"/>
        <v>125.14093109449992</v>
      </c>
      <c r="F68" s="14">
        <f ca="1"/>
        <v>129.12572944199357</v>
      </c>
      <c r="G68" s="14">
        <f ca="1"/>
        <v>130.51096390167203</v>
      </c>
      <c r="H68" s="14">
        <f ca="1"/>
        <v>128.87402294608754</v>
      </c>
      <c r="I68" s="14">
        <f ca="1"/>
        <v>127.23708199050304</v>
      </c>
      <c r="J68" s="14">
        <f ca="1"/>
        <v>125.60014103491855</v>
      </c>
      <c r="K68" s="14">
        <f ca="1"/>
        <v>123.96320007933406</v>
      </c>
      <c r="M68" s="4" t="str">
        <f>'Library data'!$G$138</f>
        <v>% relative to RCP8.5</v>
      </c>
    </row>
    <row r="69" spans="1:13" s="4" customFormat="1" x14ac:dyDescent="0.25">
      <c r="A69" s="4" t="str">
        <v>OT N2O</v>
      </c>
      <c r="B69" s="14">
        <f ca="1"/>
        <v>105.94287374534854</v>
      </c>
      <c r="C69" s="14">
        <f ca="1"/>
        <v>112.93384509533442</v>
      </c>
      <c r="D69" s="14">
        <f ca="1"/>
        <v>121.73413925153963</v>
      </c>
      <c r="E69" s="14">
        <f ca="1"/>
        <v>125.14093109449992</v>
      </c>
      <c r="F69" s="14">
        <f ca="1"/>
        <v>129.12572944199357</v>
      </c>
      <c r="G69" s="14">
        <f ca="1"/>
        <v>130.51096390167203</v>
      </c>
      <c r="H69" s="14">
        <f ca="1"/>
        <v>128.87402294608754</v>
      </c>
      <c r="I69" s="14">
        <f ca="1"/>
        <v>127.23708199050304</v>
      </c>
      <c r="J69" s="14">
        <f ca="1"/>
        <v>125.60014103491855</v>
      </c>
      <c r="K69" s="14">
        <f ca="1"/>
        <v>123.96320007933406</v>
      </c>
      <c r="M69" s="4" t="str">
        <f>'Library data'!$G$138</f>
        <v>% relative to RCP8.5</v>
      </c>
    </row>
    <row r="70" spans="1:13" s="4" customFormat="1" x14ac:dyDescent="0.25">
      <c r="A70" s="4" t="str">
        <v>EE N2O</v>
      </c>
      <c r="B70" s="14">
        <f ca="1"/>
        <v>124.90439574236689</v>
      </c>
      <c r="C70" s="14">
        <f ca="1"/>
        <v>137.85146799622549</v>
      </c>
      <c r="D70" s="14">
        <f ca="1"/>
        <v>148.33794536087115</v>
      </c>
      <c r="E70" s="14">
        <f ca="1"/>
        <v>153.27410230061099</v>
      </c>
      <c r="F70" s="14">
        <f ca="1"/>
        <v>162.14166941179099</v>
      </c>
      <c r="G70" s="14">
        <f ca="1"/>
        <v>198.7592685676488</v>
      </c>
      <c r="H70" s="14">
        <f ca="1"/>
        <v>196.26631949046993</v>
      </c>
      <c r="I70" s="14">
        <f ca="1"/>
        <v>193.77337041329102</v>
      </c>
      <c r="J70" s="14">
        <f ca="1"/>
        <v>191.28042133611211</v>
      </c>
      <c r="K70" s="14">
        <f ca="1"/>
        <v>188.78747225893324</v>
      </c>
      <c r="M70" s="4" t="str">
        <f>'Library data'!$G$138</f>
        <v>% relative to RCP8.5</v>
      </c>
    </row>
    <row r="71" spans="1:13" s="4" customFormat="1" x14ac:dyDescent="0.25">
      <c r="A71" s="4" t="str">
        <v>CA N2O</v>
      </c>
      <c r="B71" s="14">
        <f ca="1"/>
        <v>116.1204189928448</v>
      </c>
      <c r="C71" s="14">
        <f ca="1"/>
        <v>129.84814711366852</v>
      </c>
      <c r="D71" s="14">
        <f ca="1"/>
        <v>144.56317494239408</v>
      </c>
      <c r="E71" s="14">
        <f ca="1"/>
        <v>153.42414779974879</v>
      </c>
      <c r="F71" s="14">
        <f ca="1"/>
        <v>167.303886993395</v>
      </c>
      <c r="G71" s="14">
        <f ca="1"/>
        <v>192.78736295930943</v>
      </c>
      <c r="H71" s="14">
        <f ca="1"/>
        <v>190.36931683726112</v>
      </c>
      <c r="I71" s="14">
        <f ca="1"/>
        <v>187.95127071521281</v>
      </c>
      <c r="J71" s="14">
        <f ca="1"/>
        <v>185.53322459316448</v>
      </c>
      <c r="K71" s="14">
        <f ca="1"/>
        <v>183.11517847111614</v>
      </c>
      <c r="M71" s="4" t="str">
        <f>'Library data'!$G$138</f>
        <v>% relative to RCP8.5</v>
      </c>
    </row>
    <row r="72" spans="1:13" s="4" customFormat="1" x14ac:dyDescent="0.25">
      <c r="A72" s="4" t="str">
        <v>IA N2O</v>
      </c>
      <c r="B72" s="14">
        <f ca="1"/>
        <v>116.1204189928448</v>
      </c>
      <c r="C72" s="14">
        <f ca="1"/>
        <v>129.84814711366852</v>
      </c>
      <c r="D72" s="14">
        <f ca="1"/>
        <v>144.56317494239408</v>
      </c>
      <c r="E72" s="14">
        <f ca="1"/>
        <v>153.42414779974879</v>
      </c>
      <c r="F72" s="14">
        <f ca="1"/>
        <v>167.303886993395</v>
      </c>
      <c r="G72" s="14">
        <f ca="1"/>
        <v>192.78736295930943</v>
      </c>
      <c r="H72" s="14">
        <f ca="1"/>
        <v>190.36931683726112</v>
      </c>
      <c r="I72" s="14">
        <f ca="1"/>
        <v>187.95127071521281</v>
      </c>
      <c r="J72" s="14">
        <f ca="1"/>
        <v>185.53322459316448</v>
      </c>
      <c r="K72" s="14">
        <f ca="1"/>
        <v>183.11517847111614</v>
      </c>
      <c r="M72" s="4" t="str">
        <f>'Library data'!$G$138</f>
        <v>% relative to RCP8.5</v>
      </c>
    </row>
    <row r="73" spans="1:13" s="4" customFormat="1" x14ac:dyDescent="0.25">
      <c r="A73" s="4" t="str">
        <v>AF N2O</v>
      </c>
      <c r="B73" s="14">
        <f ca="1"/>
        <v>125.00970905336567</v>
      </c>
      <c r="C73" s="14">
        <f ca="1"/>
        <v>151.53295296685121</v>
      </c>
      <c r="D73" s="14">
        <f ca="1"/>
        <v>175.2788974938197</v>
      </c>
      <c r="E73" s="14">
        <f ca="1"/>
        <v>194.58110008816664</v>
      </c>
      <c r="F73" s="14">
        <f ca="1"/>
        <v>245.12033727115946</v>
      </c>
      <c r="G73" s="14">
        <f ca="1"/>
        <v>283.44980996819174</v>
      </c>
      <c r="H73" s="14">
        <f ca="1"/>
        <v>279.89462510924653</v>
      </c>
      <c r="I73" s="14">
        <f ca="1"/>
        <v>276.33944025030127</v>
      </c>
      <c r="J73" s="14">
        <f ca="1"/>
        <v>272.784255391356</v>
      </c>
      <c r="K73" s="14">
        <f ca="1"/>
        <v>269.22907053241079</v>
      </c>
      <c r="M73" s="4" t="str">
        <f>'Library data'!$G$138</f>
        <v>% relative to RCP8.5</v>
      </c>
    </row>
    <row r="74" spans="1:13" s="4" customFormat="1" ht="13" thickBot="1" x14ac:dyDescent="0.3">
      <c r="A74" s="4" t="str">
        <v>LA N2O</v>
      </c>
      <c r="B74" s="16">
        <f ca="1"/>
        <v>127.09738901842542</v>
      </c>
      <c r="C74" s="16">
        <f ca="1"/>
        <v>145.21174163934754</v>
      </c>
      <c r="D74" s="16">
        <f ca="1"/>
        <v>163.46562512448767</v>
      </c>
      <c r="E74" s="16">
        <f ca="1"/>
        <v>172.81204687050712</v>
      </c>
      <c r="F74" s="16">
        <f ca="1"/>
        <v>183.66320980177997</v>
      </c>
      <c r="G74" s="16">
        <f ca="1"/>
        <v>177.93435515157529</v>
      </c>
      <c r="H74" s="16">
        <f ca="1"/>
        <v>175.70260369832135</v>
      </c>
      <c r="I74" s="16">
        <f ca="1"/>
        <v>173.47085224506739</v>
      </c>
      <c r="J74" s="16">
        <f ca="1"/>
        <v>171.23910079181343</v>
      </c>
      <c r="K74" s="16">
        <f ca="1"/>
        <v>169.00734933855949</v>
      </c>
      <c r="M74" s="4" t="str">
        <f>'Library data'!$G$138</f>
        <v>% relative to RCP8.5</v>
      </c>
    </row>
    <row r="75" spans="1:13" s="5" customFormat="1" ht="15.5" thickTop="1" x14ac:dyDescent="0.4">
      <c r="A75" s="5" t="s">
        <v>102</v>
      </c>
      <c r="B75" s="5" t="s">
        <v>262</v>
      </c>
    </row>
    <row r="76" spans="1:13" s="4" customFormat="1" x14ac:dyDescent="0.25">
      <c r="A76" s="4" t="str">
        <f t="array" ref="A76:A83">R_CODE&amp;" "&amp;GLIN_NAME</f>
        <v>EU Lin</v>
      </c>
      <c r="B76" s="12">
        <f t="array" aca="1" ref="B76:K83" ca="1">(1+(EMIT_GLIN/100)*(YMINUSY0/YMINUSY0_LAST))*BAU_GLIN</f>
        <v>158.44197630558801</v>
      </c>
      <c r="C76" s="12">
        <f ca="1"/>
        <v>189.45542182789643</v>
      </c>
      <c r="D76" s="12">
        <f ca="1"/>
        <v>192.60343554329154</v>
      </c>
      <c r="E76" s="12">
        <f ca="1"/>
        <v>186.21753419957622</v>
      </c>
      <c r="F76" s="12">
        <f ca="1"/>
        <v>180.70514201793713</v>
      </c>
      <c r="G76" s="12">
        <f ca="1"/>
        <v>190.79541341790741</v>
      </c>
      <c r="H76" s="12">
        <f ca="1"/>
        <v>190.79541341790741</v>
      </c>
      <c r="I76" s="12">
        <f ca="1"/>
        <v>190.79541341790741</v>
      </c>
      <c r="J76" s="12">
        <f ca="1"/>
        <v>190.79541341790741</v>
      </c>
      <c r="K76" s="12">
        <f ca="1"/>
        <v>190.79541341790741</v>
      </c>
      <c r="M76" s="4" t="str">
        <f>'Library data'!$G$138</f>
        <v>% relative to RCP8.5</v>
      </c>
    </row>
    <row r="77" spans="1:13" s="4" customFormat="1" x14ac:dyDescent="0.25">
      <c r="A77" s="4" t="str">
        <v>US Lin</v>
      </c>
      <c r="B77" s="14">
        <f ca="1"/>
        <v>158.44197630558801</v>
      </c>
      <c r="C77" s="14">
        <f ca="1"/>
        <v>189.45542182789643</v>
      </c>
      <c r="D77" s="14">
        <f ca="1"/>
        <v>192.60343554329154</v>
      </c>
      <c r="E77" s="14">
        <f ca="1"/>
        <v>186.21753419957622</v>
      </c>
      <c r="F77" s="14">
        <f ca="1"/>
        <v>180.70514201793713</v>
      </c>
      <c r="G77" s="14">
        <f ca="1"/>
        <v>190.79541341790741</v>
      </c>
      <c r="H77" s="14">
        <f ca="1"/>
        <v>190.79541341790741</v>
      </c>
      <c r="I77" s="14">
        <f ca="1"/>
        <v>190.79541341790741</v>
      </c>
      <c r="J77" s="14">
        <f ca="1"/>
        <v>190.79541341790741</v>
      </c>
      <c r="K77" s="14">
        <f ca="1"/>
        <v>190.79541341790741</v>
      </c>
      <c r="M77" s="4" t="str">
        <f>'Library data'!$G$138</f>
        <v>% relative to RCP8.5</v>
      </c>
    </row>
    <row r="78" spans="1:13" s="4" customFormat="1" x14ac:dyDescent="0.25">
      <c r="A78" s="4" t="str">
        <v>OT Lin</v>
      </c>
      <c r="B78" s="14">
        <f ca="1"/>
        <v>158.44197630558801</v>
      </c>
      <c r="C78" s="14">
        <f ca="1"/>
        <v>189.45542182789643</v>
      </c>
      <c r="D78" s="14">
        <f ca="1"/>
        <v>192.60343554329154</v>
      </c>
      <c r="E78" s="14">
        <f ca="1"/>
        <v>186.21753419957622</v>
      </c>
      <c r="F78" s="14">
        <f ca="1"/>
        <v>180.70514201793713</v>
      </c>
      <c r="G78" s="14">
        <f ca="1"/>
        <v>190.79541341790741</v>
      </c>
      <c r="H78" s="14">
        <f ca="1"/>
        <v>190.79541341790741</v>
      </c>
      <c r="I78" s="14">
        <f ca="1"/>
        <v>190.79541341790741</v>
      </c>
      <c r="J78" s="14">
        <f ca="1"/>
        <v>190.79541341790741</v>
      </c>
      <c r="K78" s="14">
        <f ca="1"/>
        <v>190.79541341790741</v>
      </c>
      <c r="M78" s="4" t="str">
        <f>'Library data'!$G$138</f>
        <v>% relative to RCP8.5</v>
      </c>
    </row>
    <row r="79" spans="1:13" s="4" customFormat="1" x14ac:dyDescent="0.25">
      <c r="A79" s="4" t="str">
        <v>EE Lin</v>
      </c>
      <c r="B79" s="14">
        <f ca="1"/>
        <v>193.17948917513073</v>
      </c>
      <c r="C79" s="14">
        <f ca="1"/>
        <v>273.29714233827553</v>
      </c>
      <c r="D79" s="14">
        <f ca="1"/>
        <v>356.41838865756046</v>
      </c>
      <c r="E79" s="14">
        <f ca="1"/>
        <v>431.56918447030137</v>
      </c>
      <c r="F79" s="14">
        <f ca="1"/>
        <v>530.49545342517274</v>
      </c>
      <c r="G79" s="14">
        <f ca="1"/>
        <v>609.08342089219241</v>
      </c>
      <c r="H79" s="14">
        <f ca="1"/>
        <v>609.08342089219241</v>
      </c>
      <c r="I79" s="14">
        <f ca="1"/>
        <v>609.08342089219241</v>
      </c>
      <c r="J79" s="14">
        <f ca="1"/>
        <v>609.08342089219241</v>
      </c>
      <c r="K79" s="14">
        <f ca="1"/>
        <v>609.08342089219241</v>
      </c>
      <c r="M79" s="4" t="str">
        <f>'Library data'!$G$138</f>
        <v>% relative to RCP8.5</v>
      </c>
    </row>
    <row r="80" spans="1:13" s="4" customFormat="1" x14ac:dyDescent="0.25">
      <c r="A80" s="4" t="str">
        <v>CA Lin</v>
      </c>
      <c r="B80" s="14">
        <f ca="1"/>
        <v>182.94015377354361</v>
      </c>
      <c r="C80" s="14">
        <f ca="1"/>
        <v>239.80816757968762</v>
      </c>
      <c r="D80" s="14">
        <f ca="1"/>
        <v>326.15763673073633</v>
      </c>
      <c r="E80" s="14">
        <f ca="1"/>
        <v>378.81112754699683</v>
      </c>
      <c r="F80" s="14">
        <f ca="1"/>
        <v>488.99994420846127</v>
      </c>
      <c r="G80" s="14">
        <f ca="1"/>
        <v>547.76419178416825</v>
      </c>
      <c r="H80" s="14">
        <f ca="1"/>
        <v>547.76419178416825</v>
      </c>
      <c r="I80" s="14">
        <f ca="1"/>
        <v>547.76419178416825</v>
      </c>
      <c r="J80" s="14">
        <f ca="1"/>
        <v>547.76419178416825</v>
      </c>
      <c r="K80" s="14">
        <f ca="1"/>
        <v>547.76419178416825</v>
      </c>
      <c r="M80" s="4" t="str">
        <f>'Library data'!$G$138</f>
        <v>% relative to RCP8.5</v>
      </c>
    </row>
    <row r="81" spans="1:13" s="4" customFormat="1" x14ac:dyDescent="0.25">
      <c r="A81" s="4" t="str">
        <v>IA Lin</v>
      </c>
      <c r="B81" s="14">
        <f ca="1"/>
        <v>182.94015377354361</v>
      </c>
      <c r="C81" s="14">
        <f ca="1"/>
        <v>239.80816757968762</v>
      </c>
      <c r="D81" s="14">
        <f ca="1"/>
        <v>326.15763673073633</v>
      </c>
      <c r="E81" s="14">
        <f ca="1"/>
        <v>378.81112754699683</v>
      </c>
      <c r="F81" s="14">
        <f ca="1"/>
        <v>488.99994420846127</v>
      </c>
      <c r="G81" s="14">
        <f ca="1"/>
        <v>547.76419178416825</v>
      </c>
      <c r="H81" s="14">
        <f ca="1"/>
        <v>547.76419178416825</v>
      </c>
      <c r="I81" s="14">
        <f ca="1"/>
        <v>547.76419178416825</v>
      </c>
      <c r="J81" s="14">
        <f ca="1"/>
        <v>547.76419178416825</v>
      </c>
      <c r="K81" s="14">
        <f ca="1"/>
        <v>547.76419178416825</v>
      </c>
      <c r="M81" s="4" t="str">
        <f>'Library data'!$G$138</f>
        <v>% relative to RCP8.5</v>
      </c>
    </row>
    <row r="82" spans="1:13" s="4" customFormat="1" x14ac:dyDescent="0.25">
      <c r="A82" s="4" t="str">
        <v>AF Lin</v>
      </c>
      <c r="B82" s="14">
        <f ca="1"/>
        <v>195.62577543071907</v>
      </c>
      <c r="C82" s="14">
        <f ca="1"/>
        <v>250.62102627261527</v>
      </c>
      <c r="D82" s="14">
        <f ca="1"/>
        <v>299.43191888710635</v>
      </c>
      <c r="E82" s="14">
        <f ca="1"/>
        <v>364.05046378142049</v>
      </c>
      <c r="F82" s="14">
        <f ca="1"/>
        <v>537.2009052940615</v>
      </c>
      <c r="G82" s="14">
        <f ca="1"/>
        <v>636.11087125464121</v>
      </c>
      <c r="H82" s="14">
        <f ca="1"/>
        <v>636.11087125464121</v>
      </c>
      <c r="I82" s="14">
        <f ca="1"/>
        <v>636.11087125464121</v>
      </c>
      <c r="J82" s="14">
        <f ca="1"/>
        <v>636.11087125464121</v>
      </c>
      <c r="K82" s="14">
        <f ca="1"/>
        <v>636.11087125464121</v>
      </c>
      <c r="M82" s="4" t="str">
        <f>'Library data'!$G$138</f>
        <v>% relative to RCP8.5</v>
      </c>
    </row>
    <row r="83" spans="1:13" s="4" customFormat="1" ht="13" thickBot="1" x14ac:dyDescent="0.3">
      <c r="A83" s="4" t="str">
        <v>LA Lin</v>
      </c>
      <c r="B83" s="16">
        <f ca="1"/>
        <v>173.43900783842511</v>
      </c>
      <c r="C83" s="16">
        <f ca="1"/>
        <v>213.43178577876839</v>
      </c>
      <c r="D83" s="16">
        <f ca="1"/>
        <v>279.43580771888747</v>
      </c>
      <c r="E83" s="16">
        <f ca="1"/>
        <v>327.38032237780084</v>
      </c>
      <c r="F83" s="16">
        <f ca="1"/>
        <v>475.98384998038819</v>
      </c>
      <c r="G83" s="16">
        <f ca="1"/>
        <v>553.98116038575756</v>
      </c>
      <c r="H83" s="16">
        <f ca="1"/>
        <v>553.98116038575756</v>
      </c>
      <c r="I83" s="16">
        <f ca="1"/>
        <v>553.98116038575756</v>
      </c>
      <c r="J83" s="16">
        <f ca="1"/>
        <v>553.98116038575756</v>
      </c>
      <c r="K83" s="16">
        <f ca="1"/>
        <v>553.98116038575756</v>
      </c>
      <c r="M83" s="4" t="str">
        <f>'Library data'!$G$138</f>
        <v>% relative to RCP8.5</v>
      </c>
    </row>
    <row r="84" spans="1:13" s="2" customFormat="1" ht="15.5" thickTop="1" x14ac:dyDescent="0.4">
      <c r="A84" s="2" t="s">
        <v>105</v>
      </c>
      <c r="B84" s="2" t="s">
        <v>106</v>
      </c>
    </row>
    <row r="85" spans="1:13" s="6" customFormat="1" x14ac:dyDescent="0.25">
      <c r="A85" s="4" t="str">
        <f t="array" ref="A85:A92">R_CODE&amp;" "&amp;'Base data'!$B$12</f>
        <v>EU CO2</v>
      </c>
      <c r="B85" s="267">
        <f t="array" aca="1" ref="B85:B92" ca="1">IF(ZC_CO2_1&lt;er_co2_1_b,0,ZC_CO2_1-er_co2_1_b)</f>
        <v>16.991395810504258</v>
      </c>
      <c r="C85" s="267">
        <f t="array" aca="1" ref="C85:K92" ca="1">IF(ZC_CO2_NOT_1-er_co2_not_1_b&lt;0,0,ZC_CO2_NOT_1-er_co2_not_1_b)</f>
        <v>64.518861274796066</v>
      </c>
      <c r="D85" s="267">
        <f ca="1"/>
        <v>108.81260635197572</v>
      </c>
      <c r="E85" s="267">
        <f ca="1"/>
        <v>137.52349638970011</v>
      </c>
      <c r="F85" s="267">
        <f ca="1"/>
        <v>183.39348683436779</v>
      </c>
      <c r="G85" s="267">
        <f ca="1"/>
        <v>174.86383443853438</v>
      </c>
      <c r="H85" s="267">
        <f ca="1"/>
        <v>168.02785243019991</v>
      </c>
      <c r="I85" s="267">
        <f ca="1"/>
        <v>161.19187042186547</v>
      </c>
      <c r="J85" s="267">
        <f ca="1"/>
        <v>154.35588841353101</v>
      </c>
      <c r="K85" s="267">
        <f ca="1"/>
        <v>147.51990640519656</v>
      </c>
      <c r="M85" s="4" t="str">
        <f>'Library data'!$G$138</f>
        <v>% relative to RCP8.5</v>
      </c>
    </row>
    <row r="86" spans="1:13" s="6" customFormat="1" x14ac:dyDescent="0.25">
      <c r="A86" s="4" t="str">
        <v>US CO2</v>
      </c>
      <c r="B86" s="266">
        <f ca="1"/>
        <v>16.991395810504287</v>
      </c>
      <c r="C86" s="266">
        <f ca="1"/>
        <v>64.518861274796095</v>
      </c>
      <c r="D86" s="266">
        <f ca="1"/>
        <v>108.81260635197575</v>
      </c>
      <c r="E86" s="266">
        <f ca="1"/>
        <v>137.52349638970014</v>
      </c>
      <c r="F86" s="266">
        <f ca="1"/>
        <v>183.39348683436785</v>
      </c>
      <c r="G86" s="266">
        <f ca="1"/>
        <v>174.86383443853441</v>
      </c>
      <c r="H86" s="266">
        <f ca="1"/>
        <v>168.02785243019997</v>
      </c>
      <c r="I86" s="266">
        <f ca="1"/>
        <v>161.1918704218655</v>
      </c>
      <c r="J86" s="266">
        <f ca="1"/>
        <v>154.35588841353106</v>
      </c>
      <c r="K86" s="266">
        <f ca="1"/>
        <v>147.51990640519659</v>
      </c>
      <c r="M86" s="4" t="str">
        <f>'Library data'!$G$138</f>
        <v>% relative to RCP8.5</v>
      </c>
    </row>
    <row r="87" spans="1:13" s="6" customFormat="1" x14ac:dyDescent="0.25">
      <c r="A87" s="4" t="str">
        <v>OT CO2</v>
      </c>
      <c r="B87" s="266">
        <f ca="1"/>
        <v>16.991395810504258</v>
      </c>
      <c r="C87" s="266">
        <f ca="1"/>
        <v>64.518861274796066</v>
      </c>
      <c r="D87" s="266">
        <f ca="1"/>
        <v>108.81260635197572</v>
      </c>
      <c r="E87" s="266">
        <f ca="1"/>
        <v>137.52349638970011</v>
      </c>
      <c r="F87" s="266">
        <f ca="1"/>
        <v>183.39348683436779</v>
      </c>
      <c r="G87" s="266">
        <f ca="1"/>
        <v>174.86383443853441</v>
      </c>
      <c r="H87" s="266">
        <f ca="1"/>
        <v>168.02785243019994</v>
      </c>
      <c r="I87" s="266">
        <f ca="1"/>
        <v>161.19187042186547</v>
      </c>
      <c r="J87" s="266">
        <f ca="1"/>
        <v>154.35588841353103</v>
      </c>
      <c r="K87" s="266">
        <f ca="1"/>
        <v>147.51990640519656</v>
      </c>
      <c r="M87" s="4" t="str">
        <f>'Library data'!$G$138</f>
        <v>% relative to RCP8.5</v>
      </c>
    </row>
    <row r="88" spans="1:13" s="6" customFormat="1" x14ac:dyDescent="0.25">
      <c r="A88" s="4" t="str">
        <v>EE CO2</v>
      </c>
      <c r="B88" s="266">
        <f ca="1"/>
        <v>30.740362395524087</v>
      </c>
      <c r="C88" s="266">
        <f ca="1"/>
        <v>90.46626865797721</v>
      </c>
      <c r="D88" s="266">
        <f ca="1"/>
        <v>150.21640676426114</v>
      </c>
      <c r="E88" s="266">
        <f ca="1"/>
        <v>197.82647193222252</v>
      </c>
      <c r="F88" s="266">
        <f ca="1"/>
        <v>304.70758439101564</v>
      </c>
      <c r="G88" s="266">
        <f ca="1"/>
        <v>407.03140421549449</v>
      </c>
      <c r="H88" s="266">
        <f ca="1"/>
        <v>390.40914740840077</v>
      </c>
      <c r="I88" s="266">
        <f ca="1"/>
        <v>373.78689060130711</v>
      </c>
      <c r="J88" s="266">
        <f ca="1"/>
        <v>357.16463379421344</v>
      </c>
      <c r="K88" s="266">
        <f ca="1"/>
        <v>340.54237698711972</v>
      </c>
      <c r="M88" s="4" t="str">
        <f>'Library data'!$G$138</f>
        <v>% relative to RCP8.5</v>
      </c>
    </row>
    <row r="89" spans="1:13" s="6" customFormat="1" x14ac:dyDescent="0.25">
      <c r="A89" s="4" t="str">
        <v>CA CO2</v>
      </c>
      <c r="B89" s="266">
        <f ca="1"/>
        <v>10.143722160276269</v>
      </c>
      <c r="C89" s="266">
        <f ca="1"/>
        <v>46.549877950876763</v>
      </c>
      <c r="D89" s="266">
        <f ca="1"/>
        <v>104.81211991439024</v>
      </c>
      <c r="E89" s="266">
        <f ca="1"/>
        <v>154.80840822361631</v>
      </c>
      <c r="F89" s="266">
        <f ca="1"/>
        <v>242.70383868638288</v>
      </c>
      <c r="G89" s="266">
        <f ca="1"/>
        <v>250.90488103974357</v>
      </c>
      <c r="H89" s="266">
        <f ca="1"/>
        <v>240.71616992993484</v>
      </c>
      <c r="I89" s="266">
        <f ca="1"/>
        <v>230.52745882012607</v>
      </c>
      <c r="J89" s="266">
        <f ca="1"/>
        <v>220.33874771031734</v>
      </c>
      <c r="K89" s="266">
        <f ca="1"/>
        <v>210.1500366005086</v>
      </c>
      <c r="M89" s="4" t="str">
        <f>'Library data'!$G$138</f>
        <v>% relative to RCP8.5</v>
      </c>
    </row>
    <row r="90" spans="1:13" s="6" customFormat="1" x14ac:dyDescent="0.25">
      <c r="A90" s="4" t="str">
        <v>IA CO2</v>
      </c>
      <c r="B90" s="266">
        <f ca="1"/>
        <v>10.143722160276297</v>
      </c>
      <c r="C90" s="266">
        <f ca="1"/>
        <v>46.549877950876791</v>
      </c>
      <c r="D90" s="266">
        <f ca="1"/>
        <v>104.81211991439032</v>
      </c>
      <c r="E90" s="266">
        <f ca="1"/>
        <v>154.80840822361631</v>
      </c>
      <c r="F90" s="266">
        <f ca="1"/>
        <v>242.70383868638288</v>
      </c>
      <c r="G90" s="266">
        <f ca="1"/>
        <v>250.90488103974357</v>
      </c>
      <c r="H90" s="266">
        <f ca="1"/>
        <v>240.71616992993484</v>
      </c>
      <c r="I90" s="266">
        <f ca="1"/>
        <v>230.52745882012607</v>
      </c>
      <c r="J90" s="266">
        <f ca="1"/>
        <v>220.33874771031734</v>
      </c>
      <c r="K90" s="266">
        <f ca="1"/>
        <v>210.1500366005086</v>
      </c>
      <c r="M90" s="4" t="str">
        <f>'Library data'!$G$138</f>
        <v>% relative to RCP8.5</v>
      </c>
    </row>
    <row r="91" spans="1:13" s="6" customFormat="1" x14ac:dyDescent="0.25">
      <c r="A91" s="4" t="str">
        <v>AF CO2</v>
      </c>
      <c r="B91" s="266">
        <f ca="1"/>
        <v>36.80080580919693</v>
      </c>
      <c r="C91" s="266">
        <f ca="1"/>
        <v>76.727646682230755</v>
      </c>
      <c r="D91" s="266">
        <f ca="1"/>
        <v>145.87329125865881</v>
      </c>
      <c r="E91" s="266">
        <f ca="1"/>
        <v>214.29593309380664</v>
      </c>
      <c r="F91" s="266">
        <f ca="1"/>
        <v>355.4657152610967</v>
      </c>
      <c r="G91" s="266">
        <f ca="1"/>
        <v>446.06239320228917</v>
      </c>
      <c r="H91" s="266">
        <f ca="1"/>
        <v>427.63698454579207</v>
      </c>
      <c r="I91" s="266">
        <f ca="1"/>
        <v>409.21157588929498</v>
      </c>
      <c r="J91" s="266">
        <f ca="1"/>
        <v>390.78616723279782</v>
      </c>
      <c r="K91" s="266">
        <f ca="1"/>
        <v>372.36075857630073</v>
      </c>
      <c r="M91" s="4" t="str">
        <f>'Library data'!$G$138</f>
        <v>% relative to RCP8.5</v>
      </c>
    </row>
    <row r="92" spans="1:13" s="6" customFormat="1" ht="13" thickBot="1" x14ac:dyDescent="0.3">
      <c r="A92" s="4" t="str">
        <v>LA CO2</v>
      </c>
      <c r="B92" s="268">
        <f ca="1"/>
        <v>31.163742569827832</v>
      </c>
      <c r="C92" s="268">
        <f ca="1"/>
        <v>79.380210958128345</v>
      </c>
      <c r="D92" s="268">
        <f ca="1"/>
        <v>118.45157207072467</v>
      </c>
      <c r="E92" s="268">
        <f ca="1"/>
        <v>166.62650370482362</v>
      </c>
      <c r="F92" s="268">
        <f ca="1"/>
        <v>239.74799921743536</v>
      </c>
      <c r="G92" s="268">
        <f ca="1"/>
        <v>180.50338012516704</v>
      </c>
      <c r="H92" s="268">
        <f ca="1"/>
        <v>173.04736367238132</v>
      </c>
      <c r="I92" s="268">
        <f ca="1"/>
        <v>165.5913472195956</v>
      </c>
      <c r="J92" s="268">
        <f ca="1"/>
        <v>158.13533076680989</v>
      </c>
      <c r="K92" s="268">
        <f ca="1"/>
        <v>150.67931431402417</v>
      </c>
      <c r="M92" s="4" t="str">
        <f>'Library data'!$G$138</f>
        <v>% relative to RCP8.5</v>
      </c>
    </row>
    <row r="93" spans="1:13" s="8" customFormat="1" ht="15.5" thickTop="1" x14ac:dyDescent="0.4">
      <c r="A93" s="8" t="s">
        <v>105</v>
      </c>
      <c r="B93" s="8" t="s">
        <v>107</v>
      </c>
    </row>
    <row r="94" spans="1:13" s="7" customFormat="1" x14ac:dyDescent="0.25">
      <c r="A94" s="4" t="str">
        <f t="array" ref="A94:A101">R_CODE&amp;" "&amp;'Base data'!$C$12</f>
        <v>EU CH4</v>
      </c>
      <c r="B94" s="267">
        <f t="array" aca="1" ref="B94:B101" ca="1">IF(ZC_CH4_1&lt;er_ch4_1_b,0,ZC_CH4_1-er_ch4_1_b)</f>
        <v>53.346542881419225</v>
      </c>
      <c r="C94" s="267">
        <f t="array" aca="1" ref="C94:K101" ca="1">IF(ZC_CH4_NOT_1-er_ch4_not_1_b&lt;0,0,ZC_CH4_NOT_1-er_ch4_not_1_b)</f>
        <v>67.745716071546525</v>
      </c>
      <c r="D94" s="267">
        <f ca="1"/>
        <v>79.34569809338177</v>
      </c>
      <c r="E94" s="267">
        <f ca="1"/>
        <v>94.509805115428378</v>
      </c>
      <c r="F94" s="267">
        <f ca="1"/>
        <v>121.84675160499131</v>
      </c>
      <c r="G94" s="267">
        <f ca="1"/>
        <v>145.16615703206534</v>
      </c>
      <c r="H94" s="267">
        <f ca="1"/>
        <v>135.56184954880902</v>
      </c>
      <c r="I94" s="267">
        <f ca="1"/>
        <v>125.95754206555269</v>
      </c>
      <c r="J94" s="267">
        <f ca="1"/>
        <v>116.35323458229637</v>
      </c>
      <c r="K94" s="267">
        <f ca="1"/>
        <v>106.74892709904006</v>
      </c>
      <c r="M94" s="4" t="str">
        <f>'Library data'!$G$138</f>
        <v>% relative to RCP8.5</v>
      </c>
    </row>
    <row r="95" spans="1:13" s="7" customFormat="1" x14ac:dyDescent="0.25">
      <c r="A95" s="4" t="str">
        <v>US CH4</v>
      </c>
      <c r="B95" s="266">
        <f ca="1"/>
        <v>53.346542881419225</v>
      </c>
      <c r="C95" s="266">
        <f ca="1"/>
        <v>67.745716071546525</v>
      </c>
      <c r="D95" s="266">
        <f ca="1"/>
        <v>79.34569809338177</v>
      </c>
      <c r="E95" s="266">
        <f ca="1"/>
        <v>94.509805115428378</v>
      </c>
      <c r="F95" s="266">
        <f ca="1"/>
        <v>121.84675160499131</v>
      </c>
      <c r="G95" s="266">
        <f ca="1"/>
        <v>145.16615703206534</v>
      </c>
      <c r="H95" s="266">
        <f ca="1"/>
        <v>135.56184954880902</v>
      </c>
      <c r="I95" s="266">
        <f ca="1"/>
        <v>125.95754206555269</v>
      </c>
      <c r="J95" s="266">
        <f ca="1"/>
        <v>116.35323458229637</v>
      </c>
      <c r="K95" s="266">
        <f ca="1"/>
        <v>106.74892709904006</v>
      </c>
      <c r="M95" s="4" t="str">
        <f>'Library data'!$G$138</f>
        <v>% relative to RCP8.5</v>
      </c>
    </row>
    <row r="96" spans="1:13" s="7" customFormat="1" x14ac:dyDescent="0.25">
      <c r="A96" s="4" t="str">
        <v>OT CH4</v>
      </c>
      <c r="B96" s="266">
        <f ca="1"/>
        <v>53.346542881419225</v>
      </c>
      <c r="C96" s="266">
        <f ca="1"/>
        <v>67.745716071546525</v>
      </c>
      <c r="D96" s="266">
        <f ca="1"/>
        <v>79.34569809338177</v>
      </c>
      <c r="E96" s="266">
        <f ca="1"/>
        <v>94.509805115428378</v>
      </c>
      <c r="F96" s="266">
        <f ca="1"/>
        <v>121.84675160499131</v>
      </c>
      <c r="G96" s="266">
        <f ca="1"/>
        <v>145.16615703206534</v>
      </c>
      <c r="H96" s="266">
        <f ca="1"/>
        <v>135.56184954880902</v>
      </c>
      <c r="I96" s="266">
        <f ca="1"/>
        <v>125.95754206555269</v>
      </c>
      <c r="J96" s="266">
        <f ca="1"/>
        <v>116.35323458229637</v>
      </c>
      <c r="K96" s="266">
        <f ca="1"/>
        <v>106.74892709904006</v>
      </c>
      <c r="M96" s="4" t="str">
        <f>'Library data'!$G$138</f>
        <v>% relative to RCP8.5</v>
      </c>
    </row>
    <row r="97" spans="1:13" s="7" customFormat="1" x14ac:dyDescent="0.25">
      <c r="A97" s="4" t="str">
        <v>EE CH4</v>
      </c>
      <c r="B97" s="266">
        <f ca="1"/>
        <v>67.735943961936329</v>
      </c>
      <c r="C97" s="266">
        <f ca="1"/>
        <v>86.130877934075713</v>
      </c>
      <c r="D97" s="266">
        <f ca="1"/>
        <v>114.24368969209645</v>
      </c>
      <c r="E97" s="266">
        <f ca="1"/>
        <v>142.50450932496807</v>
      </c>
      <c r="F97" s="266">
        <f ca="1"/>
        <v>166.55066093559776</v>
      </c>
      <c r="G97" s="266">
        <f ca="1"/>
        <v>228.72955827671228</v>
      </c>
      <c r="H97" s="266">
        <f ca="1"/>
        <v>213.81306381643779</v>
      </c>
      <c r="I97" s="266">
        <f ca="1"/>
        <v>198.89656935616327</v>
      </c>
      <c r="J97" s="266">
        <f ca="1"/>
        <v>183.98007489588878</v>
      </c>
      <c r="K97" s="266">
        <f ca="1"/>
        <v>169.06358043561428</v>
      </c>
      <c r="M97" s="4" t="str">
        <f>'Library data'!$G$138</f>
        <v>% relative to RCP8.5</v>
      </c>
    </row>
    <row r="98" spans="1:13" s="7" customFormat="1" x14ac:dyDescent="0.25">
      <c r="A98" s="4" t="str">
        <v>CA CH4</v>
      </c>
      <c r="B98" s="266">
        <f ca="1"/>
        <v>30.824998751333951</v>
      </c>
      <c r="C98" s="266">
        <f ca="1"/>
        <v>49.414770862448165</v>
      </c>
      <c r="D98" s="266">
        <f ca="1"/>
        <v>77.609483556640768</v>
      </c>
      <c r="E98" s="266">
        <f ca="1"/>
        <v>117.87022106775312</v>
      </c>
      <c r="F98" s="266">
        <f ca="1"/>
        <v>168.39701229442204</v>
      </c>
      <c r="G98" s="266">
        <f ca="1"/>
        <v>188.12732632486995</v>
      </c>
      <c r="H98" s="266">
        <f ca="1"/>
        <v>175.05792085109923</v>
      </c>
      <c r="I98" s="266">
        <f ca="1"/>
        <v>161.98851537732844</v>
      </c>
      <c r="J98" s="266">
        <f ca="1"/>
        <v>148.91910990355771</v>
      </c>
      <c r="K98" s="266">
        <f ca="1"/>
        <v>135.84970442978695</v>
      </c>
      <c r="M98" s="4" t="str">
        <f>'Library data'!$G$138</f>
        <v>% relative to RCP8.5</v>
      </c>
    </row>
    <row r="99" spans="1:13" s="7" customFormat="1" x14ac:dyDescent="0.25">
      <c r="A99" s="4" t="str">
        <v>IA CH4</v>
      </c>
      <c r="B99" s="266">
        <f ca="1"/>
        <v>30.824998751333951</v>
      </c>
      <c r="C99" s="266">
        <f ca="1"/>
        <v>49.414770862448165</v>
      </c>
      <c r="D99" s="266">
        <f ca="1"/>
        <v>77.609483556640768</v>
      </c>
      <c r="E99" s="266">
        <f ca="1"/>
        <v>117.87022106775312</v>
      </c>
      <c r="F99" s="266">
        <f ca="1"/>
        <v>168.39701229442204</v>
      </c>
      <c r="G99" s="266">
        <f ca="1"/>
        <v>188.12732632486995</v>
      </c>
      <c r="H99" s="266">
        <f ca="1"/>
        <v>175.05792085109923</v>
      </c>
      <c r="I99" s="266">
        <f ca="1"/>
        <v>161.98851537732844</v>
      </c>
      <c r="J99" s="266">
        <f ca="1"/>
        <v>148.91910990355771</v>
      </c>
      <c r="K99" s="266">
        <f ca="1"/>
        <v>135.84970442978695</v>
      </c>
      <c r="M99" s="4" t="str">
        <f>'Library data'!$G$138</f>
        <v>% relative to RCP8.5</v>
      </c>
    </row>
    <row r="100" spans="1:13" s="7" customFormat="1" x14ac:dyDescent="0.25">
      <c r="A100" s="4" t="str">
        <v>AF CH4</v>
      </c>
      <c r="B100" s="266">
        <f ca="1"/>
        <v>60.028458485874125</v>
      </c>
      <c r="C100" s="266">
        <f ca="1"/>
        <v>97.47702243797842</v>
      </c>
      <c r="D100" s="266">
        <f ca="1"/>
        <v>134.53663433052213</v>
      </c>
      <c r="E100" s="266">
        <f ca="1"/>
        <v>176.70601895153743</v>
      </c>
      <c r="F100" s="266">
        <f ca="1"/>
        <v>220.35479937771754</v>
      </c>
      <c r="G100" s="266">
        <f ca="1"/>
        <v>242.3997002649842</v>
      </c>
      <c r="H100" s="266">
        <f ca="1"/>
        <v>225.74905036809727</v>
      </c>
      <c r="I100" s="266">
        <f ca="1"/>
        <v>209.09840047121025</v>
      </c>
      <c r="J100" s="266">
        <f ca="1"/>
        <v>192.44775057432329</v>
      </c>
      <c r="K100" s="266">
        <f ca="1"/>
        <v>175.79710067743633</v>
      </c>
      <c r="M100" s="4" t="str">
        <f>'Library data'!$G$138</f>
        <v>% relative to RCP8.5</v>
      </c>
    </row>
    <row r="101" spans="1:13" s="7" customFormat="1" ht="13" thickBot="1" x14ac:dyDescent="0.3">
      <c r="A101" s="4" t="str">
        <v>LA CH4</v>
      </c>
      <c r="B101" s="268">
        <f ca="1"/>
        <v>57.181237696893035</v>
      </c>
      <c r="C101" s="268">
        <f ca="1"/>
        <v>84.483586526092367</v>
      </c>
      <c r="D101" s="268">
        <f ca="1"/>
        <v>106.0180112329719</v>
      </c>
      <c r="E101" s="268">
        <f ca="1"/>
        <v>127.06634096100373</v>
      </c>
      <c r="F101" s="268">
        <f ca="1"/>
        <v>131.71378586609507</v>
      </c>
      <c r="G101" s="268">
        <f ca="1"/>
        <v>128.97656996819984</v>
      </c>
      <c r="H101" s="268">
        <f ca="1"/>
        <v>119.35602344805233</v>
      </c>
      <c r="I101" s="268">
        <f ca="1"/>
        <v>109.73547692790478</v>
      </c>
      <c r="J101" s="268">
        <f ca="1"/>
        <v>100.11493040775727</v>
      </c>
      <c r="K101" s="268">
        <f ca="1"/>
        <v>90.494383887609786</v>
      </c>
      <c r="M101" s="4" t="str">
        <f>'Library data'!$G$138</f>
        <v>% relative to RCP8.5</v>
      </c>
    </row>
    <row r="102" spans="1:13" s="8" customFormat="1" ht="15.5" thickTop="1" x14ac:dyDescent="0.4">
      <c r="A102" s="8" t="s">
        <v>105</v>
      </c>
      <c r="B102" s="8" t="s">
        <v>128</v>
      </c>
    </row>
    <row r="103" spans="1:13" s="7" customFormat="1" x14ac:dyDescent="0.25">
      <c r="A103" s="4" t="str">
        <f t="array" ref="A103:A110">R_CODE&amp;" "&amp;'Base data'!$D$12</f>
        <v>EU N2O</v>
      </c>
      <c r="B103" s="267">
        <f t="array" aca="1" ref="B103:B110" ca="1">IF(ZC_N2O_1&lt;er_n2o_1_b,0,ZC_N2O_1-er_n2o_1_b)</f>
        <v>28.367613892435003</v>
      </c>
      <c r="C103" s="267">
        <f t="array" aca="1" ref="C103:K110" ca="1">IF(ZC_N2O_NOT_1-er_n2o_not_1_b&lt;0,0,ZC_N2O_NOT_1-er_n2o_not_1_b)</f>
        <v>38.492759004843933</v>
      </c>
      <c r="D103" s="267">
        <f ca="1"/>
        <v>51.742326177144335</v>
      </c>
      <c r="E103" s="267">
        <f ca="1"/>
        <v>63.570098131209264</v>
      </c>
      <c r="F103" s="267">
        <f ca="1"/>
        <v>79.226975134378492</v>
      </c>
      <c r="G103" s="267">
        <f ca="1"/>
        <v>89.826610459262838</v>
      </c>
      <c r="H103" s="267">
        <f ca="1"/>
        <v>88.189669503678346</v>
      </c>
      <c r="I103" s="267">
        <f ca="1"/>
        <v>86.552728548093853</v>
      </c>
      <c r="J103" s="267">
        <f ca="1"/>
        <v>84.915787592509361</v>
      </c>
      <c r="K103" s="267">
        <f ca="1"/>
        <v>83.278846636924868</v>
      </c>
      <c r="M103" s="4" t="str">
        <f>'Library data'!$G$138</f>
        <v>% relative to RCP8.5</v>
      </c>
    </row>
    <row r="104" spans="1:13" s="7" customFormat="1" x14ac:dyDescent="0.25">
      <c r="A104" s="4" t="str">
        <v>US N2O</v>
      </c>
      <c r="B104" s="266">
        <f ca="1"/>
        <v>28.367613892435003</v>
      </c>
      <c r="C104" s="266">
        <f ca="1"/>
        <v>38.492759004843933</v>
      </c>
      <c r="D104" s="266">
        <f ca="1"/>
        <v>51.742326177144335</v>
      </c>
      <c r="E104" s="266">
        <f ca="1"/>
        <v>63.570098131209264</v>
      </c>
      <c r="F104" s="266">
        <f ca="1"/>
        <v>79.226975134378492</v>
      </c>
      <c r="G104" s="266">
        <f ca="1"/>
        <v>89.826610459262838</v>
      </c>
      <c r="H104" s="266">
        <f ca="1"/>
        <v>88.189669503678346</v>
      </c>
      <c r="I104" s="266">
        <f ca="1"/>
        <v>86.552728548093853</v>
      </c>
      <c r="J104" s="266">
        <f ca="1"/>
        <v>84.915787592509361</v>
      </c>
      <c r="K104" s="266">
        <f ca="1"/>
        <v>83.278846636924868</v>
      </c>
      <c r="M104" s="4" t="str">
        <f>'Library data'!$G$138</f>
        <v>% relative to RCP8.5</v>
      </c>
    </row>
    <row r="105" spans="1:13" s="7" customFormat="1" x14ac:dyDescent="0.25">
      <c r="A105" s="4" t="str">
        <v>OT N2O</v>
      </c>
      <c r="B105" s="266">
        <f ca="1"/>
        <v>28.367613892435003</v>
      </c>
      <c r="C105" s="266">
        <f ca="1"/>
        <v>38.492759004843933</v>
      </c>
      <c r="D105" s="266">
        <f ca="1"/>
        <v>51.742326177144335</v>
      </c>
      <c r="E105" s="266">
        <f ca="1"/>
        <v>63.570098131209264</v>
      </c>
      <c r="F105" s="266">
        <f ca="1"/>
        <v>79.226975134378492</v>
      </c>
      <c r="G105" s="266">
        <f ca="1"/>
        <v>89.826610459262838</v>
      </c>
      <c r="H105" s="266">
        <f ca="1"/>
        <v>88.189669503678346</v>
      </c>
      <c r="I105" s="266">
        <f ca="1"/>
        <v>86.552728548093853</v>
      </c>
      <c r="J105" s="266">
        <f ca="1"/>
        <v>84.915787592509361</v>
      </c>
      <c r="K105" s="266">
        <f ca="1"/>
        <v>83.278846636924868</v>
      </c>
      <c r="M105" s="4" t="str">
        <f>'Library data'!$G$138</f>
        <v>% relative to RCP8.5</v>
      </c>
    </row>
    <row r="106" spans="1:13" s="7" customFormat="1" x14ac:dyDescent="0.25">
      <c r="A106" s="4" t="str">
        <v>EE N2O</v>
      </c>
      <c r="B106" s="266">
        <f ca="1"/>
        <v>0</v>
      </c>
      <c r="C106" s="266">
        <f ca="1"/>
        <v>9.1584190973443924</v>
      </c>
      <c r="D106" s="266">
        <f ca="1"/>
        <v>22.187701866520612</v>
      </c>
      <c r="E106" s="266">
        <f ca="1"/>
        <v>31.738873512732411</v>
      </c>
      <c r="F106" s="266">
        <f ca="1"/>
        <v>37.971111213788973</v>
      </c>
      <c r="G106" s="266">
        <f ca="1"/>
        <v>76.725884789531705</v>
      </c>
      <c r="H106" s="266">
        <f ca="1"/>
        <v>74.232935712352827</v>
      </c>
      <c r="I106" s="266">
        <f ca="1"/>
        <v>71.739986635173921</v>
      </c>
      <c r="J106" s="266">
        <f ca="1"/>
        <v>69.247037557995014</v>
      </c>
      <c r="K106" s="266">
        <f ca="1"/>
        <v>66.754088480816137</v>
      </c>
      <c r="M106" s="4" t="str">
        <f>'Library data'!$G$138</f>
        <v>% relative to RCP8.5</v>
      </c>
    </row>
    <row r="107" spans="1:13" s="7" customFormat="1" x14ac:dyDescent="0.25">
      <c r="A107" s="4" t="str">
        <v>CA N2O</v>
      </c>
      <c r="B107" s="266">
        <f ca="1"/>
        <v>0</v>
      </c>
      <c r="C107" s="266">
        <f ca="1"/>
        <v>2.1640331408453903</v>
      </c>
      <c r="D107" s="266">
        <f ca="1"/>
        <v>20.898919046267153</v>
      </c>
      <c r="E107" s="266">
        <f ca="1"/>
        <v>47.722719594067712</v>
      </c>
      <c r="F107" s="266">
        <f ca="1"/>
        <v>72.629194663737607</v>
      </c>
      <c r="G107" s="266">
        <f ca="1"/>
        <v>107.42996462498562</v>
      </c>
      <c r="H107" s="266">
        <f ca="1"/>
        <v>105.01191850293731</v>
      </c>
      <c r="I107" s="266">
        <f ca="1"/>
        <v>102.593872380889</v>
      </c>
      <c r="J107" s="266">
        <f ca="1"/>
        <v>100.17582625884066</v>
      </c>
      <c r="K107" s="266">
        <f ca="1"/>
        <v>97.75778013679232</v>
      </c>
      <c r="M107" s="4" t="str">
        <f>'Library data'!$G$138</f>
        <v>% relative to RCP8.5</v>
      </c>
    </row>
    <row r="108" spans="1:13" s="7" customFormat="1" x14ac:dyDescent="0.25">
      <c r="A108" s="4" t="str">
        <v>IA N2O</v>
      </c>
      <c r="B108" s="266">
        <f ca="1"/>
        <v>0</v>
      </c>
      <c r="C108" s="266">
        <f ca="1"/>
        <v>2.1640331408453903</v>
      </c>
      <c r="D108" s="266">
        <f ca="1"/>
        <v>20.898919046267153</v>
      </c>
      <c r="E108" s="266">
        <f ca="1"/>
        <v>47.722719594067712</v>
      </c>
      <c r="F108" s="266">
        <f ca="1"/>
        <v>72.629194663737607</v>
      </c>
      <c r="G108" s="266">
        <f ca="1"/>
        <v>107.42996462498562</v>
      </c>
      <c r="H108" s="266">
        <f ca="1"/>
        <v>105.01191850293731</v>
      </c>
      <c r="I108" s="266">
        <f ca="1"/>
        <v>102.593872380889</v>
      </c>
      <c r="J108" s="266">
        <f ca="1"/>
        <v>100.17582625884066</v>
      </c>
      <c r="K108" s="266">
        <f ca="1"/>
        <v>97.75778013679232</v>
      </c>
      <c r="M108" s="4" t="str">
        <f>'Library data'!$G$138</f>
        <v>% relative to RCP8.5</v>
      </c>
    </row>
    <row r="109" spans="1:13" s="7" customFormat="1" x14ac:dyDescent="0.25">
      <c r="A109" s="4" t="str">
        <v>AF N2O</v>
      </c>
      <c r="B109" s="266">
        <f ca="1"/>
        <v>20.215716017215684</v>
      </c>
      <c r="C109" s="266">
        <f ca="1"/>
        <v>48.789609115606069</v>
      </c>
      <c r="D109" s="266">
        <f ca="1"/>
        <v>77.616928415591701</v>
      </c>
      <c r="E109" s="266">
        <f ca="1"/>
        <v>116.36325614679555</v>
      </c>
      <c r="F109" s="266">
        <f ca="1"/>
        <v>180.47122258822813</v>
      </c>
      <c r="G109" s="266">
        <f ca="1"/>
        <v>228.95583876450544</v>
      </c>
      <c r="H109" s="266">
        <f ca="1"/>
        <v>225.40065390556023</v>
      </c>
      <c r="I109" s="266">
        <f ca="1"/>
        <v>221.84546904661497</v>
      </c>
      <c r="J109" s="266">
        <f ca="1"/>
        <v>218.2902841876697</v>
      </c>
      <c r="K109" s="266">
        <f ca="1"/>
        <v>214.73509932872449</v>
      </c>
      <c r="M109" s="4" t="str">
        <f>'Library data'!$G$138</f>
        <v>% relative to RCP8.5</v>
      </c>
    </row>
    <row r="110" spans="1:13" s="7" customFormat="1" ht="13" thickBot="1" x14ac:dyDescent="0.3">
      <c r="A110" s="4" t="str">
        <v>LA N2O</v>
      </c>
      <c r="B110" s="268">
        <f ca="1"/>
        <v>29.448770823009511</v>
      </c>
      <c r="C110" s="268">
        <f ca="1"/>
        <v>52.52966455584415</v>
      </c>
      <c r="D110" s="268">
        <f ca="1"/>
        <v>74.125608788140568</v>
      </c>
      <c r="E110" s="268">
        <f ca="1"/>
        <v>100.29001195047279</v>
      </c>
      <c r="F110" s="268">
        <f ca="1"/>
        <v>127.00580604683159</v>
      </c>
      <c r="G110" s="268">
        <f ca="1"/>
        <v>128.47649808623936</v>
      </c>
      <c r="H110" s="268">
        <f ca="1"/>
        <v>126.24474663298543</v>
      </c>
      <c r="I110" s="268">
        <f ca="1"/>
        <v>124.01299517973146</v>
      </c>
      <c r="J110" s="268">
        <f ca="1"/>
        <v>121.7812437264775</v>
      </c>
      <c r="K110" s="268">
        <f ca="1"/>
        <v>119.54949227322356</v>
      </c>
      <c r="M110" s="4" t="str">
        <f>'Library data'!$G$138</f>
        <v>% relative to RCP8.5</v>
      </c>
    </row>
    <row r="111" spans="1:13" s="8" customFormat="1" ht="15.5" thickTop="1" x14ac:dyDescent="0.4">
      <c r="A111" s="8" t="s">
        <v>105</v>
      </c>
      <c r="B111" s="8" t="s">
        <v>263</v>
      </c>
    </row>
    <row r="112" spans="1:13" s="7" customFormat="1" x14ac:dyDescent="0.25">
      <c r="A112" s="4" t="str">
        <f t="array" ref="A112:A119">R_CODE&amp;" "&amp;GLIN_NAME</f>
        <v>EU Lin</v>
      </c>
      <c r="B112" s="267">
        <f t="array" aca="1" ref="B112:B119" ca="1">IF(ZC_GLIN_1&lt;er_glin_1_b,0,ZC_GLIN_1-er_glin_1_b)</f>
        <v>68.441976305588014</v>
      </c>
      <c r="C112" s="267">
        <f t="array" aca="1" ref="C112:K119" ca="1">IF(ZC_GLIN_NOT_1-er_glin_not_1_b&lt;0,0,ZC_GLIN_NOT_1-er_glin_not_1_b)</f>
        <v>126.01025936657199</v>
      </c>
      <c r="D112" s="267">
        <f ca="1"/>
        <v>149.73053878862328</v>
      </c>
      <c r="E112" s="267">
        <f ca="1"/>
        <v>167.61871095316585</v>
      </c>
      <c r="F112" s="267">
        <f ca="1"/>
        <v>163.19868104177041</v>
      </c>
      <c r="G112" s="267">
        <f ca="1"/>
        <v>174.31715714063463</v>
      </c>
      <c r="H112" s="267">
        <f ca="1"/>
        <v>174.31715714063463</v>
      </c>
      <c r="I112" s="267">
        <f ca="1"/>
        <v>174.31715714063463</v>
      </c>
      <c r="J112" s="267">
        <f ca="1"/>
        <v>174.31715714063463</v>
      </c>
      <c r="K112" s="267">
        <f ca="1"/>
        <v>174.31715714063463</v>
      </c>
      <c r="M112" s="4" t="str">
        <f>'Library data'!$G$138</f>
        <v>% relative to RCP8.5</v>
      </c>
    </row>
    <row r="113" spans="1:13" s="7" customFormat="1" x14ac:dyDescent="0.25">
      <c r="A113" s="4" t="str">
        <v>US Lin</v>
      </c>
      <c r="B113" s="266">
        <f ca="1"/>
        <v>68.441976305588014</v>
      </c>
      <c r="C113" s="266">
        <f ca="1"/>
        <v>126.01025936657199</v>
      </c>
      <c r="D113" s="266">
        <f ca="1"/>
        <v>149.73053878862328</v>
      </c>
      <c r="E113" s="266">
        <f ca="1"/>
        <v>167.61871095316585</v>
      </c>
      <c r="F113" s="266">
        <f ca="1"/>
        <v>163.19868104177041</v>
      </c>
      <c r="G113" s="266">
        <f ca="1"/>
        <v>174.31715714063463</v>
      </c>
      <c r="H113" s="266">
        <f ca="1"/>
        <v>174.31715714063463</v>
      </c>
      <c r="I113" s="266">
        <f ca="1"/>
        <v>174.31715714063463</v>
      </c>
      <c r="J113" s="266">
        <f ca="1"/>
        <v>174.31715714063463</v>
      </c>
      <c r="K113" s="266">
        <f ca="1"/>
        <v>174.31715714063463</v>
      </c>
      <c r="M113" s="4" t="str">
        <f>'Library data'!$G$138</f>
        <v>% relative to RCP8.5</v>
      </c>
    </row>
    <row r="114" spans="1:13" s="7" customFormat="1" x14ac:dyDescent="0.25">
      <c r="A114" s="4" t="str">
        <v>OT Lin</v>
      </c>
      <c r="B114" s="266">
        <f ca="1"/>
        <v>68.441976305588014</v>
      </c>
      <c r="C114" s="266">
        <f ca="1"/>
        <v>126.01025936657199</v>
      </c>
      <c r="D114" s="266">
        <f ca="1"/>
        <v>149.73053878862328</v>
      </c>
      <c r="E114" s="266">
        <f ca="1"/>
        <v>167.61871095316585</v>
      </c>
      <c r="F114" s="266">
        <f ca="1"/>
        <v>163.19868104177041</v>
      </c>
      <c r="G114" s="266">
        <f ca="1"/>
        <v>174.31715714063463</v>
      </c>
      <c r="H114" s="266">
        <f ca="1"/>
        <v>174.31715714063463</v>
      </c>
      <c r="I114" s="266">
        <f ca="1"/>
        <v>174.31715714063463</v>
      </c>
      <c r="J114" s="266">
        <f ca="1"/>
        <v>174.31715714063463</v>
      </c>
      <c r="K114" s="266">
        <f ca="1"/>
        <v>174.31715714063463</v>
      </c>
      <c r="M114" s="4" t="str">
        <f>'Library data'!$G$138</f>
        <v>% relative to RCP8.5</v>
      </c>
    </row>
    <row r="115" spans="1:13" s="7" customFormat="1" x14ac:dyDescent="0.25">
      <c r="A115" s="4" t="str">
        <v>EE Lin</v>
      </c>
      <c r="B115" s="266">
        <f ca="1"/>
        <v>103.17948917513073</v>
      </c>
      <c r="C115" s="266">
        <f ca="1"/>
        <v>209.85197987695108</v>
      </c>
      <c r="D115" s="266">
        <f ca="1"/>
        <v>313.54549190289219</v>
      </c>
      <c r="E115" s="266">
        <f ca="1"/>
        <v>412.97036122389102</v>
      </c>
      <c r="F115" s="266">
        <f ca="1"/>
        <v>512.98899244900599</v>
      </c>
      <c r="G115" s="266">
        <f ca="1"/>
        <v>592.60516461491966</v>
      </c>
      <c r="H115" s="266">
        <f ca="1"/>
        <v>592.60516461491966</v>
      </c>
      <c r="I115" s="266">
        <f ca="1"/>
        <v>592.60516461491966</v>
      </c>
      <c r="J115" s="266">
        <f ca="1"/>
        <v>592.60516461491966</v>
      </c>
      <c r="K115" s="266">
        <f ca="1"/>
        <v>592.60516461491966</v>
      </c>
      <c r="M115" s="4" t="str">
        <f>'Library data'!$G$138</f>
        <v>% relative to RCP8.5</v>
      </c>
    </row>
    <row r="116" spans="1:13" s="7" customFormat="1" x14ac:dyDescent="0.25">
      <c r="A116" s="4" t="str">
        <v>CA Lin</v>
      </c>
      <c r="B116" s="266">
        <f ca="1"/>
        <v>92.940153773543614</v>
      </c>
      <c r="C116" s="266">
        <f ca="1"/>
        <v>176.36300511836316</v>
      </c>
      <c r="D116" s="266">
        <f ca="1"/>
        <v>283.28473997606807</v>
      </c>
      <c r="E116" s="266">
        <f ca="1"/>
        <v>360.21230430058648</v>
      </c>
      <c r="F116" s="266">
        <f ca="1"/>
        <v>471.49348323229452</v>
      </c>
      <c r="G116" s="266">
        <f ca="1"/>
        <v>531.2859355068955</v>
      </c>
      <c r="H116" s="266">
        <f ca="1"/>
        <v>531.2859355068955</v>
      </c>
      <c r="I116" s="266">
        <f ca="1"/>
        <v>531.2859355068955</v>
      </c>
      <c r="J116" s="266">
        <f ca="1"/>
        <v>531.2859355068955</v>
      </c>
      <c r="K116" s="266">
        <f ca="1"/>
        <v>531.2859355068955</v>
      </c>
      <c r="M116" s="4" t="str">
        <f>'Library data'!$G$138</f>
        <v>% relative to RCP8.5</v>
      </c>
    </row>
    <row r="117" spans="1:13" s="7" customFormat="1" x14ac:dyDescent="0.25">
      <c r="A117" s="4" t="str">
        <v>IA Lin</v>
      </c>
      <c r="B117" s="266">
        <f ca="1"/>
        <v>92.940153773543614</v>
      </c>
      <c r="C117" s="266">
        <f ca="1"/>
        <v>176.36300511836316</v>
      </c>
      <c r="D117" s="266">
        <f ca="1"/>
        <v>283.28473997606807</v>
      </c>
      <c r="E117" s="266">
        <f ca="1"/>
        <v>360.21230430058648</v>
      </c>
      <c r="F117" s="266">
        <f ca="1"/>
        <v>471.49348323229452</v>
      </c>
      <c r="G117" s="266">
        <f ca="1"/>
        <v>531.2859355068955</v>
      </c>
      <c r="H117" s="266">
        <f ca="1"/>
        <v>531.2859355068955</v>
      </c>
      <c r="I117" s="266">
        <f ca="1"/>
        <v>531.2859355068955</v>
      </c>
      <c r="J117" s="266">
        <f ca="1"/>
        <v>531.2859355068955</v>
      </c>
      <c r="K117" s="266">
        <f ca="1"/>
        <v>531.2859355068955</v>
      </c>
      <c r="M117" s="4" t="str">
        <f>'Library data'!$G$138</f>
        <v>% relative to RCP8.5</v>
      </c>
    </row>
    <row r="118" spans="1:13" s="7" customFormat="1" x14ac:dyDescent="0.25">
      <c r="A118" s="4" t="str">
        <v>AF Lin</v>
      </c>
      <c r="B118" s="266">
        <f ca="1"/>
        <v>105.62577543071907</v>
      </c>
      <c r="C118" s="266">
        <f ca="1"/>
        <v>187.17586381129081</v>
      </c>
      <c r="D118" s="266">
        <f ca="1"/>
        <v>256.55902213243809</v>
      </c>
      <c r="E118" s="266">
        <f ca="1"/>
        <v>345.45164053501014</v>
      </c>
      <c r="F118" s="266">
        <f ca="1"/>
        <v>519.69444431789475</v>
      </c>
      <c r="G118" s="266">
        <f ca="1"/>
        <v>619.63261497736846</v>
      </c>
      <c r="H118" s="266">
        <f ca="1"/>
        <v>619.63261497736846</v>
      </c>
      <c r="I118" s="266">
        <f ca="1"/>
        <v>619.63261497736846</v>
      </c>
      <c r="J118" s="266">
        <f ca="1"/>
        <v>619.63261497736846</v>
      </c>
      <c r="K118" s="266">
        <f ca="1"/>
        <v>619.63261497736846</v>
      </c>
      <c r="M118" s="4" t="str">
        <f>'Library data'!$G$138</f>
        <v>% relative to RCP8.5</v>
      </c>
    </row>
    <row r="119" spans="1:13" s="7" customFormat="1" ht="13" thickBot="1" x14ac:dyDescent="0.3">
      <c r="A119" s="4" t="str">
        <v>LA Lin</v>
      </c>
      <c r="B119" s="268">
        <f ca="1"/>
        <v>83.439007838425113</v>
      </c>
      <c r="C119" s="268">
        <f ca="1"/>
        <v>149.98662331744396</v>
      </c>
      <c r="D119" s="268">
        <f ca="1"/>
        <v>236.56291096421921</v>
      </c>
      <c r="E119" s="268">
        <f ca="1"/>
        <v>308.78149913139049</v>
      </c>
      <c r="F119" s="268">
        <f ca="1"/>
        <v>458.47738900422144</v>
      </c>
      <c r="G119" s="268">
        <f ca="1"/>
        <v>537.50290410848481</v>
      </c>
      <c r="H119" s="268">
        <f ca="1"/>
        <v>537.50290410848481</v>
      </c>
      <c r="I119" s="268">
        <f ca="1"/>
        <v>537.50290410848481</v>
      </c>
      <c r="J119" s="268">
        <f ca="1"/>
        <v>537.50290410848481</v>
      </c>
      <c r="K119" s="268">
        <f ca="1"/>
        <v>537.50290410848481</v>
      </c>
      <c r="M119" s="4" t="str">
        <f>'Library data'!$G$138</f>
        <v>% relative to RCP8.5</v>
      </c>
    </row>
    <row r="120" spans="1:13" s="2" customFormat="1" ht="15.5" thickTop="1" x14ac:dyDescent="0.4">
      <c r="A120" s="2" t="s">
        <v>105</v>
      </c>
      <c r="B120" s="2" t="s">
        <v>286</v>
      </c>
    </row>
    <row r="121" spans="1:13" s="6" customFormat="1" x14ac:dyDescent="0.25">
      <c r="A121" s="4" t="str">
        <f t="array" ref="A121:A128">R_CODE&amp;" "&amp;'Base data'!$B$12</f>
        <v>EU CO2</v>
      </c>
      <c r="B121" s="267">
        <f t="array" ref="B121:K128" ca="1">cb_co2_b*E_CO2_0/100</f>
        <v>746.3972859794037</v>
      </c>
      <c r="C121" s="267">
        <f ca="1"/>
        <v>2834.1816933143568</v>
      </c>
      <c r="D121" s="267">
        <f ca="1"/>
        <v>4779.9153740654092</v>
      </c>
      <c r="E121" s="267">
        <f ca="1"/>
        <v>6041.1260857223351</v>
      </c>
      <c r="F121" s="267">
        <f ca="1"/>
        <v>8056.1010034766095</v>
      </c>
      <c r="G121" s="267">
        <f ca="1"/>
        <v>7681.4108091217731</v>
      </c>
      <c r="H121" s="267">
        <f ca="1"/>
        <v>7381.1200928716971</v>
      </c>
      <c r="I121" s="267">
        <f ca="1"/>
        <v>7080.8293766216211</v>
      </c>
      <c r="J121" s="267">
        <f ca="1"/>
        <v>6780.5386603715442</v>
      </c>
      <c r="K121" s="267">
        <f ca="1"/>
        <v>6480.2479441214691</v>
      </c>
      <c r="M121" s="4" t="str">
        <f t="shared" ref="M121:M128" si="0">EMIT_NAME</f>
        <v>Mtonne</v>
      </c>
    </row>
    <row r="122" spans="1:13" s="6" customFormat="1" x14ac:dyDescent="0.25">
      <c r="A122" s="4" t="str">
        <v>US CO2</v>
      </c>
      <c r="B122" s="266">
        <f ca="1"/>
        <v>1048.7941934108144</v>
      </c>
      <c r="C122" s="266">
        <f ca="1"/>
        <v>3982.4278019967869</v>
      </c>
      <c r="D122" s="266">
        <f ca="1"/>
        <v>6716.4599650663913</v>
      </c>
      <c r="E122" s="266">
        <f ca="1"/>
        <v>8488.640137610324</v>
      </c>
      <c r="F122" s="266">
        <f ca="1"/>
        <v>11319.966072613026</v>
      </c>
      <c r="G122" s="266">
        <f ca="1"/>
        <v>10793.473134402951</v>
      </c>
      <c r="H122" s="266">
        <f ca="1"/>
        <v>10371.522029469614</v>
      </c>
      <c r="I122" s="266">
        <f ca="1"/>
        <v>9949.5709245362741</v>
      </c>
      <c r="J122" s="266">
        <f ca="1"/>
        <v>9527.6198196029382</v>
      </c>
      <c r="K122" s="266">
        <f ca="1"/>
        <v>9105.6687146695986</v>
      </c>
      <c r="M122" s="4" t="str">
        <f t="shared" si="0"/>
        <v>Mtonne</v>
      </c>
    </row>
    <row r="123" spans="1:13" s="6" customFormat="1" x14ac:dyDescent="0.25">
      <c r="A123" s="4" t="str">
        <v>OT CO2</v>
      </c>
      <c r="B123" s="266">
        <f ca="1"/>
        <v>413.56237910520997</v>
      </c>
      <c r="C123" s="266">
        <f ca="1"/>
        <v>1570.35796608706</v>
      </c>
      <c r="D123" s="266">
        <f ca="1"/>
        <v>2648.4463584646646</v>
      </c>
      <c r="E123" s="266">
        <f ca="1"/>
        <v>3347.2555747674774</v>
      </c>
      <c r="F123" s="266">
        <f ca="1"/>
        <v>4463.7090191691723</v>
      </c>
      <c r="G123" s="266">
        <f ca="1"/>
        <v>4256.1013936920153</v>
      </c>
      <c r="H123" s="266">
        <f ca="1"/>
        <v>4089.7168885921183</v>
      </c>
      <c r="I123" s="266">
        <f ca="1"/>
        <v>3923.3323834922212</v>
      </c>
      <c r="J123" s="266">
        <f ca="1"/>
        <v>3756.9478783923246</v>
      </c>
      <c r="K123" s="266">
        <f ca="1"/>
        <v>3590.563373292428</v>
      </c>
      <c r="M123" s="4" t="str">
        <f t="shared" si="0"/>
        <v>Mtonne</v>
      </c>
    </row>
    <row r="124" spans="1:13" s="6" customFormat="1" x14ac:dyDescent="0.25">
      <c r="A124" s="4" t="str">
        <v>EE CO2</v>
      </c>
      <c r="B124" s="266">
        <f ca="1"/>
        <v>1038.72513309294</v>
      </c>
      <c r="C124" s="266">
        <f ca="1"/>
        <v>3056.8796080901561</v>
      </c>
      <c r="D124" s="266">
        <f ca="1"/>
        <v>5075.8528836234354</v>
      </c>
      <c r="E124" s="266">
        <f ca="1"/>
        <v>6684.6098215492839</v>
      </c>
      <c r="F124" s="266">
        <f ca="1"/>
        <v>10296.151427189116</v>
      </c>
      <c r="G124" s="266">
        <f ca="1"/>
        <v>13753.700886047656</v>
      </c>
      <c r="H124" s="266">
        <f ca="1"/>
        <v>13192.030347096319</v>
      </c>
      <c r="I124" s="266">
        <f ca="1"/>
        <v>12630.359808144984</v>
      </c>
      <c r="J124" s="266">
        <f ca="1"/>
        <v>12068.689269193648</v>
      </c>
      <c r="K124" s="266">
        <f ca="1"/>
        <v>11507.018730242311</v>
      </c>
      <c r="M124" s="4" t="str">
        <f t="shared" si="0"/>
        <v>Mtonne</v>
      </c>
    </row>
    <row r="125" spans="1:13" s="6" customFormat="1" x14ac:dyDescent="0.25">
      <c r="A125" s="4" t="str">
        <v>CA CO2</v>
      </c>
      <c r="B125" s="266">
        <f ca="1"/>
        <v>1005.2193568339079</v>
      </c>
      <c r="C125" s="266">
        <f ca="1"/>
        <v>4612.9850202051302</v>
      </c>
      <c r="D125" s="266">
        <f ca="1"/>
        <v>10386.638169304146</v>
      </c>
      <c r="E125" s="266">
        <f ca="1"/>
        <v>15341.154468567027</v>
      </c>
      <c r="F125" s="266">
        <f ca="1"/>
        <v>24051.387919599889</v>
      </c>
      <c r="G125" s="266">
        <f ca="1"/>
        <v>24864.092209953633</v>
      </c>
      <c r="H125" s="266">
        <f ca="1"/>
        <v>23854.414552488153</v>
      </c>
      <c r="I125" s="266">
        <f ca="1"/>
        <v>22844.73689502267</v>
      </c>
      <c r="J125" s="266">
        <f ca="1"/>
        <v>21835.059237557187</v>
      </c>
      <c r="K125" s="266">
        <f ca="1"/>
        <v>20825.381580091707</v>
      </c>
      <c r="M125" s="4" t="str">
        <f t="shared" si="0"/>
        <v>Mtonne</v>
      </c>
    </row>
    <row r="126" spans="1:13" s="6" customFormat="1" x14ac:dyDescent="0.25">
      <c r="A126" s="4" t="str">
        <v>IA CO2</v>
      </c>
      <c r="B126" s="266">
        <f ca="1"/>
        <v>611.41530533390255</v>
      </c>
      <c r="C126" s="266">
        <f ca="1"/>
        <v>2805.8051463641423</v>
      </c>
      <c r="D126" s="266">
        <f ca="1"/>
        <v>6317.5758649135787</v>
      </c>
      <c r="E126" s="266">
        <f ca="1"/>
        <v>9331.114228755614</v>
      </c>
      <c r="F126" s="266">
        <f ca="1"/>
        <v>14629.032547565661</v>
      </c>
      <c r="G126" s="266">
        <f ca="1"/>
        <v>15123.352357918166</v>
      </c>
      <c r="H126" s="266">
        <f ca="1"/>
        <v>14509.225332775655</v>
      </c>
      <c r="I126" s="266">
        <f ca="1"/>
        <v>13895.098307633147</v>
      </c>
      <c r="J126" s="266">
        <f ca="1"/>
        <v>13280.971282490636</v>
      </c>
      <c r="K126" s="266">
        <f ca="1"/>
        <v>12666.844257348126</v>
      </c>
      <c r="M126" s="4" t="str">
        <f t="shared" si="0"/>
        <v>Mtonne</v>
      </c>
    </row>
    <row r="127" spans="1:13" s="6" customFormat="1" x14ac:dyDescent="0.25">
      <c r="A127" s="4" t="str">
        <v>AF CO2</v>
      </c>
      <c r="B127" s="266">
        <f ca="1"/>
        <v>1908.2873847278941</v>
      </c>
      <c r="C127" s="266">
        <f ca="1"/>
        <v>3978.6737546645904</v>
      </c>
      <c r="D127" s="266">
        <f ca="1"/>
        <v>7564.1865811554899</v>
      </c>
      <c r="E127" s="266">
        <f ca="1"/>
        <v>11112.208462000739</v>
      </c>
      <c r="F127" s="266">
        <f ca="1"/>
        <v>18432.496930991281</v>
      </c>
      <c r="G127" s="266">
        <f ca="1"/>
        <v>23130.342367034089</v>
      </c>
      <c r="H127" s="266">
        <f ca="1"/>
        <v>22174.902013908388</v>
      </c>
      <c r="I127" s="266">
        <f ca="1"/>
        <v>21219.461660782687</v>
      </c>
      <c r="J127" s="266">
        <f ca="1"/>
        <v>20264.021307656978</v>
      </c>
      <c r="K127" s="266">
        <f ca="1"/>
        <v>19308.580954531273</v>
      </c>
      <c r="M127" s="4" t="str">
        <f t="shared" si="0"/>
        <v>Mtonne</v>
      </c>
    </row>
    <row r="128" spans="1:13" s="6" customFormat="1" ht="13" thickBot="1" x14ac:dyDescent="0.3">
      <c r="A128" s="4" t="str">
        <v>LA CO2</v>
      </c>
      <c r="B128" s="268">
        <f ca="1"/>
        <v>1160.1766675642129</v>
      </c>
      <c r="C128" s="268">
        <f ca="1"/>
        <v>2955.1992484083194</v>
      </c>
      <c r="D128" s="268">
        <f ca="1"/>
        <v>4409.7640020235467</v>
      </c>
      <c r="E128" s="268">
        <f ca="1"/>
        <v>6203.2402354428204</v>
      </c>
      <c r="F128" s="268">
        <f ca="1"/>
        <v>8925.4374426957147</v>
      </c>
      <c r="G128" s="268">
        <f ca="1"/>
        <v>6719.8543168703127</v>
      </c>
      <c r="H128" s="268">
        <f ca="1"/>
        <v>6442.278659770901</v>
      </c>
      <c r="I128" s="268">
        <f ca="1"/>
        <v>6164.7030026714892</v>
      </c>
      <c r="J128" s="268">
        <f ca="1"/>
        <v>5887.1273455720766</v>
      </c>
      <c r="K128" s="268">
        <f ca="1"/>
        <v>5609.5516884726649</v>
      </c>
      <c r="M128" s="4" t="str">
        <f t="shared" si="0"/>
        <v>Mtonne</v>
      </c>
    </row>
    <row r="129" spans="1:13" s="8" customFormat="1" ht="15.5" thickTop="1" x14ac:dyDescent="0.4">
      <c r="A129" s="8" t="s">
        <v>105</v>
      </c>
      <c r="B129" s="2" t="s">
        <v>287</v>
      </c>
      <c r="C129" s="2"/>
      <c r="D129" s="2"/>
      <c r="E129" s="2"/>
      <c r="F129" s="2"/>
      <c r="G129" s="2"/>
      <c r="H129" s="2"/>
      <c r="I129" s="2"/>
      <c r="J129" s="2"/>
      <c r="K129" s="2"/>
    </row>
    <row r="130" spans="1:13" s="7" customFormat="1" x14ac:dyDescent="0.25">
      <c r="A130" s="4" t="str">
        <f t="array" ref="A130:A137">R_CODE&amp;" "&amp;'Base data'!$C$12</f>
        <v>EU CH4</v>
      </c>
      <c r="B130" s="267">
        <f t="array" ref="B130:K137" ca="1">cb_ch4_b*E_CH4_0/100</f>
        <v>12.645191392059239</v>
      </c>
      <c r="C130" s="267">
        <f ca="1"/>
        <v>16.058351665280753</v>
      </c>
      <c r="D130" s="267">
        <f ca="1"/>
        <v>18.807995501369771</v>
      </c>
      <c r="E130" s="267">
        <f ca="1"/>
        <v>22.402474641464845</v>
      </c>
      <c r="F130" s="267">
        <f ca="1"/>
        <v>28.882386961245309</v>
      </c>
      <c r="G130" s="267">
        <f ca="1"/>
        <v>34.409986855203634</v>
      </c>
      <c r="H130" s="267">
        <f ca="1"/>
        <v>32.133394975877493</v>
      </c>
      <c r="I130" s="267">
        <f ca="1"/>
        <v>29.856803096551342</v>
      </c>
      <c r="J130" s="267">
        <f ca="1"/>
        <v>27.580211217225198</v>
      </c>
      <c r="K130" s="267">
        <f ca="1"/>
        <v>25.303619337899054</v>
      </c>
      <c r="M130" s="4" t="str">
        <f t="shared" ref="M130:M137" si="1">EMIT_NAME</f>
        <v>Mtonne</v>
      </c>
    </row>
    <row r="131" spans="1:13" s="7" customFormat="1" x14ac:dyDescent="0.25">
      <c r="A131" s="4" t="str">
        <v>US CH4</v>
      </c>
      <c r="B131" s="266">
        <f ca="1"/>
        <v>15.374396033644011</v>
      </c>
      <c r="C131" s="266">
        <f ca="1"/>
        <v>19.524216794740664</v>
      </c>
      <c r="D131" s="266">
        <f ca="1"/>
        <v>22.867314734250499</v>
      </c>
      <c r="E131" s="266">
        <f ca="1"/>
        <v>27.237588312647826</v>
      </c>
      <c r="F131" s="266">
        <f ca="1"/>
        <v>35.116056512832976</v>
      </c>
      <c r="G131" s="266">
        <f ca="1"/>
        <v>41.836675224749889</v>
      </c>
      <c r="H131" s="266">
        <f ca="1"/>
        <v>39.068727783344002</v>
      </c>
      <c r="I131" s="266">
        <f ca="1"/>
        <v>36.300780341938122</v>
      </c>
      <c r="J131" s="266">
        <f ca="1"/>
        <v>33.532832900532242</v>
      </c>
      <c r="K131" s="266">
        <f ca="1"/>
        <v>30.764885459126361</v>
      </c>
      <c r="M131" s="4" t="str">
        <f t="shared" si="1"/>
        <v>Mtonne</v>
      </c>
    </row>
    <row r="132" spans="1:13" s="7" customFormat="1" x14ac:dyDescent="0.25">
      <c r="A132" s="4" t="str">
        <v>OT CH4</v>
      </c>
      <c r="B132" s="266">
        <f ca="1"/>
        <v>11.757679196095408</v>
      </c>
      <c r="C132" s="266">
        <f ca="1"/>
        <v>14.931284268027866</v>
      </c>
      <c r="D132" s="266">
        <f ca="1"/>
        <v>17.487942299203073</v>
      </c>
      <c r="E132" s="266">
        <f ca="1"/>
        <v>20.830140238004883</v>
      </c>
      <c r="F132" s="266">
        <f ca="1"/>
        <v>26.855255075147571</v>
      </c>
      <c r="G132" s="266">
        <f ca="1"/>
        <v>31.994896244860954</v>
      </c>
      <c r="H132" s="266">
        <f ca="1"/>
        <v>29.878088665786919</v>
      </c>
      <c r="I132" s="266">
        <f ca="1"/>
        <v>27.761281086712874</v>
      </c>
      <c r="J132" s="266">
        <f ca="1"/>
        <v>25.644473507638839</v>
      </c>
      <c r="K132" s="266">
        <f ca="1"/>
        <v>23.527665928564808</v>
      </c>
      <c r="M132" s="4" t="str">
        <f t="shared" si="1"/>
        <v>Mtonne</v>
      </c>
    </row>
    <row r="133" spans="1:13" s="7" customFormat="1" x14ac:dyDescent="0.25">
      <c r="A133" s="4" t="str">
        <v>EE CH4</v>
      </c>
      <c r="B133" s="266">
        <f ca="1"/>
        <v>26.380680733398464</v>
      </c>
      <c r="C133" s="266">
        <f ca="1"/>
        <v>33.544836894027867</v>
      </c>
      <c r="D133" s="266">
        <f ca="1"/>
        <v>44.493752168955332</v>
      </c>
      <c r="E133" s="266">
        <f ca="1"/>
        <v>55.50031111523495</v>
      </c>
      <c r="F133" s="266">
        <f ca="1"/>
        <v>64.865410520410251</v>
      </c>
      <c r="G133" s="266">
        <f ca="1"/>
        <v>89.081824187465159</v>
      </c>
      <c r="H133" s="266">
        <f ca="1"/>
        <v>83.272393403727406</v>
      </c>
      <c r="I133" s="266">
        <f ca="1"/>
        <v>77.462962619989653</v>
      </c>
      <c r="J133" s="266">
        <f ca="1"/>
        <v>71.653531836251901</v>
      </c>
      <c r="K133" s="266">
        <f ca="1"/>
        <v>65.844101052514148</v>
      </c>
      <c r="M133" s="4" t="str">
        <f t="shared" si="1"/>
        <v>Mtonne</v>
      </c>
    </row>
    <row r="134" spans="1:13" s="7" customFormat="1" x14ac:dyDescent="0.25">
      <c r="A134" s="4" t="str">
        <v>CA CH4</v>
      </c>
      <c r="B134" s="266">
        <f ca="1"/>
        <v>17.878499275773692</v>
      </c>
      <c r="C134" s="266">
        <f ca="1"/>
        <v>28.660567100219936</v>
      </c>
      <c r="D134" s="266">
        <f ca="1"/>
        <v>45.013500462851646</v>
      </c>
      <c r="E134" s="266">
        <f ca="1"/>
        <v>68.364728219296808</v>
      </c>
      <c r="F134" s="266">
        <f ca="1"/>
        <v>97.670267130764785</v>
      </c>
      <c r="G134" s="266">
        <f ca="1"/>
        <v>109.11384926842456</v>
      </c>
      <c r="H134" s="266">
        <f ca="1"/>
        <v>101.53359409363755</v>
      </c>
      <c r="I134" s="266">
        <f ca="1"/>
        <v>93.953338918850491</v>
      </c>
      <c r="J134" s="266">
        <f ca="1"/>
        <v>86.373083744063479</v>
      </c>
      <c r="K134" s="266">
        <f ca="1"/>
        <v>78.792828569276438</v>
      </c>
      <c r="M134" s="4" t="str">
        <f t="shared" si="1"/>
        <v>Mtonne</v>
      </c>
    </row>
    <row r="135" spans="1:13" s="7" customFormat="1" x14ac:dyDescent="0.25">
      <c r="A135" s="4" t="str">
        <v>IA CH4</v>
      </c>
      <c r="B135" s="266">
        <f ca="1"/>
        <v>22.502249088473782</v>
      </c>
      <c r="C135" s="266">
        <f ca="1"/>
        <v>36.072782729587161</v>
      </c>
      <c r="D135" s="266">
        <f ca="1"/>
        <v>56.654922996347757</v>
      </c>
      <c r="E135" s="266">
        <f ca="1"/>
        <v>86.045261379459774</v>
      </c>
      <c r="F135" s="266">
        <f ca="1"/>
        <v>122.9298189749281</v>
      </c>
      <c r="G135" s="266">
        <f ca="1"/>
        <v>137.33294821715506</v>
      </c>
      <c r="H135" s="266">
        <f ca="1"/>
        <v>127.79228222130243</v>
      </c>
      <c r="I135" s="266">
        <f ca="1"/>
        <v>118.25161622544977</v>
      </c>
      <c r="J135" s="266">
        <f ca="1"/>
        <v>108.71095022959713</v>
      </c>
      <c r="K135" s="266">
        <f ca="1"/>
        <v>99.170284233744482</v>
      </c>
      <c r="M135" s="4" t="str">
        <f t="shared" si="1"/>
        <v>Mtonne</v>
      </c>
    </row>
    <row r="136" spans="1:13" s="7" customFormat="1" x14ac:dyDescent="0.25">
      <c r="A136" s="4" t="str">
        <v>AF CH4</v>
      </c>
      <c r="B136" s="266">
        <f ca="1"/>
        <v>40.79560683383059</v>
      </c>
      <c r="C136" s="266">
        <f ca="1"/>
        <v>66.245817117693107</v>
      </c>
      <c r="D136" s="266">
        <f ca="1"/>
        <v>91.431693855446397</v>
      </c>
      <c r="E136" s="266">
        <f ca="1"/>
        <v>120.09019482009052</v>
      </c>
      <c r="F136" s="266">
        <f ca="1"/>
        <v>149.7540997404821</v>
      </c>
      <c r="G136" s="266">
        <f ca="1"/>
        <v>164.73591223362359</v>
      </c>
      <c r="H136" s="266">
        <f ca="1"/>
        <v>153.4200566568723</v>
      </c>
      <c r="I136" s="266">
        <f ca="1"/>
        <v>142.10420108012099</v>
      </c>
      <c r="J136" s="266">
        <f ca="1"/>
        <v>130.7883455033697</v>
      </c>
      <c r="K136" s="266">
        <f ca="1"/>
        <v>119.47248992661838</v>
      </c>
      <c r="M136" s="4" t="str">
        <f t="shared" si="1"/>
        <v>Mtonne</v>
      </c>
    </row>
    <row r="137" spans="1:13" s="7" customFormat="1" ht="13" thickBot="1" x14ac:dyDescent="0.3">
      <c r="A137" s="4" t="str">
        <v>LA CH4</v>
      </c>
      <c r="B137" s="268">
        <f ca="1"/>
        <v>33.547414873490453</v>
      </c>
      <c r="C137" s="268">
        <f ca="1"/>
        <v>49.565312703003038</v>
      </c>
      <c r="D137" s="268">
        <f ca="1"/>
        <v>62.199251890067607</v>
      </c>
      <c r="E137" s="268">
        <f ca="1"/>
        <v>74.548006100728458</v>
      </c>
      <c r="F137" s="268">
        <f ca="1"/>
        <v>77.274595601278207</v>
      </c>
      <c r="G137" s="268">
        <f ca="1"/>
        <v>75.668710156619596</v>
      </c>
      <c r="H137" s="268">
        <f ca="1"/>
        <v>70.02447301834863</v>
      </c>
      <c r="I137" s="268">
        <f ca="1"/>
        <v>64.380235880077649</v>
      </c>
      <c r="J137" s="268">
        <f ca="1"/>
        <v>58.735998741806682</v>
      </c>
      <c r="K137" s="268">
        <f ca="1"/>
        <v>53.091761603535723</v>
      </c>
      <c r="M137" s="4" t="str">
        <f t="shared" si="1"/>
        <v>Mtonne</v>
      </c>
    </row>
    <row r="138" spans="1:13" s="8" customFormat="1" ht="15.5" thickTop="1" x14ac:dyDescent="0.4">
      <c r="A138" s="8" t="s">
        <v>105</v>
      </c>
      <c r="B138" s="8" t="s">
        <v>288</v>
      </c>
    </row>
    <row r="139" spans="1:13" s="7" customFormat="1" x14ac:dyDescent="0.25">
      <c r="A139" s="4" t="str">
        <f t="array" ref="A139:A146">R_CODE&amp;" "&amp;'Base data'!$D$12</f>
        <v>EU N2O</v>
      </c>
      <c r="B139" s="267">
        <f t="array" ref="B139:K146" ca="1">cb_n2o_b*E_N2O_0/100</f>
        <v>0.39707991053163033</v>
      </c>
      <c r="C139" s="267">
        <f ca="1"/>
        <v>0.5388081408508989</v>
      </c>
      <c r="D139" s="267">
        <f ca="1"/>
        <v>0.72427093540630905</v>
      </c>
      <c r="E139" s="267">
        <f ca="1"/>
        <v>0.88983193913109171</v>
      </c>
      <c r="F139" s="267">
        <f ca="1"/>
        <v>1.1089914124374145</v>
      </c>
      <c r="G139" s="267">
        <f ca="1"/>
        <v>1.2573613903436422</v>
      </c>
      <c r="H139" s="267">
        <f ca="1"/>
        <v>1.2344480649348248</v>
      </c>
      <c r="I139" s="267">
        <f ca="1"/>
        <v>1.2115347395260074</v>
      </c>
      <c r="J139" s="267">
        <f ca="1"/>
        <v>1.18862141411719</v>
      </c>
      <c r="K139" s="267">
        <f ca="1"/>
        <v>1.1657080887083726</v>
      </c>
      <c r="M139" s="4" t="str">
        <f t="shared" ref="M139:M146" si="2">EMIT_NAME</f>
        <v>Mtonne</v>
      </c>
    </row>
    <row r="140" spans="1:13" s="7" customFormat="1" x14ac:dyDescent="0.25">
      <c r="A140" s="4" t="str">
        <v>US N2O</v>
      </c>
      <c r="B140" s="266">
        <f ca="1"/>
        <v>0.3502321460102793</v>
      </c>
      <c r="C140" s="266">
        <f ca="1"/>
        <v>0.47523918096326662</v>
      </c>
      <c r="D140" s="266">
        <f ca="1"/>
        <v>0.63882094579050197</v>
      </c>
      <c r="E140" s="266">
        <f ca="1"/>
        <v>0.78484894693645157</v>
      </c>
      <c r="F140" s="266">
        <f ca="1"/>
        <v>0.97815183287643848</v>
      </c>
      <c r="G140" s="266">
        <f ca="1"/>
        <v>1.1090170174082472</v>
      </c>
      <c r="H140" s="266">
        <f ca="1"/>
        <v>1.0888070220966795</v>
      </c>
      <c r="I140" s="266">
        <f ca="1"/>
        <v>1.0685970267851119</v>
      </c>
      <c r="J140" s="266">
        <f ca="1"/>
        <v>1.0483870314735442</v>
      </c>
      <c r="K140" s="266">
        <f ca="1"/>
        <v>1.0281770361619764</v>
      </c>
      <c r="M140" s="4" t="str">
        <f t="shared" si="2"/>
        <v>Mtonne</v>
      </c>
    </row>
    <row r="141" spans="1:13" s="7" customFormat="1" x14ac:dyDescent="0.25">
      <c r="A141" s="4" t="str">
        <v>OT N2O</v>
      </c>
      <c r="B141" s="266">
        <f ca="1"/>
        <v>0.18825500988422927</v>
      </c>
      <c r="C141" s="266">
        <f ca="1"/>
        <v>0.25544815839659374</v>
      </c>
      <c r="D141" s="266">
        <f ca="1"/>
        <v>0.34337580040558008</v>
      </c>
      <c r="E141" s="266">
        <f ca="1"/>
        <v>0.42186803223600189</v>
      </c>
      <c r="F141" s="266">
        <f ca="1"/>
        <v>0.5257712207863019</v>
      </c>
      <c r="G141" s="266">
        <f ca="1"/>
        <v>0.59611321220023139</v>
      </c>
      <c r="H141" s="266">
        <f ca="1"/>
        <v>0.58525003784436358</v>
      </c>
      <c r="I141" s="266">
        <f ca="1"/>
        <v>0.57438686348849577</v>
      </c>
      <c r="J141" s="266">
        <f ca="1"/>
        <v>0.56352368913262796</v>
      </c>
      <c r="K141" s="266">
        <f ca="1"/>
        <v>0.55266051477676026</v>
      </c>
      <c r="M141" s="4" t="str">
        <f t="shared" si="2"/>
        <v>Mtonne</v>
      </c>
    </row>
    <row r="142" spans="1:13" s="7" customFormat="1" x14ac:dyDescent="0.25">
      <c r="A142" s="4" t="str">
        <v>EE N2O</v>
      </c>
      <c r="B142" s="266">
        <f ca="1"/>
        <v>0</v>
      </c>
      <c r="C142" s="266">
        <f ca="1"/>
        <v>4.1662595631000353E-2</v>
      </c>
      <c r="D142" s="266">
        <f ca="1"/>
        <v>0.10093415042712792</v>
      </c>
      <c r="E142" s="266">
        <f ca="1"/>
        <v>0.14438341802111501</v>
      </c>
      <c r="F142" s="266">
        <f ca="1"/>
        <v>0.17273451185680591</v>
      </c>
      <c r="G142" s="266">
        <f ca="1"/>
        <v>0.34903398484394288</v>
      </c>
      <c r="H142" s="266">
        <f ca="1"/>
        <v>0.33769330167283806</v>
      </c>
      <c r="I142" s="266">
        <f ca="1"/>
        <v>0.32635261850173303</v>
      </c>
      <c r="J142" s="266">
        <f ca="1"/>
        <v>0.31501193533062799</v>
      </c>
      <c r="K142" s="266">
        <f ca="1"/>
        <v>0.30367125215952312</v>
      </c>
      <c r="M142" s="4" t="str">
        <f t="shared" si="2"/>
        <v>Mtonne</v>
      </c>
    </row>
    <row r="143" spans="1:13" s="7" customFormat="1" x14ac:dyDescent="0.25">
      <c r="A143" s="4" t="str">
        <v>CA N2O</v>
      </c>
      <c r="B143" s="266">
        <f ca="1"/>
        <v>0</v>
      </c>
      <c r="C143" s="266">
        <f ca="1"/>
        <v>5.3882723939658421E-2</v>
      </c>
      <c r="D143" s="266">
        <f ca="1"/>
        <v>0.52036665444382679</v>
      </c>
      <c r="E143" s="266">
        <f ca="1"/>
        <v>1.1882582003953674</v>
      </c>
      <c r="F143" s="266">
        <f ca="1"/>
        <v>1.8084098492581651</v>
      </c>
      <c r="G143" s="266">
        <f ca="1"/>
        <v>2.6749216624630878</v>
      </c>
      <c r="H143" s="266">
        <f ca="1"/>
        <v>2.6147142149852773</v>
      </c>
      <c r="I143" s="266">
        <f ca="1"/>
        <v>2.5545067675074664</v>
      </c>
      <c r="J143" s="266">
        <f ca="1"/>
        <v>2.494299320029655</v>
      </c>
      <c r="K143" s="266">
        <f ca="1"/>
        <v>2.4340918725518437</v>
      </c>
      <c r="M143" s="4" t="str">
        <f t="shared" si="2"/>
        <v>Mtonne</v>
      </c>
    </row>
    <row r="144" spans="1:13" s="7" customFormat="1" x14ac:dyDescent="0.25">
      <c r="A144" s="4" t="str">
        <v>IA N2O</v>
      </c>
      <c r="B144" s="266">
        <f ca="1"/>
        <v>0</v>
      </c>
      <c r="C144" s="266">
        <f ca="1"/>
        <v>2.2589470401233311E-2</v>
      </c>
      <c r="D144" s="266">
        <f ca="1"/>
        <v>0.2181553989644523</v>
      </c>
      <c r="E144" s="266">
        <f ca="1"/>
        <v>0.49815824970009998</v>
      </c>
      <c r="F144" s="266">
        <f ca="1"/>
        <v>0.75814691196502793</v>
      </c>
      <c r="G144" s="266">
        <f ca="1"/>
        <v>1.1214181337138016</v>
      </c>
      <c r="H144" s="266">
        <f ca="1"/>
        <v>1.0961771241045455</v>
      </c>
      <c r="I144" s="266">
        <f ca="1"/>
        <v>1.0709361144952894</v>
      </c>
      <c r="J144" s="266">
        <f ca="1"/>
        <v>1.045695104886033</v>
      </c>
      <c r="K144" s="266">
        <f ca="1"/>
        <v>1.0204540952767764</v>
      </c>
      <c r="M144" s="4" t="str">
        <f t="shared" si="2"/>
        <v>Mtonne</v>
      </c>
    </row>
    <row r="145" spans="1:13" s="7" customFormat="1" x14ac:dyDescent="0.25">
      <c r="A145" s="4" t="str">
        <v>AF N2O</v>
      </c>
      <c r="B145" s="266">
        <f ca="1"/>
        <v>0.40558794100496648</v>
      </c>
      <c r="C145" s="266">
        <f ca="1"/>
        <v>0.97886600142107072</v>
      </c>
      <c r="D145" s="266">
        <f ca="1"/>
        <v>1.5572285521027778</v>
      </c>
      <c r="E145" s="266">
        <f ca="1"/>
        <v>2.3345961839303957</v>
      </c>
      <c r="F145" s="266">
        <f ca="1"/>
        <v>3.6207944115298214</v>
      </c>
      <c r="G145" s="266">
        <f ca="1"/>
        <v>4.5935413391482101</v>
      </c>
      <c r="H145" s="266">
        <f ca="1"/>
        <v>4.5222136599503191</v>
      </c>
      <c r="I145" s="266">
        <f ca="1"/>
        <v>4.4508859807524281</v>
      </c>
      <c r="J145" s="266">
        <f ca="1"/>
        <v>4.3795583015545363</v>
      </c>
      <c r="K145" s="266">
        <f ca="1"/>
        <v>4.3082306223566453</v>
      </c>
      <c r="M145" s="4" t="str">
        <f t="shared" si="2"/>
        <v>Mtonne</v>
      </c>
    </row>
    <row r="146" spans="1:13" s="7" customFormat="1" ht="13" thickBot="1" x14ac:dyDescent="0.3">
      <c r="A146" s="4" t="str">
        <v>LA N2O</v>
      </c>
      <c r="B146" s="268">
        <f ca="1"/>
        <v>0.568305541388192</v>
      </c>
      <c r="C146" s="268">
        <f ca="1"/>
        <v>1.0137231069428492</v>
      </c>
      <c r="D146" s="268">
        <f ca="1"/>
        <v>1.4304839575904749</v>
      </c>
      <c r="E146" s="268">
        <f ca="1"/>
        <v>1.9354074192057247</v>
      </c>
      <c r="F146" s="268">
        <f ca="1"/>
        <v>2.4509716822711214</v>
      </c>
      <c r="G146" s="268">
        <f ca="1"/>
        <v>2.4793532551623705</v>
      </c>
      <c r="H146" s="268">
        <f ca="1"/>
        <v>2.436284675984377</v>
      </c>
      <c r="I146" s="268">
        <f ca="1"/>
        <v>2.3932160968063836</v>
      </c>
      <c r="J146" s="268">
        <f ca="1"/>
        <v>2.3501475176283897</v>
      </c>
      <c r="K146" s="268">
        <f ca="1"/>
        <v>2.3070789384503967</v>
      </c>
      <c r="M146" s="4" t="str">
        <f t="shared" si="2"/>
        <v>Mtonne</v>
      </c>
    </row>
    <row r="147" spans="1:13" s="8" customFormat="1" ht="15.5" thickTop="1" x14ac:dyDescent="0.4">
      <c r="A147" s="8" t="s">
        <v>105</v>
      </c>
      <c r="B147" s="8" t="s">
        <v>289</v>
      </c>
    </row>
    <row r="148" spans="1:13" s="7" customFormat="1" x14ac:dyDescent="0.25">
      <c r="A148" s="4" t="str">
        <f t="array" ref="A148:A155">R_CODE&amp;" "&amp;GLIN_NAME</f>
        <v>EU Lin</v>
      </c>
      <c r="B148" s="267">
        <f t="array" aca="1" ref="B148:K155" ca="1">cb_glin_b*E_GLIN_0/100</f>
        <v>56.918699312148227</v>
      </c>
      <c r="C148" s="267">
        <f ca="1"/>
        <v>104.79446167813434</v>
      </c>
      <c r="D148" s="267">
        <f ca="1"/>
        <v>124.52106112633938</v>
      </c>
      <c r="E148" s="267">
        <f ca="1"/>
        <v>139.3974797752031</v>
      </c>
      <c r="F148" s="267">
        <f ca="1"/>
        <v>135.72163101896433</v>
      </c>
      <c r="G148" s="267">
        <f ca="1"/>
        <v>144.96813779800499</v>
      </c>
      <c r="H148" s="267">
        <f ca="1"/>
        <v>144.96813779800499</v>
      </c>
      <c r="I148" s="267">
        <f ca="1"/>
        <v>144.96813779800499</v>
      </c>
      <c r="J148" s="267">
        <f ca="1"/>
        <v>144.96813779800499</v>
      </c>
      <c r="K148" s="267">
        <f ca="1"/>
        <v>144.96813779800499</v>
      </c>
      <c r="M148" s="4" t="str">
        <f t="shared" ref="M148:M155" si="3">EMIT_NAME</f>
        <v>Mtonne</v>
      </c>
    </row>
    <row r="149" spans="1:13" s="7" customFormat="1" x14ac:dyDescent="0.25">
      <c r="A149" s="4" t="str">
        <v>US Lin</v>
      </c>
      <c r="B149" s="266">
        <f ca="1"/>
        <v>148.1714230689914</v>
      </c>
      <c r="C149" s="266">
        <f ca="1"/>
        <v>272.80216702499354</v>
      </c>
      <c r="D149" s="266">
        <f ca="1"/>
        <v>324.15468118774567</v>
      </c>
      <c r="E149" s="266">
        <f ca="1"/>
        <v>362.88114802571437</v>
      </c>
      <c r="F149" s="266">
        <f ca="1"/>
        <v>353.31213559604993</v>
      </c>
      <c r="G149" s="266">
        <f ca="1"/>
        <v>377.38275007643233</v>
      </c>
      <c r="H149" s="266">
        <f ca="1"/>
        <v>377.38275007643233</v>
      </c>
      <c r="I149" s="266">
        <f ca="1"/>
        <v>377.38275007643233</v>
      </c>
      <c r="J149" s="266">
        <f ca="1"/>
        <v>377.38275007643233</v>
      </c>
      <c r="K149" s="266">
        <f ca="1"/>
        <v>377.38275007643233</v>
      </c>
      <c r="M149" s="4" t="str">
        <f t="shared" si="3"/>
        <v>Mtonne</v>
      </c>
    </row>
    <row r="150" spans="1:13" s="7" customFormat="1" x14ac:dyDescent="0.25">
      <c r="A150" s="4" t="str">
        <v>OT Lin</v>
      </c>
      <c r="B150" s="266">
        <f ca="1"/>
        <v>53.366020770442077</v>
      </c>
      <c r="C150" s="266">
        <f ca="1"/>
        <v>98.253535061877386</v>
      </c>
      <c r="D150" s="266">
        <f ca="1"/>
        <v>116.7488648674623</v>
      </c>
      <c r="E150" s="266">
        <f ca="1"/>
        <v>130.6967462526508</v>
      </c>
      <c r="F150" s="266">
        <f ca="1"/>
        <v>127.2503319205409</v>
      </c>
      <c r="G150" s="266">
        <f ca="1"/>
        <v>135.91970207108122</v>
      </c>
      <c r="H150" s="266">
        <f ca="1"/>
        <v>135.91970207108122</v>
      </c>
      <c r="I150" s="266">
        <f ca="1"/>
        <v>135.91970207108122</v>
      </c>
      <c r="J150" s="266">
        <f ca="1"/>
        <v>135.91970207108122</v>
      </c>
      <c r="K150" s="266">
        <f ca="1"/>
        <v>135.91970207108122</v>
      </c>
      <c r="M150" s="4" t="str">
        <f t="shared" si="3"/>
        <v>Mtonne</v>
      </c>
    </row>
    <row r="151" spans="1:13" s="7" customFormat="1" x14ac:dyDescent="0.25">
      <c r="A151" s="4" t="str">
        <v>EE Lin</v>
      </c>
      <c r="B151" s="266">
        <f ca="1"/>
        <v>28.771798422431548</v>
      </c>
      <c r="C151" s="266">
        <f ca="1"/>
        <v>58.517627019063482</v>
      </c>
      <c r="D151" s="266">
        <f ca="1"/>
        <v>87.432761699178357</v>
      </c>
      <c r="E151" s="266">
        <f ca="1"/>
        <v>115.15757717510022</v>
      </c>
      <c r="F151" s="266">
        <f ca="1"/>
        <v>143.04796429663426</v>
      </c>
      <c r="G151" s="266">
        <f ca="1"/>
        <v>165.2490865839832</v>
      </c>
      <c r="H151" s="266">
        <f ca="1"/>
        <v>165.2490865839832</v>
      </c>
      <c r="I151" s="266">
        <f ca="1"/>
        <v>165.2490865839832</v>
      </c>
      <c r="J151" s="266">
        <f ca="1"/>
        <v>165.2490865839832</v>
      </c>
      <c r="K151" s="266">
        <f ca="1"/>
        <v>165.2490865839832</v>
      </c>
      <c r="M151" s="4" t="str">
        <f t="shared" si="3"/>
        <v>Mtonne</v>
      </c>
    </row>
    <row r="152" spans="1:13" s="7" customFormat="1" x14ac:dyDescent="0.25">
      <c r="A152" s="4" t="str">
        <v>CA Lin</v>
      </c>
      <c r="B152" s="266">
        <f ca="1"/>
        <v>83.795342316711583</v>
      </c>
      <c r="C152" s="266">
        <f ca="1"/>
        <v>159.00983359577808</v>
      </c>
      <c r="D152" s="266">
        <f ca="1"/>
        <v>255.41104458719437</v>
      </c>
      <c r="E152" s="266">
        <f ca="1"/>
        <v>324.76935016812229</v>
      </c>
      <c r="F152" s="266">
        <f ca="1"/>
        <v>425.10105937435475</v>
      </c>
      <c r="G152" s="266">
        <f ca="1"/>
        <v>479.01025580751229</v>
      </c>
      <c r="H152" s="266">
        <f ca="1"/>
        <v>479.01025580751229</v>
      </c>
      <c r="I152" s="266">
        <f ca="1"/>
        <v>479.01025580751229</v>
      </c>
      <c r="J152" s="266">
        <f ca="1"/>
        <v>479.01025580751229</v>
      </c>
      <c r="K152" s="266">
        <f ca="1"/>
        <v>479.01025580751229</v>
      </c>
      <c r="M152" s="4" t="str">
        <f t="shared" si="3"/>
        <v>Mtonne</v>
      </c>
    </row>
    <row r="153" spans="1:13" s="7" customFormat="1" x14ac:dyDescent="0.25">
      <c r="A153" s="4" t="str">
        <v>IA Lin</v>
      </c>
      <c r="B153" s="266">
        <f ca="1"/>
        <v>58.533908602680476</v>
      </c>
      <c r="C153" s="266">
        <f ca="1"/>
        <v>111.0737996802298</v>
      </c>
      <c r="D153" s="266">
        <f ca="1"/>
        <v>178.41333810030173</v>
      </c>
      <c r="E153" s="266">
        <f ca="1"/>
        <v>226.86248345215688</v>
      </c>
      <c r="F153" s="266">
        <f ca="1"/>
        <v>296.94760911978119</v>
      </c>
      <c r="G153" s="266">
        <f ca="1"/>
        <v>334.60502407413333</v>
      </c>
      <c r="H153" s="266">
        <f ca="1"/>
        <v>334.60502407413333</v>
      </c>
      <c r="I153" s="266">
        <f ca="1"/>
        <v>334.60502407413333</v>
      </c>
      <c r="J153" s="266">
        <f ca="1"/>
        <v>334.60502407413333</v>
      </c>
      <c r="K153" s="266">
        <f ca="1"/>
        <v>334.60502407413333</v>
      </c>
      <c r="M153" s="4" t="str">
        <f t="shared" si="3"/>
        <v>Mtonne</v>
      </c>
    </row>
    <row r="154" spans="1:13" s="7" customFormat="1" x14ac:dyDescent="0.25">
      <c r="A154" s="4" t="str">
        <v>AF Lin</v>
      </c>
      <c r="B154" s="266">
        <f ca="1"/>
        <v>41.320518944711552</v>
      </c>
      <c r="C154" s="266">
        <f ca="1"/>
        <v>73.222693940648298</v>
      </c>
      <c r="D154" s="266">
        <f ca="1"/>
        <v>100.36519865753291</v>
      </c>
      <c r="E154" s="266">
        <f ca="1"/>
        <v>135.1397516278702</v>
      </c>
      <c r="F154" s="266">
        <f ca="1"/>
        <v>203.30306730845197</v>
      </c>
      <c r="G154" s="266">
        <f ca="1"/>
        <v>242.398610580872</v>
      </c>
      <c r="H154" s="266">
        <f ca="1"/>
        <v>242.398610580872</v>
      </c>
      <c r="I154" s="266">
        <f ca="1"/>
        <v>242.398610580872</v>
      </c>
      <c r="J154" s="266">
        <f ca="1"/>
        <v>242.398610580872</v>
      </c>
      <c r="K154" s="266">
        <f ca="1"/>
        <v>242.398610580872</v>
      </c>
      <c r="M154" s="4" t="str">
        <f t="shared" si="3"/>
        <v>Mtonne</v>
      </c>
    </row>
    <row r="155" spans="1:13" s="7" customFormat="1" ht="13" thickBot="1" x14ac:dyDescent="0.3">
      <c r="A155" s="4" t="str">
        <v>LA Lin</v>
      </c>
      <c r="B155" s="268">
        <f ca="1"/>
        <v>27.904099323091806</v>
      </c>
      <c r="C155" s="268">
        <f ca="1"/>
        <v>50.159292908774702</v>
      </c>
      <c r="D155" s="268">
        <f ca="1"/>
        <v>79.112577374935981</v>
      </c>
      <c r="E155" s="268">
        <f ca="1"/>
        <v>103.26428662215665</v>
      </c>
      <c r="F155" s="268">
        <f ca="1"/>
        <v>153.32635096691564</v>
      </c>
      <c r="G155" s="268">
        <f ca="1"/>
        <v>179.7544674996287</v>
      </c>
      <c r="H155" s="268">
        <f ca="1"/>
        <v>179.7544674996287</v>
      </c>
      <c r="I155" s="268">
        <f ca="1"/>
        <v>179.7544674996287</v>
      </c>
      <c r="J155" s="268">
        <f ca="1"/>
        <v>179.7544674996287</v>
      </c>
      <c r="K155" s="268">
        <f ca="1"/>
        <v>179.7544674996287</v>
      </c>
      <c r="M155" s="4" t="str">
        <f t="shared" si="3"/>
        <v>Mtonne</v>
      </c>
    </row>
    <row r="156" spans="1:13" s="2" customFormat="1" ht="15.5" thickTop="1" x14ac:dyDescent="0.4">
      <c r="A156" s="2" t="s">
        <v>285</v>
      </c>
      <c r="B156" s="2" t="s">
        <v>290</v>
      </c>
    </row>
    <row r="157" spans="1:13" s="6" customFormat="1" x14ac:dyDescent="0.25">
      <c r="A157" s="4" t="str">
        <f t="array" ref="A157:A164">R_CODE&amp;" "&amp;'Base data'!$B$12</f>
        <v>EU CO2</v>
      </c>
      <c r="B157" s="27">
        <f t="array" ref="B157:B164">0</f>
        <v>0</v>
      </c>
      <c r="C157" s="269">
        <f t="array" ref="C157:K164" ca="1">cumcbe_co2_b+cbe_co2_b*YAGG</f>
        <v>7463.9728597940375</v>
      </c>
      <c r="D157" s="269">
        <f ca="1"/>
        <v>35805.789792937605</v>
      </c>
      <c r="E157" s="269">
        <f ca="1"/>
        <v>83604.943533591693</v>
      </c>
      <c r="F157" s="269">
        <f ca="1"/>
        <v>189324.65003373256</v>
      </c>
      <c r="G157" s="269">
        <f ca="1"/>
        <v>390727.17512064776</v>
      </c>
      <c r="H157" s="269">
        <f ca="1"/>
        <v>678780.08046271419</v>
      </c>
      <c r="I157" s="269">
        <f ca="1"/>
        <v>1047836.085106299</v>
      </c>
      <c r="J157" s="269">
        <f ca="1"/>
        <v>1401877.5539373802</v>
      </c>
      <c r="K157" s="269">
        <f ca="1"/>
        <v>1740904.4869559575</v>
      </c>
      <c r="M157" s="4" t="str">
        <f t="shared" ref="M157:M165" si="4">EMIT_NAME</f>
        <v>Mtonne</v>
      </c>
    </row>
    <row r="158" spans="1:13" s="6" customFormat="1" x14ac:dyDescent="0.25">
      <c r="A158" s="4" t="str">
        <v>US CO2</v>
      </c>
      <c r="B158" s="28">
        <v>0</v>
      </c>
      <c r="C158" s="261">
        <f ca="1"/>
        <v>10487.941934108145</v>
      </c>
      <c r="D158" s="261">
        <f ca="1"/>
        <v>50312.219954076012</v>
      </c>
      <c r="E158" s="261">
        <f ca="1"/>
        <v>117476.81960473993</v>
      </c>
      <c r="F158" s="261">
        <f ca="1"/>
        <v>266028.02201292058</v>
      </c>
      <c r="G158" s="261">
        <f ca="1"/>
        <v>549027.1738282463</v>
      </c>
      <c r="H158" s="261">
        <f ca="1"/>
        <v>953782.41636835691</v>
      </c>
      <c r="I158" s="261">
        <f ca="1"/>
        <v>1472358.5178418376</v>
      </c>
      <c r="J158" s="261">
        <f ca="1"/>
        <v>1969837.0640686513</v>
      </c>
      <c r="K158" s="261">
        <f ca="1"/>
        <v>2446218.0550487982</v>
      </c>
      <c r="M158" s="4" t="str">
        <f t="shared" si="4"/>
        <v>Mtonne</v>
      </c>
    </row>
    <row r="159" spans="1:13" s="6" customFormat="1" x14ac:dyDescent="0.25">
      <c r="A159" s="4" t="str">
        <v>OT CO2</v>
      </c>
      <c r="B159" s="28">
        <v>0</v>
      </c>
      <c r="C159" s="261">
        <f ca="1"/>
        <v>4135.6237910520995</v>
      </c>
      <c r="D159" s="261">
        <f ca="1"/>
        <v>19839.203451922702</v>
      </c>
      <c r="E159" s="261">
        <f ca="1"/>
        <v>46323.66703656935</v>
      </c>
      <c r="F159" s="261">
        <f ca="1"/>
        <v>104900.6395950002</v>
      </c>
      <c r="G159" s="261">
        <f ca="1"/>
        <v>216493.36507422951</v>
      </c>
      <c r="H159" s="261">
        <f ca="1"/>
        <v>376097.16733768012</v>
      </c>
      <c r="I159" s="261">
        <f ca="1"/>
        <v>580583.01176728599</v>
      </c>
      <c r="J159" s="261">
        <f ca="1"/>
        <v>776749.63094189705</v>
      </c>
      <c r="K159" s="261">
        <f ca="1"/>
        <v>964597.02486151329</v>
      </c>
      <c r="M159" s="4" t="str">
        <f t="shared" si="4"/>
        <v>Mtonne</v>
      </c>
    </row>
    <row r="160" spans="1:13" s="6" customFormat="1" x14ac:dyDescent="0.25">
      <c r="A160" s="4" t="str">
        <v>EE CO2</v>
      </c>
      <c r="B160" s="28">
        <v>0</v>
      </c>
      <c r="C160" s="261">
        <f ca="1"/>
        <v>10387.251330929401</v>
      </c>
      <c r="D160" s="261">
        <f ca="1"/>
        <v>40956.047411830965</v>
      </c>
      <c r="E160" s="261">
        <f ca="1"/>
        <v>91714.576248065321</v>
      </c>
      <c r="F160" s="261">
        <f ca="1"/>
        <v>208695.24812517781</v>
      </c>
      <c r="G160" s="261">
        <f ca="1"/>
        <v>466099.03380490572</v>
      </c>
      <c r="H160" s="261">
        <f ca="1"/>
        <v>981862.81703169283</v>
      </c>
      <c r="I160" s="261">
        <f ca="1"/>
        <v>1641464.3343865089</v>
      </c>
      <c r="J160" s="261">
        <f ca="1"/>
        <v>2272982.3247937579</v>
      </c>
      <c r="K160" s="261">
        <f ca="1"/>
        <v>2876416.7882534405</v>
      </c>
      <c r="M160" s="4" t="str">
        <f t="shared" si="4"/>
        <v>Mtonne</v>
      </c>
    </row>
    <row r="161" spans="1:13" s="6" customFormat="1" x14ac:dyDescent="0.25">
      <c r="A161" s="4" t="str">
        <v>CA CO2</v>
      </c>
      <c r="B161" s="28">
        <v>0</v>
      </c>
      <c r="C161" s="261">
        <f ca="1"/>
        <v>10052.193568339078</v>
      </c>
      <c r="D161" s="261">
        <f ca="1"/>
        <v>56182.043770390381</v>
      </c>
      <c r="E161" s="261">
        <f ca="1"/>
        <v>160048.42546343183</v>
      </c>
      <c r="F161" s="261">
        <f ca="1"/>
        <v>428518.62866335479</v>
      </c>
      <c r="G161" s="261">
        <f ca="1"/>
        <v>1029803.326653352</v>
      </c>
      <c r="H161" s="261">
        <f ca="1"/>
        <v>1962206.7845266131</v>
      </c>
      <c r="I161" s="261">
        <f ca="1"/>
        <v>3154927.5121510206</v>
      </c>
      <c r="J161" s="261">
        <f ca="1"/>
        <v>4297164.3569021542</v>
      </c>
      <c r="K161" s="261">
        <f ca="1"/>
        <v>5388917.3187800134</v>
      </c>
      <c r="M161" s="4" t="str">
        <f t="shared" si="4"/>
        <v>Mtonne</v>
      </c>
    </row>
    <row r="162" spans="1:13" s="6" customFormat="1" x14ac:dyDescent="0.25">
      <c r="A162" s="4" t="str">
        <v>IA CO2</v>
      </c>
      <c r="B162" s="28">
        <v>0</v>
      </c>
      <c r="C162" s="261">
        <f ca="1"/>
        <v>6114.1530533390251</v>
      </c>
      <c r="D162" s="261">
        <f ca="1"/>
        <v>34172.204516980448</v>
      </c>
      <c r="E162" s="261">
        <f ca="1"/>
        <v>97347.963166116242</v>
      </c>
      <c r="F162" s="261">
        <f ca="1"/>
        <v>260642.4621693395</v>
      </c>
      <c r="G162" s="261">
        <f ca="1"/>
        <v>626368.27585848107</v>
      </c>
      <c r="H162" s="261">
        <f ca="1"/>
        <v>1193493.9892804124</v>
      </c>
      <c r="I162" s="261">
        <f ca="1"/>
        <v>1918955.2559191952</v>
      </c>
      <c r="J162" s="261">
        <f ca="1"/>
        <v>2613710.1713008527</v>
      </c>
      <c r="K162" s="261">
        <f ca="1"/>
        <v>3277758.7354253847</v>
      </c>
      <c r="M162" s="4" t="str">
        <f t="shared" si="4"/>
        <v>Mtonne</v>
      </c>
    </row>
    <row r="163" spans="1:13" s="6" customFormat="1" x14ac:dyDescent="0.25">
      <c r="A163" s="4" t="str">
        <v>AF CO2</v>
      </c>
      <c r="B163" s="28">
        <v>0</v>
      </c>
      <c r="C163" s="261">
        <f ca="1"/>
        <v>19082.873847278941</v>
      </c>
      <c r="D163" s="261">
        <f ca="1"/>
        <v>58869.611393924846</v>
      </c>
      <c r="E163" s="261">
        <f ca="1"/>
        <v>134511.47720547975</v>
      </c>
      <c r="F163" s="261">
        <f ca="1"/>
        <v>328975.12529049267</v>
      </c>
      <c r="G163" s="261">
        <f ca="1"/>
        <v>789787.54856527469</v>
      </c>
      <c r="H163" s="261">
        <f ca="1"/>
        <v>1657175.3873290531</v>
      </c>
      <c r="I163" s="261">
        <f ca="1"/>
        <v>2765920.4880244723</v>
      </c>
      <c r="J163" s="261">
        <f ca="1"/>
        <v>3826893.5710636065</v>
      </c>
      <c r="K163" s="261">
        <f ca="1"/>
        <v>4840094.6364464555</v>
      </c>
      <c r="M163" s="4" t="str">
        <f t="shared" si="4"/>
        <v>Mtonne</v>
      </c>
    </row>
    <row r="164" spans="1:13" s="6" customFormat="1" ht="13" thickBot="1" x14ac:dyDescent="0.3">
      <c r="A164" s="4" t="str">
        <v>LA CO2</v>
      </c>
      <c r="B164" s="36">
        <v>0</v>
      </c>
      <c r="C164" s="270">
        <f ca="1"/>
        <v>11601.766675642129</v>
      </c>
      <c r="D164" s="270">
        <f ca="1"/>
        <v>41153.759159725327</v>
      </c>
      <c r="E164" s="270">
        <f ca="1"/>
        <v>85251.399179960805</v>
      </c>
      <c r="F164" s="270">
        <f ca="1"/>
        <v>193808.10330021015</v>
      </c>
      <c r="G164" s="270">
        <f ca="1"/>
        <v>416944.03936760302</v>
      </c>
      <c r="H164" s="270">
        <f ca="1"/>
        <v>668938.57625023974</v>
      </c>
      <c r="I164" s="270">
        <f ca="1"/>
        <v>991052.50923878478</v>
      </c>
      <c r="J164" s="270">
        <f ca="1"/>
        <v>1299287.6593723593</v>
      </c>
      <c r="K164" s="270">
        <f ca="1"/>
        <v>1593644.0266509631</v>
      </c>
      <c r="M164" s="4" t="str">
        <f t="shared" si="4"/>
        <v>Mtonne</v>
      </c>
    </row>
    <row r="165" spans="1:13" s="6" customFormat="1" ht="13" thickTop="1" x14ac:dyDescent="0.25">
      <c r="A165" s="58" t="s">
        <v>206</v>
      </c>
      <c r="B165" s="28">
        <f t="shared" ref="B165:K165" si="5">SUM(B157:B164)</f>
        <v>0</v>
      </c>
      <c r="C165" s="28">
        <f t="shared" ca="1" si="5"/>
        <v>79325.77706048284</v>
      </c>
      <c r="D165" s="28">
        <f t="shared" ca="1" si="5"/>
        <v>337290.87945178832</v>
      </c>
      <c r="E165" s="28">
        <f t="shared" ca="1" si="5"/>
        <v>816279.27143795497</v>
      </c>
      <c r="F165" s="28">
        <f t="shared" ca="1" si="5"/>
        <v>1980892.8791902279</v>
      </c>
      <c r="G165" s="28">
        <f t="shared" ca="1" si="5"/>
        <v>4485249.9382727398</v>
      </c>
      <c r="H165" s="28">
        <f t="shared" ca="1" si="5"/>
        <v>8472337.2185867634</v>
      </c>
      <c r="I165" s="28">
        <f t="shared" ca="1" si="5"/>
        <v>13573097.714435404</v>
      </c>
      <c r="J165" s="28">
        <f t="shared" ca="1" si="5"/>
        <v>18458502.33238066</v>
      </c>
      <c r="K165" s="28">
        <f t="shared" ca="1" si="5"/>
        <v>23128551.072422523</v>
      </c>
      <c r="M165" s="4" t="str">
        <f t="shared" si="4"/>
        <v>Mtonne</v>
      </c>
    </row>
    <row r="166" spans="1:13" s="8" customFormat="1" ht="15" x14ac:dyDescent="0.4">
      <c r="A166" s="2" t="s">
        <v>285</v>
      </c>
      <c r="B166" s="2" t="s">
        <v>291</v>
      </c>
      <c r="C166" s="2"/>
      <c r="D166" s="2"/>
      <c r="E166" s="2"/>
      <c r="F166" s="2"/>
      <c r="G166" s="2"/>
      <c r="H166" s="2"/>
      <c r="I166" s="2"/>
      <c r="J166" s="2"/>
      <c r="K166" s="2"/>
    </row>
    <row r="167" spans="1:13" s="7" customFormat="1" x14ac:dyDescent="0.25">
      <c r="A167" s="4" t="str">
        <f t="array" ref="A167:A174">R_CODE&amp;" "&amp;'Base data'!$C$12</f>
        <v>EU CH4</v>
      </c>
      <c r="B167" s="29">
        <f t="array" ref="B167:B174">0</f>
        <v>0</v>
      </c>
      <c r="C167" s="267">
        <f t="array" ref="C167:K174" ca="1">cumcbe_ch4_b+cbe_ch4_b*YAGG</f>
        <v>126.45191392059239</v>
      </c>
      <c r="D167" s="267">
        <f ca="1"/>
        <v>287.03543057339994</v>
      </c>
      <c r="E167" s="267">
        <f ca="1"/>
        <v>475.11538558709765</v>
      </c>
      <c r="F167" s="267">
        <f ca="1"/>
        <v>867.15869181273251</v>
      </c>
      <c r="G167" s="267">
        <f ca="1"/>
        <v>1589.2183658438653</v>
      </c>
      <c r="H167" s="267">
        <f ca="1"/>
        <v>2879.5928729140014</v>
      </c>
      <c r="I167" s="267">
        <f ca="1"/>
        <v>4486.262621707876</v>
      </c>
      <c r="J167" s="267">
        <f ca="1"/>
        <v>5979.1027765354429</v>
      </c>
      <c r="K167" s="267">
        <f ca="1"/>
        <v>7358.1133373967023</v>
      </c>
      <c r="M167" s="4" t="str">
        <f t="shared" ref="M167:M175" si="6">EMIT_NAME</f>
        <v>Mtonne</v>
      </c>
    </row>
    <row r="168" spans="1:13" s="7" customFormat="1" x14ac:dyDescent="0.25">
      <c r="A168" s="4" t="str">
        <v>US CH4</v>
      </c>
      <c r="B168" s="26">
        <v>0</v>
      </c>
      <c r="C168" s="266">
        <f ca="1"/>
        <v>153.74396033644013</v>
      </c>
      <c r="D168" s="266">
        <f ca="1"/>
        <v>348.98612828384677</v>
      </c>
      <c r="E168" s="266">
        <f ca="1"/>
        <v>577.6592756263517</v>
      </c>
      <c r="F168" s="266">
        <f ca="1"/>
        <v>1054.3170710976888</v>
      </c>
      <c r="G168" s="266">
        <f ca="1"/>
        <v>1932.2184839185131</v>
      </c>
      <c r="H168" s="266">
        <f ca="1"/>
        <v>3501.0938048466342</v>
      </c>
      <c r="I168" s="266">
        <f ca="1"/>
        <v>5454.5301940138343</v>
      </c>
      <c r="J168" s="266">
        <f ca="1"/>
        <v>7269.5692111107401</v>
      </c>
      <c r="K168" s="266">
        <f ca="1"/>
        <v>8946.2108561373516</v>
      </c>
      <c r="M168" s="4" t="str">
        <f t="shared" si="6"/>
        <v>Mtonne</v>
      </c>
    </row>
    <row r="169" spans="1:13" s="7" customFormat="1" x14ac:dyDescent="0.25">
      <c r="A169" s="4" t="str">
        <v>OT CH4</v>
      </c>
      <c r="B169" s="26">
        <v>0</v>
      </c>
      <c r="C169" s="266">
        <f ca="1"/>
        <v>117.57679196095408</v>
      </c>
      <c r="D169" s="266">
        <f ca="1"/>
        <v>266.88963464123276</v>
      </c>
      <c r="E169" s="266">
        <f ca="1"/>
        <v>441.76905763326351</v>
      </c>
      <c r="F169" s="266">
        <f ca="1"/>
        <v>806.296511798349</v>
      </c>
      <c r="G169" s="266">
        <f ca="1"/>
        <v>1477.6778886770383</v>
      </c>
      <c r="H169" s="266">
        <f ca="1"/>
        <v>2677.4864978593241</v>
      </c>
      <c r="I169" s="266">
        <f ca="1"/>
        <v>4171.3909311486696</v>
      </c>
      <c r="J169" s="266">
        <f ca="1"/>
        <v>5559.4549854843135</v>
      </c>
      <c r="K169" s="266">
        <f ca="1"/>
        <v>6841.6786608662551</v>
      </c>
      <c r="M169" s="4" t="str">
        <f t="shared" si="6"/>
        <v>Mtonne</v>
      </c>
    </row>
    <row r="170" spans="1:13" s="7" customFormat="1" x14ac:dyDescent="0.25">
      <c r="A170" s="4" t="str">
        <v>EE CH4</v>
      </c>
      <c r="B170" s="26">
        <v>0</v>
      </c>
      <c r="C170" s="266">
        <f ca="1"/>
        <v>263.80680733398464</v>
      </c>
      <c r="D170" s="266">
        <f ca="1"/>
        <v>599.25517627426325</v>
      </c>
      <c r="E170" s="266">
        <f ca="1"/>
        <v>1044.1926979638165</v>
      </c>
      <c r="F170" s="266">
        <f ca="1"/>
        <v>2015.448142480428</v>
      </c>
      <c r="G170" s="266">
        <f ca="1"/>
        <v>3637.0834054906845</v>
      </c>
      <c r="H170" s="266">
        <f ca="1"/>
        <v>6977.6518125206276</v>
      </c>
      <c r="I170" s="266">
        <f ca="1"/>
        <v>11141.271482706998</v>
      </c>
      <c r="J170" s="266">
        <f ca="1"/>
        <v>15014.419613706481</v>
      </c>
      <c r="K170" s="266">
        <f ca="1"/>
        <v>18597.096205519076</v>
      </c>
      <c r="M170" s="4" t="str">
        <f t="shared" si="6"/>
        <v>Mtonne</v>
      </c>
    </row>
    <row r="171" spans="1:13" s="7" customFormat="1" x14ac:dyDescent="0.25">
      <c r="A171" s="4" t="str">
        <v>CA CH4</v>
      </c>
      <c r="B171" s="26">
        <v>0</v>
      </c>
      <c r="C171" s="266">
        <f ca="1"/>
        <v>178.78499275773692</v>
      </c>
      <c r="D171" s="266">
        <f ca="1"/>
        <v>465.39066375993627</v>
      </c>
      <c r="E171" s="266">
        <f ca="1"/>
        <v>915.52566838845269</v>
      </c>
      <c r="F171" s="266">
        <f ca="1"/>
        <v>2111.9084122261465</v>
      </c>
      <c r="G171" s="266">
        <f ca="1"/>
        <v>4553.6650904952658</v>
      </c>
      <c r="H171" s="266">
        <f ca="1"/>
        <v>8645.4344380611874</v>
      </c>
      <c r="I171" s="266">
        <f ca="1"/>
        <v>13722.114142743065</v>
      </c>
      <c r="J171" s="266">
        <f ca="1"/>
        <v>18419.781088685588</v>
      </c>
      <c r="K171" s="266">
        <f ca="1"/>
        <v>22738.435275888762</v>
      </c>
      <c r="M171" s="4" t="str">
        <f t="shared" si="6"/>
        <v>Mtonne</v>
      </c>
    </row>
    <row r="172" spans="1:13" s="7" customFormat="1" x14ac:dyDescent="0.25">
      <c r="A172" s="4" t="str">
        <v>IA CH4</v>
      </c>
      <c r="B172" s="26">
        <v>0</v>
      </c>
      <c r="C172" s="266">
        <f ca="1"/>
        <v>225.02249088473781</v>
      </c>
      <c r="D172" s="266">
        <f ca="1"/>
        <v>585.75031818060938</v>
      </c>
      <c r="E172" s="266">
        <f ca="1"/>
        <v>1152.2995481440871</v>
      </c>
      <c r="F172" s="266">
        <f ca="1"/>
        <v>2658.0916222846331</v>
      </c>
      <c r="G172" s="266">
        <f ca="1"/>
        <v>5731.337096657835</v>
      </c>
      <c r="H172" s="266">
        <f ca="1"/>
        <v>10881.32265480115</v>
      </c>
      <c r="I172" s="266">
        <f ca="1"/>
        <v>17270.93676586627</v>
      </c>
      <c r="J172" s="266">
        <f ca="1"/>
        <v>23183.517577138758</v>
      </c>
      <c r="K172" s="266">
        <f ca="1"/>
        <v>28619.065088618616</v>
      </c>
      <c r="M172" s="4" t="str">
        <f t="shared" si="6"/>
        <v>Mtonne</v>
      </c>
    </row>
    <row r="173" spans="1:13" s="7" customFormat="1" x14ac:dyDescent="0.25">
      <c r="A173" s="4" t="str">
        <v>AF CH4</v>
      </c>
      <c r="B173" s="26">
        <v>0</v>
      </c>
      <c r="C173" s="266">
        <f ca="1"/>
        <v>407.9560683383059</v>
      </c>
      <c r="D173" s="266">
        <f ca="1"/>
        <v>1070.4142395152369</v>
      </c>
      <c r="E173" s="266">
        <f ca="1"/>
        <v>1984.7311780697009</v>
      </c>
      <c r="F173" s="266">
        <f ca="1"/>
        <v>4086.309587421285</v>
      </c>
      <c r="G173" s="266">
        <f ca="1"/>
        <v>7830.1620809333381</v>
      </c>
      <c r="H173" s="266">
        <f ca="1"/>
        <v>14007.758789694224</v>
      </c>
      <c r="I173" s="266">
        <f ca="1"/>
        <v>21678.761622537841</v>
      </c>
      <c r="J173" s="266">
        <f ca="1"/>
        <v>28783.97167654389</v>
      </c>
      <c r="K173" s="266">
        <f ca="1"/>
        <v>35323.388951712375</v>
      </c>
      <c r="M173" s="4" t="str">
        <f t="shared" si="6"/>
        <v>Mtonne</v>
      </c>
    </row>
    <row r="174" spans="1:13" s="7" customFormat="1" ht="13" thickBot="1" x14ac:dyDescent="0.3">
      <c r="A174" s="4" t="str">
        <v>LA CH4</v>
      </c>
      <c r="B174" s="35">
        <v>0</v>
      </c>
      <c r="C174" s="268">
        <f ca="1"/>
        <v>335.47414873490453</v>
      </c>
      <c r="D174" s="268">
        <f ca="1"/>
        <v>831.12727576493489</v>
      </c>
      <c r="E174" s="268">
        <f ca="1"/>
        <v>1453.1197946656109</v>
      </c>
      <c r="F174" s="268">
        <f ca="1"/>
        <v>2757.709901428359</v>
      </c>
      <c r="G174" s="268">
        <f ca="1"/>
        <v>4689.5747914603144</v>
      </c>
      <c r="H174" s="268">
        <f ca="1"/>
        <v>7527.1514223335489</v>
      </c>
      <c r="I174" s="268">
        <f ca="1"/>
        <v>11028.37507325098</v>
      </c>
      <c r="J174" s="268">
        <f ca="1"/>
        <v>14247.386867254863</v>
      </c>
      <c r="K174" s="268">
        <f ca="1"/>
        <v>17184.186804345198</v>
      </c>
      <c r="M174" s="4" t="str">
        <f t="shared" si="6"/>
        <v>Mtonne</v>
      </c>
    </row>
    <row r="175" spans="1:13" s="6" customFormat="1" ht="13" thickTop="1" x14ac:dyDescent="0.25">
      <c r="A175" s="58" t="s">
        <v>206</v>
      </c>
      <c r="B175" s="26">
        <f t="shared" ref="B175:K175" si="7">SUM(B167:B174)</f>
        <v>0</v>
      </c>
      <c r="C175" s="26">
        <f t="shared" ca="1" si="7"/>
        <v>1808.8171742676564</v>
      </c>
      <c r="D175" s="26">
        <f t="shared" ca="1" si="7"/>
        <v>4454.8488669934595</v>
      </c>
      <c r="E175" s="26">
        <f t="shared" ca="1" si="7"/>
        <v>8044.412606078381</v>
      </c>
      <c r="F175" s="26">
        <f t="shared" ca="1" si="7"/>
        <v>16357.239940549622</v>
      </c>
      <c r="G175" s="26">
        <f t="shared" ca="1" si="7"/>
        <v>31440.937203476853</v>
      </c>
      <c r="H175" s="26">
        <f t="shared" ca="1" si="7"/>
        <v>57097.4922930307</v>
      </c>
      <c r="I175" s="26">
        <f t="shared" ca="1" si="7"/>
        <v>88953.642833975537</v>
      </c>
      <c r="J175" s="26">
        <f t="shared" ca="1" si="7"/>
        <v>118457.20379646009</v>
      </c>
      <c r="K175" s="26">
        <f t="shared" ca="1" si="7"/>
        <v>145608.17518048434</v>
      </c>
      <c r="M175" s="4" t="str">
        <f t="shared" si="6"/>
        <v>Mtonne</v>
      </c>
    </row>
    <row r="176" spans="1:13" s="8" customFormat="1" ht="15" x14ac:dyDescent="0.4">
      <c r="A176" s="2" t="s">
        <v>285</v>
      </c>
      <c r="B176" s="8" t="s">
        <v>292</v>
      </c>
    </row>
    <row r="177" spans="1:13" s="7" customFormat="1" x14ac:dyDescent="0.25">
      <c r="A177" s="4" t="str">
        <f t="array" ref="A177:A184">R_CODE&amp;" "&amp;'Base data'!$D$12</f>
        <v>EU N2O</v>
      </c>
      <c r="B177" s="29">
        <f t="array" ref="B177:B184">0</f>
        <v>0</v>
      </c>
      <c r="C177" s="267">
        <f t="array" ref="C177:K184" ca="1">cumcbe_n2o_b+cbe_n2o_b*YAGG</f>
        <v>3.9707991053163032</v>
      </c>
      <c r="D177" s="267">
        <f ca="1"/>
        <v>9.3588805138252926</v>
      </c>
      <c r="E177" s="267">
        <f ca="1"/>
        <v>16.601589867888382</v>
      </c>
      <c r="F177" s="267">
        <f ca="1"/>
        <v>32.173648802682486</v>
      </c>
      <c r="G177" s="267">
        <f ca="1"/>
        <v>59.898434113617853</v>
      </c>
      <c r="H177" s="267">
        <f ca="1"/>
        <v>107.04948625150445</v>
      </c>
      <c r="I177" s="267">
        <f ca="1"/>
        <v>168.77188949824568</v>
      </c>
      <c r="J177" s="267">
        <f ca="1"/>
        <v>229.34862647454605</v>
      </c>
      <c r="K177" s="267">
        <f ca="1"/>
        <v>288.77969718040555</v>
      </c>
      <c r="M177" s="4" t="str">
        <f t="shared" ref="M177:M185" si="8">EMIT_NAME</f>
        <v>Mtonne</v>
      </c>
    </row>
    <row r="178" spans="1:13" s="7" customFormat="1" x14ac:dyDescent="0.25">
      <c r="A178" s="4" t="str">
        <v>US N2O</v>
      </c>
      <c r="B178" s="26">
        <v>0</v>
      </c>
      <c r="C178" s="266">
        <f ca="1"/>
        <v>3.502321460102793</v>
      </c>
      <c r="D178" s="266">
        <f ca="1"/>
        <v>8.2547132697354595</v>
      </c>
      <c r="E178" s="266">
        <f ca="1"/>
        <v>14.642922727640478</v>
      </c>
      <c r="F178" s="266">
        <f ca="1"/>
        <v>28.377779299028383</v>
      </c>
      <c r="G178" s="266">
        <f ca="1"/>
        <v>52.831575120939348</v>
      </c>
      <c r="H178" s="266">
        <f ca="1"/>
        <v>94.419713273748613</v>
      </c>
      <c r="I178" s="266">
        <f ca="1"/>
        <v>148.86006437858259</v>
      </c>
      <c r="J178" s="266">
        <f ca="1"/>
        <v>202.2899157178382</v>
      </c>
      <c r="K178" s="266">
        <f ca="1"/>
        <v>254.7092672915154</v>
      </c>
      <c r="M178" s="4" t="str">
        <f t="shared" si="8"/>
        <v>Mtonne</v>
      </c>
    </row>
    <row r="179" spans="1:13" s="7" customFormat="1" x14ac:dyDescent="0.25">
      <c r="A179" s="4" t="str">
        <v>OT N2O</v>
      </c>
      <c r="B179" s="26">
        <v>0</v>
      </c>
      <c r="C179" s="266">
        <f ca="1"/>
        <v>1.8825500988422927</v>
      </c>
      <c r="D179" s="266">
        <f ca="1"/>
        <v>4.4370316828082306</v>
      </c>
      <c r="E179" s="266">
        <f ca="1"/>
        <v>7.8707896868640308</v>
      </c>
      <c r="F179" s="266">
        <f ca="1"/>
        <v>15.253480250994063</v>
      </c>
      <c r="G179" s="266">
        <f ca="1"/>
        <v>28.397760770651608</v>
      </c>
      <c r="H179" s="266">
        <f ca="1"/>
        <v>50.752006228160283</v>
      </c>
      <c r="I179" s="266">
        <f ca="1"/>
        <v>80.014508120378466</v>
      </c>
      <c r="J179" s="266">
        <f ca="1"/>
        <v>108.73385129480326</v>
      </c>
      <c r="K179" s="266">
        <f ca="1"/>
        <v>136.91003575143466</v>
      </c>
      <c r="M179" s="4" t="str">
        <f t="shared" si="8"/>
        <v>Mtonne</v>
      </c>
    </row>
    <row r="180" spans="1:13" s="7" customFormat="1" x14ac:dyDescent="0.25">
      <c r="A180" s="4" t="str">
        <v>EE N2O</v>
      </c>
      <c r="B180" s="26">
        <v>0</v>
      </c>
      <c r="C180" s="266">
        <f ca="1"/>
        <v>0</v>
      </c>
      <c r="D180" s="266">
        <f ca="1"/>
        <v>0.41662595631000354</v>
      </c>
      <c r="E180" s="266">
        <f ca="1"/>
        <v>1.4259674605812829</v>
      </c>
      <c r="F180" s="266">
        <f ca="1"/>
        <v>3.9526772759507955</v>
      </c>
      <c r="G180" s="266">
        <f ca="1"/>
        <v>8.2710400723709441</v>
      </c>
      <c r="H180" s="266">
        <f ca="1"/>
        <v>21.3598145040188</v>
      </c>
      <c r="I180" s="266">
        <f ca="1"/>
        <v>38.244479587660706</v>
      </c>
      <c r="J180" s="266">
        <f ca="1"/>
        <v>54.562110512747353</v>
      </c>
      <c r="K180" s="266">
        <f ca="1"/>
        <v>70.312707279278754</v>
      </c>
      <c r="M180" s="4" t="str">
        <f t="shared" si="8"/>
        <v>Mtonne</v>
      </c>
    </row>
    <row r="181" spans="1:13" s="7" customFormat="1" x14ac:dyDescent="0.25">
      <c r="A181" s="4" t="str">
        <v>CA N2O</v>
      </c>
      <c r="B181" s="26">
        <v>0</v>
      </c>
      <c r="C181" s="266">
        <f ca="1"/>
        <v>0</v>
      </c>
      <c r="D181" s="266">
        <f ca="1"/>
        <v>0.53882723939658417</v>
      </c>
      <c r="E181" s="266">
        <f ca="1"/>
        <v>5.7424937838348518</v>
      </c>
      <c r="F181" s="266">
        <f ca="1"/>
        <v>26.537012290753783</v>
      </c>
      <c r="G181" s="266">
        <f ca="1"/>
        <v>71.747258522207915</v>
      </c>
      <c r="H181" s="266">
        <f ca="1"/>
        <v>172.05682086457369</v>
      </c>
      <c r="I181" s="266">
        <f ca="1"/>
        <v>302.79253161383758</v>
      </c>
      <c r="J181" s="266">
        <f ca="1"/>
        <v>430.51786998921091</v>
      </c>
      <c r="K181" s="266">
        <f ca="1"/>
        <v>555.23283599069362</v>
      </c>
      <c r="M181" s="4" t="str">
        <f t="shared" si="8"/>
        <v>Mtonne</v>
      </c>
    </row>
    <row r="182" spans="1:13" s="7" customFormat="1" x14ac:dyDescent="0.25">
      <c r="A182" s="4" t="str">
        <v>IA N2O</v>
      </c>
      <c r="B182" s="26">
        <v>0</v>
      </c>
      <c r="C182" s="266">
        <f ca="1"/>
        <v>0</v>
      </c>
      <c r="D182" s="266">
        <f ca="1"/>
        <v>0.22589470401233311</v>
      </c>
      <c r="E182" s="266">
        <f ca="1"/>
        <v>2.407448693656856</v>
      </c>
      <c r="F182" s="266">
        <f ca="1"/>
        <v>11.125218063408607</v>
      </c>
      <c r="G182" s="266">
        <f ca="1"/>
        <v>30.078890862534305</v>
      </c>
      <c r="H182" s="266">
        <f ca="1"/>
        <v>72.132070876801862</v>
      </c>
      <c r="I182" s="266">
        <f ca="1"/>
        <v>126.94092708202913</v>
      </c>
      <c r="J182" s="266">
        <f ca="1"/>
        <v>180.48773280679359</v>
      </c>
      <c r="K182" s="266">
        <f ca="1"/>
        <v>232.77248805109525</v>
      </c>
      <c r="M182" s="4" t="str">
        <f t="shared" si="8"/>
        <v>Mtonne</v>
      </c>
    </row>
    <row r="183" spans="1:13" s="7" customFormat="1" x14ac:dyDescent="0.25">
      <c r="A183" s="4" t="str">
        <v>AF N2O</v>
      </c>
      <c r="B183" s="26">
        <v>0</v>
      </c>
      <c r="C183" s="266">
        <f ca="1"/>
        <v>4.0558794100496645</v>
      </c>
      <c r="D183" s="266">
        <f ca="1"/>
        <v>13.844539424260372</v>
      </c>
      <c r="E183" s="266">
        <f ca="1"/>
        <v>29.416824945288148</v>
      </c>
      <c r="F183" s="266">
        <f ca="1"/>
        <v>70.272258164070081</v>
      </c>
      <c r="G183" s="266">
        <f ca="1"/>
        <v>160.79211845231561</v>
      </c>
      <c r="H183" s="266">
        <f ca="1"/>
        <v>333.04991867037347</v>
      </c>
      <c r="I183" s="266">
        <f ca="1"/>
        <v>559.16060166788941</v>
      </c>
      <c r="J183" s="266">
        <f ca="1"/>
        <v>781.70490070551079</v>
      </c>
      <c r="K183" s="266">
        <f ca="1"/>
        <v>1000.6828157832376</v>
      </c>
      <c r="M183" s="4" t="str">
        <f t="shared" si="8"/>
        <v>Mtonne</v>
      </c>
    </row>
    <row r="184" spans="1:13" s="7" customFormat="1" ht="13" thickBot="1" x14ac:dyDescent="0.3">
      <c r="A184" s="4" t="str">
        <v>LA N2O</v>
      </c>
      <c r="B184" s="35">
        <v>0</v>
      </c>
      <c r="C184" s="268">
        <f ca="1"/>
        <v>5.6830554138819203</v>
      </c>
      <c r="D184" s="268">
        <f ca="1"/>
        <v>15.820286483310412</v>
      </c>
      <c r="E184" s="268">
        <f ca="1"/>
        <v>30.125126059215162</v>
      </c>
      <c r="F184" s="268">
        <f ca="1"/>
        <v>63.994755895315343</v>
      </c>
      <c r="G184" s="268">
        <f ca="1"/>
        <v>125.26904795209339</v>
      </c>
      <c r="H184" s="268">
        <f ca="1"/>
        <v>218.24479502068226</v>
      </c>
      <c r="I184" s="268">
        <f ca="1"/>
        <v>340.05902881990113</v>
      </c>
      <c r="J184" s="268">
        <f ca="1"/>
        <v>459.71983366022027</v>
      </c>
      <c r="K184" s="268">
        <f ca="1"/>
        <v>577.2272095416397</v>
      </c>
      <c r="M184" s="4" t="str">
        <f t="shared" si="8"/>
        <v>Mtonne</v>
      </c>
    </row>
    <row r="185" spans="1:13" s="6" customFormat="1" ht="13" thickTop="1" x14ac:dyDescent="0.25">
      <c r="A185" s="58" t="s">
        <v>206</v>
      </c>
      <c r="B185" s="26">
        <f t="shared" ref="B185:K185" si="9">SUM(B177:B184)</f>
        <v>0</v>
      </c>
      <c r="C185" s="26">
        <f t="shared" ca="1" si="9"/>
        <v>19.094605488192975</v>
      </c>
      <c r="D185" s="26">
        <f t="shared" ca="1" si="9"/>
        <v>52.896799273658687</v>
      </c>
      <c r="E185" s="26">
        <f t="shared" ca="1" si="9"/>
        <v>108.23316322496919</v>
      </c>
      <c r="F185" s="26">
        <f t="shared" ca="1" si="9"/>
        <v>251.68683004220352</v>
      </c>
      <c r="G185" s="26">
        <f t="shared" ca="1" si="9"/>
        <v>537.28612586673103</v>
      </c>
      <c r="H185" s="26">
        <f t="shared" ca="1" si="9"/>
        <v>1069.0646256898635</v>
      </c>
      <c r="I185" s="26">
        <f t="shared" ca="1" si="9"/>
        <v>1764.8440307685248</v>
      </c>
      <c r="J185" s="26">
        <f t="shared" ca="1" si="9"/>
        <v>2447.3648411616705</v>
      </c>
      <c r="K185" s="26">
        <f t="shared" ca="1" si="9"/>
        <v>3116.6270568693008</v>
      </c>
      <c r="M185" s="4" t="str">
        <f t="shared" si="8"/>
        <v>Mtonne</v>
      </c>
    </row>
    <row r="186" spans="1:13" s="8" customFormat="1" ht="15" x14ac:dyDescent="0.4">
      <c r="A186" s="2" t="s">
        <v>285</v>
      </c>
      <c r="B186" s="8" t="s">
        <v>293</v>
      </c>
    </row>
    <row r="187" spans="1:13" s="7" customFormat="1" x14ac:dyDescent="0.25">
      <c r="A187" s="4" t="str">
        <f t="array" ref="A187:A194">R_CODE&amp;" "&amp;GLIN_NAME</f>
        <v>EU Lin</v>
      </c>
      <c r="B187" s="29">
        <f t="array" ref="B187:B194">0</f>
        <v>0</v>
      </c>
      <c r="C187" s="267">
        <f t="array" ref="C187:K194" ca="1">cumcbe_glin_b+cbe_glin_b*YAGG</f>
        <v>569.18699312148226</v>
      </c>
      <c r="D187" s="267">
        <f ca="1"/>
        <v>1617.1316099028259</v>
      </c>
      <c r="E187" s="267">
        <f ca="1"/>
        <v>2862.3422211662196</v>
      </c>
      <c r="F187" s="267">
        <f ca="1"/>
        <v>5301.7981172322743</v>
      </c>
      <c r="G187" s="267">
        <f ca="1"/>
        <v>8694.8388927063825</v>
      </c>
      <c r="H187" s="267">
        <f ca="1"/>
        <v>14131.14406013157</v>
      </c>
      <c r="I187" s="267">
        <f ca="1"/>
        <v>21379.550950031819</v>
      </c>
      <c r="J187" s="267">
        <f ca="1"/>
        <v>28627.957839932067</v>
      </c>
      <c r="K187" s="267">
        <f ca="1"/>
        <v>35876.364729832319</v>
      </c>
      <c r="M187" s="4" t="str">
        <f t="shared" ref="M187:M195" si="10">EMIT_NAME</f>
        <v>Mtonne</v>
      </c>
    </row>
    <row r="188" spans="1:13" s="7" customFormat="1" x14ac:dyDescent="0.25">
      <c r="A188" s="4" t="str">
        <v>US Lin</v>
      </c>
      <c r="B188" s="26">
        <v>0</v>
      </c>
      <c r="C188" s="266">
        <f ca="1"/>
        <v>1481.7142306899141</v>
      </c>
      <c r="D188" s="266">
        <f ca="1"/>
        <v>4209.7359009398497</v>
      </c>
      <c r="E188" s="266">
        <f ca="1"/>
        <v>7451.2827128173067</v>
      </c>
      <c r="F188" s="266">
        <f ca="1"/>
        <v>13801.702803267308</v>
      </c>
      <c r="G188" s="266">
        <f ca="1"/>
        <v>22634.506193168556</v>
      </c>
      <c r="H188" s="266">
        <f ca="1"/>
        <v>36786.359321034768</v>
      </c>
      <c r="I188" s="266">
        <f ca="1"/>
        <v>55655.496824856382</v>
      </c>
      <c r="J188" s="266">
        <f ca="1"/>
        <v>74524.634328678003</v>
      </c>
      <c r="K188" s="266">
        <f ca="1"/>
        <v>93393.771832499624</v>
      </c>
      <c r="M188" s="4" t="str">
        <f t="shared" si="10"/>
        <v>Mtonne</v>
      </c>
    </row>
    <row r="189" spans="1:13" s="7" customFormat="1" x14ac:dyDescent="0.25">
      <c r="A189" s="4" t="str">
        <v>OT Lin</v>
      </c>
      <c r="B189" s="26">
        <v>0</v>
      </c>
      <c r="C189" s="266">
        <f ca="1"/>
        <v>533.66020770442083</v>
      </c>
      <c r="D189" s="266">
        <f ca="1"/>
        <v>1516.1955583231947</v>
      </c>
      <c r="E189" s="266">
        <f ca="1"/>
        <v>2683.6842069978175</v>
      </c>
      <c r="F189" s="266">
        <f ca="1"/>
        <v>4970.8772664192065</v>
      </c>
      <c r="G189" s="266">
        <f ca="1"/>
        <v>8152.1355644327286</v>
      </c>
      <c r="H189" s="266">
        <f ca="1"/>
        <v>13249.124392098274</v>
      </c>
      <c r="I189" s="266">
        <f ca="1"/>
        <v>20045.109495652334</v>
      </c>
      <c r="J189" s="266">
        <f ca="1"/>
        <v>26841.094599206393</v>
      </c>
      <c r="K189" s="266">
        <f ca="1"/>
        <v>33637.079702760457</v>
      </c>
      <c r="M189" s="4" t="str">
        <f t="shared" si="10"/>
        <v>Mtonne</v>
      </c>
    </row>
    <row r="190" spans="1:13" s="7" customFormat="1" x14ac:dyDescent="0.25">
      <c r="A190" s="4" t="str">
        <v>EE Lin</v>
      </c>
      <c r="B190" s="26">
        <v>0</v>
      </c>
      <c r="C190" s="266">
        <f ca="1"/>
        <v>287.7179842243155</v>
      </c>
      <c r="D190" s="266">
        <f ca="1"/>
        <v>872.8942544149503</v>
      </c>
      <c r="E190" s="266">
        <f ca="1"/>
        <v>1747.221871406734</v>
      </c>
      <c r="F190" s="266">
        <f ca="1"/>
        <v>3762.479471970988</v>
      </c>
      <c r="G190" s="266">
        <f ca="1"/>
        <v>7338.6785793868439</v>
      </c>
      <c r="H190" s="266">
        <f ca="1"/>
        <v>13535.519326286214</v>
      </c>
      <c r="I190" s="266">
        <f ca="1"/>
        <v>21797.973655485373</v>
      </c>
      <c r="J190" s="266">
        <f ca="1"/>
        <v>30060.427984684531</v>
      </c>
      <c r="K190" s="266">
        <f ca="1"/>
        <v>38322.882313883689</v>
      </c>
      <c r="M190" s="4" t="str">
        <f t="shared" si="10"/>
        <v>Mtonne</v>
      </c>
    </row>
    <row r="191" spans="1:13" s="7" customFormat="1" x14ac:dyDescent="0.25">
      <c r="A191" s="4" t="str">
        <v>CA Lin</v>
      </c>
      <c r="B191" s="26">
        <v>0</v>
      </c>
      <c r="C191" s="266">
        <f ca="1"/>
        <v>837.95342316711583</v>
      </c>
      <c r="D191" s="266">
        <f ca="1"/>
        <v>2428.0517591248968</v>
      </c>
      <c r="E191" s="266">
        <f ca="1"/>
        <v>4982.162204996841</v>
      </c>
      <c r="F191" s="266">
        <f ca="1"/>
        <v>10665.625832938982</v>
      </c>
      <c r="G191" s="266">
        <f ca="1"/>
        <v>21293.152317297849</v>
      </c>
      <c r="H191" s="266">
        <f ca="1"/>
        <v>39256.036910079558</v>
      </c>
      <c r="I191" s="266">
        <f ca="1"/>
        <v>63206.549700455173</v>
      </c>
      <c r="J191" s="266">
        <f ca="1"/>
        <v>87157.06249083078</v>
      </c>
      <c r="K191" s="266">
        <f ca="1"/>
        <v>111107.5752812064</v>
      </c>
      <c r="M191" s="4" t="str">
        <f t="shared" si="10"/>
        <v>Mtonne</v>
      </c>
    </row>
    <row r="192" spans="1:13" s="7" customFormat="1" x14ac:dyDescent="0.25">
      <c r="A192" s="4" t="str">
        <v>IA Lin</v>
      </c>
      <c r="B192" s="26">
        <v>0</v>
      </c>
      <c r="C192" s="266">
        <f ca="1"/>
        <v>585.33908602680481</v>
      </c>
      <c r="D192" s="266">
        <f ca="1"/>
        <v>1696.0770828291027</v>
      </c>
      <c r="E192" s="266">
        <f ca="1"/>
        <v>3480.2104638321198</v>
      </c>
      <c r="F192" s="266">
        <f ca="1"/>
        <v>7450.3039242448649</v>
      </c>
      <c r="G192" s="266">
        <f ca="1"/>
        <v>14873.994152239395</v>
      </c>
      <c r="H192" s="266">
        <f ca="1"/>
        <v>27421.682555019397</v>
      </c>
      <c r="I192" s="266">
        <f ca="1"/>
        <v>44151.933758726067</v>
      </c>
      <c r="J192" s="266">
        <f ca="1"/>
        <v>60882.18496243273</v>
      </c>
      <c r="K192" s="266">
        <f ca="1"/>
        <v>77612.436166139392</v>
      </c>
      <c r="M192" s="4" t="str">
        <f t="shared" si="10"/>
        <v>Mtonne</v>
      </c>
    </row>
    <row r="193" spans="1:13" s="7" customFormat="1" x14ac:dyDescent="0.25">
      <c r="A193" s="4" t="str">
        <v>AF Lin</v>
      </c>
      <c r="B193" s="26">
        <v>0</v>
      </c>
      <c r="C193" s="266">
        <f ca="1"/>
        <v>413.20518944711552</v>
      </c>
      <c r="D193" s="266">
        <f ca="1"/>
        <v>1145.4321288535984</v>
      </c>
      <c r="E193" s="266">
        <f ca="1"/>
        <v>2149.0841154289274</v>
      </c>
      <c r="F193" s="266">
        <f ca="1"/>
        <v>4514.0297689166564</v>
      </c>
      <c r="G193" s="266">
        <f ca="1"/>
        <v>9596.6064516279548</v>
      </c>
      <c r="H193" s="266">
        <f ca="1"/>
        <v>18686.554348410653</v>
      </c>
      <c r="I193" s="266">
        <f ca="1"/>
        <v>30806.484877454255</v>
      </c>
      <c r="J193" s="266">
        <f ca="1"/>
        <v>42926.415406497857</v>
      </c>
      <c r="K193" s="266">
        <f ca="1"/>
        <v>55046.34593554146</v>
      </c>
      <c r="M193" s="4" t="str">
        <f t="shared" si="10"/>
        <v>Mtonne</v>
      </c>
    </row>
    <row r="194" spans="1:13" s="7" customFormat="1" ht="13" thickBot="1" x14ac:dyDescent="0.3">
      <c r="A194" s="4" t="str">
        <v>LA Lin</v>
      </c>
      <c r="B194" s="35">
        <v>0</v>
      </c>
      <c r="C194" s="268">
        <f ca="1"/>
        <v>279.04099323091805</v>
      </c>
      <c r="D194" s="268">
        <f ca="1"/>
        <v>780.6339223186651</v>
      </c>
      <c r="E194" s="268">
        <f ca="1"/>
        <v>1571.7596960680248</v>
      </c>
      <c r="F194" s="268">
        <f ca="1"/>
        <v>3378.8847119557659</v>
      </c>
      <c r="G194" s="268">
        <f ca="1"/>
        <v>7212.0434861286567</v>
      </c>
      <c r="H194" s="268">
        <f ca="1"/>
        <v>13952.836017364734</v>
      </c>
      <c r="I194" s="268">
        <f ca="1"/>
        <v>22940.559392346171</v>
      </c>
      <c r="J194" s="268">
        <f ca="1"/>
        <v>31928.282767327604</v>
      </c>
      <c r="K194" s="268">
        <f ca="1"/>
        <v>40916.006142309037</v>
      </c>
      <c r="M194" s="4" t="str">
        <f t="shared" si="10"/>
        <v>Mtonne</v>
      </c>
    </row>
    <row r="195" spans="1:13" s="6" customFormat="1" ht="13" thickTop="1" x14ac:dyDescent="0.25">
      <c r="A195" s="58" t="s">
        <v>206</v>
      </c>
      <c r="B195" s="26">
        <f t="shared" ref="B195:K195" si="11">SUM(B187:B194)</f>
        <v>0</v>
      </c>
      <c r="C195" s="26">
        <f t="shared" ca="1" si="11"/>
        <v>4987.8181076120873</v>
      </c>
      <c r="D195" s="26">
        <f t="shared" ca="1" si="11"/>
        <v>14266.152216707083</v>
      </c>
      <c r="E195" s="26">
        <f t="shared" ca="1" si="11"/>
        <v>26927.747492713988</v>
      </c>
      <c r="F195" s="26">
        <f t="shared" ca="1" si="11"/>
        <v>53845.701896946048</v>
      </c>
      <c r="G195" s="26">
        <f t="shared" ca="1" si="11"/>
        <v>99795.955636988379</v>
      </c>
      <c r="H195" s="26">
        <f t="shared" ca="1" si="11"/>
        <v>177019.25693042515</v>
      </c>
      <c r="I195" s="26">
        <f t="shared" ca="1" si="11"/>
        <v>279983.65865500754</v>
      </c>
      <c r="J195" s="26">
        <f t="shared" ca="1" si="11"/>
        <v>382948.06037958997</v>
      </c>
      <c r="K195" s="26">
        <f t="shared" ca="1" si="11"/>
        <v>485912.46210417239</v>
      </c>
      <c r="M195" s="4" t="str">
        <f t="shared" si="10"/>
        <v>Mtonne</v>
      </c>
    </row>
    <row r="196" spans="1:13" s="2" customFormat="1" ht="15" x14ac:dyDescent="0.4">
      <c r="A196" s="2" t="s">
        <v>294</v>
      </c>
      <c r="B196" s="2" t="s">
        <v>295</v>
      </c>
    </row>
    <row r="197" spans="1:13" s="6" customFormat="1" x14ac:dyDescent="0.25">
      <c r="A197" s="4" t="str">
        <f t="array" ref="A197:A204">R_CODE&amp;" "&amp;'Base data'!$B$12</f>
        <v>EU CO2</v>
      </c>
      <c r="B197" s="271">
        <f t="array" ref="B197:K204" ca="1">((CROSS*cumcbe_co2_g_b+(1-CROSS)*cumcbe_co2_b+IES_CO2)/IES_CO2)^-(LN(1/(1-LEARN))/LN(2))</f>
        <v>1</v>
      </c>
      <c r="C197" s="271">
        <f ca="1"/>
        <v>0.95719098603424813</v>
      </c>
      <c r="D197" s="271">
        <f ca="1"/>
        <v>0.85266279175243875</v>
      </c>
      <c r="E197" s="271">
        <f ca="1"/>
        <v>0.74129089351188338</v>
      </c>
      <c r="F197" s="271">
        <f ca="1"/>
        <v>0.60967786002401991</v>
      </c>
      <c r="G197" s="271">
        <f ca="1"/>
        <v>0.49182269674984386</v>
      </c>
      <c r="H197" s="271">
        <f ca="1"/>
        <v>0.41028962356115806</v>
      </c>
      <c r="I197" s="271">
        <f ca="1"/>
        <v>0.35623076912517443</v>
      </c>
      <c r="J197" s="271">
        <f ca="1"/>
        <v>0.32417184657898845</v>
      </c>
      <c r="K197" s="271">
        <f ca="1"/>
        <v>0.30226031161181932</v>
      </c>
      <c r="M197" s="4"/>
    </row>
    <row r="198" spans="1:13" s="6" customFormat="1" x14ac:dyDescent="0.25">
      <c r="A198" s="4" t="str">
        <v>US CO2</v>
      </c>
      <c r="B198" s="262">
        <f ca="1"/>
        <v>1</v>
      </c>
      <c r="C198" s="262">
        <f ca="1"/>
        <v>0.95289271706796486</v>
      </c>
      <c r="D198" s="262">
        <f ca="1"/>
        <v>0.84010801464806784</v>
      </c>
      <c r="E198" s="262">
        <f ca="1"/>
        <v>0.72503948813844066</v>
      </c>
      <c r="F198" s="262">
        <f ca="1"/>
        <v>0.59335414777999118</v>
      </c>
      <c r="G198" s="262">
        <f ca="1"/>
        <v>0.47792239073439807</v>
      </c>
      <c r="H198" s="262">
        <f ca="1"/>
        <v>0.39881059029034177</v>
      </c>
      <c r="I198" s="262">
        <f ca="1"/>
        <v>0.34630815677967336</v>
      </c>
      <c r="J198" s="262">
        <f ca="1"/>
        <v>0.31515799637565417</v>
      </c>
      <c r="K198" s="262">
        <f ca="1"/>
        <v>0.29386208489045046</v>
      </c>
      <c r="M198" s="4"/>
    </row>
    <row r="199" spans="1:13" s="6" customFormat="1" x14ac:dyDescent="0.25">
      <c r="A199" s="4" t="str">
        <v>OT CO2</v>
      </c>
      <c r="B199" s="262">
        <f ca="1"/>
        <v>1</v>
      </c>
      <c r="C199" s="262">
        <f ca="1"/>
        <v>0.96201535166948027</v>
      </c>
      <c r="D199" s="262">
        <f ca="1"/>
        <v>0.86741900226569857</v>
      </c>
      <c r="E199" s="262">
        <f ca="1"/>
        <v>0.76104834408999955</v>
      </c>
      <c r="F199" s="262">
        <f ca="1"/>
        <v>0.6299942058720619</v>
      </c>
      <c r="G199" s="262">
        <f ca="1"/>
        <v>0.50924988019407147</v>
      </c>
      <c r="H199" s="262">
        <f ca="1"/>
        <v>0.42466099555747128</v>
      </c>
      <c r="I199" s="262">
        <f ca="1"/>
        <v>0.36864600673065323</v>
      </c>
      <c r="J199" s="262">
        <f ca="1"/>
        <v>0.33544733396863086</v>
      </c>
      <c r="K199" s="262">
        <f ca="1"/>
        <v>0.31276462444451425</v>
      </c>
      <c r="M199" s="4"/>
    </row>
    <row r="200" spans="1:13" s="6" customFormat="1" x14ac:dyDescent="0.25">
      <c r="A200" s="4" t="str">
        <v>EE CO2</v>
      </c>
      <c r="B200" s="262">
        <f ca="1"/>
        <v>1</v>
      </c>
      <c r="C200" s="262">
        <f ca="1"/>
        <v>0.95303456663742425</v>
      </c>
      <c r="D200" s="262">
        <f ca="1"/>
        <v>0.8481174338010653</v>
      </c>
      <c r="E200" s="262">
        <f ca="1"/>
        <v>0.73726341690649555</v>
      </c>
      <c r="F200" s="262">
        <f ca="1"/>
        <v>0.60538103447033875</v>
      </c>
      <c r="G200" s="262">
        <f ca="1"/>
        <v>0.48499995878978136</v>
      </c>
      <c r="H200" s="262">
        <f ca="1"/>
        <v>0.39771074401719464</v>
      </c>
      <c r="I200" s="262">
        <f ca="1"/>
        <v>0.3426576538257875</v>
      </c>
      <c r="J200" s="262">
        <f ca="1"/>
        <v>0.31074613579242116</v>
      </c>
      <c r="K200" s="262">
        <f ca="1"/>
        <v>0.28918341705035167</v>
      </c>
      <c r="M200" s="4"/>
    </row>
    <row r="201" spans="1:13" s="6" customFormat="1" x14ac:dyDescent="0.25">
      <c r="A201" s="4" t="str">
        <v>CA CO2</v>
      </c>
      <c r="B201" s="262">
        <f ca="1"/>
        <v>1</v>
      </c>
      <c r="C201" s="262">
        <f ca="1"/>
        <v>0.95350720999004723</v>
      </c>
      <c r="D201" s="262">
        <f ca="1"/>
        <v>0.83523842392525594</v>
      </c>
      <c r="E201" s="262">
        <f ca="1"/>
        <v>0.70653303232795572</v>
      </c>
      <c r="F201" s="262">
        <f ca="1"/>
        <v>0.5639123591011892</v>
      </c>
      <c r="G201" s="262">
        <f ca="1"/>
        <v>0.44379300706766817</v>
      </c>
      <c r="H201" s="262">
        <f ca="1"/>
        <v>0.36566095090607409</v>
      </c>
      <c r="I201" s="262">
        <f ca="1"/>
        <v>0.31570318855126228</v>
      </c>
      <c r="J201" s="262">
        <f ca="1"/>
        <v>0.2865676919923969</v>
      </c>
      <c r="K201" s="262">
        <f ca="1"/>
        <v>0.26682132293089844</v>
      </c>
      <c r="M201" s="4"/>
    </row>
    <row r="202" spans="1:13" s="6" customFormat="1" x14ac:dyDescent="0.25">
      <c r="A202" s="4" t="str">
        <v>IA CO2</v>
      </c>
      <c r="B202" s="262">
        <f ca="1"/>
        <v>1</v>
      </c>
      <c r="C202" s="262">
        <f ca="1"/>
        <v>0.95913552752604914</v>
      </c>
      <c r="D202" s="262">
        <f ca="1"/>
        <v>0.85412557287234681</v>
      </c>
      <c r="E202" s="262">
        <f ca="1"/>
        <v>0.73451792907529123</v>
      </c>
      <c r="F202" s="262">
        <f ca="1"/>
        <v>0.59444253874032871</v>
      </c>
      <c r="G202" s="262">
        <f ca="1"/>
        <v>0.47168815038560241</v>
      </c>
      <c r="H202" s="262">
        <f ca="1"/>
        <v>0.3898025887316795</v>
      </c>
      <c r="I202" s="262">
        <f ca="1"/>
        <v>0.33699387389562752</v>
      </c>
      <c r="J202" s="262">
        <f ca="1"/>
        <v>0.30607629840139466</v>
      </c>
      <c r="K202" s="262">
        <f ca="1"/>
        <v>0.28508205051857727</v>
      </c>
      <c r="M202" s="4"/>
    </row>
    <row r="203" spans="1:13" s="6" customFormat="1" x14ac:dyDescent="0.25">
      <c r="A203" s="4" t="str">
        <v>AF CO2</v>
      </c>
      <c r="B203" s="262">
        <f ca="1"/>
        <v>1</v>
      </c>
      <c r="C203" s="262">
        <f ca="1"/>
        <v>0.94109452543820948</v>
      </c>
      <c r="D203" s="262">
        <f ca="1"/>
        <v>0.83304710759293377</v>
      </c>
      <c r="E203" s="262">
        <f ca="1"/>
        <v>0.71739708170439276</v>
      </c>
      <c r="F203" s="262">
        <f ca="1"/>
        <v>0.58120937775285098</v>
      </c>
      <c r="G203" s="262">
        <f ca="1"/>
        <v>0.45953699231621786</v>
      </c>
      <c r="H203" s="262">
        <f ca="1"/>
        <v>0.37449533517315969</v>
      </c>
      <c r="I203" s="262">
        <f ca="1"/>
        <v>0.32180742286052832</v>
      </c>
      <c r="J203" s="262">
        <f ca="1"/>
        <v>0.29150526524875559</v>
      </c>
      <c r="K203" s="262">
        <f ca="1"/>
        <v>0.27110942096120749</v>
      </c>
      <c r="M203" s="4"/>
    </row>
    <row r="204" spans="1:13" s="6" customFormat="1" ht="13" thickBot="1" x14ac:dyDescent="0.3">
      <c r="A204" s="4" t="str">
        <v>LA CO2</v>
      </c>
      <c r="B204" s="272">
        <f ca="1"/>
        <v>1</v>
      </c>
      <c r="C204" s="272">
        <f ca="1"/>
        <v>0.95132935819264075</v>
      </c>
      <c r="D204" s="272">
        <f ca="1"/>
        <v>0.84794491807802808</v>
      </c>
      <c r="E204" s="272">
        <f ca="1"/>
        <v>0.74046589889188441</v>
      </c>
      <c r="F204" s="272">
        <f ca="1"/>
        <v>0.60867218154613079</v>
      </c>
      <c r="G204" s="272">
        <f ca="1"/>
        <v>0.48940490521649188</v>
      </c>
      <c r="H204" s="272">
        <f ca="1"/>
        <v>0.41072614647553191</v>
      </c>
      <c r="I204" s="272">
        <f ca="1"/>
        <v>0.35764918397653739</v>
      </c>
      <c r="J204" s="272">
        <f ca="1"/>
        <v>0.32591665864455399</v>
      </c>
      <c r="K204" s="272">
        <f ca="1"/>
        <v>0.30414253229647442</v>
      </c>
      <c r="M204" s="4"/>
    </row>
    <row r="205" spans="1:13" s="2" customFormat="1" ht="15.5" thickTop="1" x14ac:dyDescent="0.4">
      <c r="A205" s="2" t="s">
        <v>294</v>
      </c>
      <c r="B205" s="2" t="s">
        <v>296</v>
      </c>
    </row>
    <row r="206" spans="1:13" s="7" customFormat="1" x14ac:dyDescent="0.25">
      <c r="A206" s="4" t="str">
        <f t="array" ref="A206:A213">R_CODE&amp;" "&amp;'Base data'!$C$12</f>
        <v>EU CH4</v>
      </c>
      <c r="B206" s="267">
        <f t="array" ref="B206:K213" ca="1">((CROSS*cumcbe_ch4_g_b+(1-CROSS)*cumcbe_ch4_b+IES_CH4)/IES_CH4)^-(LN(1/(1-LEARN))/LN(2))</f>
        <v>1</v>
      </c>
      <c r="C206" s="267">
        <f ca="1"/>
        <v>0.9351706755203304</v>
      </c>
      <c r="D206" s="267">
        <f ca="1"/>
        <v>0.86656464455338478</v>
      </c>
      <c r="E206" s="267">
        <f ca="1"/>
        <v>0.80071115841489238</v>
      </c>
      <c r="F206" s="267">
        <f ca="1"/>
        <v>0.7034206584511481</v>
      </c>
      <c r="G206" s="267">
        <f ca="1"/>
        <v>0.60433740502281508</v>
      </c>
      <c r="H206" s="267">
        <f ca="1"/>
        <v>0.51488484655180655</v>
      </c>
      <c r="I206" s="267">
        <f ca="1"/>
        <v>0.45315009097306724</v>
      </c>
      <c r="J206" s="267">
        <f ca="1"/>
        <v>0.41609079774088242</v>
      </c>
      <c r="K206" s="267">
        <f ca="1"/>
        <v>0.39086890163770299</v>
      </c>
      <c r="M206" s="4"/>
    </row>
    <row r="207" spans="1:13" s="7" customFormat="1" x14ac:dyDescent="0.25">
      <c r="A207" s="4" t="str">
        <v>US CH4</v>
      </c>
      <c r="B207" s="266">
        <f ca="1"/>
        <v>1</v>
      </c>
      <c r="C207" s="266">
        <f ca="1"/>
        <v>0.93251735379183631</v>
      </c>
      <c r="D207" s="266">
        <f ca="1"/>
        <v>0.86218003340798577</v>
      </c>
      <c r="E207" s="266">
        <f ca="1"/>
        <v>0.79548090149280037</v>
      </c>
      <c r="F207" s="266">
        <f ca="1"/>
        <v>0.69782921449123958</v>
      </c>
      <c r="G207" s="266">
        <f ca="1"/>
        <v>0.59885655373436708</v>
      </c>
      <c r="H207" s="266">
        <f ca="1"/>
        <v>0.50975022805479819</v>
      </c>
      <c r="I207" s="266">
        <f ca="1"/>
        <v>0.44841996183505906</v>
      </c>
      <c r="J207" s="266">
        <f ca="1"/>
        <v>0.41165202725931904</v>
      </c>
      <c r="K207" s="266">
        <f ca="1"/>
        <v>0.38664462343875278</v>
      </c>
      <c r="M207" s="4"/>
    </row>
    <row r="208" spans="1:13" s="7" customFormat="1" x14ac:dyDescent="0.25">
      <c r="A208" s="4" t="str">
        <v>OT CH4</v>
      </c>
      <c r="B208" s="266">
        <f ca="1"/>
        <v>1</v>
      </c>
      <c r="C208" s="266">
        <f ca="1"/>
        <v>0.93604021933257842</v>
      </c>
      <c r="D208" s="266">
        <f ca="1"/>
        <v>0.86801035840181162</v>
      </c>
      <c r="E208" s="266">
        <f ca="1"/>
        <v>0.80244271588510963</v>
      </c>
      <c r="F208" s="266">
        <f ca="1"/>
        <v>0.70527906125600981</v>
      </c>
      <c r="G208" s="266">
        <f ca="1"/>
        <v>0.60616472016486778</v>
      </c>
      <c r="H208" s="266">
        <f ca="1"/>
        <v>0.51660103188724382</v>
      </c>
      <c r="I208" s="266">
        <f ca="1"/>
        <v>0.45473313334330878</v>
      </c>
      <c r="J208" s="266">
        <f ca="1"/>
        <v>0.41757728081109807</v>
      </c>
      <c r="K208" s="266">
        <f ca="1"/>
        <v>0.39228410496982591</v>
      </c>
      <c r="M208" s="4"/>
    </row>
    <row r="209" spans="1:13" s="7" customFormat="1" x14ac:dyDescent="0.25">
      <c r="A209" s="4" t="str">
        <v>EE CH4</v>
      </c>
      <c r="B209" s="266">
        <f ca="1"/>
        <v>1</v>
      </c>
      <c r="C209" s="266">
        <f ca="1"/>
        <v>0.92212182257290187</v>
      </c>
      <c r="D209" s="266">
        <f ca="1"/>
        <v>0.84534816144274672</v>
      </c>
      <c r="E209" s="266">
        <f ca="1"/>
        <v>0.77333185715582964</v>
      </c>
      <c r="F209" s="266">
        <f ca="1"/>
        <v>0.67172178057859278</v>
      </c>
      <c r="G209" s="266">
        <f ca="1"/>
        <v>0.57433336047779537</v>
      </c>
      <c r="H209" s="266">
        <f ca="1"/>
        <v>0.48443039301089402</v>
      </c>
      <c r="I209" s="266">
        <f ca="1"/>
        <v>0.42418824104466901</v>
      </c>
      <c r="J209" s="266">
        <f ca="1"/>
        <v>0.38853523298092174</v>
      </c>
      <c r="K209" s="266">
        <f ca="1"/>
        <v>0.3644379903481873</v>
      </c>
      <c r="M209" s="4"/>
    </row>
    <row r="210" spans="1:13" s="7" customFormat="1" x14ac:dyDescent="0.25">
      <c r="A210" s="4" t="str">
        <v>CA CH4</v>
      </c>
      <c r="B210" s="266">
        <f ca="1"/>
        <v>1</v>
      </c>
      <c r="C210" s="266">
        <f ca="1"/>
        <v>0.93010984574418498</v>
      </c>
      <c r="D210" s="266">
        <f ca="1"/>
        <v>0.85418148079680134</v>
      </c>
      <c r="E210" s="266">
        <f ca="1"/>
        <v>0.77918787831338365</v>
      </c>
      <c r="F210" s="266">
        <f ca="1"/>
        <v>0.66931544547611388</v>
      </c>
      <c r="G210" s="266">
        <f ca="1"/>
        <v>0.56272484053549732</v>
      </c>
      <c r="H210" s="266">
        <f ca="1"/>
        <v>0.47396212831692086</v>
      </c>
      <c r="I210" s="266">
        <f ca="1"/>
        <v>0.41480801857536886</v>
      </c>
      <c r="J210" s="266">
        <f ca="1"/>
        <v>0.37990621170257005</v>
      </c>
      <c r="K210" s="266">
        <f ca="1"/>
        <v>0.35636899775123232</v>
      </c>
      <c r="M210" s="4"/>
    </row>
    <row r="211" spans="1:13" s="7" customFormat="1" x14ac:dyDescent="0.25">
      <c r="A211" s="4" t="str">
        <v>IA CH4</v>
      </c>
      <c r="B211" s="266">
        <f ca="1"/>
        <v>1</v>
      </c>
      <c r="C211" s="266">
        <f ca="1"/>
        <v>0.92573065094114582</v>
      </c>
      <c r="D211" s="266">
        <f ca="1"/>
        <v>0.84622237571311965</v>
      </c>
      <c r="E211" s="266">
        <f ca="1"/>
        <v>0.76854850514649431</v>
      </c>
      <c r="F211" s="266">
        <f ca="1"/>
        <v>0.65632535339250853</v>
      </c>
      <c r="G211" s="266">
        <f ca="1"/>
        <v>0.54912362204383691</v>
      </c>
      <c r="H211" s="266">
        <f ca="1"/>
        <v>0.46127201073049068</v>
      </c>
      <c r="I211" s="266">
        <f ca="1"/>
        <v>0.40318782046860097</v>
      </c>
      <c r="J211" s="266">
        <f ca="1"/>
        <v>0.36904676508769513</v>
      </c>
      <c r="K211" s="266">
        <f ca="1"/>
        <v>0.34606690959038133</v>
      </c>
      <c r="M211" s="4"/>
    </row>
    <row r="212" spans="1:13" s="7" customFormat="1" x14ac:dyDescent="0.25">
      <c r="A212" s="4" t="str">
        <v>AF CH4</v>
      </c>
      <c r="B212" s="266">
        <f ca="1"/>
        <v>1</v>
      </c>
      <c r="C212" s="266">
        <f ca="1"/>
        <v>0.90919700291235039</v>
      </c>
      <c r="D212" s="266">
        <f ca="1"/>
        <v>0.81698461406708234</v>
      </c>
      <c r="E212" s="266">
        <f ca="1"/>
        <v>0.73535669499181222</v>
      </c>
      <c r="F212" s="266">
        <f ca="1"/>
        <v>0.62667077377830005</v>
      </c>
      <c r="G212" s="266">
        <f ca="1"/>
        <v>0.52787303958942344</v>
      </c>
      <c r="H212" s="266">
        <f ca="1"/>
        <v>0.44563870713487785</v>
      </c>
      <c r="I212" s="266">
        <f ca="1"/>
        <v>0.39044276218732393</v>
      </c>
      <c r="J212" s="266">
        <f ca="1"/>
        <v>0.35776148902885707</v>
      </c>
      <c r="K212" s="266">
        <f ca="1"/>
        <v>0.33567932208936735</v>
      </c>
      <c r="M212" s="4"/>
    </row>
    <row r="213" spans="1:13" s="7" customFormat="1" ht="13" thickBot="1" x14ac:dyDescent="0.3">
      <c r="A213" s="4" t="str">
        <v>LA CH4</v>
      </c>
      <c r="B213" s="268">
        <f ca="1"/>
        <v>1</v>
      </c>
      <c r="C213" s="268">
        <f ca="1"/>
        <v>0.91560229024592654</v>
      </c>
      <c r="D213" s="268">
        <f ca="1"/>
        <v>0.83089279754598855</v>
      </c>
      <c r="E213" s="268">
        <f ca="1"/>
        <v>0.75584977695517686</v>
      </c>
      <c r="F213" s="268">
        <f ca="1"/>
        <v>0.65406529451659112</v>
      </c>
      <c r="G213" s="268">
        <f ca="1"/>
        <v>0.5610838396131671</v>
      </c>
      <c r="H213" s="268">
        <f ca="1"/>
        <v>0.48087667265168538</v>
      </c>
      <c r="I213" s="268">
        <f ca="1"/>
        <v>0.42461882072428597</v>
      </c>
      <c r="J213" s="268">
        <f ca="1"/>
        <v>0.39059312923629208</v>
      </c>
      <c r="K213" s="268">
        <f ca="1"/>
        <v>0.36736866243580907</v>
      </c>
      <c r="M213" s="4"/>
    </row>
    <row r="214" spans="1:13" s="2" customFormat="1" ht="15.5" thickTop="1" x14ac:dyDescent="0.4">
      <c r="A214" s="2" t="s">
        <v>294</v>
      </c>
      <c r="B214" s="2" t="s">
        <v>297</v>
      </c>
    </row>
    <row r="215" spans="1:13" s="7" customFormat="1" x14ac:dyDescent="0.25">
      <c r="A215" s="4" t="str">
        <f t="array" ref="A215:A222">R_CODE&amp;" "&amp;'Base data'!$D$12</f>
        <v>EU N2O</v>
      </c>
      <c r="B215" s="267">
        <f t="array" ref="B215:K222" ca="1">((CROSS*cumcbe_n2o_g_b+(1-CROSS)*cumcbe_n2o_b+IES_N2O)/IES_N2O)^-(LN(1/(1-LEARN))/LN(2))</f>
        <v>1</v>
      </c>
      <c r="C215" s="267">
        <f ca="1"/>
        <v>0.96109932632320494</v>
      </c>
      <c r="D215" s="267">
        <f ca="1"/>
        <v>0.91035812543561889</v>
      </c>
      <c r="E215" s="267">
        <f ca="1"/>
        <v>0.85029842885078022</v>
      </c>
      <c r="F215" s="267">
        <f ca="1"/>
        <v>0.75174065902514575</v>
      </c>
      <c r="G215" s="267">
        <f ca="1"/>
        <v>0.64453088552281579</v>
      </c>
      <c r="H215" s="267">
        <f ca="1"/>
        <v>0.54431963123039528</v>
      </c>
      <c r="I215" s="267">
        <f ca="1"/>
        <v>0.47423525677910933</v>
      </c>
      <c r="J215" s="267">
        <f ca="1"/>
        <v>0.43141835793983035</v>
      </c>
      <c r="K215" s="267">
        <f ca="1"/>
        <v>0.40153865937112898</v>
      </c>
      <c r="M215" s="4"/>
    </row>
    <row r="216" spans="1:13" s="7" customFormat="1" x14ac:dyDescent="0.25">
      <c r="A216" s="4" t="str">
        <v>US N2O</v>
      </c>
      <c r="B216" s="266">
        <f ca="1"/>
        <v>1</v>
      </c>
      <c r="C216" s="266">
        <f ca="1"/>
        <v>0.96302937759507445</v>
      </c>
      <c r="D216" s="266">
        <f ca="1"/>
        <v>0.91401382062135506</v>
      </c>
      <c r="E216" s="266">
        <f ca="1"/>
        <v>0.85521596541622047</v>
      </c>
      <c r="F216" s="266">
        <f ca="1"/>
        <v>0.75750923593826169</v>
      </c>
      <c r="G216" s="266">
        <f ca="1"/>
        <v>0.65025420362741138</v>
      </c>
      <c r="H216" s="266">
        <f ca="1"/>
        <v>0.54943544596386007</v>
      </c>
      <c r="I216" s="266">
        <f ca="1"/>
        <v>0.47881730257456545</v>
      </c>
      <c r="J216" s="266">
        <f ca="1"/>
        <v>0.43564133055042631</v>
      </c>
      <c r="K216" s="266">
        <f ca="1"/>
        <v>0.40549921981592824</v>
      </c>
      <c r="M216" s="4"/>
    </row>
    <row r="217" spans="1:13" s="7" customFormat="1" x14ac:dyDescent="0.25">
      <c r="A217" s="4" t="str">
        <v>OT N2O</v>
      </c>
      <c r="B217" s="266">
        <f ca="1"/>
        <v>1</v>
      </c>
      <c r="C217" s="266">
        <f ca="1"/>
        <v>0.96982747913251144</v>
      </c>
      <c r="D217" s="266">
        <f ca="1"/>
        <v>0.92713548302024351</v>
      </c>
      <c r="E217" s="266">
        <f ca="1"/>
        <v>0.87316807920168971</v>
      </c>
      <c r="F217" s="266">
        <f ca="1"/>
        <v>0.77895963395633139</v>
      </c>
      <c r="G217" s="266">
        <f ca="1"/>
        <v>0.67179177704048276</v>
      </c>
      <c r="H217" s="266">
        <f ca="1"/>
        <v>0.56878681346852178</v>
      </c>
      <c r="I217" s="266">
        <f ca="1"/>
        <v>0.49619540507883292</v>
      </c>
      <c r="J217" s="266">
        <f ca="1"/>
        <v>0.45167796178825625</v>
      </c>
      <c r="K217" s="266">
        <f ca="1"/>
        <v>0.42055066827144605</v>
      </c>
      <c r="M217" s="4"/>
    </row>
    <row r="218" spans="1:13" s="7" customFormat="1" x14ac:dyDescent="0.25">
      <c r="A218" s="4" t="str">
        <v>EE N2O</v>
      </c>
      <c r="B218" s="266">
        <f ca="1"/>
        <v>1</v>
      </c>
      <c r="C218" s="266">
        <f ca="1"/>
        <v>0.97798232547760189</v>
      </c>
      <c r="D218" s="266">
        <f ca="1"/>
        <v>0.94183098666732135</v>
      </c>
      <c r="E218" s="266">
        <f ca="1"/>
        <v>0.89178617141840633</v>
      </c>
      <c r="F218" s="266">
        <f ca="1"/>
        <v>0.79959919085165443</v>
      </c>
      <c r="G218" s="266">
        <f ca="1"/>
        <v>0.69194867372513869</v>
      </c>
      <c r="H218" s="266">
        <f ca="1"/>
        <v>0.58352854731338344</v>
      </c>
      <c r="I218" s="266">
        <f ca="1"/>
        <v>0.50810910531805276</v>
      </c>
      <c r="J218" s="266">
        <f ca="1"/>
        <v>0.46216457462711813</v>
      </c>
      <c r="K218" s="266">
        <f ca="1"/>
        <v>0.43015930474347885</v>
      </c>
      <c r="M218" s="4"/>
    </row>
    <row r="219" spans="1:13" s="7" customFormat="1" x14ac:dyDescent="0.25">
      <c r="A219" s="4" t="str">
        <v>CA N2O</v>
      </c>
      <c r="B219" s="266">
        <f ca="1"/>
        <v>1</v>
      </c>
      <c r="C219" s="266">
        <f ca="1"/>
        <v>0.97798232547760189</v>
      </c>
      <c r="D219" s="266">
        <f ca="1"/>
        <v>0.94137007781427362</v>
      </c>
      <c r="E219" s="266">
        <f ca="1"/>
        <v>0.87913957594757663</v>
      </c>
      <c r="F219" s="266">
        <f ca="1"/>
        <v>0.76037304468203759</v>
      </c>
      <c r="G219" s="266">
        <f ca="1"/>
        <v>0.63538039863075169</v>
      </c>
      <c r="H219" s="266">
        <f ca="1"/>
        <v>0.52074883079714607</v>
      </c>
      <c r="I219" s="266">
        <f ca="1"/>
        <v>0.44743380237533859</v>
      </c>
      <c r="J219" s="266">
        <f ca="1"/>
        <v>0.40449691027343943</v>
      </c>
      <c r="K219" s="266">
        <f ca="1"/>
        <v>0.37517597224165472</v>
      </c>
      <c r="M219" s="4"/>
    </row>
    <row r="220" spans="1:13" s="7" customFormat="1" x14ac:dyDescent="0.25">
      <c r="A220" s="4" t="str">
        <v>IA N2O</v>
      </c>
      <c r="B220" s="266">
        <f ca="1"/>
        <v>1</v>
      </c>
      <c r="C220" s="266">
        <f ca="1"/>
        <v>0.97798232547760189</v>
      </c>
      <c r="D220" s="266">
        <f ca="1"/>
        <v>0.94255222719534304</v>
      </c>
      <c r="E220" s="266">
        <f ca="1"/>
        <v>0.88884485933558488</v>
      </c>
      <c r="F220" s="266">
        <f ca="1"/>
        <v>0.786244706309986</v>
      </c>
      <c r="G220" s="266">
        <f ca="1"/>
        <v>0.67021441603881604</v>
      </c>
      <c r="H220" s="266">
        <f ca="1"/>
        <v>0.55896846139603795</v>
      </c>
      <c r="I220" s="266">
        <f ca="1"/>
        <v>0.4840785128340257</v>
      </c>
      <c r="J220" s="266">
        <f ca="1"/>
        <v>0.43917069332882197</v>
      </c>
      <c r="K220" s="266">
        <f ca="1"/>
        <v>0.40813610869404887</v>
      </c>
      <c r="M220" s="4"/>
    </row>
    <row r="221" spans="1:13" s="7" customFormat="1" x14ac:dyDescent="0.25">
      <c r="A221" s="4" t="str">
        <v>AF N2O</v>
      </c>
      <c r="B221" s="266">
        <f ca="1"/>
        <v>1</v>
      </c>
      <c r="C221" s="266">
        <f ca="1"/>
        <v>0.96075050974484155</v>
      </c>
      <c r="D221" s="266">
        <f ca="1"/>
        <v>0.89609958510255128</v>
      </c>
      <c r="E221" s="266">
        <f ca="1"/>
        <v>0.82074307454396245</v>
      </c>
      <c r="F221" s="266">
        <f ca="1"/>
        <v>0.70226127956627749</v>
      </c>
      <c r="G221" s="266">
        <f ca="1"/>
        <v>0.58013913435829412</v>
      </c>
      <c r="H221" s="266">
        <f ca="1"/>
        <v>0.4764371678859346</v>
      </c>
      <c r="I221" s="266">
        <f ca="1"/>
        <v>0.40955407208193384</v>
      </c>
      <c r="J221" s="266">
        <f ca="1"/>
        <v>0.37021414271595759</v>
      </c>
      <c r="K221" s="266">
        <f ca="1"/>
        <v>0.34327121088890639</v>
      </c>
      <c r="M221" s="4"/>
    </row>
    <row r="222" spans="1:13" s="7" customFormat="1" ht="13" thickBot="1" x14ac:dyDescent="0.3">
      <c r="A222" s="4" t="str">
        <v>LA N2O</v>
      </c>
      <c r="B222" s="268">
        <f ca="1"/>
        <v>1</v>
      </c>
      <c r="C222" s="268">
        <f ca="1"/>
        <v>0.95417770952162739</v>
      </c>
      <c r="D222" s="268">
        <f ca="1"/>
        <v>0.89010238994077939</v>
      </c>
      <c r="E222" s="268">
        <f ca="1"/>
        <v>0.81922905428080006</v>
      </c>
      <c r="F222" s="268">
        <f ca="1"/>
        <v>0.70951334144072331</v>
      </c>
      <c r="G222" s="268">
        <f ca="1"/>
        <v>0.599765983553604</v>
      </c>
      <c r="H222" s="268">
        <f ca="1"/>
        <v>0.50630855124343144</v>
      </c>
      <c r="I222" s="268">
        <f ca="1"/>
        <v>0.44100651433260551</v>
      </c>
      <c r="J222" s="268">
        <f ca="1"/>
        <v>0.40112657651644479</v>
      </c>
      <c r="K222" s="268">
        <f ca="1"/>
        <v>0.37329935930691521</v>
      </c>
      <c r="M222" s="4"/>
    </row>
    <row r="223" spans="1:13" s="2" customFormat="1" ht="15.5" thickTop="1" x14ac:dyDescent="0.4">
      <c r="A223" s="2" t="s">
        <v>294</v>
      </c>
      <c r="B223" s="2" t="s">
        <v>298</v>
      </c>
    </row>
    <row r="224" spans="1:13" s="7" customFormat="1" x14ac:dyDescent="0.25">
      <c r="A224" s="4" t="str">
        <f t="array" ref="A224:A231">R_CODE&amp;" "&amp;GLIN_NAME</f>
        <v>EU Lin</v>
      </c>
      <c r="B224" s="267">
        <f t="array" ref="B224:K231" ca="1">((CROSS*cumcbe_glin_g_b+(1-CROSS)*cumcbe_glin_b+IES_GLIN)/IES_GLIN)^-(LN(1/(1-LEARN))/LN(2))</f>
        <v>1</v>
      </c>
      <c r="C224" s="267">
        <f ca="1"/>
        <v>0.83878938889002541</v>
      </c>
      <c r="D224" s="267">
        <f ca="1"/>
        <v>0.69665639657564848</v>
      </c>
      <c r="E224" s="267">
        <f ca="1"/>
        <v>0.60199814952029562</v>
      </c>
      <c r="F224" s="267">
        <f ca="1"/>
        <v>0.50200374849370322</v>
      </c>
      <c r="G224" s="267">
        <f ca="1"/>
        <v>0.42318776681983672</v>
      </c>
      <c r="H224" s="267">
        <f ca="1"/>
        <v>0.35778478154666471</v>
      </c>
      <c r="I224" s="267">
        <f ca="1"/>
        <v>0.31123478371245389</v>
      </c>
      <c r="J224" s="267">
        <f ca="1"/>
        <v>0.28247711723171343</v>
      </c>
      <c r="K224" s="267">
        <f ca="1"/>
        <v>0.26222080012393578</v>
      </c>
      <c r="M224" s="4"/>
    </row>
    <row r="225" spans="1:13" s="7" customFormat="1" x14ac:dyDescent="0.25">
      <c r="A225" s="4" t="str">
        <v>US Lin</v>
      </c>
      <c r="B225" s="266">
        <f ca="1"/>
        <v>1</v>
      </c>
      <c r="C225" s="266">
        <f ca="1"/>
        <v>0.7885655154337069</v>
      </c>
      <c r="D225" s="266">
        <f ca="1"/>
        <v>0.63440958823784632</v>
      </c>
      <c r="E225" s="266">
        <f ca="1"/>
        <v>0.54277750476971076</v>
      </c>
      <c r="F225" s="266">
        <f ca="1"/>
        <v>0.45049454071079137</v>
      </c>
      <c r="G225" s="266">
        <f ca="1"/>
        <v>0.38100319287470191</v>
      </c>
      <c r="H225" s="266">
        <f ca="1"/>
        <v>0.3231426478102562</v>
      </c>
      <c r="I225" s="266">
        <f ca="1"/>
        <v>0.28156112520085697</v>
      </c>
      <c r="J225" s="266">
        <f ca="1"/>
        <v>0.25574721242746484</v>
      </c>
      <c r="K225" s="266">
        <f ca="1"/>
        <v>0.23751806067428938</v>
      </c>
      <c r="M225" s="4"/>
    </row>
    <row r="226" spans="1:13" s="7" customFormat="1" x14ac:dyDescent="0.25">
      <c r="A226" s="4" t="str">
        <v>OT Lin</v>
      </c>
      <c r="B226" s="266">
        <f ca="1"/>
        <v>1</v>
      </c>
      <c r="C226" s="266">
        <f ca="1"/>
        <v>0.84102421372504443</v>
      </c>
      <c r="D226" s="266">
        <f ca="1"/>
        <v>0.69962839202594851</v>
      </c>
      <c r="E226" s="266">
        <f ca="1"/>
        <v>0.6048892618759879</v>
      </c>
      <c r="F226" s="266">
        <f ca="1"/>
        <v>0.50454506892178375</v>
      </c>
      <c r="G226" s="266">
        <f ca="1"/>
        <v>0.42525390531708712</v>
      </c>
      <c r="H226" s="266">
        <f ca="1"/>
        <v>0.35946949947883289</v>
      </c>
      <c r="I226" s="266">
        <f ca="1"/>
        <v>0.31267259155244537</v>
      </c>
      <c r="J226" s="266">
        <f ca="1"/>
        <v>0.28377000340001479</v>
      </c>
      <c r="K226" s="266">
        <f ca="1"/>
        <v>0.26341439487525681</v>
      </c>
      <c r="M226" s="4"/>
    </row>
    <row r="227" spans="1:13" s="7" customFormat="1" x14ac:dyDescent="0.25">
      <c r="A227" s="4" t="str">
        <v>EE Lin</v>
      </c>
      <c r="B227" s="266">
        <f ca="1"/>
        <v>1</v>
      </c>
      <c r="C227" s="266">
        <f ca="1"/>
        <v>0.85719841709018751</v>
      </c>
      <c r="D227" s="266">
        <f ca="1"/>
        <v>0.71988355800088621</v>
      </c>
      <c r="E227" s="266">
        <f ca="1"/>
        <v>0.62104011324524488</v>
      </c>
      <c r="F227" s="266">
        <f ca="1"/>
        <v>0.51429638467262695</v>
      </c>
      <c r="G227" s="266">
        <f ca="1"/>
        <v>0.42843008034148644</v>
      </c>
      <c r="H227" s="266">
        <f ca="1"/>
        <v>0.35891889554996043</v>
      </c>
      <c r="I227" s="266">
        <f ca="1"/>
        <v>0.31078950368788899</v>
      </c>
      <c r="J227" s="266">
        <f ca="1"/>
        <v>0.28145791370893636</v>
      </c>
      <c r="K227" s="266">
        <f ca="1"/>
        <v>0.26094175508822531</v>
      </c>
      <c r="M227" s="4"/>
    </row>
    <row r="228" spans="1:13" s="7" customFormat="1" x14ac:dyDescent="0.25">
      <c r="A228" s="4" t="str">
        <v>CA Lin</v>
      </c>
      <c r="B228" s="266">
        <f ca="1"/>
        <v>1</v>
      </c>
      <c r="C228" s="266">
        <f ca="1"/>
        <v>0.82263495993779712</v>
      </c>
      <c r="D228" s="266">
        <f ca="1"/>
        <v>0.67451408379813249</v>
      </c>
      <c r="E228" s="266">
        <f ca="1"/>
        <v>0.57149880725990498</v>
      </c>
      <c r="F228" s="266">
        <f ca="1"/>
        <v>0.46693510556032802</v>
      </c>
      <c r="G228" s="266">
        <f ca="1"/>
        <v>0.38434758400595487</v>
      </c>
      <c r="H228" s="266">
        <f ca="1"/>
        <v>0.32012605898362129</v>
      </c>
      <c r="I228" s="266">
        <f ca="1"/>
        <v>0.27641917236858532</v>
      </c>
      <c r="J228" s="266">
        <f ca="1"/>
        <v>0.25000246498527406</v>
      </c>
      <c r="K228" s="266">
        <f ca="1"/>
        <v>0.23160276358213655</v>
      </c>
      <c r="M228" s="4"/>
    </row>
    <row r="229" spans="1:13" s="7" customFormat="1" x14ac:dyDescent="0.25">
      <c r="A229" s="4" t="str">
        <v>IA Lin</v>
      </c>
      <c r="B229" s="266">
        <f ca="1"/>
        <v>1</v>
      </c>
      <c r="C229" s="266">
        <f ca="1"/>
        <v>0.83778136113812862</v>
      </c>
      <c r="D229" s="266">
        <f ca="1"/>
        <v>0.69436763741517538</v>
      </c>
      <c r="E229" s="266">
        <f ca="1"/>
        <v>0.59241899672886833</v>
      </c>
      <c r="F229" s="266">
        <f ca="1"/>
        <v>0.4866861109411072</v>
      </c>
      <c r="G229" s="266">
        <f ca="1"/>
        <v>0.40222352605611716</v>
      </c>
      <c r="H229" s="266">
        <f ca="1"/>
        <v>0.33575059888092718</v>
      </c>
      <c r="I229" s="266">
        <f ca="1"/>
        <v>0.2902166869396034</v>
      </c>
      <c r="J229" s="266">
        <f ca="1"/>
        <v>0.26261027292139349</v>
      </c>
      <c r="K229" s="266">
        <f ca="1"/>
        <v>0.24335169537969287</v>
      </c>
      <c r="M229" s="4"/>
    </row>
    <row r="230" spans="1:13" s="7" customFormat="1" x14ac:dyDescent="0.25">
      <c r="A230" s="4" t="str">
        <v>AF Lin</v>
      </c>
      <c r="B230" s="266">
        <f ca="1"/>
        <v>1</v>
      </c>
      <c r="C230" s="266">
        <f ca="1"/>
        <v>0.84878787039661308</v>
      </c>
      <c r="D230" s="266">
        <f ca="1"/>
        <v>0.71101113844455077</v>
      </c>
      <c r="E230" s="266">
        <f ca="1"/>
        <v>0.61389438270521313</v>
      </c>
      <c r="F230" s="266">
        <f ca="1"/>
        <v>0.50814206115597793</v>
      </c>
      <c r="G230" s="266">
        <f ca="1"/>
        <v>0.41984374830818944</v>
      </c>
      <c r="H230" s="266">
        <f ca="1"/>
        <v>0.34957001548760219</v>
      </c>
      <c r="I230" s="266">
        <f ca="1"/>
        <v>0.30179312480672049</v>
      </c>
      <c r="J230" s="266">
        <f ca="1"/>
        <v>0.27293051534822133</v>
      </c>
      <c r="K230" s="266">
        <f ca="1"/>
        <v>0.25283213949486988</v>
      </c>
      <c r="M230" s="4"/>
    </row>
    <row r="231" spans="1:13" s="7" customFormat="1" ht="13" thickBot="1" x14ac:dyDescent="0.3">
      <c r="A231" s="4" t="str">
        <v>LA Lin</v>
      </c>
      <c r="B231" s="268">
        <f ca="1"/>
        <v>1</v>
      </c>
      <c r="C231" s="268">
        <f ca="1"/>
        <v>0.85779273528302658</v>
      </c>
      <c r="D231" s="268">
        <f ca="1"/>
        <v>0.72299206098785396</v>
      </c>
      <c r="E231" s="268">
        <f ca="1"/>
        <v>0.62426944992109801</v>
      </c>
      <c r="F231" s="268">
        <f ca="1"/>
        <v>0.51755838146546784</v>
      </c>
      <c r="G231" s="268">
        <f ca="1"/>
        <v>0.42893336562195278</v>
      </c>
      <c r="H231" s="268">
        <f ca="1"/>
        <v>0.35812275008668232</v>
      </c>
      <c r="I231" s="268">
        <f ca="1"/>
        <v>0.30958676653910161</v>
      </c>
      <c r="J231" s="268">
        <f ca="1"/>
        <v>0.28015130650298259</v>
      </c>
      <c r="K231" s="268">
        <f ca="1"/>
        <v>0.25961359512795745</v>
      </c>
      <c r="M231" s="4"/>
    </row>
    <row r="232" spans="1:13" s="2" customFormat="1" ht="13.5" thickTop="1" x14ac:dyDescent="0.3">
      <c r="A232" s="2" t="s">
        <v>299</v>
      </c>
      <c r="B232" s="2" t="s">
        <v>300</v>
      </c>
    </row>
    <row r="233" spans="1:13" s="7" customFormat="1" ht="13" thickBot="1" x14ac:dyDescent="0.3">
      <c r="A233" s="4"/>
      <c r="B233" s="34">
        <f t="array" aca="1" ref="B233:K233" ca="1">(1-AUTO/100)^YMINUSY0</f>
        <v>0.97497819578201406</v>
      </c>
      <c r="C233" s="34">
        <f ca="1"/>
        <v>0.92679719348643597</v>
      </c>
      <c r="D233" s="34">
        <f ca="1"/>
        <v>0.8809971767269954</v>
      </c>
      <c r="E233" s="34">
        <f ca="1"/>
        <v>0.83746048310869881</v>
      </c>
      <c r="F233" s="34">
        <f ca="1"/>
        <v>0.73780032123918915</v>
      </c>
      <c r="G233" s="34">
        <f ca="1"/>
        <v>0.64999999999999591</v>
      </c>
      <c r="H233" s="34">
        <f ca="1"/>
        <v>0.50450141651060576</v>
      </c>
      <c r="I233" s="34">
        <f ca="1"/>
        <v>0.39157181424801429</v>
      </c>
      <c r="J233" s="34">
        <f ca="1"/>
        <v>0.30392082300577267</v>
      </c>
      <c r="K233" s="34">
        <f ca="1"/>
        <v>0.23588997802074213</v>
      </c>
      <c r="M233" s="4"/>
    </row>
    <row r="234" spans="1:13" s="2" customFormat="1" ht="13.5" thickTop="1" x14ac:dyDescent="0.3">
      <c r="A234" s="2" t="s">
        <v>310</v>
      </c>
      <c r="B234" s="2" t="s">
        <v>311</v>
      </c>
    </row>
    <row r="235" spans="1:13" s="7" customFormat="1" x14ac:dyDescent="0.25">
      <c r="A235" s="58" t="s">
        <v>14</v>
      </c>
      <c r="B235" s="26">
        <f t="array" aca="1" ref="B235:K235" ca="1">C0_INIT_CO2*(1+C0G/100)^YMINUSY0</f>
        <v>-99.594981998776973</v>
      </c>
      <c r="C235" s="26">
        <f ca="1"/>
        <v>-98.789860539872009</v>
      </c>
      <c r="D235" s="26">
        <f ca="1"/>
        <v>-97.991247647468867</v>
      </c>
      <c r="E235" s="26">
        <f ca="1"/>
        <v>-97.199090706601936</v>
      </c>
      <c r="F235" s="26">
        <f ca="1"/>
        <v>-95.246601685394211</v>
      </c>
      <c r="G235" s="26">
        <f ca="1"/>
        <v>-93.333333333332902</v>
      </c>
      <c r="H235" s="26">
        <f ca="1"/>
        <v>-89.62132307807029</v>
      </c>
      <c r="I235" s="26">
        <f ca="1"/>
        <v>-86.056945181398802</v>
      </c>
      <c r="J235" s="26">
        <f ca="1"/>
        <v>-82.634328077292452</v>
      </c>
      <c r="K235" s="26">
        <f ca="1"/>
        <v>-79.347833720939093</v>
      </c>
      <c r="M235" s="4" t="str">
        <f>CURRENCY_NAME&amp;" per "&amp;EMIT_NAME</f>
        <v>$M(2015) per Mtonne</v>
      </c>
    </row>
    <row r="236" spans="1:13" s="7" customFormat="1" x14ac:dyDescent="0.25">
      <c r="A236" s="58" t="s">
        <v>15</v>
      </c>
      <c r="B236" s="26">
        <f t="array" aca="1" ref="B236:K236" ca="1">C0_INIT_CH4*(1+C0G/100)^YMINUSY0</f>
        <v>-4963.1499362723853</v>
      </c>
      <c r="C236" s="26">
        <f ca="1"/>
        <v>-4923.0280502369551</v>
      </c>
      <c r="D236" s="26">
        <f ca="1"/>
        <v>-4883.2305077655319</v>
      </c>
      <c r="E236" s="26">
        <f ca="1"/>
        <v>-4843.7546868789968</v>
      </c>
      <c r="F236" s="26">
        <f ca="1"/>
        <v>-4746.4556506554782</v>
      </c>
      <c r="G236" s="26">
        <f ca="1"/>
        <v>-4651.1111111110895</v>
      </c>
      <c r="H236" s="26">
        <f ca="1"/>
        <v>-4466.1292667238358</v>
      </c>
      <c r="I236" s="26">
        <f ca="1"/>
        <v>-4288.5044348730398</v>
      </c>
      <c r="J236" s="26">
        <f ca="1"/>
        <v>-4117.94401585174</v>
      </c>
      <c r="K236" s="26">
        <f ca="1"/>
        <v>-3954.1670470934641</v>
      </c>
      <c r="M236" s="4" t="str">
        <f>CURRENCY_NAME&amp;" per "&amp;EMIT_NAME</f>
        <v>$M(2015) per Mtonne</v>
      </c>
    </row>
    <row r="237" spans="1:13" s="7" customFormat="1" x14ac:dyDescent="0.25">
      <c r="A237" s="58" t="s">
        <v>146</v>
      </c>
      <c r="B237" s="26">
        <f t="array" aca="1" ref="B237:K237" ca="1">C0_INIT_N2O*(1+C0G/100)^YMINUSY0</f>
        <v>-8399.176815230192</v>
      </c>
      <c r="C237" s="26">
        <f ca="1"/>
        <v>-8331.2782388625401</v>
      </c>
      <c r="D237" s="26">
        <f ca="1"/>
        <v>-8263.9285516032087</v>
      </c>
      <c r="E237" s="26">
        <f ca="1"/>
        <v>-8197.1233162567642</v>
      </c>
      <c r="F237" s="26">
        <f ca="1"/>
        <v>-8032.4634088015791</v>
      </c>
      <c r="G237" s="26">
        <f ca="1"/>
        <v>-7871.1111111110749</v>
      </c>
      <c r="H237" s="26">
        <f ca="1"/>
        <v>-7558.0649129172616</v>
      </c>
      <c r="I237" s="26">
        <f ca="1"/>
        <v>-7257.4690436312994</v>
      </c>
      <c r="J237" s="26">
        <f ca="1"/>
        <v>-6968.8283345183308</v>
      </c>
      <c r="K237" s="26">
        <f ca="1"/>
        <v>-6691.6673104658639</v>
      </c>
      <c r="M237" s="4" t="str">
        <f>CURRENCY_NAME&amp;" per "&amp;EMIT_NAME</f>
        <v>$M(2015) per Mtonne</v>
      </c>
    </row>
    <row r="238" spans="1:13" s="7" customFormat="1" x14ac:dyDescent="0.25">
      <c r="A238" s="4" t="str">
        <f>GLIN_NAME</f>
        <v>Lin</v>
      </c>
      <c r="B238" s="26">
        <f t="array" aca="1" ref="B238:K238" ca="1">C0_INIT_GLIN*(1+C0G/100)^YMINUSY0</f>
        <v>-267.24653503005152</v>
      </c>
      <c r="C238" s="26">
        <f ca="1"/>
        <v>-265.08612578198989</v>
      </c>
      <c r="D238" s="26">
        <f ca="1"/>
        <v>-262.94318118737476</v>
      </c>
      <c r="E238" s="26">
        <f ca="1"/>
        <v>-260.81756006271519</v>
      </c>
      <c r="F238" s="26">
        <f ca="1"/>
        <v>-255.57838118914114</v>
      </c>
      <c r="G238" s="26">
        <f ca="1"/>
        <v>-250.44444444444326</v>
      </c>
      <c r="H238" s="26">
        <f ca="1"/>
        <v>-240.48388359282194</v>
      </c>
      <c r="I238" s="26">
        <f ca="1"/>
        <v>-230.91946957008676</v>
      </c>
      <c r="J238" s="26">
        <f ca="1"/>
        <v>-221.7354470074014</v>
      </c>
      <c r="K238" s="26">
        <f ca="1"/>
        <v>-212.91668715118652</v>
      </c>
      <c r="M238" s="4" t="str">
        <f>CURRENCY_NAME&amp;" per "&amp;EMIT_NAME</f>
        <v>$M(2015) per Mtonne</v>
      </c>
    </row>
    <row r="239" spans="1:13" s="2" customFormat="1" ht="15" x14ac:dyDescent="0.4">
      <c r="A239" s="2" t="s">
        <v>312</v>
      </c>
      <c r="B239" s="2" t="s">
        <v>313</v>
      </c>
    </row>
    <row r="240" spans="1:13" s="7" customFormat="1" x14ac:dyDescent="0.25">
      <c r="A240" s="58" t="s">
        <v>14</v>
      </c>
      <c r="B240" s="29">
        <f t="array" aca="1" ref="B240:K240" ca="1">QMAX_MINUS_Q0_PROP_INIT_CO2*(1+QMAX_MINUS_Q0_PROPG/100)^YMINUSY0</f>
        <v>60.390730487214277</v>
      </c>
      <c r="C240" s="29">
        <f ca="1"/>
        <v>61.179841547587543</v>
      </c>
      <c r="D240" s="29">
        <f ca="1"/>
        <v>61.979263731217308</v>
      </c>
      <c r="E240" s="29">
        <f ca="1"/>
        <v>62.789131771055807</v>
      </c>
      <c r="F240" s="29">
        <f ca="1"/>
        <v>64.860402624873714</v>
      </c>
      <c r="G240" s="29">
        <f ca="1"/>
        <v>66.999999999999773</v>
      </c>
      <c r="H240" s="29">
        <f ca="1"/>
        <v>71.493264413464701</v>
      </c>
      <c r="I240" s="29">
        <f ca="1"/>
        <v>76.287863529755171</v>
      </c>
      <c r="J240" s="29">
        <f ca="1"/>
        <v>81.404005953300199</v>
      </c>
      <c r="K240" s="29">
        <f ca="1"/>
        <v>86.863255551262185</v>
      </c>
      <c r="M240" s="4" t="str">
        <f>'Library data'!$G$138</f>
        <v>% relative to RCP8.5</v>
      </c>
    </row>
    <row r="241" spans="1:15" s="7" customFormat="1" x14ac:dyDescent="0.25">
      <c r="A241" s="58" t="s">
        <v>15</v>
      </c>
      <c r="B241" s="26">
        <f t="array" aca="1" ref="B241:K241" ca="1">QMAX_MINUS_Q0_PROP_INIT_CH4*(1+QMAX_MINUS_Q0_PROPG/100)^YMINUSY0</f>
        <v>52.003129030656737</v>
      </c>
      <c r="C241" s="26">
        <f ca="1"/>
        <v>52.682641332644828</v>
      </c>
      <c r="D241" s="26">
        <f ca="1"/>
        <v>53.371032657437119</v>
      </c>
      <c r="E241" s="26">
        <f ca="1"/>
        <v>54.068419025075833</v>
      </c>
      <c r="F241" s="26">
        <f ca="1"/>
        <v>55.852013371419034</v>
      </c>
      <c r="G241" s="26">
        <f ca="1"/>
        <v>57.694444444444251</v>
      </c>
      <c r="H241" s="26">
        <f ca="1"/>
        <v>61.563644356039049</v>
      </c>
      <c r="I241" s="26">
        <f ca="1"/>
        <v>65.692326928400277</v>
      </c>
      <c r="J241" s="26">
        <f ca="1"/>
        <v>70.097894015341836</v>
      </c>
      <c r="K241" s="26">
        <f ca="1"/>
        <v>74.798914502475768</v>
      </c>
      <c r="M241" s="4" t="str">
        <f>'Library data'!$G$138</f>
        <v>% relative to RCP8.5</v>
      </c>
    </row>
    <row r="242" spans="1:15" s="7" customFormat="1" x14ac:dyDescent="0.25">
      <c r="A242" s="58" t="s">
        <v>146</v>
      </c>
      <c r="B242" s="26">
        <f t="array" aca="1" ref="B242:K242" ca="1">QMAX_MINUS_Q0_PROP_INIT_N2O*(1+QMAX_MINUS_Q0_PROPG/100)^YMINUSY0</f>
        <v>52.003129030656737</v>
      </c>
      <c r="C242" s="26">
        <f ca="1"/>
        <v>52.682641332644828</v>
      </c>
      <c r="D242" s="26">
        <f ca="1"/>
        <v>53.371032657437119</v>
      </c>
      <c r="E242" s="26">
        <f ca="1"/>
        <v>54.068419025075833</v>
      </c>
      <c r="F242" s="26">
        <f ca="1"/>
        <v>55.852013371419034</v>
      </c>
      <c r="G242" s="26">
        <f ca="1"/>
        <v>57.694444444444251</v>
      </c>
      <c r="H242" s="26">
        <f ca="1"/>
        <v>61.563644356039049</v>
      </c>
      <c r="I242" s="26">
        <f ca="1"/>
        <v>65.692326928400277</v>
      </c>
      <c r="J242" s="26">
        <f ca="1"/>
        <v>70.097894015341836</v>
      </c>
      <c r="K242" s="26">
        <f ca="1"/>
        <v>74.798914502475768</v>
      </c>
      <c r="M242" s="4" t="str">
        <f>'Library data'!$G$138</f>
        <v>% relative to RCP8.5</v>
      </c>
    </row>
    <row r="243" spans="1:15" s="7" customFormat="1" x14ac:dyDescent="0.25">
      <c r="A243" s="4" t="str">
        <f>GLIN_NAME</f>
        <v>Lin</v>
      </c>
      <c r="B243" s="26">
        <f t="array" aca="1" ref="B243:K243" ca="1">QMAX_MINUS_Q0_PROP_INIT_GLIN*(1+QMAX_MINUS_Q0_PROPG/100)^YMINUSY0</f>
        <v>70.455852235083327</v>
      </c>
      <c r="C243" s="26">
        <f ca="1"/>
        <v>71.376481805518807</v>
      </c>
      <c r="D243" s="26">
        <f ca="1"/>
        <v>72.309141019753525</v>
      </c>
      <c r="E243" s="26">
        <f ca="1"/>
        <v>73.253987066231772</v>
      </c>
      <c r="F243" s="26">
        <f ca="1"/>
        <v>75.670469729019345</v>
      </c>
      <c r="G243" s="26">
        <f ca="1"/>
        <v>78.166666666666401</v>
      </c>
      <c r="H243" s="26">
        <f ca="1"/>
        <v>83.408808482375491</v>
      </c>
      <c r="I243" s="26">
        <f ca="1"/>
        <v>89.002507451381021</v>
      </c>
      <c r="J243" s="26">
        <f ca="1"/>
        <v>94.971340278850235</v>
      </c>
      <c r="K243" s="26">
        <f ca="1"/>
        <v>101.34046480980588</v>
      </c>
      <c r="M243" s="4" t="str">
        <f>'Library data'!$G$138</f>
        <v>% relative to RCP8.5</v>
      </c>
    </row>
    <row r="244" spans="1:15" s="2" customFormat="1" ht="15" x14ac:dyDescent="0.4">
      <c r="A244" s="2" t="s">
        <v>301</v>
      </c>
      <c r="B244" s="2" t="s">
        <v>302</v>
      </c>
    </row>
    <row r="245" spans="1:15" s="6" customFormat="1" x14ac:dyDescent="0.25">
      <c r="A245" s="4" t="str">
        <f t="array" ref="A245:A252">R_CODE&amp;" "&amp;'Base data'!$B$12</f>
        <v>EU CO2</v>
      </c>
      <c r="B245" s="29">
        <f t="array" aca="1" ref="B245:K252" ca="1">Q0_PROP_INIT_CO2*(1+Q0PROPG/100)^YMINUSY0</f>
        <v>9.9272934539900977</v>
      </c>
      <c r="C245" s="29">
        <f ca="1"/>
        <v>9.7834623910762524</v>
      </c>
      <c r="D245" s="29">
        <f ca="1"/>
        <v>9.6417152168632683</v>
      </c>
      <c r="E245" s="29">
        <f ca="1"/>
        <v>9.5020217390406021</v>
      </c>
      <c r="F245" s="29">
        <f ca="1"/>
        <v>9.1615787592273339</v>
      </c>
      <c r="G245" s="29">
        <f ca="1"/>
        <v>8.8333333333333481</v>
      </c>
      <c r="H245" s="29">
        <f ca="1"/>
        <v>8.2117027218732019</v>
      </c>
      <c r="I245" s="29">
        <f ca="1"/>
        <v>7.6338182934814665</v>
      </c>
      <c r="J245" s="29">
        <f ca="1"/>
        <v>7.096601485909483</v>
      </c>
      <c r="K245" s="29">
        <f ca="1"/>
        <v>6.5971903854217597</v>
      </c>
      <c r="M245" s="4" t="str">
        <f>'Library data'!$G$138</f>
        <v>% relative to RCP8.5</v>
      </c>
    </row>
    <row r="246" spans="1:15" s="6" customFormat="1" x14ac:dyDescent="0.25">
      <c r="A246" s="4" t="str">
        <v>US CO2</v>
      </c>
      <c r="B246" s="26">
        <f ca="1"/>
        <v>10.754567908489271</v>
      </c>
      <c r="C246" s="26">
        <f ca="1"/>
        <v>10.598750923665939</v>
      </c>
      <c r="D246" s="26">
        <f ca="1"/>
        <v>10.445191484935206</v>
      </c>
      <c r="E246" s="26">
        <f ca="1"/>
        <v>10.293856883960652</v>
      </c>
      <c r="F246" s="26">
        <f ca="1"/>
        <v>9.9250436558296116</v>
      </c>
      <c r="G246" s="26">
        <f ca="1"/>
        <v>9.5694444444444606</v>
      </c>
      <c r="H246" s="26">
        <f ca="1"/>
        <v>8.8960112820293009</v>
      </c>
      <c r="I246" s="26">
        <f ca="1"/>
        <v>8.2699698179382555</v>
      </c>
      <c r="J246" s="26">
        <f ca="1"/>
        <v>7.6879849430686056</v>
      </c>
      <c r="K246" s="26">
        <f ca="1"/>
        <v>7.146956250873572</v>
      </c>
      <c r="M246" s="4" t="str">
        <f>'Library data'!$G$138</f>
        <v>% relative to RCP8.5</v>
      </c>
    </row>
    <row r="247" spans="1:15" s="6" customFormat="1" x14ac:dyDescent="0.25">
      <c r="A247" s="4" t="str">
        <v>OT CO2</v>
      </c>
      <c r="B247" s="26">
        <f ca="1"/>
        <v>9.9272934539900977</v>
      </c>
      <c r="C247" s="26">
        <f ca="1"/>
        <v>9.7834623910762524</v>
      </c>
      <c r="D247" s="26">
        <f ca="1"/>
        <v>9.6417152168632683</v>
      </c>
      <c r="E247" s="26">
        <f ca="1"/>
        <v>9.5020217390406021</v>
      </c>
      <c r="F247" s="26">
        <f ca="1"/>
        <v>9.1615787592273339</v>
      </c>
      <c r="G247" s="26">
        <f ca="1"/>
        <v>8.8333333333333481</v>
      </c>
      <c r="H247" s="26">
        <f ca="1"/>
        <v>8.2117027218732019</v>
      </c>
      <c r="I247" s="26">
        <f ca="1"/>
        <v>7.6338182934814665</v>
      </c>
      <c r="J247" s="26">
        <f ca="1"/>
        <v>7.096601485909483</v>
      </c>
      <c r="K247" s="26">
        <f ca="1"/>
        <v>6.5971903854217597</v>
      </c>
      <c r="M247" s="4" t="str">
        <f>'Library data'!$G$138</f>
        <v>% relative to RCP8.5</v>
      </c>
    </row>
    <row r="248" spans="1:15" s="6" customFormat="1" x14ac:dyDescent="0.25">
      <c r="A248" s="4" t="str">
        <v>EE CO2</v>
      </c>
      <c r="B248" s="26">
        <f ca="1"/>
        <v>6.9491054177930698</v>
      </c>
      <c r="C248" s="26">
        <f ca="1"/>
        <v>6.848423673753377</v>
      </c>
      <c r="D248" s="26">
        <f ca="1"/>
        <v>6.7492006518042889</v>
      </c>
      <c r="E248" s="26">
        <f ca="1"/>
        <v>6.6514152173284229</v>
      </c>
      <c r="F248" s="26">
        <f ca="1"/>
        <v>6.413105131459135</v>
      </c>
      <c r="G248" s="26">
        <f ca="1"/>
        <v>6.1833333333333451</v>
      </c>
      <c r="H248" s="26">
        <f ca="1"/>
        <v>5.7481919053112422</v>
      </c>
      <c r="I248" s="26">
        <f ca="1"/>
        <v>5.3436728054370279</v>
      </c>
      <c r="J248" s="26">
        <f ca="1"/>
        <v>4.9676210401366383</v>
      </c>
      <c r="K248" s="26">
        <f ca="1"/>
        <v>4.618033269795232</v>
      </c>
      <c r="M248" s="4" t="str">
        <f>'Library data'!$G$138</f>
        <v>% relative to RCP8.5</v>
      </c>
    </row>
    <row r="249" spans="1:15" s="6" customFormat="1" x14ac:dyDescent="0.25">
      <c r="A249" s="4" t="str">
        <v>CA CO2</v>
      </c>
      <c r="B249" s="26">
        <f ca="1"/>
        <v>6.9491054177930698</v>
      </c>
      <c r="C249" s="26">
        <f ca="1"/>
        <v>6.848423673753377</v>
      </c>
      <c r="D249" s="26">
        <f ca="1"/>
        <v>6.7492006518042889</v>
      </c>
      <c r="E249" s="26">
        <f ca="1"/>
        <v>6.6514152173284229</v>
      </c>
      <c r="F249" s="26">
        <f ca="1"/>
        <v>6.413105131459135</v>
      </c>
      <c r="G249" s="26">
        <f ca="1"/>
        <v>6.1833333333333451</v>
      </c>
      <c r="H249" s="26">
        <f ca="1"/>
        <v>5.7481919053112422</v>
      </c>
      <c r="I249" s="26">
        <f ca="1"/>
        <v>5.3436728054370279</v>
      </c>
      <c r="J249" s="26">
        <f ca="1"/>
        <v>4.9676210401366383</v>
      </c>
      <c r="K249" s="26">
        <f ca="1"/>
        <v>4.618033269795232</v>
      </c>
      <c r="M249" s="4" t="str">
        <f>'Library data'!$G$138</f>
        <v>% relative to RCP8.5</v>
      </c>
    </row>
    <row r="250" spans="1:15" s="6" customFormat="1" x14ac:dyDescent="0.25">
      <c r="A250" s="4" t="str">
        <v>IA CO2</v>
      </c>
      <c r="B250" s="26">
        <f ca="1"/>
        <v>6.9491054177930698</v>
      </c>
      <c r="C250" s="26">
        <f ca="1"/>
        <v>6.848423673753377</v>
      </c>
      <c r="D250" s="26">
        <f ca="1"/>
        <v>6.7492006518042889</v>
      </c>
      <c r="E250" s="26">
        <f ca="1"/>
        <v>6.6514152173284229</v>
      </c>
      <c r="F250" s="26">
        <f ca="1"/>
        <v>6.413105131459135</v>
      </c>
      <c r="G250" s="26">
        <f ca="1"/>
        <v>6.1833333333333451</v>
      </c>
      <c r="H250" s="26">
        <f ca="1"/>
        <v>5.7481919053112422</v>
      </c>
      <c r="I250" s="26">
        <f ca="1"/>
        <v>5.3436728054370279</v>
      </c>
      <c r="J250" s="26">
        <f ca="1"/>
        <v>4.9676210401366383</v>
      </c>
      <c r="K250" s="26">
        <f ca="1"/>
        <v>4.618033269795232</v>
      </c>
      <c r="M250" s="4" t="str">
        <f>'Library data'!$G$138</f>
        <v>% relative to RCP8.5</v>
      </c>
    </row>
    <row r="251" spans="1:15" s="6" customFormat="1" x14ac:dyDescent="0.25">
      <c r="A251" s="4" t="str">
        <v>AF CO2</v>
      </c>
      <c r="B251" s="26">
        <f ca="1"/>
        <v>6.9491054177930698</v>
      </c>
      <c r="C251" s="26">
        <f ca="1"/>
        <v>6.848423673753377</v>
      </c>
      <c r="D251" s="26">
        <f ca="1"/>
        <v>6.7492006518042889</v>
      </c>
      <c r="E251" s="26">
        <f ca="1"/>
        <v>6.6514152173284229</v>
      </c>
      <c r="F251" s="26">
        <f ca="1"/>
        <v>6.413105131459135</v>
      </c>
      <c r="G251" s="26">
        <f ca="1"/>
        <v>6.1833333333333451</v>
      </c>
      <c r="H251" s="26">
        <f ca="1"/>
        <v>5.7481919053112422</v>
      </c>
      <c r="I251" s="26">
        <f ca="1"/>
        <v>5.3436728054370279</v>
      </c>
      <c r="J251" s="26">
        <f ca="1"/>
        <v>4.9676210401366383</v>
      </c>
      <c r="K251" s="26">
        <f ca="1"/>
        <v>4.618033269795232</v>
      </c>
      <c r="M251" s="4" t="str">
        <f>'Library data'!$G$138</f>
        <v>% relative to RCP8.5</v>
      </c>
    </row>
    <row r="252" spans="1:15" s="6" customFormat="1" ht="13" thickBot="1" x14ac:dyDescent="0.3">
      <c r="A252" s="4" t="str">
        <v>LA CO2</v>
      </c>
      <c r="B252" s="35">
        <f ca="1"/>
        <v>6.9491054177930698</v>
      </c>
      <c r="C252" s="35">
        <f ca="1"/>
        <v>6.848423673753377</v>
      </c>
      <c r="D252" s="35">
        <f ca="1"/>
        <v>6.7492006518042889</v>
      </c>
      <c r="E252" s="35">
        <f ca="1"/>
        <v>6.6514152173284229</v>
      </c>
      <c r="F252" s="35">
        <f ca="1"/>
        <v>6.413105131459135</v>
      </c>
      <c r="G252" s="35">
        <f ca="1"/>
        <v>6.1833333333333451</v>
      </c>
      <c r="H252" s="35">
        <f ca="1"/>
        <v>5.7481919053112422</v>
      </c>
      <c r="I252" s="35">
        <f ca="1"/>
        <v>5.3436728054370279</v>
      </c>
      <c r="J252" s="35">
        <f ca="1"/>
        <v>4.9676210401366383</v>
      </c>
      <c r="K252" s="35">
        <f ca="1"/>
        <v>4.618033269795232</v>
      </c>
      <c r="M252" s="4" t="str">
        <f>'Library data'!$G$138</f>
        <v>% relative to RCP8.5</v>
      </c>
      <c r="O252" s="7"/>
    </row>
    <row r="253" spans="1:15" s="8" customFormat="1" ht="15.5" thickTop="1" x14ac:dyDescent="0.4">
      <c r="A253" s="2" t="s">
        <v>301</v>
      </c>
      <c r="B253" s="2" t="s">
        <v>303</v>
      </c>
    </row>
    <row r="254" spans="1:15" s="7" customFormat="1" x14ac:dyDescent="0.25">
      <c r="A254" s="4" t="str">
        <f t="array" ref="A254:A261">R_CODE&amp;" "&amp;'Base data'!$C$12</f>
        <v>EU CH4</v>
      </c>
      <c r="B254" s="29">
        <f t="array" aca="1" ref="B254:K261" ca="1">Q0_PROP_INIT_CH4*(1+Q0PROPG/100)^YMINUSY0</f>
        <v>9.9272934539900977</v>
      </c>
      <c r="C254" s="29">
        <f ca="1"/>
        <v>9.7834623910762524</v>
      </c>
      <c r="D254" s="29">
        <f ca="1"/>
        <v>9.6417152168632683</v>
      </c>
      <c r="E254" s="29">
        <f ca="1"/>
        <v>9.5020217390406021</v>
      </c>
      <c r="F254" s="29">
        <f ca="1"/>
        <v>9.1615787592273339</v>
      </c>
      <c r="G254" s="29">
        <f ca="1"/>
        <v>8.8333333333333481</v>
      </c>
      <c r="H254" s="29">
        <f ca="1"/>
        <v>8.2117027218732019</v>
      </c>
      <c r="I254" s="29">
        <f ca="1"/>
        <v>7.6338182934814665</v>
      </c>
      <c r="J254" s="29">
        <f ca="1"/>
        <v>7.096601485909483</v>
      </c>
      <c r="K254" s="29">
        <f ca="1"/>
        <v>6.5971903854217597</v>
      </c>
      <c r="M254" s="4" t="str">
        <f>'Library data'!$G$138</f>
        <v>% relative to RCP8.5</v>
      </c>
    </row>
    <row r="255" spans="1:15" s="7" customFormat="1" x14ac:dyDescent="0.25">
      <c r="A255" s="4" t="str">
        <v>US CH4</v>
      </c>
      <c r="B255" s="26">
        <f ca="1"/>
        <v>10.754567908489271</v>
      </c>
      <c r="C255" s="26">
        <f ca="1"/>
        <v>10.598750923665939</v>
      </c>
      <c r="D255" s="26">
        <f ca="1"/>
        <v>10.445191484935206</v>
      </c>
      <c r="E255" s="26">
        <f ca="1"/>
        <v>10.293856883960652</v>
      </c>
      <c r="F255" s="26">
        <f ca="1"/>
        <v>9.9250436558296116</v>
      </c>
      <c r="G255" s="26">
        <f ca="1"/>
        <v>9.5694444444444606</v>
      </c>
      <c r="H255" s="26">
        <f ca="1"/>
        <v>8.8960112820293009</v>
      </c>
      <c r="I255" s="26">
        <f ca="1"/>
        <v>8.2699698179382555</v>
      </c>
      <c r="J255" s="26">
        <f ca="1"/>
        <v>7.6879849430686056</v>
      </c>
      <c r="K255" s="26">
        <f ca="1"/>
        <v>7.146956250873572</v>
      </c>
      <c r="M255" s="4" t="str">
        <f>'Library data'!$G$138</f>
        <v>% relative to RCP8.5</v>
      </c>
    </row>
    <row r="256" spans="1:15" s="7" customFormat="1" x14ac:dyDescent="0.25">
      <c r="A256" s="4" t="str">
        <v>OT CH4</v>
      </c>
      <c r="B256" s="26">
        <f ca="1"/>
        <v>9.9272934539900977</v>
      </c>
      <c r="C256" s="26">
        <f ca="1"/>
        <v>9.7834623910762524</v>
      </c>
      <c r="D256" s="26">
        <f ca="1"/>
        <v>9.6417152168632683</v>
      </c>
      <c r="E256" s="26">
        <f ca="1"/>
        <v>9.5020217390406021</v>
      </c>
      <c r="F256" s="26">
        <f ca="1"/>
        <v>9.1615787592273339</v>
      </c>
      <c r="G256" s="26">
        <f ca="1"/>
        <v>8.8333333333333481</v>
      </c>
      <c r="H256" s="26">
        <f ca="1"/>
        <v>8.2117027218732019</v>
      </c>
      <c r="I256" s="26">
        <f ca="1"/>
        <v>7.6338182934814665</v>
      </c>
      <c r="J256" s="26">
        <f ca="1"/>
        <v>7.096601485909483</v>
      </c>
      <c r="K256" s="26">
        <f ca="1"/>
        <v>6.5971903854217597</v>
      </c>
      <c r="M256" s="4" t="str">
        <f>'Library data'!$G$138</f>
        <v>% relative to RCP8.5</v>
      </c>
    </row>
    <row r="257" spans="1:13" s="7" customFormat="1" x14ac:dyDescent="0.25">
      <c r="A257" s="4" t="str">
        <v>EE CH4</v>
      </c>
      <c r="B257" s="26">
        <f ca="1"/>
        <v>6.9491054177930698</v>
      </c>
      <c r="C257" s="26">
        <f ca="1"/>
        <v>6.848423673753377</v>
      </c>
      <c r="D257" s="26">
        <f ca="1"/>
        <v>6.7492006518042889</v>
      </c>
      <c r="E257" s="26">
        <f ca="1"/>
        <v>6.6514152173284229</v>
      </c>
      <c r="F257" s="26">
        <f ca="1"/>
        <v>6.413105131459135</v>
      </c>
      <c r="G257" s="26">
        <f ca="1"/>
        <v>6.1833333333333451</v>
      </c>
      <c r="H257" s="26">
        <f ca="1"/>
        <v>5.7481919053112422</v>
      </c>
      <c r="I257" s="26">
        <f ca="1"/>
        <v>5.3436728054370279</v>
      </c>
      <c r="J257" s="26">
        <f ca="1"/>
        <v>4.9676210401366383</v>
      </c>
      <c r="K257" s="26">
        <f ca="1"/>
        <v>4.618033269795232</v>
      </c>
      <c r="M257" s="4" t="str">
        <f>'Library data'!$G$138</f>
        <v>% relative to RCP8.5</v>
      </c>
    </row>
    <row r="258" spans="1:13" s="7" customFormat="1" x14ac:dyDescent="0.25">
      <c r="A258" s="4" t="str">
        <v>CA CH4</v>
      </c>
      <c r="B258" s="26">
        <f ca="1"/>
        <v>6.9491054177930698</v>
      </c>
      <c r="C258" s="26">
        <f ca="1"/>
        <v>6.848423673753377</v>
      </c>
      <c r="D258" s="26">
        <f ca="1"/>
        <v>6.7492006518042889</v>
      </c>
      <c r="E258" s="26">
        <f ca="1"/>
        <v>6.6514152173284229</v>
      </c>
      <c r="F258" s="26">
        <f ca="1"/>
        <v>6.413105131459135</v>
      </c>
      <c r="G258" s="26">
        <f ca="1"/>
        <v>6.1833333333333451</v>
      </c>
      <c r="H258" s="26">
        <f ca="1"/>
        <v>5.7481919053112422</v>
      </c>
      <c r="I258" s="26">
        <f ca="1"/>
        <v>5.3436728054370279</v>
      </c>
      <c r="J258" s="26">
        <f ca="1"/>
        <v>4.9676210401366383</v>
      </c>
      <c r="K258" s="26">
        <f ca="1"/>
        <v>4.618033269795232</v>
      </c>
      <c r="M258" s="4" t="str">
        <f>'Library data'!$G$138</f>
        <v>% relative to RCP8.5</v>
      </c>
    </row>
    <row r="259" spans="1:13" s="7" customFormat="1" x14ac:dyDescent="0.25">
      <c r="A259" s="4" t="str">
        <v>IA CH4</v>
      </c>
      <c r="B259" s="26">
        <f ca="1"/>
        <v>6.9491054177930698</v>
      </c>
      <c r="C259" s="26">
        <f ca="1"/>
        <v>6.848423673753377</v>
      </c>
      <c r="D259" s="26">
        <f ca="1"/>
        <v>6.7492006518042889</v>
      </c>
      <c r="E259" s="26">
        <f ca="1"/>
        <v>6.6514152173284229</v>
      </c>
      <c r="F259" s="26">
        <f ca="1"/>
        <v>6.413105131459135</v>
      </c>
      <c r="G259" s="26">
        <f ca="1"/>
        <v>6.1833333333333451</v>
      </c>
      <c r="H259" s="26">
        <f ca="1"/>
        <v>5.7481919053112422</v>
      </c>
      <c r="I259" s="26">
        <f ca="1"/>
        <v>5.3436728054370279</v>
      </c>
      <c r="J259" s="26">
        <f ca="1"/>
        <v>4.9676210401366383</v>
      </c>
      <c r="K259" s="26">
        <f ca="1"/>
        <v>4.618033269795232</v>
      </c>
      <c r="M259" s="4" t="str">
        <f>'Library data'!$G$138</f>
        <v>% relative to RCP8.5</v>
      </c>
    </row>
    <row r="260" spans="1:13" s="7" customFormat="1" x14ac:dyDescent="0.25">
      <c r="A260" s="4" t="str">
        <v>AF CH4</v>
      </c>
      <c r="B260" s="26">
        <f ca="1"/>
        <v>6.9491054177930698</v>
      </c>
      <c r="C260" s="26">
        <f ca="1"/>
        <v>6.848423673753377</v>
      </c>
      <c r="D260" s="26">
        <f ca="1"/>
        <v>6.7492006518042889</v>
      </c>
      <c r="E260" s="26">
        <f ca="1"/>
        <v>6.6514152173284229</v>
      </c>
      <c r="F260" s="26">
        <f ca="1"/>
        <v>6.413105131459135</v>
      </c>
      <c r="G260" s="26">
        <f ca="1"/>
        <v>6.1833333333333451</v>
      </c>
      <c r="H260" s="26">
        <f ca="1"/>
        <v>5.7481919053112422</v>
      </c>
      <c r="I260" s="26">
        <f ca="1"/>
        <v>5.3436728054370279</v>
      </c>
      <c r="J260" s="26">
        <f ca="1"/>
        <v>4.9676210401366383</v>
      </c>
      <c r="K260" s="26">
        <f ca="1"/>
        <v>4.618033269795232</v>
      </c>
      <c r="M260" s="4" t="str">
        <f>'Library data'!$G$138</f>
        <v>% relative to RCP8.5</v>
      </c>
    </row>
    <row r="261" spans="1:13" s="7" customFormat="1" ht="13" thickBot="1" x14ac:dyDescent="0.3">
      <c r="A261" s="4" t="str">
        <v>LA CH4</v>
      </c>
      <c r="B261" s="35">
        <f ca="1"/>
        <v>6.9491054177930698</v>
      </c>
      <c r="C261" s="35">
        <f ca="1"/>
        <v>6.848423673753377</v>
      </c>
      <c r="D261" s="35">
        <f ca="1"/>
        <v>6.7492006518042889</v>
      </c>
      <c r="E261" s="35">
        <f ca="1"/>
        <v>6.6514152173284229</v>
      </c>
      <c r="F261" s="35">
        <f ca="1"/>
        <v>6.413105131459135</v>
      </c>
      <c r="G261" s="35">
        <f ca="1"/>
        <v>6.1833333333333451</v>
      </c>
      <c r="H261" s="35">
        <f ca="1"/>
        <v>5.7481919053112422</v>
      </c>
      <c r="I261" s="35">
        <f ca="1"/>
        <v>5.3436728054370279</v>
      </c>
      <c r="J261" s="35">
        <f ca="1"/>
        <v>4.9676210401366383</v>
      </c>
      <c r="K261" s="35">
        <f ca="1"/>
        <v>4.618033269795232</v>
      </c>
      <c r="M261" s="4" t="str">
        <f>'Library data'!$G$138</f>
        <v>% relative to RCP8.5</v>
      </c>
    </row>
    <row r="262" spans="1:13" s="8" customFormat="1" ht="15.5" thickTop="1" x14ac:dyDescent="0.4">
      <c r="A262" s="2" t="s">
        <v>301</v>
      </c>
      <c r="B262" s="2" t="s">
        <v>304</v>
      </c>
    </row>
    <row r="263" spans="1:13" s="7" customFormat="1" x14ac:dyDescent="0.25">
      <c r="A263" s="4" t="str">
        <f t="array" ref="A263:A270">R_CODE&amp;" "&amp;'Base data'!$D$12</f>
        <v>EU N2O</v>
      </c>
      <c r="B263" s="29">
        <f t="array" aca="1" ref="B263:K270" ca="1">Q0_PROP_INIT_N2O*(1+Q0PROPG/100)^YMINUSY0</f>
        <v>9.9272934539900977</v>
      </c>
      <c r="C263" s="29">
        <f ca="1"/>
        <v>9.7834623910762524</v>
      </c>
      <c r="D263" s="29">
        <f ca="1"/>
        <v>9.6417152168632683</v>
      </c>
      <c r="E263" s="29">
        <f ca="1"/>
        <v>9.5020217390406021</v>
      </c>
      <c r="F263" s="29">
        <f ca="1"/>
        <v>9.1615787592273339</v>
      </c>
      <c r="G263" s="29">
        <f ca="1"/>
        <v>8.8333333333333481</v>
      </c>
      <c r="H263" s="29">
        <f ca="1"/>
        <v>8.2117027218732019</v>
      </c>
      <c r="I263" s="29">
        <f ca="1"/>
        <v>7.6338182934814665</v>
      </c>
      <c r="J263" s="29">
        <f ca="1"/>
        <v>7.096601485909483</v>
      </c>
      <c r="K263" s="29">
        <f ca="1"/>
        <v>6.5971903854217597</v>
      </c>
      <c r="M263" s="4" t="str">
        <f>'Library data'!$G$138</f>
        <v>% relative to RCP8.5</v>
      </c>
    </row>
    <row r="264" spans="1:13" s="7" customFormat="1" x14ac:dyDescent="0.25">
      <c r="A264" s="4" t="str">
        <v>US N2O</v>
      </c>
      <c r="B264" s="26">
        <f ca="1"/>
        <v>10.754567908489271</v>
      </c>
      <c r="C264" s="26">
        <f ca="1"/>
        <v>10.598750923665939</v>
      </c>
      <c r="D264" s="26">
        <f ca="1"/>
        <v>10.445191484935206</v>
      </c>
      <c r="E264" s="26">
        <f ca="1"/>
        <v>10.293856883960652</v>
      </c>
      <c r="F264" s="26">
        <f ca="1"/>
        <v>9.9250436558296116</v>
      </c>
      <c r="G264" s="26">
        <f ca="1"/>
        <v>9.5694444444444606</v>
      </c>
      <c r="H264" s="26">
        <f ca="1"/>
        <v>8.8960112820293009</v>
      </c>
      <c r="I264" s="26">
        <f ca="1"/>
        <v>8.2699698179382555</v>
      </c>
      <c r="J264" s="26">
        <f ca="1"/>
        <v>7.6879849430686056</v>
      </c>
      <c r="K264" s="26">
        <f ca="1"/>
        <v>7.146956250873572</v>
      </c>
      <c r="M264" s="4" t="str">
        <f>'Library data'!$G$138</f>
        <v>% relative to RCP8.5</v>
      </c>
    </row>
    <row r="265" spans="1:13" s="7" customFormat="1" x14ac:dyDescent="0.25">
      <c r="A265" s="4" t="str">
        <v>OT N2O</v>
      </c>
      <c r="B265" s="26">
        <f ca="1"/>
        <v>9.9272934539900977</v>
      </c>
      <c r="C265" s="26">
        <f ca="1"/>
        <v>9.7834623910762524</v>
      </c>
      <c r="D265" s="26">
        <f ca="1"/>
        <v>9.6417152168632683</v>
      </c>
      <c r="E265" s="26">
        <f ca="1"/>
        <v>9.5020217390406021</v>
      </c>
      <c r="F265" s="26">
        <f ca="1"/>
        <v>9.1615787592273339</v>
      </c>
      <c r="G265" s="26">
        <f ca="1"/>
        <v>8.8333333333333481</v>
      </c>
      <c r="H265" s="26">
        <f ca="1"/>
        <v>8.2117027218732019</v>
      </c>
      <c r="I265" s="26">
        <f ca="1"/>
        <v>7.6338182934814665</v>
      </c>
      <c r="J265" s="26">
        <f ca="1"/>
        <v>7.096601485909483</v>
      </c>
      <c r="K265" s="26">
        <f ca="1"/>
        <v>6.5971903854217597</v>
      </c>
      <c r="M265" s="4" t="str">
        <f>'Library data'!$G$138</f>
        <v>% relative to RCP8.5</v>
      </c>
    </row>
    <row r="266" spans="1:13" s="7" customFormat="1" x14ac:dyDescent="0.25">
      <c r="A266" s="4" t="str">
        <v>EE N2O</v>
      </c>
      <c r="B266" s="26">
        <f ca="1"/>
        <v>6.9491054177930698</v>
      </c>
      <c r="C266" s="26">
        <f ca="1"/>
        <v>6.848423673753377</v>
      </c>
      <c r="D266" s="26">
        <f ca="1"/>
        <v>6.7492006518042889</v>
      </c>
      <c r="E266" s="26">
        <f ca="1"/>
        <v>6.6514152173284229</v>
      </c>
      <c r="F266" s="26">
        <f ca="1"/>
        <v>6.413105131459135</v>
      </c>
      <c r="G266" s="26">
        <f ca="1"/>
        <v>6.1833333333333451</v>
      </c>
      <c r="H266" s="26">
        <f ca="1"/>
        <v>5.7481919053112422</v>
      </c>
      <c r="I266" s="26">
        <f ca="1"/>
        <v>5.3436728054370279</v>
      </c>
      <c r="J266" s="26">
        <f ca="1"/>
        <v>4.9676210401366383</v>
      </c>
      <c r="K266" s="26">
        <f ca="1"/>
        <v>4.618033269795232</v>
      </c>
      <c r="M266" s="4" t="str">
        <f>'Library data'!$G$138</f>
        <v>% relative to RCP8.5</v>
      </c>
    </row>
    <row r="267" spans="1:13" s="7" customFormat="1" x14ac:dyDescent="0.25">
      <c r="A267" s="4" t="str">
        <v>CA N2O</v>
      </c>
      <c r="B267" s="26">
        <f ca="1"/>
        <v>6.9491054177930698</v>
      </c>
      <c r="C267" s="26">
        <f ca="1"/>
        <v>6.848423673753377</v>
      </c>
      <c r="D267" s="26">
        <f ca="1"/>
        <v>6.7492006518042889</v>
      </c>
      <c r="E267" s="26">
        <f ca="1"/>
        <v>6.6514152173284229</v>
      </c>
      <c r="F267" s="26">
        <f ca="1"/>
        <v>6.413105131459135</v>
      </c>
      <c r="G267" s="26">
        <f ca="1"/>
        <v>6.1833333333333451</v>
      </c>
      <c r="H267" s="26">
        <f ca="1"/>
        <v>5.7481919053112422</v>
      </c>
      <c r="I267" s="26">
        <f ca="1"/>
        <v>5.3436728054370279</v>
      </c>
      <c r="J267" s="26">
        <f ca="1"/>
        <v>4.9676210401366383</v>
      </c>
      <c r="K267" s="26">
        <f ca="1"/>
        <v>4.618033269795232</v>
      </c>
      <c r="M267" s="4" t="str">
        <f>'Library data'!$G$138</f>
        <v>% relative to RCP8.5</v>
      </c>
    </row>
    <row r="268" spans="1:13" s="7" customFormat="1" x14ac:dyDescent="0.25">
      <c r="A268" s="4" t="str">
        <v>IA N2O</v>
      </c>
      <c r="B268" s="26">
        <f ca="1"/>
        <v>6.9491054177930698</v>
      </c>
      <c r="C268" s="26">
        <f ca="1"/>
        <v>6.848423673753377</v>
      </c>
      <c r="D268" s="26">
        <f ca="1"/>
        <v>6.7492006518042889</v>
      </c>
      <c r="E268" s="26">
        <f ca="1"/>
        <v>6.6514152173284229</v>
      </c>
      <c r="F268" s="26">
        <f ca="1"/>
        <v>6.413105131459135</v>
      </c>
      <c r="G268" s="26">
        <f ca="1"/>
        <v>6.1833333333333451</v>
      </c>
      <c r="H268" s="26">
        <f ca="1"/>
        <v>5.7481919053112422</v>
      </c>
      <c r="I268" s="26">
        <f ca="1"/>
        <v>5.3436728054370279</v>
      </c>
      <c r="J268" s="26">
        <f ca="1"/>
        <v>4.9676210401366383</v>
      </c>
      <c r="K268" s="26">
        <f ca="1"/>
        <v>4.618033269795232</v>
      </c>
      <c r="M268" s="4" t="str">
        <f>'Library data'!$G$138</f>
        <v>% relative to RCP8.5</v>
      </c>
    </row>
    <row r="269" spans="1:13" s="7" customFormat="1" x14ac:dyDescent="0.25">
      <c r="A269" s="4" t="str">
        <v>AF N2O</v>
      </c>
      <c r="B269" s="26">
        <f ca="1"/>
        <v>6.9491054177930698</v>
      </c>
      <c r="C269" s="26">
        <f ca="1"/>
        <v>6.848423673753377</v>
      </c>
      <c r="D269" s="26">
        <f ca="1"/>
        <v>6.7492006518042889</v>
      </c>
      <c r="E269" s="26">
        <f ca="1"/>
        <v>6.6514152173284229</v>
      </c>
      <c r="F269" s="26">
        <f ca="1"/>
        <v>6.413105131459135</v>
      </c>
      <c r="G269" s="26">
        <f ca="1"/>
        <v>6.1833333333333451</v>
      </c>
      <c r="H269" s="26">
        <f ca="1"/>
        <v>5.7481919053112422</v>
      </c>
      <c r="I269" s="26">
        <f ca="1"/>
        <v>5.3436728054370279</v>
      </c>
      <c r="J269" s="26">
        <f ca="1"/>
        <v>4.9676210401366383</v>
      </c>
      <c r="K269" s="26">
        <f ca="1"/>
        <v>4.618033269795232</v>
      </c>
      <c r="M269" s="4" t="str">
        <f>'Library data'!$G$138</f>
        <v>% relative to RCP8.5</v>
      </c>
    </row>
    <row r="270" spans="1:13" s="7" customFormat="1" ht="13" thickBot="1" x14ac:dyDescent="0.3">
      <c r="A270" s="4" t="str">
        <v>LA N2O</v>
      </c>
      <c r="B270" s="35">
        <f ca="1"/>
        <v>6.9491054177930698</v>
      </c>
      <c r="C270" s="35">
        <f ca="1"/>
        <v>6.848423673753377</v>
      </c>
      <c r="D270" s="35">
        <f ca="1"/>
        <v>6.7492006518042889</v>
      </c>
      <c r="E270" s="35">
        <f ca="1"/>
        <v>6.6514152173284229</v>
      </c>
      <c r="F270" s="35">
        <f ca="1"/>
        <v>6.413105131459135</v>
      </c>
      <c r="G270" s="35">
        <f ca="1"/>
        <v>6.1833333333333451</v>
      </c>
      <c r="H270" s="35">
        <f ca="1"/>
        <v>5.7481919053112422</v>
      </c>
      <c r="I270" s="35">
        <f ca="1"/>
        <v>5.3436728054370279</v>
      </c>
      <c r="J270" s="35">
        <f ca="1"/>
        <v>4.9676210401366383</v>
      </c>
      <c r="K270" s="35">
        <f ca="1"/>
        <v>4.618033269795232</v>
      </c>
      <c r="M270" s="4" t="str">
        <f>'Library data'!$G$138</f>
        <v>% relative to RCP8.5</v>
      </c>
    </row>
    <row r="271" spans="1:13" s="8" customFormat="1" ht="15.5" thickTop="1" x14ac:dyDescent="0.4">
      <c r="A271" s="2" t="s">
        <v>301</v>
      </c>
      <c r="B271" s="2" t="s">
        <v>305</v>
      </c>
    </row>
    <row r="272" spans="1:13" s="7" customFormat="1" x14ac:dyDescent="0.25">
      <c r="A272" s="4" t="str">
        <f t="array" ref="A272:A279">R_CODE&amp;" "&amp;GLIN_NAME</f>
        <v>EU Lin</v>
      </c>
      <c r="B272" s="29">
        <f t="array" aca="1" ref="B272:K279" ca="1">Q0_PROP_INIT_GLIN*(1+Q0PROPG/100)^YMINUSY0</f>
        <v>9.9272934539900977</v>
      </c>
      <c r="C272" s="29">
        <f ca="1"/>
        <v>9.7834623910762524</v>
      </c>
      <c r="D272" s="29">
        <f ca="1"/>
        <v>9.6417152168632683</v>
      </c>
      <c r="E272" s="29">
        <f ca="1"/>
        <v>9.5020217390406021</v>
      </c>
      <c r="F272" s="29">
        <f ca="1"/>
        <v>9.1615787592273339</v>
      </c>
      <c r="G272" s="29">
        <f ca="1"/>
        <v>8.8333333333333481</v>
      </c>
      <c r="H272" s="29">
        <f ca="1"/>
        <v>8.2117027218732019</v>
      </c>
      <c r="I272" s="29">
        <f ca="1"/>
        <v>7.6338182934814665</v>
      </c>
      <c r="J272" s="29">
        <f ca="1"/>
        <v>7.096601485909483</v>
      </c>
      <c r="K272" s="29">
        <f ca="1"/>
        <v>6.5971903854217597</v>
      </c>
      <c r="M272" s="4" t="str">
        <f>'Library data'!$G$138</f>
        <v>% relative to RCP8.5</v>
      </c>
    </row>
    <row r="273" spans="1:13" s="7" customFormat="1" x14ac:dyDescent="0.25">
      <c r="A273" s="4" t="str">
        <v>US Lin</v>
      </c>
      <c r="B273" s="26">
        <f ca="1"/>
        <v>10.754567908489271</v>
      </c>
      <c r="C273" s="26">
        <f ca="1"/>
        <v>10.598750923665939</v>
      </c>
      <c r="D273" s="26">
        <f ca="1"/>
        <v>10.445191484935206</v>
      </c>
      <c r="E273" s="26">
        <f ca="1"/>
        <v>10.293856883960652</v>
      </c>
      <c r="F273" s="26">
        <f ca="1"/>
        <v>9.9250436558296116</v>
      </c>
      <c r="G273" s="26">
        <f ca="1"/>
        <v>9.5694444444444606</v>
      </c>
      <c r="H273" s="26">
        <f ca="1"/>
        <v>8.8960112820293009</v>
      </c>
      <c r="I273" s="26">
        <f ca="1"/>
        <v>8.2699698179382555</v>
      </c>
      <c r="J273" s="26">
        <f ca="1"/>
        <v>7.6879849430686056</v>
      </c>
      <c r="K273" s="26">
        <f ca="1"/>
        <v>7.146956250873572</v>
      </c>
      <c r="M273" s="4" t="str">
        <f>'Library data'!$G$138</f>
        <v>% relative to RCP8.5</v>
      </c>
    </row>
    <row r="274" spans="1:13" s="7" customFormat="1" x14ac:dyDescent="0.25">
      <c r="A274" s="4" t="str">
        <v>OT Lin</v>
      </c>
      <c r="B274" s="26">
        <f ca="1"/>
        <v>9.9272934539900977</v>
      </c>
      <c r="C274" s="26">
        <f ca="1"/>
        <v>9.7834623910762524</v>
      </c>
      <c r="D274" s="26">
        <f ca="1"/>
        <v>9.6417152168632683</v>
      </c>
      <c r="E274" s="26">
        <f ca="1"/>
        <v>9.5020217390406021</v>
      </c>
      <c r="F274" s="26">
        <f ca="1"/>
        <v>9.1615787592273339</v>
      </c>
      <c r="G274" s="26">
        <f ca="1"/>
        <v>8.8333333333333481</v>
      </c>
      <c r="H274" s="26">
        <f ca="1"/>
        <v>8.2117027218732019</v>
      </c>
      <c r="I274" s="26">
        <f ca="1"/>
        <v>7.6338182934814665</v>
      </c>
      <c r="J274" s="26">
        <f ca="1"/>
        <v>7.096601485909483</v>
      </c>
      <c r="K274" s="26">
        <f ca="1"/>
        <v>6.5971903854217597</v>
      </c>
      <c r="M274" s="4" t="str">
        <f>'Library data'!$G$138</f>
        <v>% relative to RCP8.5</v>
      </c>
    </row>
    <row r="275" spans="1:13" s="7" customFormat="1" x14ac:dyDescent="0.25">
      <c r="A275" s="4" t="str">
        <v>EE Lin</v>
      </c>
      <c r="B275" s="26">
        <f ca="1"/>
        <v>6.9491054177930698</v>
      </c>
      <c r="C275" s="26">
        <f ca="1"/>
        <v>6.848423673753377</v>
      </c>
      <c r="D275" s="26">
        <f ca="1"/>
        <v>6.7492006518042889</v>
      </c>
      <c r="E275" s="26">
        <f ca="1"/>
        <v>6.6514152173284229</v>
      </c>
      <c r="F275" s="26">
        <f ca="1"/>
        <v>6.413105131459135</v>
      </c>
      <c r="G275" s="26">
        <f ca="1"/>
        <v>6.1833333333333451</v>
      </c>
      <c r="H275" s="26">
        <f ca="1"/>
        <v>5.7481919053112422</v>
      </c>
      <c r="I275" s="26">
        <f ca="1"/>
        <v>5.3436728054370279</v>
      </c>
      <c r="J275" s="26">
        <f ca="1"/>
        <v>4.9676210401366383</v>
      </c>
      <c r="K275" s="26">
        <f ca="1"/>
        <v>4.618033269795232</v>
      </c>
      <c r="M275" s="4" t="str">
        <f>'Library data'!$G$138</f>
        <v>% relative to RCP8.5</v>
      </c>
    </row>
    <row r="276" spans="1:13" s="7" customFormat="1" x14ac:dyDescent="0.25">
      <c r="A276" s="4" t="str">
        <v>CA Lin</v>
      </c>
      <c r="B276" s="26">
        <f ca="1"/>
        <v>6.9491054177930698</v>
      </c>
      <c r="C276" s="26">
        <f ca="1"/>
        <v>6.848423673753377</v>
      </c>
      <c r="D276" s="26">
        <f ca="1"/>
        <v>6.7492006518042889</v>
      </c>
      <c r="E276" s="26">
        <f ca="1"/>
        <v>6.6514152173284229</v>
      </c>
      <c r="F276" s="26">
        <f ca="1"/>
        <v>6.413105131459135</v>
      </c>
      <c r="G276" s="26">
        <f ca="1"/>
        <v>6.1833333333333451</v>
      </c>
      <c r="H276" s="26">
        <f ca="1"/>
        <v>5.7481919053112422</v>
      </c>
      <c r="I276" s="26">
        <f ca="1"/>
        <v>5.3436728054370279</v>
      </c>
      <c r="J276" s="26">
        <f ca="1"/>
        <v>4.9676210401366383</v>
      </c>
      <c r="K276" s="26">
        <f ca="1"/>
        <v>4.618033269795232</v>
      </c>
      <c r="M276" s="4" t="str">
        <f>'Library data'!$G$138</f>
        <v>% relative to RCP8.5</v>
      </c>
    </row>
    <row r="277" spans="1:13" s="7" customFormat="1" x14ac:dyDescent="0.25">
      <c r="A277" s="4" t="str">
        <v>IA Lin</v>
      </c>
      <c r="B277" s="26">
        <f ca="1"/>
        <v>6.9491054177930698</v>
      </c>
      <c r="C277" s="26">
        <f ca="1"/>
        <v>6.848423673753377</v>
      </c>
      <c r="D277" s="26">
        <f ca="1"/>
        <v>6.7492006518042889</v>
      </c>
      <c r="E277" s="26">
        <f ca="1"/>
        <v>6.6514152173284229</v>
      </c>
      <c r="F277" s="26">
        <f ca="1"/>
        <v>6.413105131459135</v>
      </c>
      <c r="G277" s="26">
        <f ca="1"/>
        <v>6.1833333333333451</v>
      </c>
      <c r="H277" s="26">
        <f ca="1"/>
        <v>5.7481919053112422</v>
      </c>
      <c r="I277" s="26">
        <f ca="1"/>
        <v>5.3436728054370279</v>
      </c>
      <c r="J277" s="26">
        <f ca="1"/>
        <v>4.9676210401366383</v>
      </c>
      <c r="K277" s="26">
        <f ca="1"/>
        <v>4.618033269795232</v>
      </c>
      <c r="M277" s="4" t="str">
        <f>'Library data'!$G$138</f>
        <v>% relative to RCP8.5</v>
      </c>
    </row>
    <row r="278" spans="1:13" s="7" customFormat="1" x14ac:dyDescent="0.25">
      <c r="A278" s="4" t="str">
        <v>AF Lin</v>
      </c>
      <c r="B278" s="26">
        <f ca="1"/>
        <v>6.9491054177930698</v>
      </c>
      <c r="C278" s="26">
        <f ca="1"/>
        <v>6.848423673753377</v>
      </c>
      <c r="D278" s="26">
        <f ca="1"/>
        <v>6.7492006518042889</v>
      </c>
      <c r="E278" s="26">
        <f ca="1"/>
        <v>6.6514152173284229</v>
      </c>
      <c r="F278" s="26">
        <f ca="1"/>
        <v>6.413105131459135</v>
      </c>
      <c r="G278" s="26">
        <f ca="1"/>
        <v>6.1833333333333451</v>
      </c>
      <c r="H278" s="26">
        <f ca="1"/>
        <v>5.7481919053112422</v>
      </c>
      <c r="I278" s="26">
        <f ca="1"/>
        <v>5.3436728054370279</v>
      </c>
      <c r="J278" s="26">
        <f ca="1"/>
        <v>4.9676210401366383</v>
      </c>
      <c r="K278" s="26">
        <f ca="1"/>
        <v>4.618033269795232</v>
      </c>
      <c r="M278" s="4" t="str">
        <f>'Library data'!$G$138</f>
        <v>% relative to RCP8.5</v>
      </c>
    </row>
    <row r="279" spans="1:13" s="7" customFormat="1" ht="13" thickBot="1" x14ac:dyDescent="0.3">
      <c r="A279" s="4" t="str">
        <v>LA Lin</v>
      </c>
      <c r="B279" s="35">
        <f ca="1"/>
        <v>6.9491054177930698</v>
      </c>
      <c r="C279" s="35">
        <f ca="1"/>
        <v>6.848423673753377</v>
      </c>
      <c r="D279" s="35">
        <f ca="1"/>
        <v>6.7492006518042889</v>
      </c>
      <c r="E279" s="35">
        <f ca="1"/>
        <v>6.6514152173284229</v>
      </c>
      <c r="F279" s="35">
        <f ca="1"/>
        <v>6.413105131459135</v>
      </c>
      <c r="G279" s="35">
        <f ca="1"/>
        <v>6.1833333333333451</v>
      </c>
      <c r="H279" s="35">
        <f ca="1"/>
        <v>5.7481919053112422</v>
      </c>
      <c r="I279" s="35">
        <f ca="1"/>
        <v>5.3436728054370279</v>
      </c>
      <c r="J279" s="35">
        <f ca="1"/>
        <v>4.9676210401366383</v>
      </c>
      <c r="K279" s="35">
        <f ca="1"/>
        <v>4.618033269795232</v>
      </c>
      <c r="M279" s="4" t="str">
        <f>'Library data'!$G$138</f>
        <v>% relative to RCP8.5</v>
      </c>
    </row>
    <row r="280" spans="1:13" s="2" customFormat="1" ht="15.5" thickTop="1" x14ac:dyDescent="0.4">
      <c r="A280" s="2" t="s">
        <v>301</v>
      </c>
      <c r="B280" s="2" t="s">
        <v>306</v>
      </c>
    </row>
    <row r="281" spans="1:13" s="6" customFormat="1" x14ac:dyDescent="0.25">
      <c r="A281" s="4" t="str">
        <f t="array" ref="A281:A288">R_CODE&amp;" "&amp;'Base data'!$B$12</f>
        <v>EU CO2</v>
      </c>
      <c r="B281" s="29">
        <f t="array" aca="1" ref="B281:K288" ca="1">(Q0_PROP_CO2/100)*(ZC_CO2/100)*E_CO2_0</f>
        <v>482.67446435266396</v>
      </c>
      <c r="C281" s="29">
        <f ca="1"/>
        <v>555.12814217827713</v>
      </c>
      <c r="D281" s="29">
        <f ca="1"/>
        <v>595.849458628467</v>
      </c>
      <c r="E281" s="29">
        <f ca="1"/>
        <v>640.33305534556803</v>
      </c>
      <c r="F281" s="29">
        <f ca="1"/>
        <v>711.47132302037789</v>
      </c>
      <c r="G281" s="29">
        <f ca="1"/>
        <v>642.16259698211502</v>
      </c>
      <c r="H281" s="29">
        <f ca="1"/>
        <v>572.31252989410575</v>
      </c>
      <c r="I281" s="29">
        <f ca="1"/>
        <v>509.1133741987345</v>
      </c>
      <c r="J281" s="29">
        <f ca="1"/>
        <v>451.97496237795923</v>
      </c>
      <c r="K281" s="29">
        <f ca="1"/>
        <v>400.35725299707957</v>
      </c>
      <c r="M281" s="4" t="str">
        <f t="shared" ref="M281:M288" si="12">EMIT_NAME</f>
        <v>Mtonne</v>
      </c>
    </row>
    <row r="282" spans="1:13" s="6" customFormat="1" x14ac:dyDescent="0.25">
      <c r="A282" s="4" t="str">
        <v>US CO2</v>
      </c>
      <c r="B282" s="26">
        <f ca="1"/>
        <v>734.7450217853692</v>
      </c>
      <c r="C282" s="26">
        <f ca="1"/>
        <v>845.03670494661969</v>
      </c>
      <c r="D282" s="26">
        <f ca="1"/>
        <v>907.02420739809145</v>
      </c>
      <c r="E282" s="26">
        <f ca="1"/>
        <v>974.73879280262929</v>
      </c>
      <c r="F282" s="26">
        <f ca="1"/>
        <v>1083.0281097081779</v>
      </c>
      <c r="G282" s="26">
        <f ca="1"/>
        <v>977.52378912806114</v>
      </c>
      <c r="H282" s="26">
        <f ca="1"/>
        <v>871.19541906788209</v>
      </c>
      <c r="I282" s="26">
        <f ca="1"/>
        <v>774.9913136974252</v>
      </c>
      <c r="J282" s="26">
        <f ca="1"/>
        <v>688.01309807058226</v>
      </c>
      <c r="K282" s="26">
        <f ca="1"/>
        <v>609.43870102965025</v>
      </c>
      <c r="M282" s="4" t="str">
        <f t="shared" si="12"/>
        <v>Mtonne</v>
      </c>
    </row>
    <row r="283" spans="1:13" s="6" customFormat="1" x14ac:dyDescent="0.25">
      <c r="A283" s="4" t="str">
        <v>OT CO2</v>
      </c>
      <c r="B283" s="26">
        <f ca="1"/>
        <v>267.43934304247841</v>
      </c>
      <c r="C283" s="26">
        <f ca="1"/>
        <v>307.58433812665106</v>
      </c>
      <c r="D283" s="26">
        <f ca="1"/>
        <v>330.1471271771747</v>
      </c>
      <c r="E283" s="26">
        <f ca="1"/>
        <v>354.79451327443422</v>
      </c>
      <c r="F283" s="26">
        <f ca="1"/>
        <v>394.21066842083633</v>
      </c>
      <c r="G283" s="26">
        <f ca="1"/>
        <v>355.80822220142966</v>
      </c>
      <c r="H283" s="26">
        <f ca="1"/>
        <v>317.1058307696731</v>
      </c>
      <c r="I283" s="26">
        <f ca="1"/>
        <v>282.08856358799738</v>
      </c>
      <c r="J283" s="26">
        <f ca="1"/>
        <v>250.42942176798664</v>
      </c>
      <c r="K283" s="26">
        <f ca="1"/>
        <v>221.8291801855072</v>
      </c>
      <c r="M283" s="4" t="str">
        <f t="shared" si="12"/>
        <v>Mtonne</v>
      </c>
    </row>
    <row r="284" spans="1:13" s="6" customFormat="1" x14ac:dyDescent="0.25">
      <c r="A284" s="4" t="str">
        <v>EE CO2</v>
      </c>
      <c r="B284" s="26">
        <f ca="1"/>
        <v>294.72078513539105</v>
      </c>
      <c r="C284" s="26">
        <f ca="1"/>
        <v>356.04401889485035</v>
      </c>
      <c r="D284" s="26">
        <f ca="1"/>
        <v>431.76028668552397</v>
      </c>
      <c r="E284" s="26">
        <f ca="1"/>
        <v>514.62691071172367</v>
      </c>
      <c r="F284" s="26">
        <f ca="1"/>
        <v>666.89637696857483</v>
      </c>
      <c r="G284" s="26">
        <f ca="1"/>
        <v>840.78079905965103</v>
      </c>
      <c r="H284" s="26">
        <f ca="1"/>
        <v>749.32639873078506</v>
      </c>
      <c r="I284" s="26">
        <f ca="1"/>
        <v>666.58000883643649</v>
      </c>
      <c r="J284" s="26">
        <f ca="1"/>
        <v>591.76892551666322</v>
      </c>
      <c r="K284" s="26">
        <f ca="1"/>
        <v>524.18607478253125</v>
      </c>
      <c r="M284" s="4" t="str">
        <f t="shared" si="12"/>
        <v>Mtonne</v>
      </c>
    </row>
    <row r="285" spans="1:13" s="6" customFormat="1" x14ac:dyDescent="0.25">
      <c r="A285" s="4" t="str">
        <v>CA CO2</v>
      </c>
      <c r="B285" s="26">
        <f ca="1"/>
        <v>798.23570474660505</v>
      </c>
      <c r="C285" s="26">
        <f ca="1"/>
        <v>875.23789113233772</v>
      </c>
      <c r="D285" s="26">
        <f ca="1"/>
        <v>1049.6818799988309</v>
      </c>
      <c r="E285" s="26">
        <f ca="1"/>
        <v>1243.9358283147558</v>
      </c>
      <c r="F285" s="26">
        <f ca="1"/>
        <v>1525.4673701838703</v>
      </c>
      <c r="G285" s="26">
        <f ca="1"/>
        <v>1511.4155519380993</v>
      </c>
      <c r="H285" s="26">
        <f ca="1"/>
        <v>1347.0140776123112</v>
      </c>
      <c r="I285" s="26">
        <f ca="1"/>
        <v>1198.2664127121056</v>
      </c>
      <c r="J285" s="26">
        <f ca="1"/>
        <v>1063.7835190574181</v>
      </c>
      <c r="K285" s="26">
        <f ca="1"/>
        <v>942.29433690896678</v>
      </c>
      <c r="M285" s="4" t="str">
        <f t="shared" si="12"/>
        <v>Mtonne</v>
      </c>
    </row>
    <row r="286" spans="1:13" s="6" customFormat="1" x14ac:dyDescent="0.25">
      <c r="A286" s="4" t="str">
        <v>IA CO2</v>
      </c>
      <c r="B286" s="26">
        <f ca="1"/>
        <v>485.51942800153222</v>
      </c>
      <c r="C286" s="26">
        <f ca="1"/>
        <v>532.35529022437811</v>
      </c>
      <c r="D286" s="26">
        <f ca="1"/>
        <v>638.45922066639184</v>
      </c>
      <c r="E286" s="26">
        <f ca="1"/>
        <v>756.6123743183274</v>
      </c>
      <c r="F286" s="26">
        <f ca="1"/>
        <v>927.85131083780198</v>
      </c>
      <c r="G286" s="26">
        <f ca="1"/>
        <v>919.30442335018461</v>
      </c>
      <c r="H286" s="26">
        <f ca="1"/>
        <v>819.30875878315851</v>
      </c>
      <c r="I286" s="26">
        <f ca="1"/>
        <v>728.83437790860569</v>
      </c>
      <c r="J286" s="26">
        <f ca="1"/>
        <v>647.03641119908355</v>
      </c>
      <c r="K286" s="26">
        <f ca="1"/>
        <v>573.14174841421777</v>
      </c>
      <c r="M286" s="4" t="str">
        <f t="shared" si="12"/>
        <v>Mtonne</v>
      </c>
    </row>
    <row r="287" spans="1:13" s="6" customFormat="1" x14ac:dyDescent="0.25">
      <c r="A287" s="4" t="str">
        <v>AF CO2</v>
      </c>
      <c r="B287" s="26">
        <f ca="1"/>
        <v>439.96931359163989</v>
      </c>
      <c r="C287" s="26">
        <f ca="1"/>
        <v>544.04893997104864</v>
      </c>
      <c r="D287" s="26">
        <f ca="1"/>
        <v>700.7433345674915</v>
      </c>
      <c r="E287" s="26">
        <f ca="1"/>
        <v>883.45307420588017</v>
      </c>
      <c r="F287" s="26">
        <f ca="1"/>
        <v>1254.8672176298828</v>
      </c>
      <c r="G287" s="26">
        <f ca="1"/>
        <v>1430.226169694944</v>
      </c>
      <c r="H287" s="26">
        <f ca="1"/>
        <v>1274.6559225741814</v>
      </c>
      <c r="I287" s="26">
        <f ca="1"/>
        <v>1133.8986022273807</v>
      </c>
      <c r="J287" s="26">
        <f ca="1"/>
        <v>1006.6397860569396</v>
      </c>
      <c r="K287" s="26">
        <f ca="1"/>
        <v>891.67669240559997</v>
      </c>
      <c r="M287" s="4" t="str">
        <f t="shared" si="12"/>
        <v>Mtonne</v>
      </c>
    </row>
    <row r="288" spans="1:13" s="6" customFormat="1" ht="13" thickBot="1" x14ac:dyDescent="0.3">
      <c r="A288" s="4" t="str">
        <v>LA CO2</v>
      </c>
      <c r="B288" s="35">
        <f ca="1"/>
        <v>300.5204389942802</v>
      </c>
      <c r="C288" s="35">
        <f ca="1"/>
        <v>338.98790024123639</v>
      </c>
      <c r="D288" s="35">
        <f ca="1"/>
        <v>409.48398241325947</v>
      </c>
      <c r="E288" s="35">
        <f ca="1"/>
        <v>500.92091258470998</v>
      </c>
      <c r="F288" s="35">
        <f ca="1"/>
        <v>607.54805369737585</v>
      </c>
      <c r="G288" s="35">
        <f ca="1"/>
        <v>415.51099192648178</v>
      </c>
      <c r="H288" s="35">
        <f ca="1"/>
        <v>370.3145404385445</v>
      </c>
      <c r="I288" s="35">
        <f ca="1"/>
        <v>329.42155788971627</v>
      </c>
      <c r="J288" s="35">
        <f ca="1"/>
        <v>292.45017667827602</v>
      </c>
      <c r="K288" s="35">
        <f ca="1"/>
        <v>259.05096326002786</v>
      </c>
      <c r="M288" s="4" t="str">
        <f t="shared" si="12"/>
        <v>Mtonne</v>
      </c>
    </row>
    <row r="289" spans="1:13" s="8" customFormat="1" ht="15.5" thickTop="1" x14ac:dyDescent="0.4">
      <c r="A289" s="2" t="s">
        <v>301</v>
      </c>
      <c r="B289" s="2" t="s">
        <v>307</v>
      </c>
    </row>
    <row r="290" spans="1:13" s="7" customFormat="1" x14ac:dyDescent="0.25">
      <c r="A290" s="4" t="str">
        <f t="array" ref="A290:A297">R_CODE&amp;" "&amp;'Base data'!$C$12</f>
        <v>EU CH4</v>
      </c>
      <c r="B290" s="29">
        <f t="array" aca="1" ref="B290:K297" ca="1">(Q0_PROP_CH4/100)*(ZC_CH4/100)*E_CH4_0</f>
        <v>2.4119894096415377</v>
      </c>
      <c r="C290" s="29">
        <f ca="1"/>
        <v>2.5197730469158448</v>
      </c>
      <c r="D290" s="29">
        <f ca="1"/>
        <v>2.6385714570167447</v>
      </c>
      <c r="E290" s="29">
        <f ca="1"/>
        <v>2.7826887902837383</v>
      </c>
      <c r="F290" s="29">
        <f ca="1"/>
        <v>3.1559048528789582</v>
      </c>
      <c r="G290" s="29">
        <f ca="1"/>
        <v>3.4370241308708014</v>
      </c>
      <c r="H290" s="29">
        <f ca="1"/>
        <v>3.0082025231264775</v>
      </c>
      <c r="I290" s="29">
        <f ca="1"/>
        <v>2.6227145670371605</v>
      </c>
      <c r="J290" s="29">
        <f ca="1"/>
        <v>2.2765848957884218</v>
      </c>
      <c r="K290" s="29">
        <f ca="1"/>
        <v>1.9661830562506148</v>
      </c>
      <c r="M290" s="4" t="str">
        <f t="shared" ref="M290:M297" si="13">EMIT_NAME</f>
        <v>Mtonne</v>
      </c>
    </row>
    <row r="291" spans="1:13" s="7" customFormat="1" x14ac:dyDescent="0.25">
      <c r="A291" s="4" t="str">
        <v>US CH4</v>
      </c>
      <c r="B291" s="26">
        <f ca="1"/>
        <v>3.1769483910231897</v>
      </c>
      <c r="C291" s="26">
        <f ca="1"/>
        <v>3.3189154542484496</v>
      </c>
      <c r="D291" s="26">
        <f ca="1"/>
        <v>3.475390609702079</v>
      </c>
      <c r="E291" s="26">
        <f ca="1"/>
        <v>3.6652145484851162</v>
      </c>
      <c r="F291" s="26">
        <f ca="1"/>
        <v>4.156795549971398</v>
      </c>
      <c r="G291" s="26">
        <f ca="1"/>
        <v>4.5270714037258788</v>
      </c>
      <c r="H291" s="26">
        <f ca="1"/>
        <v>3.9622496382100123</v>
      </c>
      <c r="I291" s="26">
        <f ca="1"/>
        <v>3.4545047298114384</v>
      </c>
      <c r="J291" s="26">
        <f ca="1"/>
        <v>2.9986005298330096</v>
      </c>
      <c r="K291" s="26">
        <f ca="1"/>
        <v>2.5897551921427295</v>
      </c>
      <c r="M291" s="4" t="str">
        <f t="shared" si="13"/>
        <v>Mtonne</v>
      </c>
    </row>
    <row r="292" spans="1:13" s="7" customFormat="1" x14ac:dyDescent="0.25">
      <c r="A292" s="4" t="str">
        <v>OT CH4</v>
      </c>
      <c r="B292" s="26">
        <f ca="1"/>
        <v>2.2427021326662961</v>
      </c>
      <c r="C292" s="26">
        <f ca="1"/>
        <v>2.3429208949110043</v>
      </c>
      <c r="D292" s="26">
        <f ca="1"/>
        <v>2.4533813499302695</v>
      </c>
      <c r="E292" s="26">
        <f ca="1"/>
        <v>2.5873837005956903</v>
      </c>
      <c r="F292" s="26">
        <f ca="1"/>
        <v>2.9344053152768312</v>
      </c>
      <c r="G292" s="26">
        <f ca="1"/>
        <v>3.1957940269211385</v>
      </c>
      <c r="H292" s="26">
        <f ca="1"/>
        <v>2.7970695837800252</v>
      </c>
      <c r="I292" s="26">
        <f ca="1"/>
        <v>2.4386373876091612</v>
      </c>
      <c r="J292" s="26">
        <f ca="1"/>
        <v>2.1168010856811201</v>
      </c>
      <c r="K292" s="26">
        <f ca="1"/>
        <v>1.8281850309288572</v>
      </c>
      <c r="M292" s="4" t="str">
        <f t="shared" si="13"/>
        <v>Mtonne</v>
      </c>
    </row>
    <row r="293" spans="1:13" s="7" customFormat="1" x14ac:dyDescent="0.25">
      <c r="A293" s="4" t="str">
        <v>EE CH4</v>
      </c>
      <c r="B293" s="26">
        <f ca="1"/>
        <v>3.3059120513200977</v>
      </c>
      <c r="C293" s="26">
        <f ca="1"/>
        <v>3.4977099845374502</v>
      </c>
      <c r="D293" s="26">
        <f ca="1"/>
        <v>4.0610237028103109</v>
      </c>
      <c r="E293" s="26">
        <f ca="1"/>
        <v>4.513543511300079</v>
      </c>
      <c r="F293" s="26">
        <f ca="1"/>
        <v>4.8592064246102042</v>
      </c>
      <c r="G293" s="26">
        <f ca="1"/>
        <v>6.139443692194992</v>
      </c>
      <c r="H293" s="26">
        <f ca="1"/>
        <v>5.3734536919805418</v>
      </c>
      <c r="I293" s="26">
        <f ca="1"/>
        <v>4.6848691751677149</v>
      </c>
      <c r="J293" s="26">
        <f ca="1"/>
        <v>4.0665890741516062</v>
      </c>
      <c r="K293" s="26">
        <f ca="1"/>
        <v>3.5121284293515109</v>
      </c>
      <c r="M293" s="4" t="str">
        <f t="shared" si="13"/>
        <v>Mtonne</v>
      </c>
    </row>
    <row r="294" spans="1:13" s="7" customFormat="1" x14ac:dyDescent="0.25">
      <c r="A294" s="4" t="str">
        <v>CA CH4</v>
      </c>
      <c r="B294" s="26">
        <f ca="1"/>
        <v>4.654670752451338</v>
      </c>
      <c r="C294" s="26">
        <f ca="1"/>
        <v>4.9734861945850728</v>
      </c>
      <c r="D294" s="26">
        <f ca="1"/>
        <v>5.7057663027479668</v>
      </c>
      <c r="E294" s="26">
        <f ca="1"/>
        <v>6.6318368047767624</v>
      </c>
      <c r="F294" s="26">
        <f ca="1"/>
        <v>7.8212865743846844</v>
      </c>
      <c r="G294" s="26">
        <f ca="1"/>
        <v>8.0108622600942763</v>
      </c>
      <c r="H294" s="26">
        <f ca="1"/>
        <v>7.0113840187466971</v>
      </c>
      <c r="I294" s="26">
        <f ca="1"/>
        <v>6.1129059163033501</v>
      </c>
      <c r="J294" s="26">
        <f ca="1"/>
        <v>5.3061623454332629</v>
      </c>
      <c r="K294" s="26">
        <f ca="1"/>
        <v>4.5826916082094131</v>
      </c>
      <c r="M294" s="4" t="str">
        <f t="shared" si="13"/>
        <v>Mtonne</v>
      </c>
    </row>
    <row r="295" spans="1:13" s="7" customFormat="1" x14ac:dyDescent="0.25">
      <c r="A295" s="4" t="str">
        <v>IA CH4</v>
      </c>
      <c r="B295" s="26">
        <f ca="1"/>
        <v>5.8584649125680626</v>
      </c>
      <c r="C295" s="26">
        <f ca="1"/>
        <v>6.2597326242191436</v>
      </c>
      <c r="D295" s="26">
        <f ca="1"/>
        <v>7.1813955189758891</v>
      </c>
      <c r="E295" s="26">
        <f ca="1"/>
        <v>8.3469670129086833</v>
      </c>
      <c r="F295" s="26">
        <f ca="1"/>
        <v>9.8440331022427934</v>
      </c>
      <c r="G295" s="26">
        <f ca="1"/>
        <v>10.082636982532451</v>
      </c>
      <c r="H295" s="26">
        <f ca="1"/>
        <v>8.8246729891122229</v>
      </c>
      <c r="I295" s="26">
        <f ca="1"/>
        <v>7.6938298601749056</v>
      </c>
      <c r="J295" s="26">
        <f ca="1"/>
        <v>6.6784457106315198</v>
      </c>
      <c r="K295" s="26">
        <f ca="1"/>
        <v>5.7678704724015022</v>
      </c>
      <c r="M295" s="4" t="str">
        <f t="shared" si="13"/>
        <v>Mtonne</v>
      </c>
    </row>
    <row r="296" spans="1:13" s="7" customFormat="1" x14ac:dyDescent="0.25">
      <c r="A296" s="4" t="str">
        <v>AF CH4</v>
      </c>
      <c r="B296" s="26">
        <f ca="1"/>
        <v>6.3457742533941657</v>
      </c>
      <c r="C296" s="26">
        <f ca="1"/>
        <v>7.9433748433552065</v>
      </c>
      <c r="D296" s="26">
        <f ca="1"/>
        <v>9.7163899054558502</v>
      </c>
      <c r="E296" s="26">
        <f ca="1"/>
        <v>11.062313597127316</v>
      </c>
      <c r="F296" s="26">
        <f ca="1"/>
        <v>11.760815403750629</v>
      </c>
      <c r="G296" s="26">
        <f ca="1"/>
        <v>11.958668711046545</v>
      </c>
      <c r="H296" s="26">
        <f ca="1"/>
        <v>10.466640913774885</v>
      </c>
      <c r="I296" s="26">
        <f ca="1"/>
        <v>9.1253867987499095</v>
      </c>
      <c r="J296" s="26">
        <f ca="1"/>
        <v>7.9210746054344634</v>
      </c>
      <c r="K296" s="26">
        <f ca="1"/>
        <v>6.8410726546213931</v>
      </c>
      <c r="M296" s="4" t="str">
        <f t="shared" si="13"/>
        <v>Mtonne</v>
      </c>
    </row>
    <row r="297" spans="1:13" s="7" customFormat="1" ht="13" thickBot="1" x14ac:dyDescent="0.3">
      <c r="A297" s="4" t="str">
        <v>LA CH4</v>
      </c>
      <c r="B297" s="35">
        <f ca="1"/>
        <v>5.0716495307491805</v>
      </c>
      <c r="C297" s="35">
        <f ca="1"/>
        <v>5.8533777821353441</v>
      </c>
      <c r="D297" s="35">
        <f ca="1"/>
        <v>6.5022302741142042</v>
      </c>
      <c r="E297" s="35">
        <f ca="1"/>
        <v>6.9213665834362104</v>
      </c>
      <c r="F297" s="35">
        <f ca="1"/>
        <v>6.5620771677621601</v>
      </c>
      <c r="G297" s="35">
        <f ca="1"/>
        <v>5.9648659887320665</v>
      </c>
      <c r="H297" s="35">
        <f ca="1"/>
        <v>5.2206572413179311</v>
      </c>
      <c r="I297" s="35">
        <f ca="1"/>
        <v>4.5516529193260347</v>
      </c>
      <c r="J297" s="35">
        <f ca="1"/>
        <v>3.9509538770415888</v>
      </c>
      <c r="K297" s="35">
        <f ca="1"/>
        <v>3.4122595574792074</v>
      </c>
      <c r="M297" s="4" t="str">
        <f t="shared" si="13"/>
        <v>Mtonne</v>
      </c>
    </row>
    <row r="298" spans="1:13" s="8" customFormat="1" ht="15.5" thickTop="1" x14ac:dyDescent="0.4">
      <c r="A298" s="2" t="s">
        <v>301</v>
      </c>
      <c r="B298" s="2" t="s">
        <v>308</v>
      </c>
    </row>
    <row r="299" spans="1:13" s="7" customFormat="1" x14ac:dyDescent="0.25">
      <c r="A299" s="4" t="str">
        <f t="array" ref="A299:A306">R_CODE&amp;" "&amp;'Base data'!$D$12</f>
        <v>EU N2O</v>
      </c>
      <c r="B299" s="29">
        <f t="array" aca="1" ref="B299:K306" ca="1">(Q0_PROP_N2O/100)*(ZC_N2O/100)*E_N2O_0</f>
        <v>0.14721691658228384</v>
      </c>
      <c r="C299" s="29">
        <f ca="1"/>
        <v>0.15465779107221436</v>
      </c>
      <c r="D299" s="29">
        <f ca="1"/>
        <v>0.16429403553395122</v>
      </c>
      <c r="E299" s="29">
        <f ca="1"/>
        <v>0.16644490660738998</v>
      </c>
      <c r="F299" s="29">
        <f ca="1"/>
        <v>0.16559156685279855</v>
      </c>
      <c r="G299" s="29">
        <f ca="1"/>
        <v>0.16137145863453148</v>
      </c>
      <c r="H299" s="29">
        <f ca="1"/>
        <v>0.14813364614714702</v>
      </c>
      <c r="I299" s="29">
        <f ca="1"/>
        <v>0.13595983444131865</v>
      </c>
      <c r="J299" s="29">
        <f ca="1"/>
        <v>0.12476582799126898</v>
      </c>
      <c r="K299" s="29">
        <f ca="1"/>
        <v>0.11447401214586594</v>
      </c>
      <c r="M299" s="4" t="str">
        <f t="shared" ref="M299:M306" si="14">EMIT_NAME</f>
        <v>Mtonne</v>
      </c>
    </row>
    <row r="300" spans="1:13" s="7" customFormat="1" x14ac:dyDescent="0.25">
      <c r="A300" s="4" t="str">
        <v>US N2O</v>
      </c>
      <c r="B300" s="26">
        <f ca="1"/>
        <v>0.1406688423684832</v>
      </c>
      <c r="C300" s="26">
        <f ca="1"/>
        <v>0.14777875354586259</v>
      </c>
      <c r="D300" s="26">
        <f ca="1"/>
        <v>0.1569863866404913</v>
      </c>
      <c r="E300" s="26">
        <f ca="1"/>
        <v>0.15904158892979736</v>
      </c>
      <c r="F300" s="26">
        <f ca="1"/>
        <v>0.15822620494939529</v>
      </c>
      <c r="G300" s="26">
        <f ca="1"/>
        <v>0.15419380329668475</v>
      </c>
      <c r="H300" s="26">
        <f ca="1"/>
        <v>0.14154479663819647</v>
      </c>
      <c r="I300" s="26">
        <f ca="1"/>
        <v>0.1299124649766811</v>
      </c>
      <c r="J300" s="26">
        <f ca="1"/>
        <v>0.11921635772657642</v>
      </c>
      <c r="K300" s="26">
        <f ca="1"/>
        <v>0.10938231246566189</v>
      </c>
      <c r="M300" s="4" t="str">
        <f t="shared" si="14"/>
        <v>Mtonne</v>
      </c>
    </row>
    <row r="301" spans="1:13" s="7" customFormat="1" x14ac:dyDescent="0.25">
      <c r="A301" s="4" t="str">
        <v>OT N2O</v>
      </c>
      <c r="B301" s="26">
        <f ca="1"/>
        <v>6.9795326711991762E-2</v>
      </c>
      <c r="C301" s="26">
        <f ca="1"/>
        <v>7.3323034519656341E-2</v>
      </c>
      <c r="D301" s="26">
        <f ca="1"/>
        <v>7.7891564048038556E-2</v>
      </c>
      <c r="E301" s="26">
        <f ca="1"/>
        <v>7.8911288905556029E-2</v>
      </c>
      <c r="F301" s="26">
        <f ca="1"/>
        <v>7.8506721765102774E-2</v>
      </c>
      <c r="G301" s="26">
        <f ca="1"/>
        <v>7.6505974577266628E-2</v>
      </c>
      <c r="H301" s="26">
        <f ca="1"/>
        <v>7.0229946869590346E-2</v>
      </c>
      <c r="I301" s="26">
        <f ca="1"/>
        <v>6.4458360389828329E-2</v>
      </c>
      <c r="J301" s="26">
        <f ca="1"/>
        <v>5.9151298161278842E-2</v>
      </c>
      <c r="K301" s="26">
        <f ca="1"/>
        <v>5.427196319036829E-2</v>
      </c>
      <c r="M301" s="4" t="str">
        <f t="shared" si="14"/>
        <v>Mtonne</v>
      </c>
    </row>
    <row r="302" spans="1:13" s="7" customFormat="1" x14ac:dyDescent="0.25">
      <c r="A302" s="4" t="str">
        <v>EE N2O</v>
      </c>
      <c r="B302" s="26">
        <f ca="1"/>
        <v>3.9485026412959576E-2</v>
      </c>
      <c r="C302" s="26">
        <f ca="1"/>
        <v>4.294650488135527E-2</v>
      </c>
      <c r="D302" s="26">
        <f ca="1"/>
        <v>4.5543920136630826E-2</v>
      </c>
      <c r="E302" s="26">
        <f ca="1"/>
        <v>4.6377640641159949E-2</v>
      </c>
      <c r="F302" s="26">
        <f ca="1"/>
        <v>4.7303013602514148E-2</v>
      </c>
      <c r="G302" s="26">
        <f ca="1"/>
        <v>5.5908244953844256E-2</v>
      </c>
      <c r="H302" s="26">
        <f ca="1"/>
        <v>5.132191432598579E-2</v>
      </c>
      <c r="I302" s="26">
        <f ca="1"/>
        <v>4.7104214042239426E-2</v>
      </c>
      <c r="J302" s="26">
        <f ca="1"/>
        <v>4.3225973987152194E-2</v>
      </c>
      <c r="K302" s="26">
        <f ca="1"/>
        <v>3.9660304034277893E-2</v>
      </c>
      <c r="M302" s="4" t="str">
        <f t="shared" si="14"/>
        <v>Mtonne</v>
      </c>
    </row>
    <row r="303" spans="1:13" s="7" customFormat="1" x14ac:dyDescent="0.25">
      <c r="A303" s="4" t="str">
        <v>CA N2O</v>
      </c>
      <c r="B303" s="26">
        <f ca="1"/>
        <v>0.2009199814006199</v>
      </c>
      <c r="C303" s="26">
        <f ca="1"/>
        <v>0.22141753511537157</v>
      </c>
      <c r="D303" s="26">
        <f ca="1"/>
        <v>0.24293811235054336</v>
      </c>
      <c r="E303" s="26">
        <f ca="1"/>
        <v>0.25409341750963077</v>
      </c>
      <c r="F303" s="26">
        <f ca="1"/>
        <v>0.26715298167075618</v>
      </c>
      <c r="G303" s="26">
        <f ca="1"/>
        <v>0.29681569186340273</v>
      </c>
      <c r="H303" s="26">
        <f ca="1"/>
        <v>0.27246695940818155</v>
      </c>
      <c r="I303" s="26">
        <f ca="1"/>
        <v>0.25007527766560217</v>
      </c>
      <c r="J303" s="26">
        <f ca="1"/>
        <v>0.22948578310870099</v>
      </c>
      <c r="K303" s="26">
        <f ca="1"/>
        <v>0.21055571662400507</v>
      </c>
      <c r="M303" s="4" t="str">
        <f t="shared" si="14"/>
        <v>Mtonne</v>
      </c>
    </row>
    <row r="304" spans="1:13" s="7" customFormat="1" x14ac:dyDescent="0.25">
      <c r="A304" s="4" t="str">
        <v>IA N2O</v>
      </c>
      <c r="B304" s="26">
        <f ca="1"/>
        <v>8.4232489395828836E-2</v>
      </c>
      <c r="C304" s="26">
        <f ca="1"/>
        <v>9.28257610250732E-2</v>
      </c>
      <c r="D304" s="26">
        <f ca="1"/>
        <v>0.10184791890661943</v>
      </c>
      <c r="E304" s="26">
        <f ca="1"/>
        <v>0.10652460221591406</v>
      </c>
      <c r="F304" s="26">
        <f ca="1"/>
        <v>0.11199961566180296</v>
      </c>
      <c r="G304" s="26">
        <f ca="1"/>
        <v>0.12443523258917909</v>
      </c>
      <c r="H304" s="26">
        <f ca="1"/>
        <v>0.11422741585517872</v>
      </c>
      <c r="I304" s="26">
        <f ca="1"/>
        <v>0.10484006133827863</v>
      </c>
      <c r="J304" s="26">
        <f ca="1"/>
        <v>9.6208244981141014E-2</v>
      </c>
      <c r="K304" s="26">
        <f ca="1"/>
        <v>8.8272117308228704E-2</v>
      </c>
      <c r="M304" s="4" t="str">
        <f t="shared" si="14"/>
        <v>Mtonne</v>
      </c>
    </row>
    <row r="305" spans="1:13" s="7" customFormat="1" x14ac:dyDescent="0.25">
      <c r="A305" s="4" t="str">
        <v>AF N2O</v>
      </c>
      <c r="B305" s="26">
        <f ca="1"/>
        <v>0.17428842697772309</v>
      </c>
      <c r="C305" s="26">
        <f ca="1"/>
        <v>0.20820617814720033</v>
      </c>
      <c r="D305" s="26">
        <f ca="1"/>
        <v>0.23734379296387453</v>
      </c>
      <c r="E305" s="26">
        <f ca="1"/>
        <v>0.25966332859053032</v>
      </c>
      <c r="F305" s="26">
        <f ca="1"/>
        <v>0.31538687128321052</v>
      </c>
      <c r="G305" s="26">
        <f ca="1"/>
        <v>0.35163713688303205</v>
      </c>
      <c r="H305" s="26">
        <f ca="1"/>
        <v>0.32279122744497851</v>
      </c>
      <c r="I305" s="26">
        <f ca="1"/>
        <v>0.29626383326131711</v>
      </c>
      <c r="J305" s="26">
        <f ca="1"/>
        <v>0.27187148772727626</v>
      </c>
      <c r="K305" s="26">
        <f ca="1"/>
        <v>0.24944506431989355</v>
      </c>
      <c r="M305" s="4" t="str">
        <f t="shared" si="14"/>
        <v>Mtonne</v>
      </c>
    </row>
    <row r="306" spans="1:13" s="7" customFormat="1" ht="13" thickBot="1" x14ac:dyDescent="0.3">
      <c r="A306" s="4" t="str">
        <v>LA N2O</v>
      </c>
      <c r="B306" s="35">
        <f ca="1"/>
        <v>0.17044342292298165</v>
      </c>
      <c r="C306" s="35">
        <f ca="1"/>
        <v>0.19191418350373832</v>
      </c>
      <c r="D306" s="35">
        <f ca="1"/>
        <v>0.21290874397791987</v>
      </c>
      <c r="E306" s="35">
        <f ca="1"/>
        <v>0.22182106822679495</v>
      </c>
      <c r="F306" s="35">
        <f ca="1"/>
        <v>0.22730304201747986</v>
      </c>
      <c r="G306" s="35">
        <f ca="1"/>
        <v>0.21232307067993722</v>
      </c>
      <c r="H306" s="35">
        <f ca="1"/>
        <v>0.19490553588047657</v>
      </c>
      <c r="I306" s="35">
        <f ca="1"/>
        <v>0.17888795070691271</v>
      </c>
      <c r="J306" s="35">
        <f ca="1"/>
        <v>0.16415953564022889</v>
      </c>
      <c r="K306" s="35">
        <f ca="1"/>
        <v>0.1506181698890687</v>
      </c>
      <c r="M306" s="4" t="str">
        <f t="shared" si="14"/>
        <v>Mtonne</v>
      </c>
    </row>
    <row r="307" spans="1:13" s="8" customFormat="1" ht="15.5" thickTop="1" x14ac:dyDescent="0.4">
      <c r="A307" s="2" t="s">
        <v>301</v>
      </c>
      <c r="B307" s="2" t="s">
        <v>309</v>
      </c>
    </row>
    <row r="308" spans="1:13" s="7" customFormat="1" x14ac:dyDescent="0.25">
      <c r="A308" s="4" t="str">
        <f t="array" ref="A308:A315">R_CODE&amp;" "&amp;GLIN_NAME</f>
        <v>EU Lin</v>
      </c>
      <c r="B308" s="29">
        <f t="array" aca="1" ref="B308:K315" ca="1">(Q0_PROP_GLIN/100)*(ZC_GLIN/100)*E_GLIN_0</f>
        <v>13.080776834834705</v>
      </c>
      <c r="C308" s="29">
        <f ca="1"/>
        <v>15.414592345649051</v>
      </c>
      <c r="D308" s="29">
        <f ca="1"/>
        <v>15.443678599948445</v>
      </c>
      <c r="E308" s="29">
        <f ca="1"/>
        <v>14.71529649106062</v>
      </c>
      <c r="F308" s="29">
        <f ca="1"/>
        <v>13.768076035212774</v>
      </c>
      <c r="G308" s="29">
        <f ca="1"/>
        <v>14.016028605337162</v>
      </c>
      <c r="H308" s="29">
        <f ca="1"/>
        <v>13.029674745090523</v>
      </c>
      <c r="I308" s="29">
        <f ca="1"/>
        <v>12.112733838043264</v>
      </c>
      <c r="J308" s="29">
        <f ca="1"/>
        <v>11.26032106722853</v>
      </c>
      <c r="K308" s="29">
        <f ca="1"/>
        <v>10.467895376255832</v>
      </c>
      <c r="M308" s="4" t="str">
        <f t="shared" ref="M308:M315" si="15">EMIT_NAME</f>
        <v>Mtonne</v>
      </c>
    </row>
    <row r="309" spans="1:13" s="7" customFormat="1" x14ac:dyDescent="0.25">
      <c r="A309" s="4" t="str">
        <v>US Lin</v>
      </c>
      <c r="B309" s="26">
        <f ca="1"/>
        <v>36.88970034532494</v>
      </c>
      <c r="C309" s="26">
        <f ca="1"/>
        <v>43.471400801060959</v>
      </c>
      <c r="D309" s="26">
        <f ca="1"/>
        <v>43.553428284506374</v>
      </c>
      <c r="E309" s="26">
        <f ca="1"/>
        <v>41.499284400466387</v>
      </c>
      <c r="F309" s="26">
        <f ca="1"/>
        <v>38.827984429646968</v>
      </c>
      <c r="G309" s="26">
        <f ca="1"/>
        <v>39.527246876154223</v>
      </c>
      <c r="H309" s="26">
        <f ca="1"/>
        <v>36.745584991819136</v>
      </c>
      <c r="I309" s="26">
        <f ca="1"/>
        <v>34.159677769148345</v>
      </c>
      <c r="J309" s="26">
        <f ca="1"/>
        <v>31.755749311157714</v>
      </c>
      <c r="K309" s="26">
        <f ca="1"/>
        <v>29.520993175874317</v>
      </c>
      <c r="M309" s="4" t="str">
        <f t="shared" si="15"/>
        <v>Mtonne</v>
      </c>
    </row>
    <row r="310" spans="1:13" s="7" customFormat="1" x14ac:dyDescent="0.25">
      <c r="A310" s="4" t="str">
        <v>OT Lin</v>
      </c>
      <c r="B310" s="26">
        <f ca="1"/>
        <v>12.264317644242382</v>
      </c>
      <c r="C310" s="26">
        <f ca="1"/>
        <v>14.452464044803513</v>
      </c>
      <c r="D310" s="26">
        <f ca="1"/>
        <v>14.479734830500199</v>
      </c>
      <c r="E310" s="26">
        <f ca="1"/>
        <v>13.796815944062649</v>
      </c>
      <c r="F310" s="26">
        <f ca="1"/>
        <v>12.908717882584723</v>
      </c>
      <c r="G310" s="26">
        <f ca="1"/>
        <v>13.141194066461932</v>
      </c>
      <c r="H310" s="26">
        <f ca="1"/>
        <v>12.216405179346705</v>
      </c>
      <c r="I310" s="26">
        <f ca="1"/>
        <v>11.3566967165374</v>
      </c>
      <c r="J310" s="26">
        <f ca="1"/>
        <v>10.55748875532209</v>
      </c>
      <c r="K310" s="26">
        <f ca="1"/>
        <v>9.8145236771574318</v>
      </c>
      <c r="M310" s="4" t="str">
        <f t="shared" si="15"/>
        <v>Mtonne</v>
      </c>
    </row>
    <row r="311" spans="1:13" s="7" customFormat="1" x14ac:dyDescent="0.25">
      <c r="A311" s="4" t="str">
        <v>EE Lin</v>
      </c>
      <c r="B311" s="26">
        <f ca="1"/>
        <v>3.7433768377332042</v>
      </c>
      <c r="C311" s="26">
        <f ca="1"/>
        <v>5.2191447991130655</v>
      </c>
      <c r="D311" s="26">
        <f ca="1"/>
        <v>6.7078922485859653</v>
      </c>
      <c r="E311" s="26">
        <f ca="1"/>
        <v>8.0045721254728655</v>
      </c>
      <c r="F311" s="26">
        <f ca="1"/>
        <v>9.4868855470636948</v>
      </c>
      <c r="G311" s="26">
        <f ca="1"/>
        <v>10.502025610058384</v>
      </c>
      <c r="H311" s="26">
        <f ca="1"/>
        <v>9.7629636551658514</v>
      </c>
      <c r="I311" s="26">
        <f ca="1"/>
        <v>9.0759119117744635</v>
      </c>
      <c r="J311" s="26">
        <f ca="1"/>
        <v>8.437210250875431</v>
      </c>
      <c r="K311" s="26">
        <f ca="1"/>
        <v>7.8434561187317131</v>
      </c>
      <c r="M311" s="4" t="str">
        <f t="shared" si="15"/>
        <v>Mtonne</v>
      </c>
    </row>
    <row r="312" spans="1:13" s="7" customFormat="1" x14ac:dyDescent="0.25">
      <c r="A312" s="4" t="str">
        <v>CA Lin</v>
      </c>
      <c r="B312" s="26">
        <f ca="1"/>
        <v>11.461842397453378</v>
      </c>
      <c r="C312" s="26">
        <f ca="1"/>
        <v>14.807136610482249</v>
      </c>
      <c r="D312" s="26">
        <f ca="1"/>
        <v>19.847069211827645</v>
      </c>
      <c r="E312" s="26">
        <f ca="1"/>
        <v>22.717120428871088</v>
      </c>
      <c r="F312" s="26">
        <f ca="1"/>
        <v>28.274417193516623</v>
      </c>
      <c r="G312" s="26">
        <f ca="1"/>
        <v>30.537451506027889</v>
      </c>
      <c r="H312" s="26">
        <f ca="1"/>
        <v>28.388430979372043</v>
      </c>
      <c r="I312" s="26">
        <f ca="1"/>
        <v>26.390644069020965</v>
      </c>
      <c r="J312" s="26">
        <f ca="1"/>
        <v>24.533447969837649</v>
      </c>
      <c r="K312" s="26">
        <f ca="1"/>
        <v>22.806948845756608</v>
      </c>
      <c r="M312" s="4" t="str">
        <f t="shared" si="15"/>
        <v>Mtonne</v>
      </c>
    </row>
    <row r="313" spans="1:13" s="7" customFormat="1" x14ac:dyDescent="0.25">
      <c r="A313" s="4" t="str">
        <v>IA Lin</v>
      </c>
      <c r="B313" s="26">
        <f ca="1"/>
        <v>8.006488388998001</v>
      </c>
      <c r="C313" s="26">
        <f ca="1"/>
        <v>10.343290653906896</v>
      </c>
      <c r="D313" s="26">
        <f ca="1"/>
        <v>13.863855712711924</v>
      </c>
      <c r="E313" s="26">
        <f ca="1"/>
        <v>15.868684513201575</v>
      </c>
      <c r="F313" s="26">
        <f ca="1"/>
        <v>19.750646110425819</v>
      </c>
      <c r="G313" s="26">
        <f ca="1"/>
        <v>21.331452870694239</v>
      </c>
      <c r="H313" s="26">
        <f ca="1"/>
        <v>19.830288633938437</v>
      </c>
      <c r="I313" s="26">
        <f ca="1"/>
        <v>18.434766243491683</v>
      </c>
      <c r="J313" s="26">
        <f ca="1"/>
        <v>17.137451336465272</v>
      </c>
      <c r="K313" s="26">
        <f ca="1"/>
        <v>15.93143273044768</v>
      </c>
      <c r="M313" s="4" t="str">
        <f t="shared" si="15"/>
        <v>Mtonne</v>
      </c>
    </row>
    <row r="314" spans="1:13" s="7" customFormat="1" x14ac:dyDescent="0.25">
      <c r="A314" s="4" t="str">
        <v>AF Lin</v>
      </c>
      <c r="B314" s="26">
        <f ca="1"/>
        <v>5.3180306163459568</v>
      </c>
      <c r="C314" s="26">
        <f ca="1"/>
        <v>6.7143500745471512</v>
      </c>
      <c r="D314" s="26">
        <f ca="1"/>
        <v>7.9058084968515567</v>
      </c>
      <c r="E314" s="26">
        <f ca="1"/>
        <v>9.4726503097272854</v>
      </c>
      <c r="F314" s="26">
        <f ca="1"/>
        <v>13.477239689718091</v>
      </c>
      <c r="G314" s="26">
        <f ca="1"/>
        <v>15.386907180861463</v>
      </c>
      <c r="H314" s="26">
        <f ca="1"/>
        <v>14.304080103202661</v>
      </c>
      <c r="I314" s="26">
        <f ca="1"/>
        <v>13.297455115172987</v>
      </c>
      <c r="J314" s="26">
        <f ca="1"/>
        <v>12.361669626028592</v>
      </c>
      <c r="K314" s="26">
        <f ca="1"/>
        <v>11.491738428108237</v>
      </c>
      <c r="M314" s="4" t="str">
        <f t="shared" si="15"/>
        <v>Mtonne</v>
      </c>
    </row>
    <row r="315" spans="1:13" s="7" customFormat="1" ht="13" thickBot="1" x14ac:dyDescent="0.3">
      <c r="A315" s="4" t="str">
        <v>LA Lin</v>
      </c>
      <c r="B315" s="35">
        <f ca="1"/>
        <v>4.0306450833546483</v>
      </c>
      <c r="C315" s="35">
        <f ca="1"/>
        <v>4.8881958252992224</v>
      </c>
      <c r="D315" s="35">
        <f ca="1"/>
        <v>6.3071516692195724</v>
      </c>
      <c r="E315" s="35">
        <f ca="1"/>
        <v>7.2822487473994837</v>
      </c>
      <c r="F315" s="35">
        <f ca="1"/>
        <v>10.208441742899515</v>
      </c>
      <c r="G315" s="35">
        <f ca="1"/>
        <v>11.455565494743746</v>
      </c>
      <c r="H315" s="35">
        <f ca="1"/>
        <v>10.649399813635902</v>
      </c>
      <c r="I315" s="35">
        <f ca="1"/>
        <v>9.8999666531263859</v>
      </c>
      <c r="J315" s="35">
        <f ca="1"/>
        <v>9.2032735598413264</v>
      </c>
      <c r="K315" s="35">
        <f ca="1"/>
        <v>8.5556090424331206</v>
      </c>
      <c r="M315" s="4" t="str">
        <f t="shared" si="15"/>
        <v>Mtonne</v>
      </c>
    </row>
    <row r="316" spans="1:13" s="2" customFormat="1" ht="15.5" thickTop="1" x14ac:dyDescent="0.4">
      <c r="A316" s="2" t="s">
        <v>314</v>
      </c>
      <c r="B316" s="2" t="s">
        <v>315</v>
      </c>
    </row>
    <row r="317" spans="1:13" s="6" customFormat="1" x14ac:dyDescent="0.25">
      <c r="A317" s="4" t="str">
        <f t="array" ref="A317:A324">R_CODE&amp;" "&amp;'Base data'!$B$12</f>
        <v>EU CO2</v>
      </c>
      <c r="B317" s="29">
        <f t="array" aca="1" ref="B317:K324" ca="1">(QMAX_MINUS_Q0_PROP_CO2/100)*(ZC_CO2/100)*E_CO2_0+Q0_CO2</f>
        <v>3418.9293081204082</v>
      </c>
      <c r="C317" s="29">
        <f ca="1"/>
        <v>4026.5629389279284</v>
      </c>
      <c r="D317" s="29">
        <f ca="1"/>
        <v>4426.1130486426227</v>
      </c>
      <c r="E317" s="29">
        <f ca="1"/>
        <v>4871.638528396943</v>
      </c>
      <c r="F317" s="29">
        <f ca="1"/>
        <v>5748.4106628340278</v>
      </c>
      <c r="G317" s="29">
        <f ca="1"/>
        <v>5512.9053137143592</v>
      </c>
      <c r="H317" s="29">
        <f ca="1"/>
        <v>5555.017385717797</v>
      </c>
      <c r="I317" s="29">
        <f ca="1"/>
        <v>5596.8912225673666</v>
      </c>
      <c r="J317" s="29">
        <f ca="1"/>
        <v>5636.5090807458546</v>
      </c>
      <c r="K317" s="29">
        <f ca="1"/>
        <v>5671.7428500740079</v>
      </c>
      <c r="M317" s="4" t="str">
        <f t="shared" ref="M317:M324" si="16">EMIT_NAME</f>
        <v>Mtonne</v>
      </c>
    </row>
    <row r="318" spans="1:13" s="6" customFormat="1" x14ac:dyDescent="0.25">
      <c r="A318" s="4" t="str">
        <v>US CO2</v>
      </c>
      <c r="B318" s="26">
        <f ca="1"/>
        <v>4860.6000970447958</v>
      </c>
      <c r="C318" s="26">
        <f ca="1"/>
        <v>5722.8956227451836</v>
      </c>
      <c r="D318" s="26">
        <f ca="1"/>
        <v>6289.088542169201</v>
      </c>
      <c r="E318" s="26">
        <f ca="1"/>
        <v>6920.3239309647361</v>
      </c>
      <c r="F318" s="26">
        <f ca="1"/>
        <v>8160.643250319531</v>
      </c>
      <c r="G318" s="26">
        <f ca="1"/>
        <v>7821.6090703381369</v>
      </c>
      <c r="H318" s="26">
        <f ca="1"/>
        <v>7872.6034070545284</v>
      </c>
      <c r="I318" s="26">
        <f ca="1"/>
        <v>7924.0417791360496</v>
      </c>
      <c r="J318" s="26">
        <f ca="1"/>
        <v>7973.0198646071694</v>
      </c>
      <c r="K318" s="26">
        <f ca="1"/>
        <v>8016.4841301796041</v>
      </c>
      <c r="M318" s="4" t="str">
        <f t="shared" si="16"/>
        <v>Mtonne</v>
      </c>
    </row>
    <row r="319" spans="1:13" s="6" customFormat="1" x14ac:dyDescent="0.25">
      <c r="A319" s="4" t="str">
        <v>OT CO2</v>
      </c>
      <c r="B319" s="26">
        <f ca="1"/>
        <v>1894.3538048955638</v>
      </c>
      <c r="C319" s="26">
        <f ca="1"/>
        <v>2231.030283630816</v>
      </c>
      <c r="D319" s="26">
        <f ca="1"/>
        <v>2452.4122434118385</v>
      </c>
      <c r="E319" s="26">
        <f ca="1"/>
        <v>2699.2681481964005</v>
      </c>
      <c r="F319" s="26">
        <f ca="1"/>
        <v>3185.068373709224</v>
      </c>
      <c r="G319" s="26">
        <f ca="1"/>
        <v>3054.5800207858442</v>
      </c>
      <c r="H319" s="26">
        <f ca="1"/>
        <v>3077.9133970104635</v>
      </c>
      <c r="I319" s="26">
        <f ca="1"/>
        <v>3101.1147723571694</v>
      </c>
      <c r="J319" s="26">
        <f ca="1"/>
        <v>3123.0661593612767</v>
      </c>
      <c r="K319" s="26">
        <f ca="1"/>
        <v>3142.588418809305</v>
      </c>
      <c r="M319" s="4" t="str">
        <f t="shared" si="16"/>
        <v>Mtonne</v>
      </c>
    </row>
    <row r="320" spans="1:13" s="6" customFormat="1" x14ac:dyDescent="0.25">
      <c r="A320" s="4" t="str">
        <v>EE CO2</v>
      </c>
      <c r="B320" s="26">
        <f ca="1"/>
        <v>2855.9718288336298</v>
      </c>
      <c r="C320" s="26">
        <f ca="1"/>
        <v>3536.7345978722574</v>
      </c>
      <c r="D320" s="26">
        <f ca="1"/>
        <v>4396.7016268121033</v>
      </c>
      <c r="E320" s="26">
        <f ca="1"/>
        <v>5372.6873164772915</v>
      </c>
      <c r="F320" s="26">
        <f ca="1"/>
        <v>7411.7051135454121</v>
      </c>
      <c r="G320" s="26">
        <f ca="1"/>
        <v>9951.1280018083817</v>
      </c>
      <c r="H320" s="26">
        <f ca="1"/>
        <v>10069.090115552724</v>
      </c>
      <c r="I320" s="26">
        <f ca="1"/>
        <v>10182.874624411832</v>
      </c>
      <c r="J320" s="26">
        <f ca="1"/>
        <v>10289.038654129354</v>
      </c>
      <c r="K320" s="26">
        <f ca="1"/>
        <v>10383.904771063597</v>
      </c>
      <c r="M320" s="4" t="str">
        <f t="shared" si="16"/>
        <v>Mtonne</v>
      </c>
    </row>
    <row r="321" spans="1:13" s="6" customFormat="1" x14ac:dyDescent="0.25">
      <c r="A321" s="4" t="str">
        <v>CA CO2</v>
      </c>
      <c r="B321" s="26">
        <f ca="1"/>
        <v>7735.2490917061714</v>
      </c>
      <c r="C321" s="26">
        <f ca="1"/>
        <v>8694.105129317375</v>
      </c>
      <c r="D321" s="26">
        <f ca="1"/>
        <v>10689.121190035523</v>
      </c>
      <c r="E321" s="26">
        <f ca="1"/>
        <v>12986.647429796194</v>
      </c>
      <c r="F321" s="26">
        <f ca="1"/>
        <v>16953.629827068675</v>
      </c>
      <c r="G321" s="26">
        <f ca="1"/>
        <v>17888.478944906099</v>
      </c>
      <c r="H321" s="26">
        <f ca="1"/>
        <v>18100.531567244874</v>
      </c>
      <c r="I321" s="26">
        <f ca="1"/>
        <v>18305.074387979643</v>
      </c>
      <c r="J321" s="26">
        <f ca="1"/>
        <v>18495.918381742271</v>
      </c>
      <c r="K321" s="26">
        <f ca="1"/>
        <v>18666.45287140564</v>
      </c>
      <c r="M321" s="4" t="str">
        <f t="shared" si="16"/>
        <v>Mtonne</v>
      </c>
    </row>
    <row r="322" spans="1:13" s="6" customFormat="1" x14ac:dyDescent="0.25">
      <c r="A322" s="4" t="str">
        <v>IA CO2</v>
      </c>
      <c r="B322" s="26">
        <f ca="1"/>
        <v>4704.8931689252713</v>
      </c>
      <c r="C322" s="26">
        <f ca="1"/>
        <v>5288.1084174396065</v>
      </c>
      <c r="D322" s="26">
        <f ca="1"/>
        <v>6501.5583431870773</v>
      </c>
      <c r="E322" s="26">
        <f ca="1"/>
        <v>7899.007265997684</v>
      </c>
      <c r="F322" s="26">
        <f ca="1"/>
        <v>10311.887337589185</v>
      </c>
      <c r="G322" s="26">
        <f ca="1"/>
        <v>10880.500600891217</v>
      </c>
      <c r="H322" s="26">
        <f ca="1"/>
        <v>11009.479632137169</v>
      </c>
      <c r="I322" s="26">
        <f ca="1"/>
        <v>11133.890896547458</v>
      </c>
      <c r="J322" s="26">
        <f ca="1"/>
        <v>11249.969977122504</v>
      </c>
      <c r="K322" s="26">
        <f ca="1"/>
        <v>11353.695991110035</v>
      </c>
      <c r="M322" s="4" t="str">
        <f t="shared" si="16"/>
        <v>Mtonne</v>
      </c>
    </row>
    <row r="323" spans="1:13" s="6" customFormat="1" x14ac:dyDescent="0.25">
      <c r="A323" s="4" t="str">
        <v>AF CO2</v>
      </c>
      <c r="B323" s="26">
        <f ca="1"/>
        <v>4263.4928669579713</v>
      </c>
      <c r="C323" s="26">
        <f ca="1"/>
        <v>5404.2663457845956</v>
      </c>
      <c r="D323" s="26">
        <f ca="1"/>
        <v>7135.809971598127</v>
      </c>
      <c r="E323" s="26">
        <f ca="1"/>
        <v>9223.2198272033984</v>
      </c>
      <c r="F323" s="26">
        <f ca="1"/>
        <v>13946.253263520382</v>
      </c>
      <c r="G323" s="26">
        <f ca="1"/>
        <v>16927.555555607731</v>
      </c>
      <c r="H323" s="26">
        <f ca="1"/>
        <v>17128.21725280441</v>
      </c>
      <c r="I323" s="26">
        <f ca="1"/>
        <v>17321.772555753996</v>
      </c>
      <c r="J323" s="26">
        <f ca="1"/>
        <v>17502.364897720043</v>
      </c>
      <c r="K323" s="26">
        <f ca="1"/>
        <v>17663.738710262438</v>
      </c>
      <c r="M323" s="4" t="str">
        <f t="shared" si="16"/>
        <v>Mtonne</v>
      </c>
    </row>
    <row r="324" spans="1:13" s="6" customFormat="1" ht="13" thickBot="1" x14ac:dyDescent="0.3">
      <c r="A324" s="4" t="str">
        <v>LA CO2</v>
      </c>
      <c r="B324" s="35">
        <f ca="1"/>
        <v>2912.1729821739505</v>
      </c>
      <c r="C324" s="35">
        <f ca="1"/>
        <v>3367.309016353176</v>
      </c>
      <c r="D324" s="35">
        <f ca="1"/>
        <v>4169.8575509358898</v>
      </c>
      <c r="E324" s="35">
        <f ca="1"/>
        <v>5229.5971656050269</v>
      </c>
      <c r="F324" s="35">
        <f ca="1"/>
        <v>6752.1239758145957</v>
      </c>
      <c r="G324" s="35">
        <f ca="1"/>
        <v>4917.8133842295756</v>
      </c>
      <c r="H324" s="35">
        <f ca="1"/>
        <v>4976.1098569207643</v>
      </c>
      <c r="I324" s="35">
        <f ca="1"/>
        <v>5032.3417715824608</v>
      </c>
      <c r="J324" s="35">
        <f ca="1"/>
        <v>5084.807671546133</v>
      </c>
      <c r="K324" s="35">
        <f ca="1"/>
        <v>5131.6901816981817</v>
      </c>
      <c r="M324" s="4" t="str">
        <f t="shared" si="16"/>
        <v>Mtonne</v>
      </c>
    </row>
    <row r="325" spans="1:13" s="2" customFormat="1" ht="15.5" thickTop="1" x14ac:dyDescent="0.4">
      <c r="A325" s="2" t="s">
        <v>314</v>
      </c>
      <c r="B325" s="2" t="s">
        <v>316</v>
      </c>
    </row>
    <row r="326" spans="1:13" s="7" customFormat="1" x14ac:dyDescent="0.25">
      <c r="A326" s="4" t="str">
        <f t="array" ref="A326:A333">R_CODE&amp;" "&amp;'Base data'!$C$12</f>
        <v>EU CH4</v>
      </c>
      <c r="B326" s="29">
        <f t="array" aca="1" ref="B326:K333" ca="1">(QMAX_MINUS_Q0_PROP_CH4/100)*(ZC_CH4/100)*E_CH4_0+Q0_CH4</f>
        <v>15.046953518590257</v>
      </c>
      <c r="C326" s="29">
        <f ca="1"/>
        <v>16.088415145588009</v>
      </c>
      <c r="D326" s="29">
        <f ca="1"/>
        <v>17.244197140206758</v>
      </c>
      <c r="E326" s="29">
        <f ca="1"/>
        <v>18.616748915748545</v>
      </c>
      <c r="F326" s="29">
        <f ca="1"/>
        <v>22.395344328787303</v>
      </c>
      <c r="G326" s="29">
        <f ca="1"/>
        <v>25.885763501369595</v>
      </c>
      <c r="H326" s="29">
        <f ca="1"/>
        <v>25.560883319935947</v>
      </c>
      <c r="I326" s="29">
        <f ca="1"/>
        <v>25.19231422921456</v>
      </c>
      <c r="J326" s="29">
        <f ca="1"/>
        <v>24.763941281625115</v>
      </c>
      <c r="K326" s="29">
        <f ca="1"/>
        <v>24.258757580959305</v>
      </c>
      <c r="M326" s="4" t="str">
        <f t="shared" ref="M326:M333" si="17">EMIT_NAME</f>
        <v>Mtonne</v>
      </c>
    </row>
    <row r="327" spans="1:13" s="7" customFormat="1" x14ac:dyDescent="0.25">
      <c r="A327" s="4" t="str">
        <v>US CH4</v>
      </c>
      <c r="B327" s="26">
        <f ca="1"/>
        <v>18.538909792717849</v>
      </c>
      <c r="C327" s="26">
        <f ca="1"/>
        <v>19.816070048109356</v>
      </c>
      <c r="D327" s="26">
        <f ca="1"/>
        <v>21.233340379725902</v>
      </c>
      <c r="E327" s="26">
        <f ca="1"/>
        <v>22.916731084826242</v>
      </c>
      <c r="F327" s="26">
        <f ca="1"/>
        <v>27.548672572385513</v>
      </c>
      <c r="G327" s="26">
        <f ca="1"/>
        <v>31.820909736203681</v>
      </c>
      <c r="H327" s="26">
        <f ca="1"/>
        <v>31.382463017364103</v>
      </c>
      <c r="I327" s="26">
        <f ca="1"/>
        <v>30.895288563657886</v>
      </c>
      <c r="J327" s="26">
        <f ca="1"/>
        <v>30.339390566641281</v>
      </c>
      <c r="K327" s="26">
        <f ca="1"/>
        <v>29.693723706816293</v>
      </c>
      <c r="M327" s="4" t="str">
        <f t="shared" si="17"/>
        <v>Mtonne</v>
      </c>
    </row>
    <row r="328" spans="1:13" s="7" customFormat="1" x14ac:dyDescent="0.25">
      <c r="A328" s="4" t="str">
        <v>OT CH4</v>
      </c>
      <c r="B328" s="26">
        <f ca="1"/>
        <v>13.990871855149727</v>
      </c>
      <c r="C328" s="26">
        <f ca="1"/>
        <v>14.959237720530993</v>
      </c>
      <c r="D328" s="26">
        <f ca="1"/>
        <v>16.033900293205388</v>
      </c>
      <c r="E328" s="26">
        <f ca="1"/>
        <v>17.310118497936209</v>
      </c>
      <c r="F328" s="26">
        <f ca="1"/>
        <v>20.823510371644531</v>
      </c>
      <c r="G328" s="26">
        <f ca="1"/>
        <v>24.068951869421674</v>
      </c>
      <c r="H328" s="26">
        <f ca="1"/>
        <v>23.766873646005866</v>
      </c>
      <c r="I328" s="26">
        <f ca="1"/>
        <v>23.424172852009193</v>
      </c>
      <c r="J328" s="26">
        <f ca="1"/>
        <v>23.025865579475116</v>
      </c>
      <c r="K328" s="26">
        <f ca="1"/>
        <v>22.556138573899315</v>
      </c>
      <c r="M328" s="4" t="str">
        <f t="shared" si="17"/>
        <v>Mtonne</v>
      </c>
    </row>
    <row r="329" spans="1:13" s="7" customFormat="1" x14ac:dyDescent="0.25">
      <c r="A329" s="4" t="str">
        <v>EE CH4</v>
      </c>
      <c r="B329" s="26">
        <f ca="1"/>
        <v>28.045466372745345</v>
      </c>
      <c r="C329" s="26">
        <f ca="1"/>
        <v>30.4044274102142</v>
      </c>
      <c r="D329" s="26">
        <f ca="1"/>
        <v>36.174608680814053</v>
      </c>
      <c r="E329" s="26">
        <f ca="1"/>
        <v>41.203504050991782</v>
      </c>
      <c r="F329" s="26">
        <f ca="1"/>
        <v>47.178247924568467</v>
      </c>
      <c r="G329" s="26">
        <f ca="1"/>
        <v>63.424369786934136</v>
      </c>
      <c r="H329" s="26">
        <f ca="1"/>
        <v>62.923618597065257</v>
      </c>
      <c r="I329" s="26">
        <f ca="1"/>
        <v>62.278207816479338</v>
      </c>
      <c r="J329" s="26">
        <f ca="1"/>
        <v>61.450058469390655</v>
      </c>
      <c r="K329" s="26">
        <f ca="1"/>
        <v>60.398551449951952</v>
      </c>
      <c r="M329" s="4" t="str">
        <f t="shared" si="17"/>
        <v>Mtonne</v>
      </c>
    </row>
    <row r="330" spans="1:13" s="7" customFormat="1" x14ac:dyDescent="0.25">
      <c r="A330" s="4" t="str">
        <v>CA CH4</v>
      </c>
      <c r="B330" s="26">
        <f ca="1"/>
        <v>39.487563503677549</v>
      </c>
      <c r="C330" s="26">
        <f ca="1"/>
        <v>43.232858255102485</v>
      </c>
      <c r="D330" s="26">
        <f ca="1"/>
        <v>50.825574616382383</v>
      </c>
      <c r="E330" s="26">
        <f ca="1"/>
        <v>60.541105667202814</v>
      </c>
      <c r="F330" s="26">
        <f ca="1"/>
        <v>75.937213785894983</v>
      </c>
      <c r="G330" s="26">
        <f ca="1"/>
        <v>82.757317400326642</v>
      </c>
      <c r="H330" s="26">
        <f ca="1"/>
        <v>82.103927775837121</v>
      </c>
      <c r="I330" s="26">
        <f ca="1"/>
        <v>81.261783581074539</v>
      </c>
      <c r="J330" s="26">
        <f ca="1"/>
        <v>80.18119864815165</v>
      </c>
      <c r="K330" s="26">
        <f ca="1"/>
        <v>78.809172399429073</v>
      </c>
      <c r="M330" s="4" t="str">
        <f t="shared" si="17"/>
        <v>Mtonne</v>
      </c>
    </row>
    <row r="331" spans="1:13" s="7" customFormat="1" x14ac:dyDescent="0.25">
      <c r="A331" s="4" t="str">
        <v>IA CH4</v>
      </c>
      <c r="B331" s="26">
        <f ca="1"/>
        <v>49.699864409801052</v>
      </c>
      <c r="C331" s="26">
        <f ca="1"/>
        <v>54.41376987280141</v>
      </c>
      <c r="D331" s="26">
        <f ca="1"/>
        <v>63.970119775791623</v>
      </c>
      <c r="E331" s="26">
        <f ca="1"/>
        <v>76.198288167341474</v>
      </c>
      <c r="F331" s="26">
        <f ca="1"/>
        <v>95.576148385695404</v>
      </c>
      <c r="G331" s="26">
        <f ca="1"/>
        <v>104.16007190041111</v>
      </c>
      <c r="H331" s="26">
        <f ca="1"/>
        <v>103.3377022006226</v>
      </c>
      <c r="I331" s="26">
        <f ca="1"/>
        <v>102.2777620934214</v>
      </c>
      <c r="J331" s="26">
        <f ca="1"/>
        <v>100.91771553991501</v>
      </c>
      <c r="K331" s="26">
        <f ca="1"/>
        <v>99.190854916522795</v>
      </c>
      <c r="M331" s="4" t="str">
        <f t="shared" si="17"/>
        <v>Mtonne</v>
      </c>
    </row>
    <row r="332" spans="1:13" s="7" customFormat="1" x14ac:dyDescent="0.25">
      <c r="A332" s="4" t="str">
        <v>AF CH4</v>
      </c>
      <c r="B332" s="26">
        <f ca="1"/>
        <v>53.833918044351257</v>
      </c>
      <c r="C332" s="26">
        <f ca="1"/>
        <v>69.049110670864721</v>
      </c>
      <c r="D332" s="26">
        <f ca="1"/>
        <v>86.551231497821945</v>
      </c>
      <c r="E332" s="26">
        <f ca="1"/>
        <v>100.98630532117917</v>
      </c>
      <c r="F332" s="26">
        <f ca="1"/>
        <v>114.18627167248616</v>
      </c>
      <c r="G332" s="26">
        <f ca="1"/>
        <v>123.54067640576147</v>
      </c>
      <c r="H332" s="26">
        <f ca="1"/>
        <v>122.56529200832541</v>
      </c>
      <c r="I332" s="26">
        <f ca="1"/>
        <v>121.30813352711367</v>
      </c>
      <c r="J332" s="26">
        <f ca="1"/>
        <v>119.69502911869743</v>
      </c>
      <c r="K332" s="26">
        <f ca="1"/>
        <v>117.64685916662286</v>
      </c>
      <c r="M332" s="4" t="str">
        <f t="shared" si="17"/>
        <v>Mtonne</v>
      </c>
    </row>
    <row r="333" spans="1:13" s="7" customFormat="1" ht="13" thickBot="1" x14ac:dyDescent="0.3">
      <c r="A333" s="4" t="str">
        <v>LA CH4</v>
      </c>
      <c r="B333" s="35">
        <f ca="1"/>
        <v>43.024972885221999</v>
      </c>
      <c r="C333" s="35">
        <f ca="1"/>
        <v>50.881462633623663</v>
      </c>
      <c r="D333" s="35">
        <f ca="1"/>
        <v>57.92028141964542</v>
      </c>
      <c r="E333" s="35">
        <f ca="1"/>
        <v>63.18418230488458</v>
      </c>
      <c r="F333" s="35">
        <f ca="1"/>
        <v>63.711494525706982</v>
      </c>
      <c r="G333" s="35">
        <f ca="1"/>
        <v>61.620870744331512</v>
      </c>
      <c r="H333" s="35">
        <f ca="1"/>
        <v>61.134358628410773</v>
      </c>
      <c r="I333" s="35">
        <f ca="1"/>
        <v>60.507300379017238</v>
      </c>
      <c r="J333" s="35">
        <f ca="1"/>
        <v>59.702699812304672</v>
      </c>
      <c r="K333" s="35">
        <f ca="1"/>
        <v>58.681092844048472</v>
      </c>
      <c r="M333" s="4" t="str">
        <f t="shared" si="17"/>
        <v>Mtonne</v>
      </c>
    </row>
    <row r="334" spans="1:13" s="2" customFormat="1" ht="15.5" thickTop="1" x14ac:dyDescent="0.4">
      <c r="A334" s="2" t="s">
        <v>314</v>
      </c>
      <c r="B334" s="2" t="s">
        <v>317</v>
      </c>
    </row>
    <row r="335" spans="1:13" s="7" customFormat="1" x14ac:dyDescent="0.25">
      <c r="A335" s="4" t="str">
        <f t="array" ref="A335:A342">R_CODE&amp;" "&amp;'Base data'!$D$12</f>
        <v>EU N2O</v>
      </c>
      <c r="B335" s="29">
        <f t="array" aca="1" ref="B335:K342" ca="1">(QMAX_MINUS_Q0_PROP_N2O/100)*(ZC_N2O/100)*E_N2O_0+Q0_N2O</f>
        <v>0.91839793827826754</v>
      </c>
      <c r="C335" s="29">
        <f ca="1"/>
        <v>0.98746938789384553</v>
      </c>
      <c r="D335" s="29">
        <f ca="1"/>
        <v>1.0737320492774549</v>
      </c>
      <c r="E335" s="29">
        <f ca="1"/>
        <v>1.1135499756331135</v>
      </c>
      <c r="F335" s="29">
        <f ca="1"/>
        <v>1.1750925108622281</v>
      </c>
      <c r="G335" s="29">
        <f ca="1"/>
        <v>1.2153605139298778</v>
      </c>
      <c r="H335" s="29">
        <f ca="1"/>
        <v>1.2587007742379674</v>
      </c>
      <c r="I335" s="29">
        <f ca="1"/>
        <v>1.3059533488110442</v>
      </c>
      <c r="J335" s="29">
        <f ca="1"/>
        <v>1.3571616169662362</v>
      </c>
      <c r="K335" s="29">
        <f ca="1"/>
        <v>1.4123798397804879</v>
      </c>
      <c r="M335" s="4" t="str">
        <f t="shared" ref="M335:M342" si="18">EMIT_NAME</f>
        <v>Mtonne</v>
      </c>
    </row>
    <row r="336" spans="1:13" s="7" customFormat="1" x14ac:dyDescent="0.25">
      <c r="A336" s="4" t="str">
        <v>US N2O</v>
      </c>
      <c r="B336" s="26">
        <f ca="1"/>
        <v>0.82086538978225443</v>
      </c>
      <c r="C336" s="26">
        <f ca="1"/>
        <v>0.88233465788908461</v>
      </c>
      <c r="D336" s="26">
        <f ca="1"/>
        <v>0.95912826984548705</v>
      </c>
      <c r="E336" s="26">
        <f ca="1"/>
        <v>0.99440654198921441</v>
      </c>
      <c r="F336" s="26">
        <f ca="1"/>
        <v>1.0486255241858233</v>
      </c>
      <c r="G336" s="26">
        <f ca="1"/>
        <v>1.083832495451148</v>
      </c>
      <c r="H336" s="26">
        <f ca="1"/>
        <v>1.1210864411373269</v>
      </c>
      <c r="I336" s="26">
        <f ca="1"/>
        <v>1.1618693292944906</v>
      </c>
      <c r="J336" s="26">
        <f ca="1"/>
        <v>1.2062132328111244</v>
      </c>
      <c r="K336" s="26">
        <f ca="1"/>
        <v>1.2541603062027982</v>
      </c>
      <c r="M336" s="4" t="str">
        <f t="shared" si="18"/>
        <v>Mtonne</v>
      </c>
    </row>
    <row r="337" spans="1:13" s="7" customFormat="1" x14ac:dyDescent="0.25">
      <c r="A337" s="4" t="str">
        <v>OT N2O</v>
      </c>
      <c r="B337" s="26">
        <f ca="1"/>
        <v>0.43541113101580309</v>
      </c>
      <c r="C337" s="26">
        <f ca="1"/>
        <v>0.46815780513661054</v>
      </c>
      <c r="D337" s="26">
        <f ca="1"/>
        <v>0.50905480783228763</v>
      </c>
      <c r="E337" s="26">
        <f ca="1"/>
        <v>0.527932428988236</v>
      </c>
      <c r="F337" s="26">
        <f ca="1"/>
        <v>0.55710965571407578</v>
      </c>
      <c r="G337" s="26">
        <f ca="1"/>
        <v>0.57620065758664396</v>
      </c>
      <c r="H337" s="26">
        <f ca="1"/>
        <v>0.5967482121626505</v>
      </c>
      <c r="I337" s="26">
        <f ca="1"/>
        <v>0.6191505892594924</v>
      </c>
      <c r="J337" s="26">
        <f ca="1"/>
        <v>0.64342835494852757</v>
      </c>
      <c r="K337" s="26">
        <f ca="1"/>
        <v>0.66960723432766567</v>
      </c>
      <c r="M337" s="4" t="str">
        <f t="shared" si="18"/>
        <v>Mtonne</v>
      </c>
    </row>
    <row r="338" spans="1:13" s="7" customFormat="1" x14ac:dyDescent="0.25">
      <c r="A338" s="4" t="str">
        <v>EE N2O</v>
      </c>
      <c r="B338" s="26">
        <f ca="1"/>
        <v>0.33496837281240699</v>
      </c>
      <c r="C338" s="26">
        <f ca="1"/>
        <v>0.37331965656388039</v>
      </c>
      <c r="D338" s="26">
        <f ca="1"/>
        <v>0.40569413263772414</v>
      </c>
      <c r="E338" s="26">
        <f ca="1"/>
        <v>0.42337496010602416</v>
      </c>
      <c r="F338" s="26">
        <f ca="1"/>
        <v>0.459267030109277</v>
      </c>
      <c r="G338" s="26">
        <f ca="1"/>
        <v>0.57756783511167853</v>
      </c>
      <c r="H338" s="26">
        <f ca="1"/>
        <v>0.60098416173924729</v>
      </c>
      <c r="I338" s="26">
        <f ca="1"/>
        <v>0.62617885824943897</v>
      </c>
      <c r="J338" s="26">
        <f ca="1"/>
        <v>0.65318589620738132</v>
      </c>
      <c r="K338" s="26">
        <f ca="1"/>
        <v>0.6820436558401618</v>
      </c>
      <c r="M338" s="4" t="str">
        <f t="shared" si="18"/>
        <v>Mtonne</v>
      </c>
    </row>
    <row r="339" spans="1:13" s="7" customFormat="1" x14ac:dyDescent="0.25">
      <c r="A339" s="4" t="str">
        <v>CA N2O</v>
      </c>
      <c r="B339" s="26">
        <f ca="1"/>
        <v>1.7044901662564229</v>
      </c>
      <c r="C339" s="26">
        <f ca="1"/>
        <v>1.9247088533711414</v>
      </c>
      <c r="D339" s="26">
        <f ca="1"/>
        <v>2.164033453401156</v>
      </c>
      <c r="E339" s="26">
        <f ca="1"/>
        <v>2.3195830795641932</v>
      </c>
      <c r="F339" s="26">
        <f ca="1"/>
        <v>2.5937999956570441</v>
      </c>
      <c r="G339" s="26">
        <f ca="1"/>
        <v>3.0662954402923526</v>
      </c>
      <c r="H339" s="26">
        <f ca="1"/>
        <v>3.1906122238830226</v>
      </c>
      <c r="I339" s="26">
        <f ca="1"/>
        <v>3.3243703356272705</v>
      </c>
      <c r="J339" s="26">
        <f ca="1"/>
        <v>3.4677501298469888</v>
      </c>
      <c r="K339" s="26">
        <f ca="1"/>
        <v>3.6209553663573235</v>
      </c>
      <c r="M339" s="4" t="str">
        <f t="shared" si="18"/>
        <v>Mtonne</v>
      </c>
    </row>
    <row r="340" spans="1:13" s="7" customFormat="1" x14ac:dyDescent="0.25">
      <c r="A340" s="4" t="str">
        <v>IA N2O</v>
      </c>
      <c r="B340" s="26">
        <f ca="1"/>
        <v>0.71458024659186881</v>
      </c>
      <c r="C340" s="26">
        <f ca="1"/>
        <v>0.80690340976282005</v>
      </c>
      <c r="D340" s="26">
        <f ca="1"/>
        <v>0.90723642141084393</v>
      </c>
      <c r="E340" s="26">
        <f ca="1"/>
        <v>0.97244811486694716</v>
      </c>
      <c r="F340" s="26">
        <f ca="1"/>
        <v>1.0874091720795311</v>
      </c>
      <c r="G340" s="26">
        <f ca="1"/>
        <v>1.2854953318152509</v>
      </c>
      <c r="H340" s="26">
        <f ca="1"/>
        <v>1.3376131554509463</v>
      </c>
      <c r="I340" s="26">
        <f ca="1"/>
        <v>1.3936891049436861</v>
      </c>
      <c r="J340" s="26">
        <f ca="1"/>
        <v>1.4537987909589731</v>
      </c>
      <c r="K340" s="26">
        <f ca="1"/>
        <v>1.5180276365410901</v>
      </c>
      <c r="M340" s="4" t="str">
        <f t="shared" si="18"/>
        <v>Mtonne</v>
      </c>
    </row>
    <row r="341" spans="1:13" s="7" customFormat="1" x14ac:dyDescent="0.25">
      <c r="A341" s="4" t="str">
        <v>AF N2O</v>
      </c>
      <c r="B341" s="26">
        <f ca="1"/>
        <v>1.4785632957206374</v>
      </c>
      <c r="C341" s="26">
        <f ca="1"/>
        <v>1.8098669294537957</v>
      </c>
      <c r="D341" s="26">
        <f ca="1"/>
        <v>2.1142006207318489</v>
      </c>
      <c r="E341" s="26">
        <f ca="1"/>
        <v>2.3704300146188642</v>
      </c>
      <c r="F341" s="26">
        <f ca="1"/>
        <v>3.0621049417028754</v>
      </c>
      <c r="G341" s="26">
        <f ca="1"/>
        <v>3.6326359387970206</v>
      </c>
      <c r="H341" s="26">
        <f ca="1"/>
        <v>3.7799138592260006</v>
      </c>
      <c r="I341" s="26">
        <f ca="1"/>
        <v>3.9383769079730095</v>
      </c>
      <c r="J341" s="26">
        <f ca="1"/>
        <v>4.1082387505520828</v>
      </c>
      <c r="K341" s="26">
        <f ca="1"/>
        <v>4.2897407809325223</v>
      </c>
      <c r="M341" s="4" t="str">
        <f t="shared" si="18"/>
        <v>Mtonne</v>
      </c>
    </row>
    <row r="342" spans="1:13" s="7" customFormat="1" ht="13" thickBot="1" x14ac:dyDescent="0.3">
      <c r="A342" s="4" t="str">
        <v>LA N2O</v>
      </c>
      <c r="B342" s="35">
        <f ca="1"/>
        <v>1.4459444812312254</v>
      </c>
      <c r="C342" s="35">
        <f ca="1"/>
        <v>1.668246048736252</v>
      </c>
      <c r="D342" s="35">
        <f ca="1"/>
        <v>1.8965391639539098</v>
      </c>
      <c r="E342" s="35">
        <f ca="1"/>
        <v>2.0249733408785611</v>
      </c>
      <c r="F342" s="35">
        <f ca="1"/>
        <v>2.2068951868348554</v>
      </c>
      <c r="G342" s="35">
        <f ca="1"/>
        <v>2.1934327643107876</v>
      </c>
      <c r="H342" s="35">
        <f ca="1"/>
        <v>2.2823610856650771</v>
      </c>
      <c r="I342" s="35">
        <f ca="1"/>
        <v>2.3780431327819072</v>
      </c>
      <c r="J342" s="35">
        <f ca="1"/>
        <v>2.4806079196739632</v>
      </c>
      <c r="K342" s="35">
        <f ca="1"/>
        <v>2.5902012031553858</v>
      </c>
      <c r="M342" s="4" t="str">
        <f t="shared" si="18"/>
        <v>Mtonne</v>
      </c>
    </row>
    <row r="343" spans="1:13" s="2" customFormat="1" ht="15.5" thickTop="1" x14ac:dyDescent="0.4">
      <c r="A343" s="2" t="s">
        <v>314</v>
      </c>
      <c r="B343" s="2" t="s">
        <v>318</v>
      </c>
    </row>
    <row r="344" spans="1:13" s="7" customFormat="1" x14ac:dyDescent="0.25">
      <c r="A344" s="4" t="str">
        <f t="array" ref="A344:A351">R_CODE&amp;" "&amp;GLIN_NAME</f>
        <v>EU Lin</v>
      </c>
      <c r="B344" s="32">
        <f t="array" aca="1" ref="B344:K351" ca="1">(QMAX_MINUS_Q0_PROP_GLIN/100)*(ZC_GLIN/100)*E_GLIN_0+Q0_GLIN</f>
        <v>105.91748847901276</v>
      </c>
      <c r="C344" s="32">
        <f ca="1"/>
        <v>127.87369180539305</v>
      </c>
      <c r="D344" s="32">
        <f ca="1"/>
        <v>131.26530458971951</v>
      </c>
      <c r="E344" s="32">
        <f ca="1"/>
        <v>128.16001051470579</v>
      </c>
      <c r="F344" s="32">
        <f ca="1"/>
        <v>127.48611614921501</v>
      </c>
      <c r="G344" s="32">
        <f ca="1"/>
        <v>138.0446590940748</v>
      </c>
      <c r="H344" s="32">
        <f ca="1"/>
        <v>145.37611764615411</v>
      </c>
      <c r="I344" s="32">
        <f ca="1"/>
        <v>153.33481199486832</v>
      </c>
      <c r="J344" s="32">
        <f ca="1"/>
        <v>161.95326695804798</v>
      </c>
      <c r="K344" s="32">
        <f ca="1"/>
        <v>171.26685994067853</v>
      </c>
      <c r="M344" s="4" t="str">
        <f t="shared" ref="M344:M351" si="19">EMIT_NAME</f>
        <v>Mtonne</v>
      </c>
    </row>
    <row r="345" spans="1:13" s="7" customFormat="1" x14ac:dyDescent="0.25">
      <c r="A345" s="4" t="str">
        <v>US Lin</v>
      </c>
      <c r="B345" s="33">
        <f ca="1"/>
        <v>278.56331277145352</v>
      </c>
      <c r="C345" s="33">
        <f ca="1"/>
        <v>336.22624245028067</v>
      </c>
      <c r="D345" s="33">
        <f ca="1"/>
        <v>345.06163828336105</v>
      </c>
      <c r="E345" s="33">
        <f ca="1"/>
        <v>336.81988939803426</v>
      </c>
      <c r="F345" s="33">
        <f ca="1"/>
        <v>334.8601150990857</v>
      </c>
      <c r="G345" s="33">
        <f ca="1"/>
        <v>362.40002687469536</v>
      </c>
      <c r="H345" s="33">
        <f ca="1"/>
        <v>381.27139144474751</v>
      </c>
      <c r="I345" s="33">
        <f ca="1"/>
        <v>401.79064161991624</v>
      </c>
      <c r="J345" s="33">
        <f ca="1"/>
        <v>424.04138670160427</v>
      </c>
      <c r="K345" s="33">
        <f ca="1"/>
        <v>448.11473645288658</v>
      </c>
      <c r="M345" s="4" t="str">
        <f t="shared" si="19"/>
        <v>Mtonne</v>
      </c>
    </row>
    <row r="346" spans="1:13" s="7" customFormat="1" x14ac:dyDescent="0.25">
      <c r="A346" s="4" t="str">
        <v>OT Lin</v>
      </c>
      <c r="B346" s="33">
        <f ca="1"/>
        <v>99.306466212899835</v>
      </c>
      <c r="C346" s="33">
        <f ca="1"/>
        <v>119.89223533474586</v>
      </c>
      <c r="D346" s="33">
        <f ca="1"/>
        <v>123.07215477213595</v>
      </c>
      <c r="E346" s="33">
        <f ca="1"/>
        <v>120.16068296922806</v>
      </c>
      <c r="F346" s="33">
        <f ca="1"/>
        <v>119.52885087994157</v>
      </c>
      <c r="G346" s="33">
        <f ca="1"/>
        <v>129.42836420175655</v>
      </c>
      <c r="H346" s="33">
        <f ca="1"/>
        <v>136.30221715511092</v>
      </c>
      <c r="I346" s="33">
        <f ca="1"/>
        <v>143.76415590374347</v>
      </c>
      <c r="J346" s="33">
        <f ca="1"/>
        <v>151.8446751730234</v>
      </c>
      <c r="K346" s="33">
        <f ca="1"/>
        <v>160.57694422634003</v>
      </c>
      <c r="M346" s="4" t="str">
        <f t="shared" si="19"/>
        <v>Mtonne</v>
      </c>
    </row>
    <row r="347" spans="1:13" s="7" customFormat="1" x14ac:dyDescent="0.25">
      <c r="A347" s="4" t="str">
        <v>EE Lin</v>
      </c>
      <c r="B347" s="33">
        <f ca="1"/>
        <v>41.696867176828512</v>
      </c>
      <c r="C347" s="33">
        <f ca="1"/>
        <v>59.614756335525882</v>
      </c>
      <c r="D347" s="33">
        <f ca="1"/>
        <v>78.574466021088327</v>
      </c>
      <c r="E347" s="33">
        <f ca="1"/>
        <v>96.161273186999153</v>
      </c>
      <c r="F347" s="33">
        <f ca="1"/>
        <v>121.42596511871267</v>
      </c>
      <c r="G347" s="33">
        <f ca="1"/>
        <v>143.26348143532408</v>
      </c>
      <c r="H347" s="33">
        <f ca="1"/>
        <v>151.42788701684148</v>
      </c>
      <c r="I347" s="33">
        <f ca="1"/>
        <v>160.24140182236431</v>
      </c>
      <c r="J347" s="33">
        <f ca="1"/>
        <v>169.740409360857</v>
      </c>
      <c r="K347" s="33">
        <f ca="1"/>
        <v>179.96423618899584</v>
      </c>
      <c r="M347" s="4" t="str">
        <f t="shared" si="19"/>
        <v>Mtonne</v>
      </c>
    </row>
    <row r="348" spans="1:13" s="7" customFormat="1" x14ac:dyDescent="0.25">
      <c r="A348" s="4" t="str">
        <v>CA Lin</v>
      </c>
      <c r="B348" s="33">
        <f ca="1"/>
        <v>127.67160261048168</v>
      </c>
      <c r="C348" s="33">
        <f ca="1"/>
        <v>169.13189325782889</v>
      </c>
      <c r="D348" s="33">
        <f ca="1"/>
        <v>232.4832909669471</v>
      </c>
      <c r="E348" s="33">
        <f ca="1"/>
        <v>272.90743207009126</v>
      </c>
      <c r="F348" s="33">
        <f ca="1"/>
        <v>361.89415154845108</v>
      </c>
      <c r="G348" s="33">
        <f ca="1"/>
        <v>416.5769328086426</v>
      </c>
      <c r="H348" s="33">
        <f ca="1"/>
        <v>440.31712815556142</v>
      </c>
      <c r="I348" s="33">
        <f ca="1"/>
        <v>465.9447823781469</v>
      </c>
      <c r="J348" s="33">
        <f ca="1"/>
        <v>493.56569027083879</v>
      </c>
      <c r="K348" s="33">
        <f ca="1"/>
        <v>523.29420432733605</v>
      </c>
      <c r="M348" s="4" t="str">
        <f t="shared" si="19"/>
        <v>Mtonne</v>
      </c>
    </row>
    <row r="349" spans="1:13" s="7" customFormat="1" x14ac:dyDescent="0.25">
      <c r="A349" s="4" t="str">
        <v>IA Lin</v>
      </c>
      <c r="B349" s="33">
        <f ca="1"/>
        <v>89.182974992982253</v>
      </c>
      <c r="C349" s="33">
        <f ca="1"/>
        <v>118.14440406883674</v>
      </c>
      <c r="D349" s="33">
        <f ca="1"/>
        <v>162.39751910883638</v>
      </c>
      <c r="E349" s="33">
        <f ca="1"/>
        <v>190.63516233881577</v>
      </c>
      <c r="F349" s="33">
        <f ca="1"/>
        <v>252.79542519819773</v>
      </c>
      <c r="G349" s="33">
        <f ca="1"/>
        <v>290.9932155756955</v>
      </c>
      <c r="H349" s="33">
        <f ca="1"/>
        <v>307.57655286184433</v>
      </c>
      <c r="I349" s="33">
        <f ca="1"/>
        <v>325.47834463800547</v>
      </c>
      <c r="J349" s="33">
        <f ca="1"/>
        <v>344.77249218147159</v>
      </c>
      <c r="K349" s="33">
        <f ca="1"/>
        <v>365.5388746147525</v>
      </c>
      <c r="M349" s="4" t="str">
        <f t="shared" si="19"/>
        <v>Mtonne</v>
      </c>
    </row>
    <row r="350" spans="1:13" s="7" customFormat="1" x14ac:dyDescent="0.25">
      <c r="A350" s="4" t="str">
        <v>AF Lin</v>
      </c>
      <c r="B350" s="33">
        <f ca="1"/>
        <v>59.236680105752399</v>
      </c>
      <c r="C350" s="33">
        <f ca="1"/>
        <v>76.693473557884531</v>
      </c>
      <c r="D350" s="33">
        <f ca="1"/>
        <v>92.606538400500256</v>
      </c>
      <c r="E350" s="33">
        <f ca="1"/>
        <v>113.79772709397463</v>
      </c>
      <c r="F350" s="33">
        <f ca="1"/>
        <v>172.4999029809895</v>
      </c>
      <c r="G350" s="33">
        <f ca="1"/>
        <v>209.90063946722233</v>
      </c>
      <c r="H350" s="33">
        <f ca="1"/>
        <v>221.86261285542255</v>
      </c>
      <c r="I350" s="33">
        <f ca="1"/>
        <v>234.77562023943088</v>
      </c>
      <c r="J350" s="33">
        <f ca="1"/>
        <v>248.69296844748555</v>
      </c>
      <c r="K350" s="33">
        <f ca="1"/>
        <v>263.67227627616819</v>
      </c>
      <c r="M350" s="4" t="str">
        <f t="shared" si="19"/>
        <v>Mtonne</v>
      </c>
    </row>
    <row r="351" spans="1:13" s="7" customFormat="1" ht="13" thickBot="1" x14ac:dyDescent="0.3">
      <c r="A351" s="4" t="str">
        <v>LA Lin</v>
      </c>
      <c r="B351" s="34">
        <f ca="1"/>
        <v>44.896701551251603</v>
      </c>
      <c r="C351" s="34">
        <f ca="1"/>
        <v>55.834550345311285</v>
      </c>
      <c r="D351" s="34">
        <f ca="1"/>
        <v>73.880297440289581</v>
      </c>
      <c r="E351" s="34">
        <f ca="1"/>
        <v>87.483790543394718</v>
      </c>
      <c r="F351" s="34">
        <f ca="1"/>
        <v>130.66141515466987</v>
      </c>
      <c r="G351" s="34">
        <f ca="1"/>
        <v>156.27120476791868</v>
      </c>
      <c r="H351" s="34">
        <f ca="1"/>
        <v>165.17690413844267</v>
      </c>
      <c r="I351" s="34">
        <f ca="1"/>
        <v>174.79064912844365</v>
      </c>
      <c r="J351" s="34">
        <f ca="1"/>
        <v>185.15212671692407</v>
      </c>
      <c r="K351" s="34">
        <f ca="1"/>
        <v>196.30423414698885</v>
      </c>
      <c r="M351" s="4" t="str">
        <f t="shared" si="19"/>
        <v>Mtonne</v>
      </c>
    </row>
    <row r="352" spans="1:13" s="2" customFormat="1" ht="15.5" thickTop="1" x14ac:dyDescent="0.4">
      <c r="A352" s="2" t="s">
        <v>319</v>
      </c>
      <c r="B352" s="2" t="s">
        <v>320</v>
      </c>
    </row>
    <row r="353" spans="1:13" s="6" customFormat="1" x14ac:dyDescent="0.25">
      <c r="A353" s="4" t="str">
        <f t="array" ref="A353:A360">R_CODE&amp;" "&amp;'Base data'!$B$12</f>
        <v>EU CO2</v>
      </c>
      <c r="B353" s="273">
        <f t="array" ref="B353:K360" ca="1">CMAX_INIT_CO2*learnfac_co2_b*AUTOFAC</f>
        <v>146.24672936730209</v>
      </c>
      <c r="C353" s="273">
        <f ca="1"/>
        <v>133.06828792305834</v>
      </c>
      <c r="D353" s="273">
        <f ca="1"/>
        <v>112.67902683510847</v>
      </c>
      <c r="E353" s="273">
        <f ca="1"/>
        <v>93.120274470681125</v>
      </c>
      <c r="F353" s="273">
        <f ca="1"/>
        <v>67.473078146721491</v>
      </c>
      <c r="G353" s="273">
        <f ca="1"/>
        <v>47.952712933109474</v>
      </c>
      <c r="H353" s="273">
        <f ca="1"/>
        <v>31.04875443993112</v>
      </c>
      <c r="I353" s="273">
        <f ca="1"/>
        <v>20.92348928359651</v>
      </c>
      <c r="J353" s="273">
        <f ca="1"/>
        <v>14.778386161138085</v>
      </c>
      <c r="K353" s="273">
        <f ca="1"/>
        <v>10.695026739398209</v>
      </c>
      <c r="M353" s="4" t="str">
        <f t="shared" ref="M353:M360" si="20">CURRENCY_NAME&amp;" per "&amp;EMIT_NAME</f>
        <v>$M(2015) per Mtonne</v>
      </c>
    </row>
    <row r="354" spans="1:13" s="6" customFormat="1" x14ac:dyDescent="0.25">
      <c r="A354" s="4" t="str">
        <v>US CO2</v>
      </c>
      <c r="B354" s="274">
        <f ca="1"/>
        <v>146.24672936730209</v>
      </c>
      <c r="C354" s="274">
        <f ca="1"/>
        <v>132.47074438083817</v>
      </c>
      <c r="D354" s="274">
        <f ca="1"/>
        <v>111.01991835760036</v>
      </c>
      <c r="E354" s="274">
        <f ca="1"/>
        <v>91.078788001395324</v>
      </c>
      <c r="F354" s="274">
        <f ca="1"/>
        <v>65.666532126102425</v>
      </c>
      <c r="G354" s="274">
        <f ca="1"/>
        <v>46.597433096603517</v>
      </c>
      <c r="H354" s="274">
        <f ca="1"/>
        <v>30.180076158136238</v>
      </c>
      <c r="I354" s="274">
        <f ca="1"/>
        <v>20.340676985865368</v>
      </c>
      <c r="J354" s="274">
        <f ca="1"/>
        <v>14.367461645300871</v>
      </c>
      <c r="K354" s="274">
        <f ca="1"/>
        <v>10.397868111890672</v>
      </c>
      <c r="M354" s="4" t="str">
        <f t="shared" si="20"/>
        <v>$M(2015) per Mtonne</v>
      </c>
    </row>
    <row r="355" spans="1:13" s="6" customFormat="1" x14ac:dyDescent="0.25">
      <c r="A355" s="4" t="str">
        <v>OT CO2</v>
      </c>
      <c r="B355" s="274">
        <f ca="1"/>
        <v>180.3709662196726</v>
      </c>
      <c r="C355" s="274">
        <f ca="1"/>
        <v>164.94472868335609</v>
      </c>
      <c r="D355" s="274">
        <f ca="1"/>
        <v>141.37583302655412</v>
      </c>
      <c r="E355" s="274">
        <f ca="1"/>
        <v>117.90936407347697</v>
      </c>
      <c r="F355" s="274">
        <f ca="1"/>
        <v>85.989836582178498</v>
      </c>
      <c r="G355" s="274">
        <f ca="1"/>
        <v>61.237298093336705</v>
      </c>
      <c r="H355" s="274">
        <f ca="1"/>
        <v>39.634783652176438</v>
      </c>
      <c r="I355" s="274">
        <f ca="1"/>
        <v>26.705006349099403</v>
      </c>
      <c r="J355" s="274">
        <f ca="1"/>
        <v>18.860644515745136</v>
      </c>
      <c r="K355" s="274">
        <f ca="1"/>
        <v>13.648937471388194</v>
      </c>
      <c r="M355" s="4" t="str">
        <f t="shared" si="20"/>
        <v>$M(2015) per Mtonne</v>
      </c>
    </row>
    <row r="356" spans="1:13" s="6" customFormat="1" x14ac:dyDescent="0.25">
      <c r="A356" s="4" t="str">
        <v>EE CO2</v>
      </c>
      <c r="B356" s="274">
        <f ca="1"/>
        <v>102.37271055711149</v>
      </c>
      <c r="C356" s="274">
        <f ca="1"/>
        <v>92.743324973788305</v>
      </c>
      <c r="D356" s="274">
        <f ca="1"/>
        <v>78.454851794726721</v>
      </c>
      <c r="E356" s="274">
        <f ca="1"/>
        <v>64.830042616592806</v>
      </c>
      <c r="F356" s="274">
        <f ca="1"/>
        <v>46.898283778954507</v>
      </c>
      <c r="G356" s="274">
        <f ca="1"/>
        <v>33.101247187402372</v>
      </c>
      <c r="H356" s="274">
        <f ca="1"/>
        <v>21.067791540406972</v>
      </c>
      <c r="I356" s="274">
        <f ca="1"/>
        <v>14.088383313325826</v>
      </c>
      <c r="J356" s="274">
        <f ca="1"/>
        <v>9.9164332402691073</v>
      </c>
      <c r="K356" s="274">
        <f ca="1"/>
        <v>7.1626243386569097</v>
      </c>
      <c r="M356" s="4" t="str">
        <f t="shared" si="20"/>
        <v>$M(2015) per Mtonne</v>
      </c>
    </row>
    <row r="357" spans="1:13" s="6" customFormat="1" x14ac:dyDescent="0.25">
      <c r="A357" s="4" t="str">
        <v>CA CO2</v>
      </c>
      <c r="B357" s="274">
        <f ca="1"/>
        <v>146.24672936730209</v>
      </c>
      <c r="C357" s="274">
        <f ca="1"/>
        <v>132.55617092817863</v>
      </c>
      <c r="D357" s="274">
        <f ca="1"/>
        <v>110.37640400580837</v>
      </c>
      <c r="E357" s="274">
        <f ca="1"/>
        <v>88.754024187843555</v>
      </c>
      <c r="F357" s="274">
        <f ca="1"/>
        <v>62.408207954340959</v>
      </c>
      <c r="G357" s="274">
        <f ca="1"/>
        <v>43.269818189097379</v>
      </c>
      <c r="H357" s="274">
        <f ca="1"/>
        <v>27.671470154209416</v>
      </c>
      <c r="I357" s="274">
        <f ca="1"/>
        <v>18.543070545735105</v>
      </c>
      <c r="J357" s="274">
        <f ca="1"/>
        <v>13.064083319579105</v>
      </c>
      <c r="K357" s="274">
        <f ca="1"/>
        <v>9.4410714002452458</v>
      </c>
      <c r="M357" s="4" t="str">
        <f t="shared" si="20"/>
        <v>$M(2015) per Mtonne</v>
      </c>
    </row>
    <row r="358" spans="1:13" s="6" customFormat="1" x14ac:dyDescent="0.25">
      <c r="A358" s="4" t="str">
        <v>IA CO2</v>
      </c>
      <c r="B358" s="274">
        <f ca="1"/>
        <v>180.3709662196726</v>
      </c>
      <c r="C358" s="274">
        <f ca="1"/>
        <v>164.45096129059081</v>
      </c>
      <c r="D358" s="274">
        <f ca="1"/>
        <v>139.20921038011005</v>
      </c>
      <c r="E358" s="274">
        <f ca="1"/>
        <v>113.79900185104795</v>
      </c>
      <c r="F358" s="274">
        <f ca="1"/>
        <v>81.137280767557925</v>
      </c>
      <c r="G358" s="274">
        <f ca="1"/>
        <v>56.720500083868338</v>
      </c>
      <c r="H358" s="274">
        <f ca="1"/>
        <v>36.381352262307175</v>
      </c>
      <c r="I358" s="274">
        <f ca="1"/>
        <v>24.412100979478822</v>
      </c>
      <c r="J358" s="274">
        <f ca="1"/>
        <v>17.209247694851779</v>
      </c>
      <c r="K358" s="274">
        <f ca="1"/>
        <v>12.440879746723029</v>
      </c>
      <c r="M358" s="4" t="str">
        <f t="shared" si="20"/>
        <v>$M(2015) per Mtonne</v>
      </c>
    </row>
    <row r="359" spans="1:13" s="6" customFormat="1" x14ac:dyDescent="0.25">
      <c r="A359" s="4" t="str">
        <v>AF CO2</v>
      </c>
      <c r="B359" s="274">
        <f ca="1"/>
        <v>180.3709662196726</v>
      </c>
      <c r="C359" s="274">
        <f ca="1"/>
        <v>161.35769652159266</v>
      </c>
      <c r="D359" s="274">
        <f ca="1"/>
        <v>135.77374772594339</v>
      </c>
      <c r="E359" s="274">
        <f ca="1"/>
        <v>111.14646572561232</v>
      </c>
      <c r="F359" s="274">
        <f ca="1"/>
        <v>79.331046138457296</v>
      </c>
      <c r="G359" s="274">
        <f ca="1"/>
        <v>55.259323326024848</v>
      </c>
      <c r="H359" s="274">
        <f ca="1"/>
        <v>34.952684008222533</v>
      </c>
      <c r="I359" s="274">
        <f ca="1"/>
        <v>23.311982535475373</v>
      </c>
      <c r="J359" s="274">
        <f ca="1"/>
        <v>16.389986223109805</v>
      </c>
      <c r="K359" s="274">
        <f ca="1"/>
        <v>11.83111914007474</v>
      </c>
      <c r="M359" s="4" t="str">
        <f t="shared" si="20"/>
        <v>$M(2015) per Mtonne</v>
      </c>
    </row>
    <row r="360" spans="1:13" s="6" customFormat="1" ht="13" thickBot="1" x14ac:dyDescent="0.3">
      <c r="A360" s="4" t="str">
        <v>LA CO2</v>
      </c>
      <c r="B360" s="275">
        <f ca="1"/>
        <v>102.37271055711149</v>
      </c>
      <c r="C360" s="275">
        <f ca="1"/>
        <v>92.57738482169016</v>
      </c>
      <c r="D360" s="275">
        <f ca="1"/>
        <v>78.438893278908353</v>
      </c>
      <c r="E360" s="275">
        <f ca="1"/>
        <v>65.111647588209024</v>
      </c>
      <c r="F360" s="275">
        <f ca="1"/>
        <v>47.153245762779811</v>
      </c>
      <c r="G360" s="275">
        <f ca="1"/>
        <v>33.401884781025366</v>
      </c>
      <c r="H360" s="275">
        <f ca="1"/>
        <v>21.757251882959086</v>
      </c>
      <c r="I360" s="275">
        <f ca="1"/>
        <v>14.704760682571532</v>
      </c>
      <c r="J360" s="275">
        <f ca="1"/>
        <v>10.400550208287155</v>
      </c>
      <c r="K360" s="275">
        <f ca="1"/>
        <v>7.5331384021517618</v>
      </c>
      <c r="M360" s="4" t="str">
        <f t="shared" si="20"/>
        <v>$M(2015) per Mtonne</v>
      </c>
    </row>
    <row r="361" spans="1:13" s="2" customFormat="1" ht="15.5" thickTop="1" x14ac:dyDescent="0.4">
      <c r="A361" s="2" t="s">
        <v>319</v>
      </c>
      <c r="B361" s="2" t="s">
        <v>321</v>
      </c>
    </row>
    <row r="362" spans="1:13" s="6" customFormat="1" x14ac:dyDescent="0.25">
      <c r="A362" s="4" t="str">
        <f t="array" ref="A362:A369">R_CODE&amp;" "&amp;'Base data'!$C$12</f>
        <v>EU CH4</v>
      </c>
      <c r="B362" s="273">
        <f t="array" ref="B362:K369" ca="1">CMAX_INIT_CH4*learnfac_ch4_b*AUTOFAC</f>
        <v>7101.0911926123354</v>
      </c>
      <c r="C362" s="273">
        <f ca="1"/>
        <v>6312.5637438139292</v>
      </c>
      <c r="D362" s="273">
        <f ca="1"/>
        <v>5560.3953219565901</v>
      </c>
      <c r="E362" s="273">
        <f ca="1"/>
        <v>4883.9407950710192</v>
      </c>
      <c r="F362" s="273">
        <f ca="1"/>
        <v>3779.9333776027088</v>
      </c>
      <c r="G362" s="273">
        <f ca="1"/>
        <v>2861.0339982788255</v>
      </c>
      <c r="H362" s="273">
        <f ca="1"/>
        <v>1891.9196457304417</v>
      </c>
      <c r="I362" s="273">
        <f ca="1"/>
        <v>1292.3605169967134</v>
      </c>
      <c r="J362" s="273">
        <f ca="1"/>
        <v>921.04055687521452</v>
      </c>
      <c r="K362" s="273">
        <f ca="1"/>
        <v>671.53831235545329</v>
      </c>
      <c r="M362" s="4" t="str">
        <f t="shared" ref="M362:M369" si="21">CURRENCY_NAME&amp;" per "&amp;EMIT_NAME</f>
        <v>$M(2015) per Mtonne</v>
      </c>
    </row>
    <row r="363" spans="1:13" s="6" customFormat="1" x14ac:dyDescent="0.25">
      <c r="A363" s="4" t="str">
        <v>US CH4</v>
      </c>
      <c r="B363" s="274">
        <f ca="1"/>
        <v>7101.0911926123354</v>
      </c>
      <c r="C363" s="274">
        <f ca="1"/>
        <v>6294.6533634070092</v>
      </c>
      <c r="D363" s="274">
        <f ca="1"/>
        <v>5532.2610431642197</v>
      </c>
      <c r="E363" s="274">
        <f ca="1"/>
        <v>4852.0388228278998</v>
      </c>
      <c r="F363" s="274">
        <f ca="1"/>
        <v>3749.8869389615825</v>
      </c>
      <c r="G363" s="274">
        <f ca="1"/>
        <v>2835.0867348040983</v>
      </c>
      <c r="H363" s="274">
        <f ca="1"/>
        <v>1873.0527366091542</v>
      </c>
      <c r="I363" s="274">
        <f ca="1"/>
        <v>1278.8704344390098</v>
      </c>
      <c r="J363" s="274">
        <f ca="1"/>
        <v>911.21508690957899</v>
      </c>
      <c r="K363" s="274">
        <f ca="1"/>
        <v>664.28072639566676</v>
      </c>
      <c r="M363" s="4" t="str">
        <f t="shared" si="21"/>
        <v>$M(2015) per Mtonne</v>
      </c>
    </row>
    <row r="364" spans="1:13" s="6" customFormat="1" x14ac:dyDescent="0.25">
      <c r="A364" s="4" t="str">
        <v>OT CH4</v>
      </c>
      <c r="B364" s="274">
        <f ca="1"/>
        <v>8758.0124708885469</v>
      </c>
      <c r="C364" s="274">
        <f ca="1"/>
        <v>7792.7344216905858</v>
      </c>
      <c r="D364" s="274">
        <f ca="1"/>
        <v>6869.261990024509</v>
      </c>
      <c r="E364" s="274">
        <f ca="1"/>
        <v>6036.5530050543139</v>
      </c>
      <c r="F364" s="274">
        <f ca="1"/>
        <v>4674.234390145677</v>
      </c>
      <c r="G364" s="274">
        <f ca="1"/>
        <v>3539.2779356803858</v>
      </c>
      <c r="H364" s="274">
        <f ca="1"/>
        <v>2341.1450131532092</v>
      </c>
      <c r="I364" s="274">
        <f ca="1"/>
        <v>1599.4795016313794</v>
      </c>
      <c r="J364" s="274">
        <f ca="1"/>
        <v>1140.0081980311322</v>
      </c>
      <c r="K364" s="274">
        <f ca="1"/>
        <v>831.22932645081528</v>
      </c>
      <c r="M364" s="4" t="str">
        <f t="shared" si="21"/>
        <v>$M(2015) per Mtonne</v>
      </c>
    </row>
    <row r="365" spans="1:13" s="6" customFormat="1" x14ac:dyDescent="0.25">
      <c r="A365" s="4" t="str">
        <v>EE CH4</v>
      </c>
      <c r="B365" s="274">
        <f ca="1"/>
        <v>4970.7638348286355</v>
      </c>
      <c r="C365" s="274">
        <f ca="1"/>
        <v>4357.1372112584413</v>
      </c>
      <c r="D365" s="274">
        <f ca="1"/>
        <v>3796.9804033643522</v>
      </c>
      <c r="E365" s="274">
        <f ca="1"/>
        <v>3301.8584491038873</v>
      </c>
      <c r="F365" s="274">
        <f ca="1"/>
        <v>2526.7163877781636</v>
      </c>
      <c r="G365" s="274">
        <f ca="1"/>
        <v>1903.2928955100288</v>
      </c>
      <c r="H365" s="274">
        <f ca="1"/>
        <v>1246.0113529556147</v>
      </c>
      <c r="I365" s="274">
        <f ca="1"/>
        <v>846.83397795698136</v>
      </c>
      <c r="J365" s="274">
        <f ca="1"/>
        <v>602.03132706931319</v>
      </c>
      <c r="K365" s="274">
        <f ca="1"/>
        <v>438.28979583654723</v>
      </c>
      <c r="M365" s="4" t="str">
        <f t="shared" si="21"/>
        <v>$M(2015) per Mtonne</v>
      </c>
    </row>
    <row r="366" spans="1:13" s="6" customFormat="1" x14ac:dyDescent="0.25">
      <c r="A366" s="4" t="str">
        <v>CA CH4</v>
      </c>
      <c r="B366" s="274">
        <f ca="1"/>
        <v>7101.0911926123354</v>
      </c>
      <c r="C366" s="274">
        <f ca="1"/>
        <v>6278.4022678451338</v>
      </c>
      <c r="D366" s="274">
        <f ca="1"/>
        <v>5480.9375616430289</v>
      </c>
      <c r="E366" s="274">
        <f ca="1"/>
        <v>4752.659465184729</v>
      </c>
      <c r="F366" s="274">
        <f ca="1"/>
        <v>3596.6640474718056</v>
      </c>
      <c r="G366" s="274">
        <f ca="1"/>
        <v>2664.0331825684502</v>
      </c>
      <c r="H366" s="274">
        <f ca="1"/>
        <v>1741.5510825385522</v>
      </c>
      <c r="I366" s="274">
        <f ca="1"/>
        <v>1183.0109185000863</v>
      </c>
      <c r="J366" s="274">
        <f ca="1"/>
        <v>840.94392542848698</v>
      </c>
      <c r="K366" s="274">
        <f ca="1"/>
        <v>612.26522325761471</v>
      </c>
      <c r="M366" s="4" t="str">
        <f t="shared" si="21"/>
        <v>$M(2015) per Mtonne</v>
      </c>
    </row>
    <row r="367" spans="1:13" s="6" customFormat="1" x14ac:dyDescent="0.25">
      <c r="A367" s="4" t="str">
        <v>IA CH4</v>
      </c>
      <c r="B367" s="274">
        <f ca="1"/>
        <v>8758.0124708885469</v>
      </c>
      <c r="C367" s="274">
        <f ca="1"/>
        <v>7706.905066479786</v>
      </c>
      <c r="D367" s="274">
        <f ca="1"/>
        <v>6696.8362120668435</v>
      </c>
      <c r="E367" s="274">
        <f ca="1"/>
        <v>5781.5763000038487</v>
      </c>
      <c r="F367" s="274">
        <f ca="1"/>
        <v>4349.7938709372629</v>
      </c>
      <c r="G367" s="274">
        <f ca="1"/>
        <v>3206.2260550763235</v>
      </c>
      <c r="H367" s="274">
        <f ca="1"/>
        <v>2090.40362092143</v>
      </c>
      <c r="I367" s="274">
        <f ca="1"/>
        <v>1418.1738845497507</v>
      </c>
      <c r="J367" s="274">
        <f ca="1"/>
        <v>1007.5173075499858</v>
      </c>
      <c r="K367" s="274">
        <f ca="1"/>
        <v>733.29752728027177</v>
      </c>
      <c r="M367" s="4" t="str">
        <f t="shared" si="21"/>
        <v>$M(2015) per Mtonne</v>
      </c>
    </row>
    <row r="368" spans="1:13" s="6" customFormat="1" x14ac:dyDescent="0.25">
      <c r="A368" s="4" t="str">
        <v>AF CH4</v>
      </c>
      <c r="B368" s="274">
        <f ca="1"/>
        <v>8758.0124708885469</v>
      </c>
      <c r="C368" s="274">
        <f ca="1"/>
        <v>7569.2589211015693</v>
      </c>
      <c r="D368" s="274">
        <f ca="1"/>
        <v>6465.4543595296091</v>
      </c>
      <c r="E368" s="274">
        <f ca="1"/>
        <v>5531.8835588697557</v>
      </c>
      <c r="F368" s="274">
        <f ca="1"/>
        <v>4153.2582533744862</v>
      </c>
      <c r="G368" s="274">
        <f ca="1"/>
        <v>3082.1480361827039</v>
      </c>
      <c r="H368" s="274">
        <f ca="1"/>
        <v>2019.556238719593</v>
      </c>
      <c r="I368" s="274">
        <f ca="1"/>
        <v>1373.3443835232454</v>
      </c>
      <c r="J368" s="274">
        <f ca="1"/>
        <v>976.70790336226185</v>
      </c>
      <c r="K368" s="274">
        <f ca="1"/>
        <v>711.28677728421735</v>
      </c>
      <c r="M368" s="4" t="str">
        <f t="shared" si="21"/>
        <v>$M(2015) per Mtonne</v>
      </c>
    </row>
    <row r="369" spans="1:13" s="6" customFormat="1" ht="13" thickBot="1" x14ac:dyDescent="0.3">
      <c r="A369" s="4" t="str">
        <v>LA CH4</v>
      </c>
      <c r="B369" s="275">
        <f ca="1"/>
        <v>4970.7638348286355</v>
      </c>
      <c r="C369" s="275">
        <f ca="1"/>
        <v>4326.3316319884416</v>
      </c>
      <c r="D369" s="275">
        <f ca="1"/>
        <v>3732.0524412028012</v>
      </c>
      <c r="E369" s="275">
        <f ca="1"/>
        <v>3227.2160382367947</v>
      </c>
      <c r="F369" s="275">
        <f ca="1"/>
        <v>2460.3005978286278</v>
      </c>
      <c r="G369" s="275">
        <f ca="1"/>
        <v>1859.3850874913899</v>
      </c>
      <c r="H369" s="275">
        <f ca="1"/>
        <v>1236.870770579513</v>
      </c>
      <c r="I369" s="275">
        <f ca="1"/>
        <v>847.69357157046647</v>
      </c>
      <c r="J369" s="275">
        <f ca="1"/>
        <v>605.22001604376305</v>
      </c>
      <c r="K369" s="275">
        <f ca="1"/>
        <v>441.81435613203234</v>
      </c>
      <c r="M369" s="4" t="str">
        <f t="shared" si="21"/>
        <v>$M(2015) per Mtonne</v>
      </c>
    </row>
    <row r="370" spans="1:13" s="2" customFormat="1" ht="15.5" thickTop="1" x14ac:dyDescent="0.4">
      <c r="A370" s="2" t="s">
        <v>319</v>
      </c>
      <c r="B370" s="2" t="s">
        <v>322</v>
      </c>
    </row>
    <row r="371" spans="1:13" s="7" customFormat="1" x14ac:dyDescent="0.25">
      <c r="A371" s="4" t="str">
        <f t="array" ref="A371:A378">R_CODE&amp;" "&amp;'Base data'!$D$12</f>
        <v>EU N2O</v>
      </c>
      <c r="B371" s="273">
        <f t="array" ref="B371:K378" ca="1">CMAX_INIT_N2O*learnfac_n2o_b*AUTOFAC</f>
        <v>30646.814620747973</v>
      </c>
      <c r="C371" s="273">
        <f ca="1"/>
        <v>27999.05804250206</v>
      </c>
      <c r="D371" s="273">
        <f ca="1"/>
        <v>25210.254361168743</v>
      </c>
      <c r="E371" s="273">
        <f ca="1"/>
        <v>22383.404234342041</v>
      </c>
      <c r="F371" s="273">
        <f ca="1"/>
        <v>17434.011107780851</v>
      </c>
      <c r="G371" s="273">
        <f ca="1"/>
        <v>13168.840209373582</v>
      </c>
      <c r="H371" s="273">
        <f ca="1"/>
        <v>8631.9084521939967</v>
      </c>
      <c r="I371" s="273">
        <f ca="1"/>
        <v>5837.0807254786241</v>
      </c>
      <c r="J371" s="273">
        <f ca="1"/>
        <v>4121.4450709264847</v>
      </c>
      <c r="K371" s="273">
        <f ca="1"/>
        <v>2977.3321879374148</v>
      </c>
      <c r="M371" s="4" t="str">
        <f t="shared" ref="M371:M378" si="22">CURRENCY_NAME&amp;" per "&amp;EMIT_NAME</f>
        <v>$M(2015) per Mtonne</v>
      </c>
    </row>
    <row r="372" spans="1:13" s="7" customFormat="1" x14ac:dyDescent="0.25">
      <c r="A372" s="4" t="str">
        <v>US N2O</v>
      </c>
      <c r="B372" s="274">
        <f ca="1"/>
        <v>30646.814620747973</v>
      </c>
      <c r="C372" s="274">
        <f ca="1"/>
        <v>28055.284923643274</v>
      </c>
      <c r="D372" s="274">
        <f ca="1"/>
        <v>25311.490350527558</v>
      </c>
      <c r="E372" s="274">
        <f ca="1"/>
        <v>22512.8543250945</v>
      </c>
      <c r="F372" s="274">
        <f ca="1"/>
        <v>17567.793194424623</v>
      </c>
      <c r="G372" s="274">
        <f ca="1"/>
        <v>13285.777137113975</v>
      </c>
      <c r="H372" s="274">
        <f ca="1"/>
        <v>8713.0358668673089</v>
      </c>
      <c r="I372" s="274">
        <f ca="1"/>
        <v>5893.4784116767532</v>
      </c>
      <c r="J372" s="274">
        <f ca="1"/>
        <v>4161.7881609463711</v>
      </c>
      <c r="K372" s="274">
        <f ca="1"/>
        <v>3006.6989844322788</v>
      </c>
      <c r="M372" s="4" t="str">
        <f t="shared" si="22"/>
        <v>$M(2015) per Mtonne</v>
      </c>
    </row>
    <row r="373" spans="1:13" s="7" customFormat="1" x14ac:dyDescent="0.25">
      <c r="A373" s="4" t="str">
        <v>OT N2O</v>
      </c>
      <c r="B373" s="274">
        <f ca="1"/>
        <v>37797.738032255838</v>
      </c>
      <c r="C373" s="274">
        <f ca="1"/>
        <v>34845.772960951384</v>
      </c>
      <c r="D373" s="274">
        <f ca="1"/>
        <v>31665.665996070667</v>
      </c>
      <c r="E373" s="274">
        <f ca="1"/>
        <v>28348.695645021817</v>
      </c>
      <c r="F373" s="274">
        <f ca="1"/>
        <v>22280.488076618851</v>
      </c>
      <c r="G373" s="274">
        <f ca="1"/>
        <v>16928.51831140841</v>
      </c>
      <c r="H373" s="274">
        <f ca="1"/>
        <v>11124.559332192526</v>
      </c>
      <c r="I373" s="274">
        <f ca="1"/>
        <v>7532.4293843054729</v>
      </c>
      <c r="J373" s="274">
        <f ca="1"/>
        <v>5321.821025533377</v>
      </c>
      <c r="K373" s="274">
        <f ca="1"/>
        <v>3845.9065270555793</v>
      </c>
      <c r="M373" s="4" t="str">
        <f t="shared" si="22"/>
        <v>$M(2015) per Mtonne</v>
      </c>
    </row>
    <row r="374" spans="1:13" s="7" customFormat="1" x14ac:dyDescent="0.25">
      <c r="A374" s="4" t="str">
        <v>EE N2O</v>
      </c>
      <c r="B374" s="274">
        <f ca="1"/>
        <v>21452.770234523585</v>
      </c>
      <c r="C374" s="274">
        <f ca="1"/>
        <v>19943.629343951994</v>
      </c>
      <c r="D374" s="274">
        <f ca="1"/>
        <v>18257.275519374729</v>
      </c>
      <c r="E374" s="274">
        <f ca="1"/>
        <v>16432.87436706556</v>
      </c>
      <c r="F374" s="274">
        <f ca="1"/>
        <v>12980.746359004397</v>
      </c>
      <c r="G374" s="274">
        <f ca="1"/>
        <v>9896.3652563958258</v>
      </c>
      <c r="H374" s="274">
        <f ca="1"/>
        <v>6477.5828345298296</v>
      </c>
      <c r="I374" s="274">
        <f ca="1"/>
        <v>4377.8096965311743</v>
      </c>
      <c r="J374" s="274">
        <f ca="1"/>
        <v>3090.6198382582547</v>
      </c>
      <c r="K374" s="274">
        <f ca="1"/>
        <v>2232.6841509396572</v>
      </c>
      <c r="M374" s="4" t="str">
        <f t="shared" si="22"/>
        <v>$M(2015) per Mtonne</v>
      </c>
    </row>
    <row r="375" spans="1:13" s="7" customFormat="1" x14ac:dyDescent="0.25">
      <c r="A375" s="4" t="str">
        <v>CA N2O</v>
      </c>
      <c r="B375" s="274">
        <f ca="1"/>
        <v>30646.814620747973</v>
      </c>
      <c r="C375" s="274">
        <f ca="1"/>
        <v>28490.899062788558</v>
      </c>
      <c r="D375" s="274">
        <f ca="1"/>
        <v>26069.058370116571</v>
      </c>
      <c r="E375" s="274">
        <f ca="1"/>
        <v>23142.623623847707</v>
      </c>
      <c r="F375" s="274">
        <f ca="1"/>
        <v>17634.209282007669</v>
      </c>
      <c r="G375" s="274">
        <f ca="1"/>
        <v>12981.880511357227</v>
      </c>
      <c r="H375" s="274">
        <f ca="1"/>
        <v>8258.118899491601</v>
      </c>
      <c r="I375" s="274">
        <f ca="1"/>
        <v>5507.1975068044958</v>
      </c>
      <c r="J375" s="274">
        <f ca="1"/>
        <v>3864.257898093364</v>
      </c>
      <c r="K375" s="274">
        <f ca="1"/>
        <v>2781.8579163590935</v>
      </c>
      <c r="M375" s="4" t="str">
        <f t="shared" si="22"/>
        <v>$M(2015) per Mtonne</v>
      </c>
    </row>
    <row r="376" spans="1:13" s="7" customFormat="1" x14ac:dyDescent="0.25">
      <c r="A376" s="4" t="str">
        <v>IA N2O</v>
      </c>
      <c r="B376" s="274">
        <f ca="1"/>
        <v>37797.738032255838</v>
      </c>
      <c r="C376" s="274">
        <f ca="1"/>
        <v>35138.775510772561</v>
      </c>
      <c r="D376" s="274">
        <f ca="1"/>
        <v>32192.214144357757</v>
      </c>
      <c r="E376" s="274">
        <f ca="1"/>
        <v>28857.665543596253</v>
      </c>
      <c r="F376" s="274">
        <f ca="1"/>
        <v>22488.862118914869</v>
      </c>
      <c r="G376" s="274">
        <f ca="1"/>
        <v>16888.770303896246</v>
      </c>
      <c r="H376" s="274">
        <f ca="1"/>
        <v>10932.52808676221</v>
      </c>
      <c r="I376" s="274">
        <f ca="1"/>
        <v>7348.4904879411488</v>
      </c>
      <c r="J376" s="274">
        <f ca="1"/>
        <v>5174.4561995058202</v>
      </c>
      <c r="K376" s="274">
        <f ca="1"/>
        <v>3732.3762456617219</v>
      </c>
      <c r="M376" s="4" t="str">
        <f t="shared" si="22"/>
        <v>$M(2015) per Mtonne</v>
      </c>
    </row>
    <row r="377" spans="1:13" s="7" customFormat="1" x14ac:dyDescent="0.25">
      <c r="A377" s="4" t="str">
        <v>AF N2O</v>
      </c>
      <c r="B377" s="274">
        <f ca="1"/>
        <v>37797.738032255838</v>
      </c>
      <c r="C377" s="274">
        <f ca="1"/>
        <v>34519.638652260553</v>
      </c>
      <c r="D377" s="274">
        <f ca="1"/>
        <v>30605.656541844732</v>
      </c>
      <c r="E377" s="274">
        <f ca="1"/>
        <v>26646.640179836319</v>
      </c>
      <c r="F377" s="274">
        <f ca="1"/>
        <v>20086.694334310912</v>
      </c>
      <c r="G377" s="274">
        <f ca="1"/>
        <v>14618.95827664647</v>
      </c>
      <c r="H377" s="274">
        <f ca="1"/>
        <v>9318.3481344934116</v>
      </c>
      <c r="I377" s="274">
        <f ca="1"/>
        <v>6217.1819719326131</v>
      </c>
      <c r="J377" s="274">
        <f ca="1"/>
        <v>4361.9870246829114</v>
      </c>
      <c r="K377" s="274">
        <f ca="1"/>
        <v>3139.1912796956881</v>
      </c>
      <c r="M377" s="4" t="str">
        <f t="shared" si="22"/>
        <v>$M(2015) per Mtonne</v>
      </c>
    </row>
    <row r="378" spans="1:13" s="7" customFormat="1" ht="13" thickBot="1" x14ac:dyDescent="0.3">
      <c r="A378" s="4" t="str">
        <v>LA N2O</v>
      </c>
      <c r="B378" s="275">
        <f ca="1"/>
        <v>21452.770234523585</v>
      </c>
      <c r="C378" s="275">
        <f ca="1"/>
        <v>19458.190676060694</v>
      </c>
      <c r="D378" s="275">
        <f ca="1"/>
        <v>17254.5231614289</v>
      </c>
      <c r="E378" s="275">
        <f ca="1"/>
        <v>15095.870017174904</v>
      </c>
      <c r="F378" s="275">
        <f ca="1"/>
        <v>11518.286697816831</v>
      </c>
      <c r="G378" s="275">
        <f ca="1"/>
        <v>8577.9530577808509</v>
      </c>
      <c r="H378" s="275">
        <f ca="1"/>
        <v>5620.3858330666762</v>
      </c>
      <c r="I378" s="275">
        <f ca="1"/>
        <v>3799.661479142756</v>
      </c>
      <c r="J378" s="275">
        <f ca="1"/>
        <v>2682.4421928802658</v>
      </c>
      <c r="K378" s="275">
        <f ca="1"/>
        <v>1937.5602338243114</v>
      </c>
      <c r="M378" s="4" t="str">
        <f t="shared" si="22"/>
        <v>$M(2015) per Mtonne</v>
      </c>
    </row>
    <row r="379" spans="1:13" s="2" customFormat="1" ht="15.5" thickTop="1" x14ac:dyDescent="0.4">
      <c r="A379" s="2" t="s">
        <v>319</v>
      </c>
      <c r="B379" s="2" t="s">
        <v>323</v>
      </c>
    </row>
    <row r="380" spans="1:13" s="7" customFormat="1" x14ac:dyDescent="0.25">
      <c r="A380" s="4" t="str">
        <f t="array" ref="A380:A387">R_CODE&amp;" "&amp;GLIN_NAME</f>
        <v>EU Lin</v>
      </c>
      <c r="B380" s="273">
        <f t="array" ref="B380:K387" ca="1">CMAX_INIT_GLIN*learnfac_glin_b*AUTOFAC</f>
        <v>373.74164171643872</v>
      </c>
      <c r="C380" s="273">
        <f ca="1"/>
        <v>297.99859976063334</v>
      </c>
      <c r="D380" s="273">
        <f ca="1"/>
        <v>235.2717221039135</v>
      </c>
      <c r="E380" s="273">
        <f ca="1"/>
        <v>193.25737009899362</v>
      </c>
      <c r="F380" s="273">
        <f ca="1"/>
        <v>141.97843531240702</v>
      </c>
      <c r="G380" s="273">
        <f ca="1"/>
        <v>105.44428523260865</v>
      </c>
      <c r="H380" s="273">
        <f ca="1"/>
        <v>69.192789486888159</v>
      </c>
      <c r="I380" s="273">
        <f ca="1"/>
        <v>46.717128084226658</v>
      </c>
      <c r="J380" s="273">
        <f ca="1"/>
        <v>32.909426547254846</v>
      </c>
      <c r="K380" s="273">
        <f ca="1"/>
        <v>23.711182531496373</v>
      </c>
      <c r="M380" s="4" t="str">
        <f t="shared" ref="M380:M387" si="23">CURRENCY_NAME&amp;" per "&amp;EMIT_NAME</f>
        <v>$M(2015) per Mtonne</v>
      </c>
    </row>
    <row r="381" spans="1:13" s="7" customFormat="1" x14ac:dyDescent="0.25">
      <c r="A381" s="4" t="str">
        <v>US Lin</v>
      </c>
      <c r="B381" s="274">
        <f ca="1"/>
        <v>373.74164171643872</v>
      </c>
      <c r="C381" s="274">
        <f ca="1"/>
        <v>280.15545085725535</v>
      </c>
      <c r="D381" s="274">
        <f ca="1"/>
        <v>214.25000484833001</v>
      </c>
      <c r="E381" s="274">
        <f ca="1"/>
        <v>174.24597268990746</v>
      </c>
      <c r="F381" s="274">
        <f ca="1"/>
        <v>127.41042312695376</v>
      </c>
      <c r="G381" s="274">
        <f ca="1"/>
        <v>94.933295557945968</v>
      </c>
      <c r="H381" s="274">
        <f ca="1"/>
        <v>62.493270696183785</v>
      </c>
      <c r="I381" s="274">
        <f ca="1"/>
        <v>42.263036903034546</v>
      </c>
      <c r="J381" s="274">
        <f ca="1"/>
        <v>29.795312924915123</v>
      </c>
      <c r="K381" s="274">
        <f ca="1"/>
        <v>21.477449876261844</v>
      </c>
      <c r="M381" s="4" t="str">
        <f t="shared" si="23"/>
        <v>$M(2015) per Mtonne</v>
      </c>
    </row>
    <row r="382" spans="1:13" s="7" customFormat="1" x14ac:dyDescent="0.25">
      <c r="A382" s="4" t="str">
        <v>OT Lin</v>
      </c>
      <c r="B382" s="274">
        <f ca="1"/>
        <v>460.94802478360776</v>
      </c>
      <c r="C382" s="274">
        <f ca="1"/>
        <v>368.51083759737003</v>
      </c>
      <c r="D382" s="274">
        <f ca="1"/>
        <v>291.40634058394716</v>
      </c>
      <c r="E382" s="274">
        <f ca="1"/>
        <v>239.49544239428758</v>
      </c>
      <c r="F382" s="274">
        <f ca="1"/>
        <v>175.99318908586105</v>
      </c>
      <c r="G382" s="274">
        <f ca="1"/>
        <v>130.68288762563625</v>
      </c>
      <c r="H382" s="274">
        <f ca="1"/>
        <v>85.739607666219243</v>
      </c>
      <c r="I382" s="274">
        <f ca="1"/>
        <v>57.883967568214608</v>
      </c>
      <c r="J382" s="274">
        <f ca="1"/>
        <v>40.774063691115877</v>
      </c>
      <c r="K382" s="274">
        <f ca="1"/>
        <v>29.376905700371207</v>
      </c>
      <c r="M382" s="4" t="str">
        <f t="shared" si="23"/>
        <v>$M(2015) per Mtonne</v>
      </c>
    </row>
    <row r="383" spans="1:13" s="7" customFormat="1" x14ac:dyDescent="0.25">
      <c r="A383" s="4" t="str">
        <v>EE Lin</v>
      </c>
      <c r="B383" s="274">
        <f ca="1"/>
        <v>261.61914920150713</v>
      </c>
      <c r="C383" s="274">
        <f ca="1"/>
        <v>213.17717173742065</v>
      </c>
      <c r="D383" s="274">
        <f ca="1"/>
        <v>170.18112754920895</v>
      </c>
      <c r="E383" s="274">
        <f ca="1"/>
        <v>139.55924179364544</v>
      </c>
      <c r="F383" s="274">
        <f ca="1"/>
        <v>101.81855681600412</v>
      </c>
      <c r="G383" s="274">
        <f ca="1"/>
        <v>74.725346512893793</v>
      </c>
      <c r="H383" s="274">
        <f ca="1"/>
        <v>48.588482809996222</v>
      </c>
      <c r="I383" s="274">
        <f ca="1"/>
        <v>32.655203298562284</v>
      </c>
      <c r="J383" s="274">
        <f ca="1"/>
        <v>22.953480408201901</v>
      </c>
      <c r="K383" s="274">
        <f ca="1"/>
        <v>16.516867874108851</v>
      </c>
      <c r="M383" s="4" t="str">
        <f t="shared" si="23"/>
        <v>$M(2015) per Mtonne</v>
      </c>
    </row>
    <row r="384" spans="1:13" s="7" customFormat="1" x14ac:dyDescent="0.25">
      <c r="A384" s="4" t="str">
        <v>CA Lin</v>
      </c>
      <c r="B384" s="274">
        <f ca="1"/>
        <v>373.74164171643872</v>
      </c>
      <c r="C384" s="274">
        <f ca="1"/>
        <v>292.25937931810114</v>
      </c>
      <c r="D384" s="274">
        <f ca="1"/>
        <v>227.79391800402112</v>
      </c>
      <c r="E384" s="274">
        <f ca="1"/>
        <v>183.46627243583796</v>
      </c>
      <c r="F384" s="274">
        <f ca="1"/>
        <v>132.06020050410146</v>
      </c>
      <c r="G384" s="274">
        <f ca="1"/>
        <v>95.766606348149821</v>
      </c>
      <c r="H384" s="274">
        <f ca="1"/>
        <v>61.909885917357954</v>
      </c>
      <c r="I384" s="274">
        <f ca="1"/>
        <v>41.49121677996559</v>
      </c>
      <c r="J384" s="274">
        <f ca="1"/>
        <v>29.1260327161886</v>
      </c>
      <c r="K384" s="274">
        <f ca="1"/>
        <v>20.942562144191108</v>
      </c>
      <c r="M384" s="4" t="str">
        <f t="shared" si="23"/>
        <v>$M(2015) per Mtonne</v>
      </c>
    </row>
    <row r="385" spans="1:13" s="7" customFormat="1" x14ac:dyDescent="0.25">
      <c r="A385" s="4" t="str">
        <v>IA Lin</v>
      </c>
      <c r="B385" s="274">
        <f ca="1"/>
        <v>460.94802478360776</v>
      </c>
      <c r="C385" s="274">
        <f ca="1"/>
        <v>367.08991974089577</v>
      </c>
      <c r="D385" s="274">
        <f ca="1"/>
        <v>289.21515270862909</v>
      </c>
      <c r="E385" s="274">
        <f ca="1"/>
        <v>234.55805656779594</v>
      </c>
      <c r="F385" s="274">
        <f ca="1"/>
        <v>169.76370600819192</v>
      </c>
      <c r="G385" s="274">
        <f ca="1"/>
        <v>123.60552413218878</v>
      </c>
      <c r="H385" s="274">
        <f ca="1"/>
        <v>80.082245262769376</v>
      </c>
      <c r="I385" s="274">
        <f ca="1"/>
        <v>53.726785616733451</v>
      </c>
      <c r="J385" s="274">
        <f ca="1"/>
        <v>37.733685258283586</v>
      </c>
      <c r="K385" s="274">
        <f ca="1"/>
        <v>27.139442438520334</v>
      </c>
      <c r="M385" s="4" t="str">
        <f t="shared" si="23"/>
        <v>$M(2015) per Mtonne</v>
      </c>
    </row>
    <row r="386" spans="1:13" s="7" customFormat="1" x14ac:dyDescent="0.25">
      <c r="A386" s="4" t="str">
        <v>AF Lin</v>
      </c>
      <c r="B386" s="274">
        <f ca="1"/>
        <v>460.94802478360776</v>
      </c>
      <c r="C386" s="274">
        <f ca="1"/>
        <v>371.91263219040121</v>
      </c>
      <c r="D386" s="274">
        <f ca="1"/>
        <v>296.14743531001261</v>
      </c>
      <c r="E386" s="274">
        <f ca="1"/>
        <v>243.06086425368812</v>
      </c>
      <c r="F386" s="274">
        <f ca="1"/>
        <v>177.24787607698701</v>
      </c>
      <c r="G386" s="274">
        <f ca="1"/>
        <v>129.02031632037418</v>
      </c>
      <c r="H386" s="274">
        <f ca="1"/>
        <v>83.378411863135199</v>
      </c>
      <c r="I386" s="274">
        <f ca="1"/>
        <v>55.869890487961854</v>
      </c>
      <c r="J386" s="274">
        <f ca="1"/>
        <v>39.216570048703311</v>
      </c>
      <c r="K386" s="274">
        <f ca="1"/>
        <v>28.196735123307299</v>
      </c>
      <c r="M386" s="4" t="str">
        <f t="shared" si="23"/>
        <v>$M(2015) per Mtonne</v>
      </c>
    </row>
    <row r="387" spans="1:13" s="7" customFormat="1" ht="13" thickBot="1" x14ac:dyDescent="0.3">
      <c r="A387" s="4" t="str">
        <v>LA Lin</v>
      </c>
      <c r="B387" s="275">
        <f ca="1"/>
        <v>261.61914920150713</v>
      </c>
      <c r="C387" s="275">
        <f ca="1"/>
        <v>213.32497307365225</v>
      </c>
      <c r="D387" s="275">
        <f ca="1"/>
        <v>170.91598048123217</v>
      </c>
      <c r="E387" s="275">
        <f ca="1"/>
        <v>140.2849336907814</v>
      </c>
      <c r="F387" s="275">
        <f ca="1"/>
        <v>102.4643552615773</v>
      </c>
      <c r="G387" s="275">
        <f ca="1"/>
        <v>74.813127853895139</v>
      </c>
      <c r="H387" s="275">
        <f ca="1"/>
        <v>48.480704978746985</v>
      </c>
      <c r="I387" s="275">
        <f ca="1"/>
        <v>32.528829577306148</v>
      </c>
      <c r="J387" s="275">
        <f ca="1"/>
        <v>22.846923863005269</v>
      </c>
      <c r="K387" s="275">
        <f ca="1"/>
        <v>16.432799141712962</v>
      </c>
      <c r="M387" s="4" t="str">
        <f t="shared" si="23"/>
        <v>$M(2015) per Mtonne</v>
      </c>
    </row>
    <row r="388" spans="1:13" s="2" customFormat="1" ht="15.5" thickTop="1" x14ac:dyDescent="0.4">
      <c r="A388" s="2" t="s">
        <v>325</v>
      </c>
      <c r="B388" s="2" t="s">
        <v>326</v>
      </c>
    </row>
    <row r="389" spans="1:13" s="6" customFormat="1" x14ac:dyDescent="0.25">
      <c r="A389" s="4" t="str">
        <f t="array" ref="A389:A396">R_CODE&amp;" "&amp;'Base data'!$B$12</f>
        <v>EU CO2</v>
      </c>
      <c r="B389" s="32">
        <f t="array" aca="1" ref="B389:K396" ca="1">IF(Q0_CO2=0,0,-2*LN((1+CURVE_BELOW)/(1-CURVE_BELOW))/Q0_CO2)</f>
        <v>-4.5521873221178472E-3</v>
      </c>
      <c r="C389" s="32">
        <f ca="1"/>
        <v>-3.9580493410305076E-3</v>
      </c>
      <c r="D389" s="32">
        <f ca="1"/>
        <v>-3.6875498425287083E-3</v>
      </c>
      <c r="E389" s="32">
        <f ca="1"/>
        <v>-3.4313777166328626E-3</v>
      </c>
      <c r="F389" s="32">
        <f ca="1"/>
        <v>-3.0882826984627277E-3</v>
      </c>
      <c r="G389" s="32">
        <f ca="1"/>
        <v>-3.4216016125234007E-3</v>
      </c>
      <c r="H389" s="32">
        <f ca="1"/>
        <v>-3.8392040407411124E-3</v>
      </c>
      <c r="I389" s="32">
        <f ca="1"/>
        <v>-4.3157864017897988E-3</v>
      </c>
      <c r="J389" s="32">
        <f ca="1"/>
        <v>-4.861385608123164E-3</v>
      </c>
      <c r="K389" s="32">
        <f ca="1"/>
        <v>-5.4881597895074163E-3</v>
      </c>
      <c r="M389" s="4" t="str">
        <f t="shared" ref="M389:M396" si="24">"per "&amp;EMIT_NAME</f>
        <v>per Mtonne</v>
      </c>
    </row>
    <row r="390" spans="1:13" s="6" customFormat="1" x14ac:dyDescent="0.25">
      <c r="A390" s="4" t="str">
        <v>US CO2</v>
      </c>
      <c r="B390" s="33">
        <f ca="1"/>
        <v>-2.9904586110663899E-3</v>
      </c>
      <c r="C390" s="33">
        <f ca="1"/>
        <v>-2.6001528270597624E-3</v>
      </c>
      <c r="D390" s="33">
        <f ca="1"/>
        <v>-2.4224541742267538E-3</v>
      </c>
      <c r="E390" s="33">
        <f ca="1"/>
        <v>-2.2541675714153361E-3</v>
      </c>
      <c r="F390" s="33">
        <f ca="1"/>
        <v>-2.0287789002339579E-3</v>
      </c>
      <c r="G390" s="33">
        <f ca="1"/>
        <v>-2.2477453764026714E-3</v>
      </c>
      <c r="H390" s="33">
        <f ca="1"/>
        <v>-2.5220800399606046E-3</v>
      </c>
      <c r="I390" s="33">
        <f ca="1"/>
        <v>-2.835160263736927E-3</v>
      </c>
      <c r="J390" s="33">
        <f ca="1"/>
        <v>-3.1935795750080466E-3</v>
      </c>
      <c r="K390" s="33">
        <f ca="1"/>
        <v>-3.6053249877698867E-3</v>
      </c>
      <c r="M390" s="4" t="str">
        <f t="shared" si="24"/>
        <v>per Mtonne</v>
      </c>
    </row>
    <row r="391" spans="1:13" s="6" customFormat="1" x14ac:dyDescent="0.25">
      <c r="A391" s="4" t="str">
        <v>OT CO2</v>
      </c>
      <c r="B391" s="33">
        <f ca="1"/>
        <v>-8.2157866241363963E-3</v>
      </c>
      <c r="C391" s="33">
        <f ca="1"/>
        <v>-7.1434865335421906E-3</v>
      </c>
      <c r="D391" s="33">
        <f ca="1"/>
        <v>-6.6552891013256362E-3</v>
      </c>
      <c r="E391" s="33">
        <f ca="1"/>
        <v>-6.1929497078684025E-3</v>
      </c>
      <c r="F391" s="33">
        <f ca="1"/>
        <v>-5.5737318985760948E-3</v>
      </c>
      <c r="G391" s="33">
        <f ca="1"/>
        <v>-6.1753057974369401E-3</v>
      </c>
      <c r="H391" s="33">
        <f ca="1"/>
        <v>-6.9289945631184355E-3</v>
      </c>
      <c r="I391" s="33">
        <f ca="1"/>
        <v>-7.7891302979065883E-3</v>
      </c>
      <c r="J391" s="33">
        <f ca="1"/>
        <v>-8.773827619072111E-3</v>
      </c>
      <c r="K391" s="33">
        <f ca="1"/>
        <v>-9.9050295163998058E-3</v>
      </c>
      <c r="M391" s="4" t="str">
        <f t="shared" si="24"/>
        <v>per Mtonne</v>
      </c>
    </row>
    <row r="392" spans="1:13" s="6" customFormat="1" x14ac:dyDescent="0.25">
      <c r="A392" s="4" t="str">
        <v>EE CO2</v>
      </c>
      <c r="B392" s="33">
        <f ca="1"/>
        <v>-7.455275257653925E-3</v>
      </c>
      <c r="C392" s="33">
        <f ca="1"/>
        <v>-6.1712160877083035E-3</v>
      </c>
      <c r="D392" s="33">
        <f ca="1"/>
        <v>-5.088991843607389E-3</v>
      </c>
      <c r="E392" s="33">
        <f ca="1"/>
        <v>-4.2695485440073094E-3</v>
      </c>
      <c r="F392" s="33">
        <f ca="1"/>
        <v>-3.2947016256466423E-3</v>
      </c>
      <c r="G392" s="33">
        <f ca="1"/>
        <v>-2.6133144094080728E-3</v>
      </c>
      <c r="H392" s="33">
        <f ca="1"/>
        <v>-2.9322663408868229E-3</v>
      </c>
      <c r="I392" s="33">
        <f ca="1"/>
        <v>-3.2962653368072553E-3</v>
      </c>
      <c r="J392" s="33">
        <f ca="1"/>
        <v>-3.7129772831817095E-3</v>
      </c>
      <c r="K392" s="33">
        <f ca="1"/>
        <v>-4.1916881867718079E-3</v>
      </c>
      <c r="M392" s="4" t="str">
        <f t="shared" si="24"/>
        <v>per Mtonne</v>
      </c>
    </row>
    <row r="393" spans="1:13" s="6" customFormat="1" x14ac:dyDescent="0.25">
      <c r="A393" s="4" t="str">
        <v>CA CO2</v>
      </c>
      <c r="B393" s="33">
        <f ca="1"/>
        <v>-2.7526012232611352E-3</v>
      </c>
      <c r="C393" s="33">
        <f ca="1"/>
        <v>-2.5104312777107529E-3</v>
      </c>
      <c r="D393" s="33">
        <f ca="1"/>
        <v>-2.0932290241484084E-3</v>
      </c>
      <c r="E393" s="33">
        <f ca="1"/>
        <v>-1.7663488158492458E-3</v>
      </c>
      <c r="F393" s="33">
        <f ca="1"/>
        <v>-1.4403615706780931E-3</v>
      </c>
      <c r="G393" s="33">
        <f ca="1"/>
        <v>-1.4537527912285291E-3</v>
      </c>
      <c r="H393" s="33">
        <f ca="1"/>
        <v>-1.6311815992531968E-3</v>
      </c>
      <c r="I393" s="33">
        <f ca="1"/>
        <v>-1.8336695028972013E-3</v>
      </c>
      <c r="J393" s="33">
        <f ca="1"/>
        <v>-2.0654809347705485E-3</v>
      </c>
      <c r="K393" s="33">
        <f ca="1"/>
        <v>-2.3317815795686875E-3</v>
      </c>
      <c r="M393" s="4" t="str">
        <f t="shared" si="24"/>
        <v>per Mtonne</v>
      </c>
    </row>
    <row r="394" spans="1:13" s="6" customFormat="1" x14ac:dyDescent="0.25">
      <c r="A394" s="4" t="str">
        <v>IA CO2</v>
      </c>
      <c r="B394" s="33">
        <f ca="1"/>
        <v>-4.5255131939422322E-3</v>
      </c>
      <c r="C394" s="33">
        <f ca="1"/>
        <v>-4.1273649716341305E-3</v>
      </c>
      <c r="D394" s="33">
        <f ca="1"/>
        <v>-3.4414485784117366E-3</v>
      </c>
      <c r="E394" s="33">
        <f ca="1"/>
        <v>-2.9040293972403199E-3</v>
      </c>
      <c r="F394" s="33">
        <f ca="1"/>
        <v>-2.3680783242653815E-3</v>
      </c>
      <c r="G394" s="33">
        <f ca="1"/>
        <v>-2.3900946427832482E-3</v>
      </c>
      <c r="H394" s="33">
        <f ca="1"/>
        <v>-2.6818028658689656E-3</v>
      </c>
      <c r="I394" s="33">
        <f ca="1"/>
        <v>-3.0147103977740015E-3</v>
      </c>
      <c r="J394" s="33">
        <f ca="1"/>
        <v>-3.3958283325421171E-3</v>
      </c>
      <c r="K394" s="33">
        <f ca="1"/>
        <v>-3.8336495001726062E-3</v>
      </c>
      <c r="M394" s="4" t="str">
        <f t="shared" si="24"/>
        <v>per Mtonne</v>
      </c>
    </row>
    <row r="395" spans="1:13" s="6" customFormat="1" x14ac:dyDescent="0.25">
      <c r="A395" s="4" t="str">
        <v>AF CO2</v>
      </c>
      <c r="B395" s="33">
        <f ca="1"/>
        <v>-4.9940405147791429E-3</v>
      </c>
      <c r="C395" s="33">
        <f ca="1"/>
        <v>-4.0386524371376293E-3</v>
      </c>
      <c r="D395" s="33">
        <f ca="1"/>
        <v>-3.1355625789753348E-3</v>
      </c>
      <c r="E395" s="33">
        <f ca="1"/>
        <v>-2.4870869109955441E-3</v>
      </c>
      <c r="F395" s="33">
        <f ca="1"/>
        <v>-1.7509618121080606E-3</v>
      </c>
      <c r="G395" s="33">
        <f ca="1"/>
        <v>-1.536277704808653E-3</v>
      </c>
      <c r="H395" s="33">
        <f ca="1"/>
        <v>-1.7237785808886376E-3</v>
      </c>
      <c r="I395" s="33">
        <f ca="1"/>
        <v>-1.937761077595552E-3</v>
      </c>
      <c r="J395" s="33">
        <f ca="1"/>
        <v>-2.1827317057900746E-3</v>
      </c>
      <c r="K395" s="33">
        <f ca="1"/>
        <v>-2.4641493896273791E-3</v>
      </c>
      <c r="M395" s="4" t="str">
        <f t="shared" si="24"/>
        <v>per Mtonne</v>
      </c>
    </row>
    <row r="396" spans="1:13" s="6" customFormat="1" ht="13" thickBot="1" x14ac:dyDescent="0.3">
      <c r="A396" s="4" t="str">
        <v>LA CO2</v>
      </c>
      <c r="B396" s="34">
        <f ca="1"/>
        <v>-7.3113981354793623E-3</v>
      </c>
      <c r="C396" s="34">
        <f ca="1"/>
        <v>-6.4817197775277318E-3</v>
      </c>
      <c r="D396" s="34">
        <f ca="1"/>
        <v>-5.3658376681477524E-3</v>
      </c>
      <c r="E396" s="34">
        <f ca="1"/>
        <v>-4.3863702275848786E-3</v>
      </c>
      <c r="F396" s="34">
        <f ca="1"/>
        <v>-3.6165445086433828E-3</v>
      </c>
      <c r="G396" s="34">
        <f ca="1"/>
        <v>-5.2880059012373479E-3</v>
      </c>
      <c r="H396" s="34">
        <f ca="1"/>
        <v>-5.9334007644802692E-3</v>
      </c>
      <c r="I396" s="34">
        <f ca="1"/>
        <v>-6.669947745410779E-3</v>
      </c>
      <c r="J396" s="34">
        <f ca="1"/>
        <v>-7.5131586593410842E-3</v>
      </c>
      <c r="K396" s="34">
        <f ca="1"/>
        <v>-8.4818236137215557E-3</v>
      </c>
      <c r="M396" s="4" t="str">
        <f t="shared" si="24"/>
        <v>per Mtonne</v>
      </c>
    </row>
    <row r="397" spans="1:13" s="2" customFormat="1" ht="15.5" thickTop="1" x14ac:dyDescent="0.4">
      <c r="A397" s="2" t="s">
        <v>325</v>
      </c>
      <c r="B397" s="2" t="s">
        <v>327</v>
      </c>
    </row>
    <row r="398" spans="1:13" s="7" customFormat="1" x14ac:dyDescent="0.25">
      <c r="A398" s="4" t="str">
        <f t="array" ref="A398:A405">R_CODE&amp;" "&amp;'Base data'!$C$12</f>
        <v>EU CH4</v>
      </c>
      <c r="B398" s="29">
        <f t="array" aca="1" ref="B398:K405" ca="1">IF(Q0_CH4=0,0,-2*LN((1+CURVE_BELOW)/(1-CURVE_BELOW))/Q0_CH4)</f>
        <v>-0.9109594629865162</v>
      </c>
      <c r="C398" s="29">
        <f ca="1"/>
        <v>-0.87199304716175985</v>
      </c>
      <c r="D398" s="29">
        <f ca="1"/>
        <v>-0.83273264079816645</v>
      </c>
      <c r="E398" s="29">
        <f ca="1"/>
        <v>-0.789604854487583</v>
      </c>
      <c r="F398" s="29">
        <f ca="1"/>
        <v>-0.69622649597050201</v>
      </c>
      <c r="G398" s="29">
        <f ca="1"/>
        <v>-0.63928110297541985</v>
      </c>
      <c r="H398" s="29">
        <f ca="1"/>
        <v>-0.73041112107458961</v>
      </c>
      <c r="I398" s="29">
        <f ca="1"/>
        <v>-0.83776732891615791</v>
      </c>
      <c r="J398" s="29">
        <f ca="1"/>
        <v>-0.96514062857966987</v>
      </c>
      <c r="K398" s="29">
        <f ca="1"/>
        <v>-1.1175076350857107</v>
      </c>
      <c r="M398" s="4" t="str">
        <f t="shared" ref="M398:M405" si="25">"per "&amp;EMIT_NAME</f>
        <v>per Mtonne</v>
      </c>
    </row>
    <row r="399" spans="1:13" s="7" customFormat="1" x14ac:dyDescent="0.25">
      <c r="A399" s="4" t="str">
        <v>US CH4</v>
      </c>
      <c r="B399" s="26">
        <f ca="1"/>
        <v>-0.69161481613762266</v>
      </c>
      <c r="C399" s="26">
        <f ca="1"/>
        <v>-0.6620308976306144</v>
      </c>
      <c r="D399" s="26">
        <f ca="1"/>
        <v>-0.63222377686189701</v>
      </c>
      <c r="E399" s="26">
        <f ca="1"/>
        <v>-0.59948048013843092</v>
      </c>
      <c r="F399" s="26">
        <f ca="1"/>
        <v>-0.52858615510963447</v>
      </c>
      <c r="G399" s="26">
        <f ca="1"/>
        <v>-0.48535231309315235</v>
      </c>
      <c r="H399" s="26">
        <f ca="1"/>
        <v>-0.55453966255615306</v>
      </c>
      <c r="I399" s="26">
        <f ca="1"/>
        <v>-0.63604619162184606</v>
      </c>
      <c r="J399" s="26">
        <f ca="1"/>
        <v>-0.73275001303977683</v>
      </c>
      <c r="K399" s="26">
        <f ca="1"/>
        <v>-0.84842945155687277</v>
      </c>
      <c r="M399" s="4" t="str">
        <f t="shared" si="25"/>
        <v>per Mtonne</v>
      </c>
    </row>
    <row r="400" spans="1:13" s="7" customFormat="1" x14ac:dyDescent="0.25">
      <c r="A400" s="4" t="str">
        <v>OT CH4</v>
      </c>
      <c r="B400" s="26">
        <f ca="1"/>
        <v>-0.97972198150272882</v>
      </c>
      <c r="C400" s="26">
        <f ca="1"/>
        <v>-0.93781423952842458</v>
      </c>
      <c r="D400" s="26">
        <f ca="1"/>
        <v>-0.89559031554498025</v>
      </c>
      <c r="E400" s="26">
        <f ca="1"/>
        <v>-0.84920708777378284</v>
      </c>
      <c r="F400" s="26">
        <f ca="1"/>
        <v>-0.7487801926670562</v>
      </c>
      <c r="G400" s="26">
        <f ca="1"/>
        <v>-0.6875363552303303</v>
      </c>
      <c r="H400" s="26">
        <f ca="1"/>
        <v>-0.78554519704398595</v>
      </c>
      <c r="I400" s="26">
        <f ca="1"/>
        <v>-0.90100504015087601</v>
      </c>
      <c r="J400" s="26">
        <f ca="1"/>
        <v>-1.0379929376449757</v>
      </c>
      <c r="K400" s="26">
        <f ca="1"/>
        <v>-1.2018611574671203</v>
      </c>
      <c r="M400" s="4" t="str">
        <f t="shared" si="25"/>
        <v>per Mtonne</v>
      </c>
    </row>
    <row r="401" spans="1:13" s="7" customFormat="1" x14ac:dyDescent="0.25">
      <c r="A401" s="4" t="str">
        <v>EE CH4</v>
      </c>
      <c r="B401" s="26">
        <f ca="1"/>
        <v>-0.66463491563813282</v>
      </c>
      <c r="C401" s="26">
        <f ca="1"/>
        <v>-0.62818946883807703</v>
      </c>
      <c r="D401" s="26">
        <f ca="1"/>
        <v>-0.54105189679530696</v>
      </c>
      <c r="E401" s="26">
        <f ca="1"/>
        <v>-0.48680700027268198</v>
      </c>
      <c r="F401" s="26">
        <f ca="1"/>
        <v>-0.4521776572833035</v>
      </c>
      <c r="G401" s="26">
        <f ca="1"/>
        <v>-0.35788659160267683</v>
      </c>
      <c r="H401" s="26">
        <f ca="1"/>
        <v>-0.40890360339671389</v>
      </c>
      <c r="I401" s="26">
        <f ca="1"/>
        <v>-0.46900446846684046</v>
      </c>
      <c r="J401" s="26">
        <f ca="1"/>
        <v>-0.54031143478508858</v>
      </c>
      <c r="K401" s="26">
        <f ca="1"/>
        <v>-0.62561054401473615</v>
      </c>
      <c r="M401" s="4" t="str">
        <f t="shared" si="25"/>
        <v>per Mtonne</v>
      </c>
    </row>
    <row r="402" spans="1:13" s="7" customFormat="1" x14ac:dyDescent="0.25">
      <c r="A402" s="4" t="str">
        <v>CA CH4</v>
      </c>
      <c r="B402" s="26">
        <f ca="1"/>
        <v>-0.47204726052408158</v>
      </c>
      <c r="C402" s="26">
        <f ca="1"/>
        <v>-0.44178760961043129</v>
      </c>
      <c r="D402" s="26">
        <f ca="1"/>
        <v>-0.38508842822356909</v>
      </c>
      <c r="E402" s="26">
        <f ca="1"/>
        <v>-0.33131463303705067</v>
      </c>
      <c r="F402" s="26">
        <f ca="1"/>
        <v>-0.28092879047959951</v>
      </c>
      <c r="G402" s="26">
        <f ca="1"/>
        <v>-0.27428065868534374</v>
      </c>
      <c r="H402" s="26">
        <f ca="1"/>
        <v>-0.31337957976077013</v>
      </c>
      <c r="I402" s="26">
        <f ca="1"/>
        <v>-0.35944027397446754</v>
      </c>
      <c r="J402" s="26">
        <f ca="1"/>
        <v>-0.41408921067544346</v>
      </c>
      <c r="K402" s="26">
        <f ca="1"/>
        <v>-0.47946158397395133</v>
      </c>
      <c r="M402" s="4" t="str">
        <f t="shared" si="25"/>
        <v>per Mtonne</v>
      </c>
    </row>
    <row r="403" spans="1:13" s="7" customFormat="1" x14ac:dyDescent="0.25">
      <c r="A403" s="4" t="str">
        <v>IA CH4</v>
      </c>
      <c r="B403" s="26">
        <f ca="1"/>
        <v>-0.37505124808762652</v>
      </c>
      <c r="C403" s="26">
        <f ca="1"/>
        <v>-0.35100933366308235</v>
      </c>
      <c r="D403" s="26">
        <f ca="1"/>
        <v>-0.30596066899954805</v>
      </c>
      <c r="E403" s="26">
        <f ca="1"/>
        <v>-0.26323628378286218</v>
      </c>
      <c r="F403" s="26">
        <f ca="1"/>
        <v>-0.2232036965454352</v>
      </c>
      <c r="G403" s="26">
        <f ca="1"/>
        <v>-0.21792161922945119</v>
      </c>
      <c r="H403" s="26">
        <f ca="1"/>
        <v>-0.2489865154263653</v>
      </c>
      <c r="I403" s="26">
        <f ca="1"/>
        <v>-0.28558268343176874</v>
      </c>
      <c r="J403" s="26">
        <f ca="1"/>
        <v>-0.32900238656405101</v>
      </c>
      <c r="K403" s="26">
        <f ca="1"/>
        <v>-0.38094208041765998</v>
      </c>
      <c r="M403" s="4" t="str">
        <f t="shared" si="25"/>
        <v>per Mtonne</v>
      </c>
    </row>
    <row r="404" spans="1:13" s="7" customFormat="1" x14ac:dyDescent="0.25">
      <c r="A404" s="4" t="str">
        <v>AF CH4</v>
      </c>
      <c r="B404" s="26">
        <f ca="1"/>
        <v>-0.34625003815113492</v>
      </c>
      <c r="C404" s="26">
        <f ca="1"/>
        <v>-0.27661096456681034</v>
      </c>
      <c r="D404" s="26">
        <f ca="1"/>
        <v>-0.22613590013534307</v>
      </c>
      <c r="E404" s="26">
        <f ca="1"/>
        <v>-0.19862251761754424</v>
      </c>
      <c r="F404" s="26">
        <f ca="1"/>
        <v>-0.1868258706480084</v>
      </c>
      <c r="G404" s="26">
        <f ca="1"/>
        <v>-0.18373488140085223</v>
      </c>
      <c r="H404" s="26">
        <f ca="1"/>
        <v>-0.20992643154925733</v>
      </c>
      <c r="I404" s="26">
        <f ca="1"/>
        <v>-0.24078152803749844</v>
      </c>
      <c r="J404" s="26">
        <f ca="1"/>
        <v>-0.2773897086929033</v>
      </c>
      <c r="K404" s="26">
        <f ca="1"/>
        <v>-0.32118129542914803</v>
      </c>
      <c r="M404" s="4" t="str">
        <f t="shared" si="25"/>
        <v>per Mtonne</v>
      </c>
    </row>
    <row r="405" spans="1:13" s="7" customFormat="1" ht="13" thickBot="1" x14ac:dyDescent="0.3">
      <c r="A405" s="4" t="str">
        <v>LA CH4</v>
      </c>
      <c r="B405" s="35">
        <f ca="1"/>
        <v>-0.4332366745798476</v>
      </c>
      <c r="C405" s="35">
        <f ca="1"/>
        <v>-0.3753772025516966</v>
      </c>
      <c r="D405" s="35">
        <f ca="1"/>
        <v>-0.33791860403398993</v>
      </c>
      <c r="E405" s="35">
        <f ca="1"/>
        <v>-0.31745531042879344</v>
      </c>
      <c r="F405" s="35">
        <f ca="1"/>
        <v>-0.33483674774972672</v>
      </c>
      <c r="G405" s="35">
        <f ca="1"/>
        <v>-0.36836109670978157</v>
      </c>
      <c r="H405" s="35">
        <f ca="1"/>
        <v>-0.42087125734796188</v>
      </c>
      <c r="I405" s="35">
        <f ca="1"/>
        <v>-0.48273113444281768</v>
      </c>
      <c r="J405" s="35">
        <f ca="1"/>
        <v>-0.55612508921047343</v>
      </c>
      <c r="K405" s="35">
        <f ca="1"/>
        <v>-0.6439207042501216</v>
      </c>
      <c r="M405" s="4" t="str">
        <f t="shared" si="25"/>
        <v>per Mtonne</v>
      </c>
    </row>
    <row r="406" spans="1:13" s="2" customFormat="1" ht="15.5" thickTop="1" x14ac:dyDescent="0.4">
      <c r="A406" s="2" t="s">
        <v>325</v>
      </c>
      <c r="B406" s="2" t="s">
        <v>328</v>
      </c>
    </row>
    <row r="407" spans="1:13" s="7" customFormat="1" x14ac:dyDescent="0.25">
      <c r="A407" s="4" t="str">
        <f t="array" ref="A407:A414">R_CODE&amp;" "&amp;'Base data'!$D$12</f>
        <v>EU N2O</v>
      </c>
      <c r="B407" s="29">
        <f t="array" aca="1" ref="B407:K414" ca="1">IF(Q0_N2O=0,0,-2*LN((1+CURVE_BELOW)/(1-CURVE_BELOW))/Q0_N2O)</f>
        <v>-14.925082173610983</v>
      </c>
      <c r="C407" s="29">
        <f ca="1"/>
        <v>-14.207008661531118</v>
      </c>
      <c r="D407" s="29">
        <f ca="1"/>
        <v>-13.373733076768724</v>
      </c>
      <c r="E407" s="29">
        <f ca="1"/>
        <v>-13.200912074281913</v>
      </c>
      <c r="F407" s="29">
        <f ca="1"/>
        <v>-13.268940074040286</v>
      </c>
      <c r="G407" s="29">
        <f ca="1"/>
        <v>-13.615942967414195</v>
      </c>
      <c r="H407" s="29">
        <f ca="1"/>
        <v>-14.832717849620938</v>
      </c>
      <c r="I407" s="29">
        <f ca="1"/>
        <v>-16.160835928971061</v>
      </c>
      <c r="J407" s="29">
        <f ca="1"/>
        <v>-17.610788247964656</v>
      </c>
      <c r="K407" s="29">
        <f ca="1"/>
        <v>-19.194090747308266</v>
      </c>
      <c r="M407" s="4" t="str">
        <f t="shared" ref="M407:M414" si="26">"per "&amp;EMIT_NAME</f>
        <v>per Mtonne</v>
      </c>
    </row>
    <row r="408" spans="1:13" s="7" customFormat="1" x14ac:dyDescent="0.25">
      <c r="A408" s="4" t="str">
        <v>US N2O</v>
      </c>
      <c r="B408" s="26">
        <f ca="1"/>
        <v>-15.619838340466124</v>
      </c>
      <c r="C408" s="26">
        <f ca="1"/>
        <v>-14.868338814715466</v>
      </c>
      <c r="D408" s="26">
        <f ca="1"/>
        <v>-13.996274609262789</v>
      </c>
      <c r="E408" s="26">
        <f ca="1"/>
        <v>-13.815408863313719</v>
      </c>
      <c r="F408" s="26">
        <f ca="1"/>
        <v>-13.886603537251917</v>
      </c>
      <c r="G408" s="26">
        <f ca="1"/>
        <v>-14.249759266321055</v>
      </c>
      <c r="H408" s="26">
        <f ca="1"/>
        <v>-15.523174496852462</v>
      </c>
      <c r="I408" s="26">
        <f ca="1"/>
        <v>-16.913115902547265</v>
      </c>
      <c r="J408" s="26">
        <f ca="1"/>
        <v>-18.430562879429434</v>
      </c>
      <c r="K408" s="26">
        <f ca="1"/>
        <v>-20.08756743030084</v>
      </c>
      <c r="M408" s="4" t="str">
        <f t="shared" si="26"/>
        <v>per Mtonne</v>
      </c>
    </row>
    <row r="409" spans="1:13" s="7" customFormat="1" x14ac:dyDescent="0.25">
      <c r="A409" s="4" t="str">
        <v>OT N2O</v>
      </c>
      <c r="B409" s="26">
        <f ca="1"/>
        <v>-31.480969870704929</v>
      </c>
      <c r="C409" s="26">
        <f ca="1"/>
        <v>-29.96636175426142</v>
      </c>
      <c r="D409" s="26">
        <f ca="1"/>
        <v>-28.208761811241992</v>
      </c>
      <c r="E409" s="26">
        <f ca="1"/>
        <v>-27.844236329303147</v>
      </c>
      <c r="F409" s="26">
        <f ca="1"/>
        <v>-27.987725483054287</v>
      </c>
      <c r="G409" s="26">
        <f ca="1"/>
        <v>-28.719646922700779</v>
      </c>
      <c r="H409" s="26">
        <f ca="1"/>
        <v>-31.286148933249734</v>
      </c>
      <c r="I409" s="26">
        <f ca="1"/>
        <v>-34.087503375015203</v>
      </c>
      <c r="J409" s="26">
        <f ca="1"/>
        <v>-37.145838648297826</v>
      </c>
      <c r="K409" s="26">
        <f ca="1"/>
        <v>-40.485444936441212</v>
      </c>
      <c r="M409" s="4" t="str">
        <f t="shared" si="26"/>
        <v>per Mtonne</v>
      </c>
    </row>
    <row r="410" spans="1:13" s="7" customFormat="1" x14ac:dyDescent="0.25">
      <c r="A410" s="4" t="str">
        <v>EE N2O</v>
      </c>
      <c r="B410" s="26">
        <f ca="1"/>
        <v>-55.64703324131645</v>
      </c>
      <c r="C410" s="26">
        <f ca="1"/>
        <v>-51.161895092657922</v>
      </c>
      <c r="D410" s="26">
        <f ca="1"/>
        <v>-48.244081114330761</v>
      </c>
      <c r="E410" s="26">
        <f ca="1"/>
        <v>-47.376808025593967</v>
      </c>
      <c r="F410" s="26">
        <f ca="1"/>
        <v>-46.449991448735886</v>
      </c>
      <c r="G410" s="26">
        <f ca="1"/>
        <v>-39.300546442660924</v>
      </c>
      <c r="H410" s="26">
        <f ca="1"/>
        <v>-42.812599767419435</v>
      </c>
      <c r="I410" s="26">
        <f ca="1"/>
        <v>-46.646029914986336</v>
      </c>
      <c r="J410" s="26">
        <f ca="1"/>
        <v>-50.831117836449167</v>
      </c>
      <c r="K410" s="26">
        <f ca="1"/>
        <v>-55.401102710589072</v>
      </c>
      <c r="M410" s="4" t="str">
        <f t="shared" si="26"/>
        <v>per Mtonne</v>
      </c>
    </row>
    <row r="411" spans="1:13" s="7" customFormat="1" x14ac:dyDescent="0.25">
      <c r="A411" s="4" t="str">
        <v>CA N2O</v>
      </c>
      <c r="B411" s="26">
        <f ca="1"/>
        <v>-10.935819135654372</v>
      </c>
      <c r="C411" s="26">
        <f ca="1"/>
        <v>-9.9234443025993233</v>
      </c>
      <c r="D411" s="26">
        <f ca="1"/>
        <v>-9.0443798878529709</v>
      </c>
      <c r="E411" s="26">
        <f ca="1"/>
        <v>-8.647310106933169</v>
      </c>
      <c r="F411" s="26">
        <f ca="1"/>
        <v>-8.2245931286071734</v>
      </c>
      <c r="G411" s="26">
        <f ca="1"/>
        <v>-7.4026563876798068</v>
      </c>
      <c r="H411" s="26">
        <f ca="1"/>
        <v>-8.0641872398354444</v>
      </c>
      <c r="I411" s="26">
        <f ca="1"/>
        <v>-8.7862526749818244</v>
      </c>
      <c r="J411" s="26">
        <f ca="1"/>
        <v>-9.5745564172725057</v>
      </c>
      <c r="K411" s="26">
        <f ca="1"/>
        <v>-10.435359403040392</v>
      </c>
      <c r="M411" s="4" t="str">
        <f t="shared" si="26"/>
        <v>per Mtonne</v>
      </c>
    </row>
    <row r="412" spans="1:13" s="7" customFormat="1" x14ac:dyDescent="0.25">
      <c r="A412" s="4" t="str">
        <v>IA N2O</v>
      </c>
      <c r="B412" s="26">
        <f ca="1"/>
        <v>-26.085238523711794</v>
      </c>
      <c r="C412" s="26">
        <f ca="1"/>
        <v>-23.670418136865329</v>
      </c>
      <c r="D412" s="26">
        <f ca="1"/>
        <v>-21.57358344602773</v>
      </c>
      <c r="E412" s="26">
        <f ca="1"/>
        <v>-20.626451839572972</v>
      </c>
      <c r="F412" s="26">
        <f ca="1"/>
        <v>-19.618143904806047</v>
      </c>
      <c r="G412" s="26">
        <f ca="1"/>
        <v>-17.657576006550499</v>
      </c>
      <c r="H412" s="26">
        <f ca="1"/>
        <v>-19.235527310903482</v>
      </c>
      <c r="I412" s="26">
        <f ca="1"/>
        <v>-20.95787191736391</v>
      </c>
      <c r="J412" s="26">
        <f ca="1"/>
        <v>-22.838214934353342</v>
      </c>
      <c r="K412" s="26">
        <f ca="1"/>
        <v>-24.891490589989449</v>
      </c>
      <c r="M412" s="4" t="str">
        <f t="shared" si="26"/>
        <v>per Mtonne</v>
      </c>
    </row>
    <row r="413" spans="1:13" s="7" customFormat="1" x14ac:dyDescent="0.25">
      <c r="A413" s="4" t="str">
        <v>AF N2O</v>
      </c>
      <c r="B413" s="26">
        <f ca="1"/>
        <v>-12.606830042806346</v>
      </c>
      <c r="C413" s="26">
        <f ca="1"/>
        <v>-10.5531190135136</v>
      </c>
      <c r="D413" s="26">
        <f ca="1"/>
        <v>-9.2575607303564631</v>
      </c>
      <c r="E413" s="26">
        <f ca="1"/>
        <v>-8.4618208865414282</v>
      </c>
      <c r="F413" s="26">
        <f ca="1"/>
        <v>-6.9667598032739919</v>
      </c>
      <c r="G413" s="26">
        <f ca="1"/>
        <v>-6.2485566706997178</v>
      </c>
      <c r="H413" s="26">
        <f ca="1"/>
        <v>-6.8069525765248633</v>
      </c>
      <c r="I413" s="26">
        <f ca="1"/>
        <v>-7.4164455146240398</v>
      </c>
      <c r="J413" s="26">
        <f ca="1"/>
        <v>-8.0818499788412232</v>
      </c>
      <c r="K413" s="26">
        <f ca="1"/>
        <v>-8.8084508038950524</v>
      </c>
      <c r="M413" s="4" t="str">
        <f t="shared" si="26"/>
        <v>per Mtonne</v>
      </c>
    </row>
    <row r="414" spans="1:13" s="7" customFormat="1" ht="13" thickBot="1" x14ac:dyDescent="0.3">
      <c r="A414" s="4" t="str">
        <v>LA N2O</v>
      </c>
      <c r="B414" s="35">
        <f ca="1"/>
        <v>-12.891225367663969</v>
      </c>
      <c r="C414" s="35">
        <f ca="1"/>
        <v>-11.448995260391579</v>
      </c>
      <c r="D414" s="35">
        <f ca="1"/>
        <v>-10.320029775592905</v>
      </c>
      <c r="E414" s="35">
        <f ca="1"/>
        <v>-9.9053917416434345</v>
      </c>
      <c r="F414" s="35">
        <f ca="1"/>
        <v>-9.6664987755300285</v>
      </c>
      <c r="G414" s="35">
        <f ca="1"/>
        <v>-10.34849661084823</v>
      </c>
      <c r="H414" s="35">
        <f ca="1"/>
        <v>-11.27327947567195</v>
      </c>
      <c r="I414" s="35">
        <f ca="1"/>
        <v>-12.282686277378842</v>
      </c>
      <c r="J414" s="35">
        <f ca="1"/>
        <v>-13.384690501023616</v>
      </c>
      <c r="K414" s="35">
        <f ca="1"/>
        <v>-14.588044582897869</v>
      </c>
      <c r="M414" s="4" t="str">
        <f t="shared" si="26"/>
        <v>per Mtonne</v>
      </c>
    </row>
    <row r="415" spans="1:13" s="2" customFormat="1" ht="15.5" thickTop="1" x14ac:dyDescent="0.4">
      <c r="A415" s="2" t="s">
        <v>325</v>
      </c>
      <c r="B415" s="2" t="s">
        <v>329</v>
      </c>
    </row>
    <row r="416" spans="1:13" s="7" customFormat="1" x14ac:dyDescent="0.25">
      <c r="A416" s="4" t="str">
        <f t="array" ref="A416:A423">R_CODE&amp;" "&amp;GLIN_NAME</f>
        <v>EU Lin</v>
      </c>
      <c r="B416" s="66">
        <f t="array" aca="1" ref="B416:K423" ca="1">IF(Q0_GLIN=0,0,-2*LN((1+CURVE_BELOW)/(1-CURVE_BELOW))/Q0_GLIN)</f>
        <v>-0.16797355425290267</v>
      </c>
      <c r="C416" s="66">
        <f ca="1"/>
        <v>-0.14254185437193295</v>
      </c>
      <c r="D416" s="66">
        <f ca="1"/>
        <v>-0.142273394458206</v>
      </c>
      <c r="E416" s="66">
        <f ca="1"/>
        <v>-0.14931568512200954</v>
      </c>
      <c r="F416" s="66">
        <f ca="1"/>
        <v>-0.15958835291994836</v>
      </c>
      <c r="G416" s="66">
        <f ca="1"/>
        <v>-0.15676513220724583</v>
      </c>
      <c r="H416" s="66">
        <f ca="1"/>
        <v>-0.16863234273473451</v>
      </c>
      <c r="I416" s="66">
        <f ca="1"/>
        <v>-0.18139790791367438</v>
      </c>
      <c r="J416" s="66">
        <f ca="1"/>
        <v>-0.19512983370704332</v>
      </c>
      <c r="K416" s="66">
        <f ca="1"/>
        <v>-0.20990127416826793</v>
      </c>
      <c r="M416" s="4" t="str">
        <f t="shared" ref="M416:M423" si="27">"per "&amp;EMIT_NAME</f>
        <v>per Mtonne</v>
      </c>
    </row>
    <row r="417" spans="1:13" s="7" customFormat="1" x14ac:dyDescent="0.25">
      <c r="A417" s="4" t="str">
        <v>US Lin</v>
      </c>
      <c r="B417" s="67">
        <f ca="1"/>
        <v>-5.9562006651395188E-2</v>
      </c>
      <c r="C417" s="67">
        <f ca="1"/>
        <v>-5.0544140212813074E-2</v>
      </c>
      <c r="D417" s="67">
        <f ca="1"/>
        <v>-5.0448946589994541E-2</v>
      </c>
      <c r="E417" s="67">
        <f ca="1"/>
        <v>-5.2946083506720087E-2</v>
      </c>
      <c r="F417" s="67">
        <f ca="1"/>
        <v>-5.6588684929484434E-2</v>
      </c>
      <c r="G417" s="67">
        <f ca="1"/>
        <v>-5.5587594658957871E-2</v>
      </c>
      <c r="H417" s="67">
        <f ca="1"/>
        <v>-5.9795607494761593E-2</v>
      </c>
      <c r="I417" s="67">
        <f ca="1"/>
        <v>-6.4322169318607125E-2</v>
      </c>
      <c r="J417" s="67">
        <f ca="1"/>
        <v>-6.9191394471809914E-2</v>
      </c>
      <c r="K417" s="67">
        <f ca="1"/>
        <v>-7.4429222765170222E-2</v>
      </c>
      <c r="M417" s="4" t="str">
        <f t="shared" si="27"/>
        <v>per Mtonne</v>
      </c>
    </row>
    <row r="418" spans="1:13" s="7" customFormat="1" x14ac:dyDescent="0.25">
      <c r="A418" s="4" t="str">
        <v>OT Lin</v>
      </c>
      <c r="B418" s="67">
        <f ca="1"/>
        <v>-0.17915587650877018</v>
      </c>
      <c r="C418" s="67">
        <f ca="1"/>
        <v>-0.15203113950151964</v>
      </c>
      <c r="D418" s="67">
        <f ca="1"/>
        <v>-0.15174480769550922</v>
      </c>
      <c r="E418" s="67">
        <f ca="1"/>
        <v>-0.15925591718006341</v>
      </c>
      <c r="F418" s="67">
        <f ca="1"/>
        <v>-0.17021245621151243</v>
      </c>
      <c r="G418" s="67">
        <f ca="1"/>
        <v>-0.16720128827134725</v>
      </c>
      <c r="H418" s="67">
        <f ca="1"/>
        <v>-0.17985852180565284</v>
      </c>
      <c r="I418" s="67">
        <f ca="1"/>
        <v>-0.19347391518668136</v>
      </c>
      <c r="J418" s="67">
        <f ca="1"/>
        <v>-0.2081200016650348</v>
      </c>
      <c r="K418" s="67">
        <f ca="1"/>
        <v>-0.22387480530003662</v>
      </c>
      <c r="M418" s="4" t="str">
        <f t="shared" si="27"/>
        <v>per Mtonne</v>
      </c>
    </row>
    <row r="419" spans="1:13" s="7" customFormat="1" x14ac:dyDescent="0.25">
      <c r="A419" s="4" t="str">
        <v>EE Lin</v>
      </c>
      <c r="B419" s="67">
        <f ca="1"/>
        <v>-0.58696323468912237</v>
      </c>
      <c r="C419" s="67">
        <f ca="1"/>
        <v>-0.42099322051950216</v>
      </c>
      <c r="D419" s="67">
        <f ca="1"/>
        <v>-0.32755812048104949</v>
      </c>
      <c r="E419" s="67">
        <f ca="1"/>
        <v>-0.27449619328733577</v>
      </c>
      <c r="F419" s="67">
        <f ca="1"/>
        <v>-0.23160652317728098</v>
      </c>
      <c r="G419" s="67">
        <f ca="1"/>
        <v>-0.2092191219979328</v>
      </c>
      <c r="H419" s="67">
        <f ca="1"/>
        <v>-0.22505712967328398</v>
      </c>
      <c r="I419" s="67">
        <f ca="1"/>
        <v>-0.24209408362433438</v>
      </c>
      <c r="J419" s="67">
        <f ca="1"/>
        <v>-0.26042074477262661</v>
      </c>
      <c r="K419" s="67">
        <f ca="1"/>
        <v>-0.28013474469358168</v>
      </c>
      <c r="M419" s="4" t="str">
        <f t="shared" si="27"/>
        <v>per Mtonne</v>
      </c>
    </row>
    <row r="420" spans="1:13" s="7" customFormat="1" x14ac:dyDescent="0.25">
      <c r="A420" s="4" t="str">
        <v>CA Lin</v>
      </c>
      <c r="B420" s="67">
        <f ca="1"/>
        <v>-0.19169907429754965</v>
      </c>
      <c r="C420" s="67">
        <f ca="1"/>
        <v>-0.14838956613534335</v>
      </c>
      <c r="D420" s="67">
        <f ca="1"/>
        <v>-0.11070776011738839</v>
      </c>
      <c r="E420" s="67">
        <f ca="1"/>
        <v>-9.6721086821539959E-2</v>
      </c>
      <c r="F420" s="67">
        <f ca="1"/>
        <v>-7.7710693815469606E-2</v>
      </c>
      <c r="G420" s="67">
        <f ca="1"/>
        <v>-7.1951799150708498E-2</v>
      </c>
      <c r="H420" s="67">
        <f ca="1"/>
        <v>-7.7398591663371402E-2</v>
      </c>
      <c r="I420" s="67">
        <f ca="1"/>
        <v>-8.325770949696007E-2</v>
      </c>
      <c r="J420" s="67">
        <f ca="1"/>
        <v>-8.9560365915038548E-2</v>
      </c>
      <c r="K420" s="67">
        <f ca="1"/>
        <v>-9.6340137043146326E-2</v>
      </c>
      <c r="M420" s="4" t="str">
        <f t="shared" si="27"/>
        <v>per Mtonne</v>
      </c>
    </row>
    <row r="421" spans="1:13" s="7" customFormat="1" x14ac:dyDescent="0.25">
      <c r="A421" s="4" t="str">
        <v>IA Lin</v>
      </c>
      <c r="B421" s="67">
        <f ca="1"/>
        <v>-0.27443049569090783</v>
      </c>
      <c r="C421" s="67">
        <f ca="1"/>
        <v>-0.21242993655082851</v>
      </c>
      <c r="D421" s="67">
        <f ca="1"/>
        <v>-0.15848582262159291</v>
      </c>
      <c r="E421" s="67">
        <f ca="1"/>
        <v>-0.13846293153715991</v>
      </c>
      <c r="F421" s="67">
        <f ca="1"/>
        <v>-0.11124823790834698</v>
      </c>
      <c r="G421" s="67">
        <f ca="1"/>
        <v>-0.10300398152227266</v>
      </c>
      <c r="H421" s="67">
        <f ca="1"/>
        <v>-0.110801442071589</v>
      </c>
      <c r="I421" s="67">
        <f ca="1"/>
        <v>-0.11918917486203225</v>
      </c>
      <c r="J421" s="67">
        <f ca="1"/>
        <v>-0.12821186384120836</v>
      </c>
      <c r="K421" s="67">
        <f ca="1"/>
        <v>-0.13791757555721584</v>
      </c>
      <c r="M421" s="4" t="str">
        <f t="shared" si="27"/>
        <v>per Mtonne</v>
      </c>
    </row>
    <row r="422" spans="1:13" s="7" customFormat="1" x14ac:dyDescent="0.25">
      <c r="A422" s="4" t="str">
        <v>AF Lin</v>
      </c>
      <c r="B422" s="67">
        <f ca="1"/>
        <v>-0.4131650860720209</v>
      </c>
      <c r="C422" s="67">
        <f ca="1"/>
        <v>-0.32724307683412102</v>
      </c>
      <c r="D422" s="67">
        <f ca="1"/>
        <v>-0.27792534795286933</v>
      </c>
      <c r="E422" s="67">
        <f ca="1"/>
        <v>-0.23195457506543141</v>
      </c>
      <c r="F422" s="67">
        <f ca="1"/>
        <v>-0.16303224012647799</v>
      </c>
      <c r="G422" s="67">
        <f ca="1"/>
        <v>-0.14279832532356929</v>
      </c>
      <c r="H422" s="67">
        <f ca="1"/>
        <v>-0.15360824054979003</v>
      </c>
      <c r="I422" s="67">
        <f ca="1"/>
        <v>-0.16523647256602422</v>
      </c>
      <c r="J422" s="67">
        <f ca="1"/>
        <v>-0.17774496842317872</v>
      </c>
      <c r="K422" s="67">
        <f ca="1"/>
        <v>-0.19120036459948606</v>
      </c>
      <c r="M422" s="4" t="str">
        <f t="shared" si="27"/>
        <v>per Mtonne</v>
      </c>
    </row>
    <row r="423" spans="1:13" s="7" customFormat="1" ht="13" thickBot="1" x14ac:dyDescent="0.3">
      <c r="A423" s="4" t="str">
        <v>LA Lin</v>
      </c>
      <c r="B423" s="68">
        <f ca="1"/>
        <v>-0.54512975761872362</v>
      </c>
      <c r="C423" s="68">
        <f ca="1"/>
        <v>-0.44949602181735843</v>
      </c>
      <c r="D423" s="68">
        <f ca="1"/>
        <v>-0.34837034093522873</v>
      </c>
      <c r="E423" s="68">
        <f ca="1"/>
        <v>-0.30172336232277924</v>
      </c>
      <c r="F423" s="68">
        <f ca="1"/>
        <v>-0.21523604019825063</v>
      </c>
      <c r="G423" s="68">
        <f ca="1"/>
        <v>-0.19180411288682261</v>
      </c>
      <c r="H423" s="68">
        <f ca="1"/>
        <v>-0.20632379437222448</v>
      </c>
      <c r="I423" s="68">
        <f ca="1"/>
        <v>-0.22194262408372267</v>
      </c>
      <c r="J423" s="68">
        <f ca="1"/>
        <v>-0.23874380817319765</v>
      </c>
      <c r="K423" s="68">
        <f ca="1"/>
        <v>-0.25681685154600675</v>
      </c>
      <c r="M423" s="4" t="str">
        <f t="shared" si="27"/>
        <v>per Mtonne</v>
      </c>
    </row>
    <row r="424" spans="1:13" s="2" customFormat="1" ht="15.5" thickTop="1" x14ac:dyDescent="0.4">
      <c r="A424" s="2" t="s">
        <v>324</v>
      </c>
      <c r="B424" s="2" t="s">
        <v>330</v>
      </c>
    </row>
    <row r="425" spans="1:13" s="6" customFormat="1" x14ac:dyDescent="0.25">
      <c r="A425" s="4" t="str">
        <f t="array" ref="A425:A432">R_CODE&amp;" "&amp;'Base data'!$B$12</f>
        <v>EU CO2</v>
      </c>
      <c r="B425" s="32">
        <f t="array" aca="1" ref="B425:K432" ca="1">IF(Q0_CO2=0,0,C0_CO2/(EXP(-BLO_CO2*Q0_CO2)-1))</f>
        <v>-12.449372749847118</v>
      </c>
      <c r="C425" s="32">
        <f ca="1"/>
        <v>-12.348732567483998</v>
      </c>
      <c r="D425" s="32">
        <f ca="1"/>
        <v>-12.248905955933605</v>
      </c>
      <c r="E425" s="32">
        <f ca="1"/>
        <v>-12.149886338325238</v>
      </c>
      <c r="F425" s="32">
        <f ca="1"/>
        <v>-11.905825210674275</v>
      </c>
      <c r="G425" s="32">
        <f ca="1"/>
        <v>-11.666666666666611</v>
      </c>
      <c r="H425" s="32">
        <f ca="1"/>
        <v>-11.202665384758784</v>
      </c>
      <c r="I425" s="32">
        <f ca="1"/>
        <v>-10.757118147674849</v>
      </c>
      <c r="J425" s="32">
        <f ca="1"/>
        <v>-10.329291009661555</v>
      </c>
      <c r="K425" s="32">
        <f ca="1"/>
        <v>-9.9184792151173848</v>
      </c>
      <c r="M425" s="4" t="str">
        <f t="shared" ref="M425:M432" si="28">CURRENCY_NAME&amp;" per "&amp;EMIT_NAME</f>
        <v>$M(2015) per Mtonne</v>
      </c>
    </row>
    <row r="426" spans="1:13" s="6" customFormat="1" x14ac:dyDescent="0.25">
      <c r="A426" s="4" t="str">
        <v>US CO2</v>
      </c>
      <c r="B426" s="33">
        <f ca="1"/>
        <v>-12.449372749847118</v>
      </c>
      <c r="C426" s="33">
        <f ca="1"/>
        <v>-12.348732567483998</v>
      </c>
      <c r="D426" s="33">
        <f ca="1"/>
        <v>-12.248905955933605</v>
      </c>
      <c r="E426" s="33">
        <f ca="1"/>
        <v>-12.149886338325238</v>
      </c>
      <c r="F426" s="33">
        <f ca="1"/>
        <v>-11.905825210674275</v>
      </c>
      <c r="G426" s="33">
        <f ca="1"/>
        <v>-11.666666666666611</v>
      </c>
      <c r="H426" s="33">
        <f ca="1"/>
        <v>-11.202665384758784</v>
      </c>
      <c r="I426" s="33">
        <f ca="1"/>
        <v>-10.757118147674849</v>
      </c>
      <c r="J426" s="33">
        <f ca="1"/>
        <v>-10.329291009661555</v>
      </c>
      <c r="K426" s="33">
        <f ca="1"/>
        <v>-9.9184792151173848</v>
      </c>
      <c r="M426" s="4" t="str">
        <f t="shared" si="28"/>
        <v>$M(2015) per Mtonne</v>
      </c>
    </row>
    <row r="427" spans="1:13" s="6" customFormat="1" x14ac:dyDescent="0.25">
      <c r="A427" s="4" t="str">
        <v>OT CO2</v>
      </c>
      <c r="B427" s="33">
        <f ca="1"/>
        <v>-12.449372749847118</v>
      </c>
      <c r="C427" s="33">
        <f ca="1"/>
        <v>-12.348732567483998</v>
      </c>
      <c r="D427" s="33">
        <f ca="1"/>
        <v>-12.248905955933605</v>
      </c>
      <c r="E427" s="33">
        <f ca="1"/>
        <v>-12.149886338325238</v>
      </c>
      <c r="F427" s="33">
        <f ca="1"/>
        <v>-11.905825210674275</v>
      </c>
      <c r="G427" s="33">
        <f ca="1"/>
        <v>-11.666666666666611</v>
      </c>
      <c r="H427" s="33">
        <f ca="1"/>
        <v>-11.202665384758784</v>
      </c>
      <c r="I427" s="33">
        <f ca="1"/>
        <v>-10.757118147674849</v>
      </c>
      <c r="J427" s="33">
        <f ca="1"/>
        <v>-10.329291009661555</v>
      </c>
      <c r="K427" s="33">
        <f ca="1"/>
        <v>-9.9184792151173848</v>
      </c>
      <c r="M427" s="4" t="str">
        <f t="shared" si="28"/>
        <v>$M(2015) per Mtonne</v>
      </c>
    </row>
    <row r="428" spans="1:13" s="6" customFormat="1" x14ac:dyDescent="0.25">
      <c r="A428" s="4" t="str">
        <v>EE CO2</v>
      </c>
      <c r="B428" s="33">
        <f ca="1"/>
        <v>-12.449372749847118</v>
      </c>
      <c r="C428" s="33">
        <f ca="1"/>
        <v>-12.348732567483998</v>
      </c>
      <c r="D428" s="33">
        <f ca="1"/>
        <v>-12.248905955933605</v>
      </c>
      <c r="E428" s="33">
        <f ca="1"/>
        <v>-12.149886338325238</v>
      </c>
      <c r="F428" s="33">
        <f ca="1"/>
        <v>-11.905825210674275</v>
      </c>
      <c r="G428" s="33">
        <f ca="1"/>
        <v>-11.666666666666611</v>
      </c>
      <c r="H428" s="33">
        <f ca="1"/>
        <v>-11.202665384758784</v>
      </c>
      <c r="I428" s="33">
        <f ca="1"/>
        <v>-10.757118147674849</v>
      </c>
      <c r="J428" s="33">
        <f ca="1"/>
        <v>-10.329291009661555</v>
      </c>
      <c r="K428" s="33">
        <f ca="1"/>
        <v>-9.9184792151173848</v>
      </c>
      <c r="M428" s="4" t="str">
        <f t="shared" si="28"/>
        <v>$M(2015) per Mtonne</v>
      </c>
    </row>
    <row r="429" spans="1:13" s="6" customFormat="1" x14ac:dyDescent="0.25">
      <c r="A429" s="4" t="str">
        <v>CA CO2</v>
      </c>
      <c r="B429" s="33">
        <f ca="1"/>
        <v>-12.449372749847118</v>
      </c>
      <c r="C429" s="33">
        <f ca="1"/>
        <v>-12.348732567483998</v>
      </c>
      <c r="D429" s="33">
        <f ca="1"/>
        <v>-12.248905955933605</v>
      </c>
      <c r="E429" s="33">
        <f ca="1"/>
        <v>-12.149886338325238</v>
      </c>
      <c r="F429" s="33">
        <f ca="1"/>
        <v>-11.905825210674275</v>
      </c>
      <c r="G429" s="33">
        <f ca="1"/>
        <v>-11.666666666666611</v>
      </c>
      <c r="H429" s="33">
        <f ca="1"/>
        <v>-11.202665384758784</v>
      </c>
      <c r="I429" s="33">
        <f ca="1"/>
        <v>-10.757118147674849</v>
      </c>
      <c r="J429" s="33">
        <f ca="1"/>
        <v>-10.329291009661555</v>
      </c>
      <c r="K429" s="33">
        <f ca="1"/>
        <v>-9.9184792151173848</v>
      </c>
      <c r="M429" s="4" t="str">
        <f t="shared" si="28"/>
        <v>$M(2015) per Mtonne</v>
      </c>
    </row>
    <row r="430" spans="1:13" s="6" customFormat="1" x14ac:dyDescent="0.25">
      <c r="A430" s="4" t="str">
        <v>IA CO2</v>
      </c>
      <c r="B430" s="33">
        <f ca="1"/>
        <v>-12.449372749847118</v>
      </c>
      <c r="C430" s="33">
        <f ca="1"/>
        <v>-12.348732567483998</v>
      </c>
      <c r="D430" s="33">
        <f ca="1"/>
        <v>-12.248905955933605</v>
      </c>
      <c r="E430" s="33">
        <f ca="1"/>
        <v>-12.149886338325238</v>
      </c>
      <c r="F430" s="33">
        <f ca="1"/>
        <v>-11.905825210674275</v>
      </c>
      <c r="G430" s="33">
        <f ca="1"/>
        <v>-11.666666666666611</v>
      </c>
      <c r="H430" s="33">
        <f ca="1"/>
        <v>-11.202665384758784</v>
      </c>
      <c r="I430" s="33">
        <f ca="1"/>
        <v>-10.757118147674849</v>
      </c>
      <c r="J430" s="33">
        <f ca="1"/>
        <v>-10.329291009661555</v>
      </c>
      <c r="K430" s="33">
        <f ca="1"/>
        <v>-9.9184792151173848</v>
      </c>
      <c r="M430" s="4" t="str">
        <f t="shared" si="28"/>
        <v>$M(2015) per Mtonne</v>
      </c>
    </row>
    <row r="431" spans="1:13" s="6" customFormat="1" x14ac:dyDescent="0.25">
      <c r="A431" s="4" t="str">
        <v>AF CO2</v>
      </c>
      <c r="B431" s="33">
        <f ca="1"/>
        <v>-12.449372749847118</v>
      </c>
      <c r="C431" s="33">
        <f ca="1"/>
        <v>-12.348732567483998</v>
      </c>
      <c r="D431" s="33">
        <f ca="1"/>
        <v>-12.248905955933605</v>
      </c>
      <c r="E431" s="33">
        <f ca="1"/>
        <v>-12.149886338325238</v>
      </c>
      <c r="F431" s="33">
        <f ca="1"/>
        <v>-11.905825210674275</v>
      </c>
      <c r="G431" s="33">
        <f ca="1"/>
        <v>-11.666666666666611</v>
      </c>
      <c r="H431" s="33">
        <f ca="1"/>
        <v>-11.202665384758784</v>
      </c>
      <c r="I431" s="33">
        <f ca="1"/>
        <v>-10.757118147674849</v>
      </c>
      <c r="J431" s="33">
        <f ca="1"/>
        <v>-10.329291009661555</v>
      </c>
      <c r="K431" s="33">
        <f ca="1"/>
        <v>-9.9184792151173848</v>
      </c>
      <c r="M431" s="4" t="str">
        <f t="shared" si="28"/>
        <v>$M(2015) per Mtonne</v>
      </c>
    </row>
    <row r="432" spans="1:13" s="6" customFormat="1" ht="13" thickBot="1" x14ac:dyDescent="0.3">
      <c r="A432" s="4" t="str">
        <v>LA CO2</v>
      </c>
      <c r="B432" s="34">
        <f ca="1"/>
        <v>-12.449372749847118</v>
      </c>
      <c r="C432" s="34">
        <f ca="1"/>
        <v>-12.348732567483998</v>
      </c>
      <c r="D432" s="34">
        <f ca="1"/>
        <v>-12.248905955933605</v>
      </c>
      <c r="E432" s="34">
        <f ca="1"/>
        <v>-12.149886338325238</v>
      </c>
      <c r="F432" s="34">
        <f ca="1"/>
        <v>-11.905825210674275</v>
      </c>
      <c r="G432" s="34">
        <f ca="1"/>
        <v>-11.666666666666611</v>
      </c>
      <c r="H432" s="34">
        <f ca="1"/>
        <v>-11.202665384758784</v>
      </c>
      <c r="I432" s="34">
        <f ca="1"/>
        <v>-10.757118147674849</v>
      </c>
      <c r="J432" s="34">
        <f ca="1"/>
        <v>-10.329291009661555</v>
      </c>
      <c r="K432" s="34">
        <f ca="1"/>
        <v>-9.9184792151173848</v>
      </c>
      <c r="M432" s="4" t="str">
        <f t="shared" si="28"/>
        <v>$M(2015) per Mtonne</v>
      </c>
    </row>
    <row r="433" spans="1:13" s="2" customFormat="1" ht="15.5" thickTop="1" x14ac:dyDescent="0.4">
      <c r="A433" s="2" t="s">
        <v>324</v>
      </c>
      <c r="B433" s="2" t="s">
        <v>331</v>
      </c>
    </row>
    <row r="434" spans="1:13" s="7" customFormat="1" x14ac:dyDescent="0.25">
      <c r="A434" s="4" t="str">
        <f t="array" ref="A434:A441">R_CODE&amp;" "&amp;'Base data'!$C$12</f>
        <v>EU CH4</v>
      </c>
      <c r="B434" s="29">
        <f t="array" aca="1" ref="B434:K441" ca="1">IF(Q0_CH4=0,0,C0_CH4/(EXP(-BLO_CH4*Q0_CH4)-1))</f>
        <v>-620.39374203404805</v>
      </c>
      <c r="C434" s="29">
        <f ca="1"/>
        <v>-615.37850627961927</v>
      </c>
      <c r="D434" s="29">
        <f ca="1"/>
        <v>-610.40381347069138</v>
      </c>
      <c r="E434" s="29">
        <f ca="1"/>
        <v>-605.46933585987449</v>
      </c>
      <c r="F434" s="29">
        <f ca="1"/>
        <v>-593.30695633193466</v>
      </c>
      <c r="G434" s="29">
        <f ca="1"/>
        <v>-581.38888888888607</v>
      </c>
      <c r="H434" s="29">
        <f ca="1"/>
        <v>-558.26615834047936</v>
      </c>
      <c r="I434" s="29">
        <f ca="1"/>
        <v>-536.06305435912986</v>
      </c>
      <c r="J434" s="29">
        <f ca="1"/>
        <v>-514.74300198146739</v>
      </c>
      <c r="K434" s="29">
        <f ca="1"/>
        <v>-494.2708808866829</v>
      </c>
      <c r="M434" s="4" t="str">
        <f t="shared" ref="M434:M441" si="29">CURRENCY_NAME&amp;" per "&amp;EMIT_NAME</f>
        <v>$M(2015) per Mtonne</v>
      </c>
    </row>
    <row r="435" spans="1:13" s="7" customFormat="1" x14ac:dyDescent="0.25">
      <c r="A435" s="4" t="str">
        <v>US CH4</v>
      </c>
      <c r="B435" s="26">
        <f ca="1"/>
        <v>-620.39374203404805</v>
      </c>
      <c r="C435" s="26">
        <f ca="1"/>
        <v>-615.37850627961927</v>
      </c>
      <c r="D435" s="26">
        <f ca="1"/>
        <v>-610.40381347069138</v>
      </c>
      <c r="E435" s="26">
        <f ca="1"/>
        <v>-605.46933585987449</v>
      </c>
      <c r="F435" s="26">
        <f ca="1"/>
        <v>-593.30695633193466</v>
      </c>
      <c r="G435" s="26">
        <f ca="1"/>
        <v>-581.38888888888607</v>
      </c>
      <c r="H435" s="26">
        <f ca="1"/>
        <v>-558.26615834047936</v>
      </c>
      <c r="I435" s="26">
        <f ca="1"/>
        <v>-536.06305435912986</v>
      </c>
      <c r="J435" s="26">
        <f ca="1"/>
        <v>-514.74300198146739</v>
      </c>
      <c r="K435" s="26">
        <f ca="1"/>
        <v>-494.2708808866829</v>
      </c>
      <c r="M435" s="4" t="str">
        <f t="shared" si="29"/>
        <v>$M(2015) per Mtonne</v>
      </c>
    </row>
    <row r="436" spans="1:13" s="7" customFormat="1" x14ac:dyDescent="0.25">
      <c r="A436" s="4" t="str">
        <v>OT CH4</v>
      </c>
      <c r="B436" s="26">
        <f ca="1"/>
        <v>-620.39374203404805</v>
      </c>
      <c r="C436" s="26">
        <f ca="1"/>
        <v>-615.37850627961927</v>
      </c>
      <c r="D436" s="26">
        <f ca="1"/>
        <v>-610.40381347069138</v>
      </c>
      <c r="E436" s="26">
        <f ca="1"/>
        <v>-605.46933585987449</v>
      </c>
      <c r="F436" s="26">
        <f ca="1"/>
        <v>-593.30695633193466</v>
      </c>
      <c r="G436" s="26">
        <f ca="1"/>
        <v>-581.38888888888607</v>
      </c>
      <c r="H436" s="26">
        <f ca="1"/>
        <v>-558.26615834047936</v>
      </c>
      <c r="I436" s="26">
        <f ca="1"/>
        <v>-536.06305435912986</v>
      </c>
      <c r="J436" s="26">
        <f ca="1"/>
        <v>-514.74300198146739</v>
      </c>
      <c r="K436" s="26">
        <f ca="1"/>
        <v>-494.2708808866829</v>
      </c>
      <c r="M436" s="4" t="str">
        <f t="shared" si="29"/>
        <v>$M(2015) per Mtonne</v>
      </c>
    </row>
    <row r="437" spans="1:13" s="7" customFormat="1" x14ac:dyDescent="0.25">
      <c r="A437" s="4" t="str">
        <v>EE CH4</v>
      </c>
      <c r="B437" s="26">
        <f ca="1"/>
        <v>-620.39374203404805</v>
      </c>
      <c r="C437" s="26">
        <f ca="1"/>
        <v>-615.37850627961927</v>
      </c>
      <c r="D437" s="26">
        <f ca="1"/>
        <v>-610.40381347069138</v>
      </c>
      <c r="E437" s="26">
        <f ca="1"/>
        <v>-605.46933585987449</v>
      </c>
      <c r="F437" s="26">
        <f ca="1"/>
        <v>-593.30695633193466</v>
      </c>
      <c r="G437" s="26">
        <f ca="1"/>
        <v>-581.38888888888607</v>
      </c>
      <c r="H437" s="26">
        <f ca="1"/>
        <v>-558.26615834047936</v>
      </c>
      <c r="I437" s="26">
        <f ca="1"/>
        <v>-536.06305435912986</v>
      </c>
      <c r="J437" s="26">
        <f ca="1"/>
        <v>-514.74300198146761</v>
      </c>
      <c r="K437" s="26">
        <f ca="1"/>
        <v>-494.2708808866829</v>
      </c>
      <c r="M437" s="4" t="str">
        <f t="shared" si="29"/>
        <v>$M(2015) per Mtonne</v>
      </c>
    </row>
    <row r="438" spans="1:13" s="7" customFormat="1" x14ac:dyDescent="0.25">
      <c r="A438" s="4" t="str">
        <v>CA CH4</v>
      </c>
      <c r="B438" s="26">
        <f ca="1"/>
        <v>-620.39374203404805</v>
      </c>
      <c r="C438" s="26">
        <f ca="1"/>
        <v>-615.37850627961927</v>
      </c>
      <c r="D438" s="26">
        <f ca="1"/>
        <v>-610.40381347069138</v>
      </c>
      <c r="E438" s="26">
        <f ca="1"/>
        <v>-605.46933585987449</v>
      </c>
      <c r="F438" s="26">
        <f ca="1"/>
        <v>-593.30695633193466</v>
      </c>
      <c r="G438" s="26">
        <f ca="1"/>
        <v>-581.38888888888607</v>
      </c>
      <c r="H438" s="26">
        <f ca="1"/>
        <v>-558.26615834047936</v>
      </c>
      <c r="I438" s="26">
        <f ca="1"/>
        <v>-536.06305435912986</v>
      </c>
      <c r="J438" s="26">
        <f ca="1"/>
        <v>-514.74300198146739</v>
      </c>
      <c r="K438" s="26">
        <f ca="1"/>
        <v>-494.2708808866829</v>
      </c>
      <c r="M438" s="4" t="str">
        <f t="shared" si="29"/>
        <v>$M(2015) per Mtonne</v>
      </c>
    </row>
    <row r="439" spans="1:13" s="7" customFormat="1" x14ac:dyDescent="0.25">
      <c r="A439" s="4" t="str">
        <v>IA CH4</v>
      </c>
      <c r="B439" s="26">
        <f ca="1"/>
        <v>-620.39374203404805</v>
      </c>
      <c r="C439" s="26">
        <f ca="1"/>
        <v>-615.37850627961927</v>
      </c>
      <c r="D439" s="26">
        <f ca="1"/>
        <v>-610.40381347069138</v>
      </c>
      <c r="E439" s="26">
        <f ca="1"/>
        <v>-605.46933585987449</v>
      </c>
      <c r="F439" s="26">
        <f ca="1"/>
        <v>-593.30695633193466</v>
      </c>
      <c r="G439" s="26">
        <f ca="1"/>
        <v>-581.38888888888607</v>
      </c>
      <c r="H439" s="26">
        <f ca="1"/>
        <v>-558.26615834047936</v>
      </c>
      <c r="I439" s="26">
        <f ca="1"/>
        <v>-536.06305435912986</v>
      </c>
      <c r="J439" s="26">
        <f ca="1"/>
        <v>-514.74300198146739</v>
      </c>
      <c r="K439" s="26">
        <f ca="1"/>
        <v>-494.2708808866829</v>
      </c>
      <c r="M439" s="4" t="str">
        <f t="shared" si="29"/>
        <v>$M(2015) per Mtonne</v>
      </c>
    </row>
    <row r="440" spans="1:13" s="7" customFormat="1" x14ac:dyDescent="0.25">
      <c r="A440" s="4" t="str">
        <v>AF CH4</v>
      </c>
      <c r="B440" s="26">
        <f ca="1"/>
        <v>-620.39374203404805</v>
      </c>
      <c r="C440" s="26">
        <f ca="1"/>
        <v>-615.37850627961927</v>
      </c>
      <c r="D440" s="26">
        <f ca="1"/>
        <v>-610.40381347069138</v>
      </c>
      <c r="E440" s="26">
        <f ca="1"/>
        <v>-605.46933585987449</v>
      </c>
      <c r="F440" s="26">
        <f ca="1"/>
        <v>-593.30695633193466</v>
      </c>
      <c r="G440" s="26">
        <f ca="1"/>
        <v>-581.38888888888607</v>
      </c>
      <c r="H440" s="26">
        <f ca="1"/>
        <v>-558.26615834047936</v>
      </c>
      <c r="I440" s="26">
        <f ca="1"/>
        <v>-536.06305435912986</v>
      </c>
      <c r="J440" s="26">
        <f ca="1"/>
        <v>-514.74300198146739</v>
      </c>
      <c r="K440" s="26">
        <f ca="1"/>
        <v>-494.2708808866829</v>
      </c>
      <c r="M440" s="4" t="str">
        <f t="shared" si="29"/>
        <v>$M(2015) per Mtonne</v>
      </c>
    </row>
    <row r="441" spans="1:13" s="7" customFormat="1" ht="13" thickBot="1" x14ac:dyDescent="0.3">
      <c r="A441" s="4" t="str">
        <v>LA CH4</v>
      </c>
      <c r="B441" s="35">
        <f ca="1"/>
        <v>-620.39374203404805</v>
      </c>
      <c r="C441" s="35">
        <f ca="1"/>
        <v>-615.37850627961927</v>
      </c>
      <c r="D441" s="35">
        <f ca="1"/>
        <v>-610.40381347069138</v>
      </c>
      <c r="E441" s="35">
        <f ca="1"/>
        <v>-605.46933585987449</v>
      </c>
      <c r="F441" s="35">
        <f ca="1"/>
        <v>-593.30695633193466</v>
      </c>
      <c r="G441" s="35">
        <f ca="1"/>
        <v>-581.38888888888607</v>
      </c>
      <c r="H441" s="35">
        <f ca="1"/>
        <v>-558.26615834047936</v>
      </c>
      <c r="I441" s="35">
        <f ca="1"/>
        <v>-536.06305435912986</v>
      </c>
      <c r="J441" s="35">
        <f ca="1"/>
        <v>-514.74300198146739</v>
      </c>
      <c r="K441" s="35">
        <f ca="1"/>
        <v>-494.2708808866829</v>
      </c>
      <c r="M441" s="4" t="str">
        <f t="shared" si="29"/>
        <v>$M(2015) per Mtonne</v>
      </c>
    </row>
    <row r="442" spans="1:13" s="2" customFormat="1" ht="15.5" thickTop="1" x14ac:dyDescent="0.4">
      <c r="A442" s="2" t="s">
        <v>324</v>
      </c>
      <c r="B442" s="2" t="s">
        <v>332</v>
      </c>
    </row>
    <row r="443" spans="1:13" s="7" customFormat="1" x14ac:dyDescent="0.25">
      <c r="A443" s="4" t="str">
        <f t="array" ref="A443:A450">R_CODE&amp;" "&amp;'Base data'!$D$12</f>
        <v>EU N2O</v>
      </c>
      <c r="B443" s="29">
        <f t="array" aca="1" ref="B443:K450" ca="1">IF(Q0_N2O=0,0,C0_N2O/(EXP(-BLO_N2O*Q0_N2O)-1))</f>
        <v>-1049.8971019037738</v>
      </c>
      <c r="C443" s="29">
        <f ca="1"/>
        <v>-1041.4097798578173</v>
      </c>
      <c r="D443" s="29">
        <f ca="1"/>
        <v>-1032.9910689504009</v>
      </c>
      <c r="E443" s="29">
        <f ca="1"/>
        <v>-1024.6404145320953</v>
      </c>
      <c r="F443" s="29">
        <f ca="1"/>
        <v>-1004.0579261001972</v>
      </c>
      <c r="G443" s="29">
        <f ca="1"/>
        <v>-983.88888888888414</v>
      </c>
      <c r="H443" s="29">
        <f ca="1"/>
        <v>-944.75811411465747</v>
      </c>
      <c r="I443" s="29">
        <f ca="1"/>
        <v>-907.1836304539122</v>
      </c>
      <c r="J443" s="29">
        <f ca="1"/>
        <v>-871.10354181479113</v>
      </c>
      <c r="K443" s="29">
        <f ca="1"/>
        <v>-836.45841380823276</v>
      </c>
      <c r="M443" s="4" t="str">
        <f t="shared" ref="M443:M450" si="30">CURRENCY_NAME&amp;" per "&amp;EMIT_NAME</f>
        <v>$M(2015) per Mtonne</v>
      </c>
    </row>
    <row r="444" spans="1:13" s="7" customFormat="1" x14ac:dyDescent="0.25">
      <c r="A444" s="4" t="str">
        <v>US N2O</v>
      </c>
      <c r="B444" s="26">
        <f ca="1"/>
        <v>-1049.8971019037738</v>
      </c>
      <c r="C444" s="26">
        <f ca="1"/>
        <v>-1041.4097798578173</v>
      </c>
      <c r="D444" s="26">
        <f ca="1"/>
        <v>-1032.9910689504009</v>
      </c>
      <c r="E444" s="26">
        <f ca="1"/>
        <v>-1024.6404145320953</v>
      </c>
      <c r="F444" s="26">
        <f ca="1"/>
        <v>-1004.0579261001972</v>
      </c>
      <c r="G444" s="26">
        <f ca="1"/>
        <v>-983.88888888888414</v>
      </c>
      <c r="H444" s="26">
        <f ca="1"/>
        <v>-944.75811411465747</v>
      </c>
      <c r="I444" s="26">
        <f ca="1"/>
        <v>-907.1836304539122</v>
      </c>
      <c r="J444" s="26">
        <f ca="1"/>
        <v>-871.10354181479113</v>
      </c>
      <c r="K444" s="26">
        <f ca="1"/>
        <v>-836.45841380823276</v>
      </c>
      <c r="M444" s="4" t="str">
        <f t="shared" si="30"/>
        <v>$M(2015) per Mtonne</v>
      </c>
    </row>
    <row r="445" spans="1:13" s="7" customFormat="1" x14ac:dyDescent="0.25">
      <c r="A445" s="4" t="str">
        <v>OT N2O</v>
      </c>
      <c r="B445" s="26">
        <f ca="1"/>
        <v>-1049.8971019037738</v>
      </c>
      <c r="C445" s="26">
        <f ca="1"/>
        <v>-1041.4097798578173</v>
      </c>
      <c r="D445" s="26">
        <f ca="1"/>
        <v>-1032.9910689504009</v>
      </c>
      <c r="E445" s="26">
        <f ca="1"/>
        <v>-1024.6404145320953</v>
      </c>
      <c r="F445" s="26">
        <f ca="1"/>
        <v>-1004.0579261001972</v>
      </c>
      <c r="G445" s="26">
        <f ca="1"/>
        <v>-983.88888888888414</v>
      </c>
      <c r="H445" s="26">
        <f ca="1"/>
        <v>-944.75811411465747</v>
      </c>
      <c r="I445" s="26">
        <f ca="1"/>
        <v>-907.1836304539122</v>
      </c>
      <c r="J445" s="26">
        <f ca="1"/>
        <v>-871.10354181479113</v>
      </c>
      <c r="K445" s="26">
        <f ca="1"/>
        <v>-836.45841380823276</v>
      </c>
      <c r="M445" s="4" t="str">
        <f t="shared" si="30"/>
        <v>$M(2015) per Mtonne</v>
      </c>
    </row>
    <row r="446" spans="1:13" s="7" customFormat="1" x14ac:dyDescent="0.25">
      <c r="A446" s="4" t="str">
        <v>EE N2O</v>
      </c>
      <c r="B446" s="26">
        <f ca="1"/>
        <v>-1049.8971019037738</v>
      </c>
      <c r="C446" s="26">
        <f ca="1"/>
        <v>-1041.4097798578173</v>
      </c>
      <c r="D446" s="26">
        <f ca="1"/>
        <v>-1032.9910689504009</v>
      </c>
      <c r="E446" s="26">
        <f ca="1"/>
        <v>-1024.6404145320953</v>
      </c>
      <c r="F446" s="26">
        <f ca="1"/>
        <v>-1004.0579261001972</v>
      </c>
      <c r="G446" s="26">
        <f ca="1"/>
        <v>-983.88888888888414</v>
      </c>
      <c r="H446" s="26">
        <f ca="1"/>
        <v>-944.75811411465747</v>
      </c>
      <c r="I446" s="26">
        <f ca="1"/>
        <v>-907.1836304539122</v>
      </c>
      <c r="J446" s="26">
        <f ca="1"/>
        <v>-871.10354181479113</v>
      </c>
      <c r="K446" s="26">
        <f ca="1"/>
        <v>-836.45841380823276</v>
      </c>
      <c r="M446" s="4" t="str">
        <f t="shared" si="30"/>
        <v>$M(2015) per Mtonne</v>
      </c>
    </row>
    <row r="447" spans="1:13" s="7" customFormat="1" x14ac:dyDescent="0.25">
      <c r="A447" s="4" t="str">
        <v>CA N2O</v>
      </c>
      <c r="B447" s="26">
        <f ca="1"/>
        <v>-1049.8971019037738</v>
      </c>
      <c r="C447" s="26">
        <f ca="1"/>
        <v>-1041.4097798578173</v>
      </c>
      <c r="D447" s="26">
        <f ca="1"/>
        <v>-1032.9910689504009</v>
      </c>
      <c r="E447" s="26">
        <f ca="1"/>
        <v>-1024.6404145320953</v>
      </c>
      <c r="F447" s="26">
        <f ca="1"/>
        <v>-1004.0579261001972</v>
      </c>
      <c r="G447" s="26">
        <f ca="1"/>
        <v>-983.88888888888414</v>
      </c>
      <c r="H447" s="26">
        <f ca="1"/>
        <v>-944.75811411465747</v>
      </c>
      <c r="I447" s="26">
        <f ca="1"/>
        <v>-907.1836304539122</v>
      </c>
      <c r="J447" s="26">
        <f ca="1"/>
        <v>-871.10354181479113</v>
      </c>
      <c r="K447" s="26">
        <f ca="1"/>
        <v>-836.45841380823276</v>
      </c>
      <c r="M447" s="4" t="str">
        <f t="shared" si="30"/>
        <v>$M(2015) per Mtonne</v>
      </c>
    </row>
    <row r="448" spans="1:13" s="7" customFormat="1" x14ac:dyDescent="0.25">
      <c r="A448" s="4" t="str">
        <v>IA N2O</v>
      </c>
      <c r="B448" s="26">
        <f ca="1"/>
        <v>-1049.8971019037738</v>
      </c>
      <c r="C448" s="26">
        <f ca="1"/>
        <v>-1041.4097798578173</v>
      </c>
      <c r="D448" s="26">
        <f ca="1"/>
        <v>-1032.9910689504009</v>
      </c>
      <c r="E448" s="26">
        <f ca="1"/>
        <v>-1024.6404145320953</v>
      </c>
      <c r="F448" s="26">
        <f ca="1"/>
        <v>-1004.0579261001972</v>
      </c>
      <c r="G448" s="26">
        <f ca="1"/>
        <v>-983.88888888888414</v>
      </c>
      <c r="H448" s="26">
        <f ca="1"/>
        <v>-944.75811411465747</v>
      </c>
      <c r="I448" s="26">
        <f ca="1"/>
        <v>-907.1836304539122</v>
      </c>
      <c r="J448" s="26">
        <f ca="1"/>
        <v>-871.10354181479113</v>
      </c>
      <c r="K448" s="26">
        <f ca="1"/>
        <v>-836.45841380823276</v>
      </c>
      <c r="M448" s="4" t="str">
        <f t="shared" si="30"/>
        <v>$M(2015) per Mtonne</v>
      </c>
    </row>
    <row r="449" spans="1:13" s="7" customFormat="1" x14ac:dyDescent="0.25">
      <c r="A449" s="4" t="str">
        <v>AF N2O</v>
      </c>
      <c r="B449" s="26">
        <f ca="1"/>
        <v>-1049.8971019037738</v>
      </c>
      <c r="C449" s="26">
        <f ca="1"/>
        <v>-1041.4097798578173</v>
      </c>
      <c r="D449" s="26">
        <f ca="1"/>
        <v>-1032.9910689504009</v>
      </c>
      <c r="E449" s="26">
        <f ca="1"/>
        <v>-1024.6404145320953</v>
      </c>
      <c r="F449" s="26">
        <f ca="1"/>
        <v>-1004.0579261001972</v>
      </c>
      <c r="G449" s="26">
        <f ca="1"/>
        <v>-983.88888888888414</v>
      </c>
      <c r="H449" s="26">
        <f ca="1"/>
        <v>-944.75811411465747</v>
      </c>
      <c r="I449" s="26">
        <f ca="1"/>
        <v>-907.1836304539122</v>
      </c>
      <c r="J449" s="26">
        <f ca="1"/>
        <v>-871.10354181479113</v>
      </c>
      <c r="K449" s="26">
        <f ca="1"/>
        <v>-836.45841380823276</v>
      </c>
      <c r="M449" s="4" t="str">
        <f t="shared" si="30"/>
        <v>$M(2015) per Mtonne</v>
      </c>
    </row>
    <row r="450" spans="1:13" s="7" customFormat="1" ht="13" thickBot="1" x14ac:dyDescent="0.3">
      <c r="A450" s="4" t="str">
        <v>LA N2O</v>
      </c>
      <c r="B450" s="35">
        <f ca="1"/>
        <v>-1049.8971019037738</v>
      </c>
      <c r="C450" s="35">
        <f ca="1"/>
        <v>-1041.4097798578173</v>
      </c>
      <c r="D450" s="35">
        <f ca="1"/>
        <v>-1032.9910689504009</v>
      </c>
      <c r="E450" s="35">
        <f ca="1"/>
        <v>-1024.6404145320953</v>
      </c>
      <c r="F450" s="35">
        <f ca="1"/>
        <v>-1004.0579261001972</v>
      </c>
      <c r="G450" s="35">
        <f ca="1"/>
        <v>-983.88888888888414</v>
      </c>
      <c r="H450" s="35">
        <f ca="1"/>
        <v>-944.75811411465747</v>
      </c>
      <c r="I450" s="35">
        <f ca="1"/>
        <v>-907.1836304539122</v>
      </c>
      <c r="J450" s="35">
        <f ca="1"/>
        <v>-871.10354181479113</v>
      </c>
      <c r="K450" s="35">
        <f ca="1"/>
        <v>-836.45841380823276</v>
      </c>
      <c r="M450" s="4" t="str">
        <f t="shared" si="30"/>
        <v>$M(2015) per Mtonne</v>
      </c>
    </row>
    <row r="451" spans="1:13" s="2" customFormat="1" ht="15.5" thickTop="1" x14ac:dyDescent="0.4">
      <c r="A451" s="2" t="s">
        <v>324</v>
      </c>
      <c r="B451" s="2" t="s">
        <v>333</v>
      </c>
    </row>
    <row r="452" spans="1:13" s="7" customFormat="1" x14ac:dyDescent="0.25">
      <c r="A452" s="4" t="str">
        <f t="array" ref="A452:A459">R_CODE&amp;" "&amp;GLIN_NAME</f>
        <v>EU Lin</v>
      </c>
      <c r="B452" s="66">
        <f t="array" aca="1" ref="B452:K459" ca="1">IF(Q0_GLIN=0,0,C0_GLIN/(EXP(-BLO_GLIN*Q0_GLIN)-1))</f>
        <v>-33.405816878756433</v>
      </c>
      <c r="C452" s="66">
        <f ca="1"/>
        <v>-33.135765722748729</v>
      </c>
      <c r="D452" s="66">
        <f ca="1"/>
        <v>-32.867897648421838</v>
      </c>
      <c r="E452" s="66">
        <f ca="1"/>
        <v>-32.602195007839391</v>
      </c>
      <c r="F452" s="66">
        <f ca="1"/>
        <v>-31.947297648642635</v>
      </c>
      <c r="G452" s="66">
        <f ca="1"/>
        <v>-31.305555555555401</v>
      </c>
      <c r="H452" s="66">
        <f ca="1"/>
        <v>-30.060485449102735</v>
      </c>
      <c r="I452" s="66">
        <f ca="1"/>
        <v>-28.864933696260838</v>
      </c>
      <c r="J452" s="66">
        <f ca="1"/>
        <v>-27.716930875925168</v>
      </c>
      <c r="K452" s="66">
        <f ca="1"/>
        <v>-26.614585893898308</v>
      </c>
      <c r="M452" s="4" t="str">
        <f t="shared" ref="M452:M459" si="31">CURRENCY_NAME&amp;" per "&amp;EMIT_NAME</f>
        <v>$M(2015) per Mtonne</v>
      </c>
    </row>
    <row r="453" spans="1:13" s="7" customFormat="1" x14ac:dyDescent="0.25">
      <c r="A453" s="4" t="str">
        <v>US Lin</v>
      </c>
      <c r="B453" s="67">
        <f ca="1"/>
        <v>-33.405816878756433</v>
      </c>
      <c r="C453" s="67">
        <f ca="1"/>
        <v>-33.135765722748729</v>
      </c>
      <c r="D453" s="67">
        <f ca="1"/>
        <v>-32.867897648421838</v>
      </c>
      <c r="E453" s="67">
        <f ca="1"/>
        <v>-32.602195007839391</v>
      </c>
      <c r="F453" s="67">
        <f ca="1"/>
        <v>-31.947297648642635</v>
      </c>
      <c r="G453" s="67">
        <f ca="1"/>
        <v>-31.305555555555401</v>
      </c>
      <c r="H453" s="67">
        <f ca="1"/>
        <v>-30.060485449102735</v>
      </c>
      <c r="I453" s="67">
        <f ca="1"/>
        <v>-28.864933696260838</v>
      </c>
      <c r="J453" s="67">
        <f ca="1"/>
        <v>-27.716930875925168</v>
      </c>
      <c r="K453" s="67">
        <f ca="1"/>
        <v>-26.614585893898308</v>
      </c>
      <c r="M453" s="4" t="str">
        <f t="shared" si="31"/>
        <v>$M(2015) per Mtonne</v>
      </c>
    </row>
    <row r="454" spans="1:13" s="7" customFormat="1" x14ac:dyDescent="0.25">
      <c r="A454" s="4" t="str">
        <v>OT Lin</v>
      </c>
      <c r="B454" s="67">
        <f ca="1"/>
        <v>-33.405816878756433</v>
      </c>
      <c r="C454" s="67">
        <f ca="1"/>
        <v>-33.135765722748729</v>
      </c>
      <c r="D454" s="67">
        <f ca="1"/>
        <v>-32.867897648421838</v>
      </c>
      <c r="E454" s="67">
        <f ca="1"/>
        <v>-32.602195007839391</v>
      </c>
      <c r="F454" s="67">
        <f ca="1"/>
        <v>-31.947297648642635</v>
      </c>
      <c r="G454" s="67">
        <f ca="1"/>
        <v>-31.305555555555401</v>
      </c>
      <c r="H454" s="67">
        <f ca="1"/>
        <v>-30.060485449102735</v>
      </c>
      <c r="I454" s="67">
        <f ca="1"/>
        <v>-28.864933696260838</v>
      </c>
      <c r="J454" s="67">
        <f ca="1"/>
        <v>-27.716930875925168</v>
      </c>
      <c r="K454" s="67">
        <f ca="1"/>
        <v>-26.614585893898308</v>
      </c>
      <c r="M454" s="4" t="str">
        <f t="shared" si="31"/>
        <v>$M(2015) per Mtonne</v>
      </c>
    </row>
    <row r="455" spans="1:13" s="7" customFormat="1" x14ac:dyDescent="0.25">
      <c r="A455" s="4" t="str">
        <v>EE Lin</v>
      </c>
      <c r="B455" s="67">
        <f ca="1"/>
        <v>-33.405816878756433</v>
      </c>
      <c r="C455" s="67">
        <f ca="1"/>
        <v>-33.135765722748729</v>
      </c>
      <c r="D455" s="67">
        <f ca="1"/>
        <v>-32.867897648421838</v>
      </c>
      <c r="E455" s="67">
        <f ca="1"/>
        <v>-32.602195007839391</v>
      </c>
      <c r="F455" s="67">
        <f ca="1"/>
        <v>-31.947297648642635</v>
      </c>
      <c r="G455" s="67">
        <f ca="1"/>
        <v>-31.305555555555401</v>
      </c>
      <c r="H455" s="67">
        <f ca="1"/>
        <v>-30.060485449102735</v>
      </c>
      <c r="I455" s="67">
        <f ca="1"/>
        <v>-28.864933696260838</v>
      </c>
      <c r="J455" s="67">
        <f ca="1"/>
        <v>-27.716930875925168</v>
      </c>
      <c r="K455" s="67">
        <f ca="1"/>
        <v>-26.614585893898308</v>
      </c>
      <c r="M455" s="4" t="str">
        <f t="shared" si="31"/>
        <v>$M(2015) per Mtonne</v>
      </c>
    </row>
    <row r="456" spans="1:13" s="7" customFormat="1" x14ac:dyDescent="0.25">
      <c r="A456" s="4" t="str">
        <v>CA Lin</v>
      </c>
      <c r="B456" s="67">
        <f ca="1"/>
        <v>-33.405816878756433</v>
      </c>
      <c r="C456" s="67">
        <f ca="1"/>
        <v>-33.135765722748729</v>
      </c>
      <c r="D456" s="67">
        <f ca="1"/>
        <v>-32.867897648421838</v>
      </c>
      <c r="E456" s="67">
        <f ca="1"/>
        <v>-32.602195007839391</v>
      </c>
      <c r="F456" s="67">
        <f ca="1"/>
        <v>-31.947297648642635</v>
      </c>
      <c r="G456" s="67">
        <f ca="1"/>
        <v>-31.305555555555401</v>
      </c>
      <c r="H456" s="67">
        <f ca="1"/>
        <v>-30.060485449102735</v>
      </c>
      <c r="I456" s="67">
        <f ca="1"/>
        <v>-28.864933696260838</v>
      </c>
      <c r="J456" s="67">
        <f ca="1"/>
        <v>-27.716930875925168</v>
      </c>
      <c r="K456" s="67">
        <f ca="1"/>
        <v>-26.614585893898308</v>
      </c>
      <c r="M456" s="4" t="str">
        <f t="shared" si="31"/>
        <v>$M(2015) per Mtonne</v>
      </c>
    </row>
    <row r="457" spans="1:13" s="7" customFormat="1" x14ac:dyDescent="0.25">
      <c r="A457" s="4" t="str">
        <v>IA Lin</v>
      </c>
      <c r="B457" s="67">
        <f ca="1"/>
        <v>-33.405816878756433</v>
      </c>
      <c r="C457" s="67">
        <f ca="1"/>
        <v>-33.135765722748729</v>
      </c>
      <c r="D457" s="67">
        <f ca="1"/>
        <v>-32.867897648421838</v>
      </c>
      <c r="E457" s="67">
        <f ca="1"/>
        <v>-32.602195007839391</v>
      </c>
      <c r="F457" s="67">
        <f ca="1"/>
        <v>-31.947297648642635</v>
      </c>
      <c r="G457" s="67">
        <f ca="1"/>
        <v>-31.305555555555401</v>
      </c>
      <c r="H457" s="67">
        <f ca="1"/>
        <v>-30.060485449102735</v>
      </c>
      <c r="I457" s="67">
        <f ca="1"/>
        <v>-28.864933696260838</v>
      </c>
      <c r="J457" s="67">
        <f ca="1"/>
        <v>-27.716930875925168</v>
      </c>
      <c r="K457" s="67">
        <f ca="1"/>
        <v>-26.614585893898308</v>
      </c>
      <c r="M457" s="4" t="str">
        <f t="shared" si="31"/>
        <v>$M(2015) per Mtonne</v>
      </c>
    </row>
    <row r="458" spans="1:13" s="7" customFormat="1" x14ac:dyDescent="0.25">
      <c r="A458" s="4" t="str">
        <v>AF Lin</v>
      </c>
      <c r="B458" s="67">
        <f ca="1"/>
        <v>-33.405816878756433</v>
      </c>
      <c r="C458" s="67">
        <f ca="1"/>
        <v>-33.135765722748729</v>
      </c>
      <c r="D458" s="67">
        <f ca="1"/>
        <v>-32.867897648421838</v>
      </c>
      <c r="E458" s="67">
        <f ca="1"/>
        <v>-32.602195007839391</v>
      </c>
      <c r="F458" s="67">
        <f ca="1"/>
        <v>-31.947297648642635</v>
      </c>
      <c r="G458" s="67">
        <f ca="1"/>
        <v>-31.305555555555401</v>
      </c>
      <c r="H458" s="67">
        <f ca="1"/>
        <v>-30.060485449102735</v>
      </c>
      <c r="I458" s="67">
        <f ca="1"/>
        <v>-28.864933696260838</v>
      </c>
      <c r="J458" s="67">
        <f ca="1"/>
        <v>-27.716930875925168</v>
      </c>
      <c r="K458" s="67">
        <f ca="1"/>
        <v>-26.614585893898308</v>
      </c>
      <c r="M458" s="4" t="str">
        <f t="shared" si="31"/>
        <v>$M(2015) per Mtonne</v>
      </c>
    </row>
    <row r="459" spans="1:13" s="7" customFormat="1" ht="13" thickBot="1" x14ac:dyDescent="0.3">
      <c r="A459" s="4" t="str">
        <v>LA Lin</v>
      </c>
      <c r="B459" s="68">
        <f ca="1"/>
        <v>-33.405816878756433</v>
      </c>
      <c r="C459" s="68">
        <f ca="1"/>
        <v>-33.135765722748729</v>
      </c>
      <c r="D459" s="68">
        <f ca="1"/>
        <v>-32.867897648421838</v>
      </c>
      <c r="E459" s="68">
        <f ca="1"/>
        <v>-32.602195007839391</v>
      </c>
      <c r="F459" s="68">
        <f ca="1"/>
        <v>-31.947297648642635</v>
      </c>
      <c r="G459" s="68">
        <f ca="1"/>
        <v>-31.305555555555401</v>
      </c>
      <c r="H459" s="68">
        <f ca="1"/>
        <v>-30.060485449102735</v>
      </c>
      <c r="I459" s="68">
        <f ca="1"/>
        <v>-28.864933696260838</v>
      </c>
      <c r="J459" s="68">
        <f ca="1"/>
        <v>-27.716930875925168</v>
      </c>
      <c r="K459" s="68">
        <f ca="1"/>
        <v>-26.614585893898308</v>
      </c>
      <c r="M459" s="4" t="str">
        <f t="shared" si="31"/>
        <v>$M(2015) per Mtonne</v>
      </c>
    </row>
    <row r="460" spans="1:13" s="2" customFormat="1" ht="15.5" thickTop="1" x14ac:dyDescent="0.4">
      <c r="A460" s="2" t="s">
        <v>334</v>
      </c>
      <c r="B460" s="2" t="s">
        <v>335</v>
      </c>
    </row>
    <row r="461" spans="1:13" s="6" customFormat="1" x14ac:dyDescent="0.25">
      <c r="A461" s="4" t="str">
        <f t="array" ref="A461:A468">R_CODE&amp;" "&amp;'Base data'!$B$12</f>
        <v>EU CO2</v>
      </c>
      <c r="B461" s="37">
        <f t="array" aca="1" ref="B461:K468" ca="1">2*LN((1+CURVE_ABOVE)/(1-CURVE_ABOVE))/(QMAX_CO2-Q0_CO2)</f>
        <v>5.7712828447817398E-4</v>
      </c>
      <c r="C461" s="37">
        <f ca="1"/>
        <v>4.8815427049388296E-4</v>
      </c>
      <c r="D461" s="37">
        <f ca="1"/>
        <v>4.4242274218212331E-4</v>
      </c>
      <c r="E461" s="37">
        <f ca="1"/>
        <v>4.0049004534583075E-4</v>
      </c>
      <c r="F461" s="37">
        <f ca="1"/>
        <v>3.3643361701415713E-4</v>
      </c>
      <c r="G461" s="37">
        <f ca="1"/>
        <v>3.4791320735399106E-4</v>
      </c>
      <c r="H461" s="37">
        <f ca="1"/>
        <v>3.4009554444987755E-4</v>
      </c>
      <c r="I461" s="37">
        <f ca="1"/>
        <v>3.3307187760129296E-4</v>
      </c>
      <c r="J461" s="37">
        <f ca="1"/>
        <v>3.2685592998042993E-4</v>
      </c>
      <c r="K461" s="37">
        <f ca="1"/>
        <v>3.2147064364141542E-4</v>
      </c>
      <c r="M461" s="4" t="str">
        <f t="shared" ref="M461:M468" si="32">"per "&amp;EMIT_NAME</f>
        <v>per Mtonne</v>
      </c>
    </row>
    <row r="462" spans="1:13" s="6" customFormat="1" x14ac:dyDescent="0.25">
      <c r="A462" s="4" t="str">
        <v>US CO2</v>
      </c>
      <c r="B462" s="38">
        <f ca="1"/>
        <v>4.1072594404393945E-4</v>
      </c>
      <c r="C462" s="38">
        <f ca="1"/>
        <v>3.4740564442958474E-4</v>
      </c>
      <c r="D462" s="38">
        <f ca="1"/>
        <v>3.1485980385377078E-4</v>
      </c>
      <c r="E462" s="38">
        <f ca="1"/>
        <v>2.8501748463705264E-4</v>
      </c>
      <c r="F462" s="38">
        <f ca="1"/>
        <v>2.3943032887601041E-4</v>
      </c>
      <c r="G462" s="38">
        <f ca="1"/>
        <v>2.4760002997431849E-4</v>
      </c>
      <c r="H462" s="38">
        <f ca="1"/>
        <v>2.4203641948620564E-4</v>
      </c>
      <c r="I462" s="38">
        <f ca="1"/>
        <v>2.3703787362626156E-4</v>
      </c>
      <c r="J462" s="38">
        <f ca="1"/>
        <v>2.326141587895938E-4</v>
      </c>
      <c r="K462" s="38">
        <f ca="1"/>
        <v>2.2878160218991418E-4</v>
      </c>
      <c r="M462" s="4" t="str">
        <f t="shared" si="32"/>
        <v>per Mtonne</v>
      </c>
    </row>
    <row r="463" spans="1:13" s="6" customFormat="1" x14ac:dyDescent="0.25">
      <c r="A463" s="4" t="str">
        <v>OT CO2</v>
      </c>
      <c r="B463" s="38">
        <f ca="1"/>
        <v>1.0416009940954309E-3</v>
      </c>
      <c r="C463" s="38">
        <f ca="1"/>
        <v>8.8102071427342723E-4</v>
      </c>
      <c r="D463" s="38">
        <f ca="1"/>
        <v>7.9848446257316306E-4</v>
      </c>
      <c r="E463" s="38">
        <f ca="1"/>
        <v>7.2280434103956569E-4</v>
      </c>
      <c r="F463" s="38">
        <f ca="1"/>
        <v>6.071953140295626E-4</v>
      </c>
      <c r="G463" s="38">
        <f ca="1"/>
        <v>6.2791367601487181E-4</v>
      </c>
      <c r="H463" s="38">
        <f ca="1"/>
        <v>6.1380435981701767E-4</v>
      </c>
      <c r="I463" s="38">
        <f ca="1"/>
        <v>6.0112804751619956E-4</v>
      </c>
      <c r="J463" s="38">
        <f ca="1"/>
        <v>5.8990950669041012E-4</v>
      </c>
      <c r="K463" s="38">
        <f ca="1"/>
        <v>5.8019014315362249E-4</v>
      </c>
      <c r="M463" s="4" t="str">
        <f t="shared" si="32"/>
        <v>per Mtonne</v>
      </c>
    </row>
    <row r="464" spans="1:13" s="6" customFormat="1" x14ac:dyDescent="0.25">
      <c r="A464" s="4" t="str">
        <v>EE CO2</v>
      </c>
      <c r="B464" s="38">
        <f ca="1"/>
        <v>6.6162812307830161E-4</v>
      </c>
      <c r="C464" s="38">
        <f ca="1"/>
        <v>5.3277603674332257E-4</v>
      </c>
      <c r="D464" s="38">
        <f ca="1"/>
        <v>4.273949033304759E-4</v>
      </c>
      <c r="E464" s="38">
        <f ca="1"/>
        <v>3.4882145943744406E-4</v>
      </c>
      <c r="F464" s="38">
        <f ca="1"/>
        <v>2.5124444398025401E-4</v>
      </c>
      <c r="G464" s="38">
        <f ca="1"/>
        <v>1.860078088201865E-4</v>
      </c>
      <c r="H464" s="38">
        <f ca="1"/>
        <v>1.8182818494804801E-4</v>
      </c>
      <c r="I464" s="38">
        <f ca="1"/>
        <v>1.780730619668761E-4</v>
      </c>
      <c r="J464" s="38">
        <f ca="1"/>
        <v>1.747497768133999E-4</v>
      </c>
      <c r="K464" s="38">
        <f ca="1"/>
        <v>1.7187059519391585E-4</v>
      </c>
      <c r="M464" s="4" t="str">
        <f t="shared" si="32"/>
        <v>per Mtonne</v>
      </c>
    </row>
    <row r="465" spans="1:13" s="6" customFormat="1" x14ac:dyDescent="0.25">
      <c r="A465" s="4" t="str">
        <v>CA CO2</v>
      </c>
      <c r="B465" s="38">
        <f ca="1"/>
        <v>2.4428318445513821E-4</v>
      </c>
      <c r="C465" s="38">
        <f ca="1"/>
        <v>2.1673161458714917E-4</v>
      </c>
      <c r="D465" s="38">
        <f ca="1"/>
        <v>1.7579816276346849E-4</v>
      </c>
      <c r="E465" s="38">
        <f ca="1"/>
        <v>1.4431042661054708E-4</v>
      </c>
      <c r="F465" s="38">
        <f ca="1"/>
        <v>1.0983781934563406E-4</v>
      </c>
      <c r="G465" s="38">
        <f ca="1"/>
        <v>1.0347372298149827E-4</v>
      </c>
      <c r="H465" s="38">
        <f ca="1"/>
        <v>1.0114865262313178E-4</v>
      </c>
      <c r="I465" s="38">
        <f ca="1"/>
        <v>9.9059726585134874E-5</v>
      </c>
      <c r="J465" s="38">
        <f ca="1"/>
        <v>9.7211026309912895E-5</v>
      </c>
      <c r="K465" s="38">
        <f ca="1"/>
        <v>9.5609375050228842E-5</v>
      </c>
      <c r="M465" s="4" t="str">
        <f t="shared" si="32"/>
        <v>per Mtonne</v>
      </c>
    </row>
    <row r="466" spans="1:13" s="6" customFormat="1" x14ac:dyDescent="0.25">
      <c r="A466" s="4" t="str">
        <v>IA CO2</v>
      </c>
      <c r="B466" s="38">
        <f ca="1"/>
        <v>4.0162256885151214E-4</v>
      </c>
      <c r="C466" s="38">
        <f ca="1"/>
        <v>3.5632541796102267E-4</v>
      </c>
      <c r="D466" s="38">
        <f ca="1"/>
        <v>2.8902730200574541E-4</v>
      </c>
      <c r="E466" s="38">
        <f ca="1"/>
        <v>2.3725875514787797E-4</v>
      </c>
      <c r="F466" s="38">
        <f ca="1"/>
        <v>1.8058282341878982E-4</v>
      </c>
      <c r="G466" s="38">
        <f ca="1"/>
        <v>1.7011970154700093E-4</v>
      </c>
      <c r="H466" s="38">
        <f ca="1"/>
        <v>1.6629708587179409E-4</v>
      </c>
      <c r="I466" s="38">
        <f ca="1"/>
        <v>1.6286271177276481E-4</v>
      </c>
      <c r="J466" s="38">
        <f ca="1"/>
        <v>1.5982328949231919E-4</v>
      </c>
      <c r="K466" s="38">
        <f ca="1"/>
        <v>1.5719003704494616E-4</v>
      </c>
      <c r="M466" s="4" t="str">
        <f t="shared" si="32"/>
        <v>per Mtonne</v>
      </c>
    </row>
    <row r="467" spans="1:13" s="6" customFormat="1" x14ac:dyDescent="0.25">
      <c r="A467" s="4" t="str">
        <v>AF CO2</v>
      </c>
      <c r="B467" s="38">
        <f ca="1"/>
        <v>4.4320263681452675E-4</v>
      </c>
      <c r="C467" s="38">
        <f ca="1"/>
        <v>3.4866664992134241E-4</v>
      </c>
      <c r="D467" s="38">
        <f ca="1"/>
        <v>2.6333771138015014E-4</v>
      </c>
      <c r="E467" s="38">
        <f ca="1"/>
        <v>2.0319461814268693E-4</v>
      </c>
      <c r="F467" s="38">
        <f ca="1"/>
        <v>1.3352329797919281E-4</v>
      </c>
      <c r="G467" s="38">
        <f ca="1"/>
        <v>1.0934759651652045E-4</v>
      </c>
      <c r="H467" s="38">
        <f ca="1"/>
        <v>1.0689053932273763E-4</v>
      </c>
      <c r="I467" s="38">
        <f ca="1"/>
        <v>1.0468303160991873E-4</v>
      </c>
      <c r="J467" s="38">
        <f ca="1"/>
        <v>1.0272938651094905E-4</v>
      </c>
      <c r="K467" s="38">
        <f ca="1"/>
        <v>1.0103681461290858E-4</v>
      </c>
      <c r="M467" s="4" t="str">
        <f t="shared" si="32"/>
        <v>per Mtonne</v>
      </c>
    </row>
    <row r="468" spans="1:13" s="6" customFormat="1" ht="13" thickBot="1" x14ac:dyDescent="0.3">
      <c r="A468" s="4" t="str">
        <v>LA CO2</v>
      </c>
      <c r="B468" s="39">
        <f ca="1"/>
        <v>6.4885956028103468E-4</v>
      </c>
      <c r="C468" s="39">
        <f ca="1"/>
        <v>5.5958257258731457E-4</v>
      </c>
      <c r="D468" s="39">
        <f ca="1"/>
        <v>4.5064557813073264E-4</v>
      </c>
      <c r="E468" s="39">
        <f ca="1"/>
        <v>3.5836577301988663E-4</v>
      </c>
      <c r="F468" s="39">
        <f ca="1"/>
        <v>2.7578725403567064E-4</v>
      </c>
      <c r="G468" s="39">
        <f ca="1"/>
        <v>3.7638425257072937E-4</v>
      </c>
      <c r="H468" s="39">
        <f ca="1"/>
        <v>3.6792684093236961E-4</v>
      </c>
      <c r="I468" s="39">
        <f ca="1"/>
        <v>3.603284010306027E-4</v>
      </c>
      <c r="J468" s="39">
        <f ca="1"/>
        <v>3.5360377905637298E-4</v>
      </c>
      <c r="K468" s="39">
        <f ca="1"/>
        <v>3.4777779449831345E-4</v>
      </c>
      <c r="M468" s="4" t="str">
        <f t="shared" si="32"/>
        <v>per Mtonne</v>
      </c>
    </row>
    <row r="469" spans="1:13" s="2" customFormat="1" ht="15.5" thickTop="1" x14ac:dyDescent="0.4">
      <c r="A469" s="2" t="s">
        <v>334</v>
      </c>
      <c r="B469" s="2" t="s">
        <v>336</v>
      </c>
    </row>
    <row r="470" spans="1:13" s="7" customFormat="1" x14ac:dyDescent="0.25">
      <c r="A470" s="4" t="str">
        <f t="array" ref="A470:A477">R_CODE&amp;" "&amp;'Base data'!$C$12</f>
        <v>EU CH4</v>
      </c>
      <c r="B470" s="29">
        <f t="array" aca="1" ref="B470:K477" ca="1">2*LN((1+CURVE_ABOVE)/(1-CURVE_ABOVE))/(QMAX_CH4-Q0_CH4)</f>
        <v>0.1341195516000088</v>
      </c>
      <c r="C470" s="29">
        <f ca="1"/>
        <v>0.12489059026328368</v>
      </c>
      <c r="D470" s="29">
        <f ca="1"/>
        <v>0.11602349379148888</v>
      </c>
      <c r="E470" s="29">
        <f ca="1"/>
        <v>0.10702218555107719</v>
      </c>
      <c r="F470" s="29">
        <f ca="1"/>
        <v>8.8079266700902714E-2</v>
      </c>
      <c r="G470" s="29">
        <f ca="1"/>
        <v>7.5487344425289857E-2</v>
      </c>
      <c r="H470" s="29">
        <f ca="1"/>
        <v>7.5139436240065152E-2</v>
      </c>
      <c r="I470" s="29">
        <f ca="1"/>
        <v>7.5083109409966417E-2</v>
      </c>
      <c r="J470" s="29">
        <f ca="1"/>
        <v>7.5357711760272589E-2</v>
      </c>
      <c r="K470" s="29">
        <f ca="1"/>
        <v>7.6016151427290166E-2</v>
      </c>
      <c r="M470" s="4" t="str">
        <f t="shared" ref="M470:M477" si="33">"per "&amp;EMIT_NAME</f>
        <v>per Mtonne</v>
      </c>
    </row>
    <row r="471" spans="1:13" s="7" customFormat="1" x14ac:dyDescent="0.25">
      <c r="A471" s="4" t="str">
        <v>US CH4</v>
      </c>
      <c r="B471" s="26">
        <f ca="1"/>
        <v>0.11031115600820786</v>
      </c>
      <c r="C471" s="26">
        <f ca="1"/>
        <v>0.10272048498624227</v>
      </c>
      <c r="D471" s="26">
        <f ca="1"/>
        <v>9.5427441946871402E-2</v>
      </c>
      <c r="E471" s="26">
        <f ca="1"/>
        <v>8.8024011904491536E-2</v>
      </c>
      <c r="F471" s="26">
        <f ca="1"/>
        <v>7.2443768370988107E-2</v>
      </c>
      <c r="G471" s="26">
        <f ca="1"/>
        <v>6.2087116518088029E-2</v>
      </c>
      <c r="H471" s="26">
        <f ca="1"/>
        <v>6.1800967678198454E-2</v>
      </c>
      <c r="I471" s="26">
        <f ca="1"/>
        <v>6.1754639773964178E-2</v>
      </c>
      <c r="J471" s="26">
        <f ca="1"/>
        <v>6.1980495753524753E-2</v>
      </c>
      <c r="K471" s="26">
        <f ca="1"/>
        <v>6.2522051700915515E-2</v>
      </c>
      <c r="M471" s="4" t="str">
        <f t="shared" si="33"/>
        <v>per Mtonne</v>
      </c>
    </row>
    <row r="472" spans="1:13" s="7" customFormat="1" x14ac:dyDescent="0.25">
      <c r="A472" s="4" t="str">
        <v>OT CH4</v>
      </c>
      <c r="B472" s="26">
        <f ca="1"/>
        <v>0.14424338095246622</v>
      </c>
      <c r="C472" s="26">
        <f ca="1"/>
        <v>0.13431778419936211</v>
      </c>
      <c r="D472" s="26">
        <f ca="1"/>
        <v>0.1247813671813732</v>
      </c>
      <c r="E472" s="26">
        <f ca="1"/>
        <v>0.11510060760454062</v>
      </c>
      <c r="F472" s="26">
        <f ca="1"/>
        <v>9.4727808654195847E-2</v>
      </c>
      <c r="G472" s="26">
        <f ca="1"/>
        <v>8.1185402494489065E-2</v>
      </c>
      <c r="H472" s="26">
        <f ca="1"/>
        <v>8.0811232939795724E-2</v>
      </c>
      <c r="I472" s="26">
        <f ca="1"/>
        <v>8.0750654356622334E-2</v>
      </c>
      <c r="J472" s="26">
        <f ca="1"/>
        <v>8.1045984686563988E-2</v>
      </c>
      <c r="K472" s="26">
        <f ca="1"/>
        <v>8.17541257636165E-2</v>
      </c>
      <c r="M472" s="4" t="str">
        <f t="shared" si="33"/>
        <v>per Mtonne</v>
      </c>
    </row>
    <row r="473" spans="1:13" s="7" customFormat="1" x14ac:dyDescent="0.25">
      <c r="A473" s="4" t="str">
        <v>EE CH4</v>
      </c>
      <c r="B473" s="26">
        <f ca="1"/>
        <v>6.8497423145041578E-2</v>
      </c>
      <c r="C473" s="26">
        <f ca="1"/>
        <v>6.2980396083443274E-2</v>
      </c>
      <c r="D473" s="26">
        <f ca="1"/>
        <v>5.2768811764090595E-2</v>
      </c>
      <c r="E473" s="26">
        <f ca="1"/>
        <v>4.6186904969308155E-2</v>
      </c>
      <c r="F473" s="26">
        <f ca="1"/>
        <v>4.0043338901616626E-2</v>
      </c>
      <c r="G473" s="26">
        <f ca="1"/>
        <v>2.9581878450394526E-2</v>
      </c>
      <c r="H473" s="26">
        <f ca="1"/>
        <v>2.9445540661251601E-2</v>
      </c>
      <c r="I473" s="26">
        <f ca="1"/>
        <v>2.942346737924437E-2</v>
      </c>
      <c r="J473" s="26">
        <f ca="1"/>
        <v>2.9531078176932311E-2</v>
      </c>
      <c r="K473" s="26">
        <f ca="1"/>
        <v>2.9789106623222525E-2</v>
      </c>
      <c r="M473" s="4" t="str">
        <f t="shared" si="33"/>
        <v>per Mtonne</v>
      </c>
    </row>
    <row r="474" spans="1:13" s="7" customFormat="1" x14ac:dyDescent="0.25">
      <c r="A474" s="4" t="str">
        <v>CA CH4</v>
      </c>
      <c r="B474" s="26">
        <f ca="1"/>
        <v>4.8649296309585213E-2</v>
      </c>
      <c r="C474" s="26">
        <f ca="1"/>
        <v>4.429230354575478E-2</v>
      </c>
      <c r="D474" s="26">
        <f ca="1"/>
        <v>3.7557688831366995E-2</v>
      </c>
      <c r="E474" s="26">
        <f ca="1"/>
        <v>3.143421820650056E-2</v>
      </c>
      <c r="F474" s="26">
        <f ca="1"/>
        <v>2.4878112801906518E-2</v>
      </c>
      <c r="G474" s="26">
        <f ca="1"/>
        <v>2.2671252002455011E-2</v>
      </c>
      <c r="H474" s="26">
        <f ca="1"/>
        <v>2.2566764101853973E-2</v>
      </c>
      <c r="I474" s="26">
        <f ca="1"/>
        <v>2.2549847362109191E-2</v>
      </c>
      <c r="J474" s="26">
        <f ca="1"/>
        <v>2.2632319187441696E-2</v>
      </c>
      <c r="K474" s="26">
        <f ca="1"/>
        <v>2.283006957504663E-2</v>
      </c>
      <c r="M474" s="4" t="str">
        <f t="shared" si="33"/>
        <v>per Mtonne</v>
      </c>
    </row>
    <row r="475" spans="1:13" s="7" customFormat="1" x14ac:dyDescent="0.25">
      <c r="A475" s="4" t="str">
        <v>IA CH4</v>
      </c>
      <c r="B475" s="26">
        <f ca="1"/>
        <v>3.8652865561040306E-2</v>
      </c>
      <c r="C475" s="26">
        <f ca="1"/>
        <v>3.5191145282928452E-2</v>
      </c>
      <c r="D475" s="26">
        <f ca="1"/>
        <v>2.9840355509853225E-2</v>
      </c>
      <c r="E475" s="26">
        <f ca="1"/>
        <v>2.4975132273657979E-2</v>
      </c>
      <c r="F475" s="26">
        <f ca="1"/>
        <v>1.9766171815213399E-2</v>
      </c>
      <c r="G475" s="26">
        <f ca="1"/>
        <v>1.8012775563594395E-2</v>
      </c>
      <c r="H475" s="26">
        <f ca="1"/>
        <v>1.792975777955521E-2</v>
      </c>
      <c r="I475" s="26">
        <f ca="1"/>
        <v>1.7916317082223739E-2</v>
      </c>
      <c r="J475" s="26">
        <f ca="1"/>
        <v>1.7981842642076962E-2</v>
      </c>
      <c r="K475" s="26">
        <f ca="1"/>
        <v>1.813895938839321E-2</v>
      </c>
      <c r="M475" s="4" t="str">
        <f t="shared" si="33"/>
        <v>per Mtonne</v>
      </c>
    </row>
    <row r="476" spans="1:13" s="7" customFormat="1" x14ac:dyDescent="0.25">
      <c r="A476" s="4" t="str">
        <v>AF CH4</v>
      </c>
      <c r="B476" s="26">
        <f ca="1"/>
        <v>3.5684606419531174E-2</v>
      </c>
      <c r="C476" s="26">
        <f ca="1"/>
        <v>2.7732187458767297E-2</v>
      </c>
      <c r="D476" s="26">
        <f ca="1"/>
        <v>2.2055042812019972E-2</v>
      </c>
      <c r="E476" s="26">
        <f ca="1"/>
        <v>1.884475642467677E-2</v>
      </c>
      <c r="F476" s="26">
        <f ca="1"/>
        <v>1.6544673389867703E-2</v>
      </c>
      <c r="G476" s="26">
        <f ca="1"/>
        <v>1.5186997937971959E-2</v>
      </c>
      <c r="H476" s="26">
        <f ca="1"/>
        <v>1.5117003676922805E-2</v>
      </c>
      <c r="I476" s="26">
        <f ca="1"/>
        <v>1.5105671506489806E-2</v>
      </c>
      <c r="J476" s="26">
        <f ca="1"/>
        <v>1.5160917658803315E-2</v>
      </c>
      <c r="K476" s="26">
        <f ca="1"/>
        <v>1.529338651091894E-2</v>
      </c>
      <c r="M476" s="4" t="str">
        <f t="shared" si="33"/>
        <v>per Mtonne</v>
      </c>
    </row>
    <row r="477" spans="1:13" s="7" customFormat="1" ht="13" thickBot="1" x14ac:dyDescent="0.3">
      <c r="A477" s="4" t="str">
        <v>LA CH4</v>
      </c>
      <c r="B477" s="35">
        <f ca="1"/>
        <v>4.464946863670894E-2</v>
      </c>
      <c r="C477" s="35">
        <f ca="1"/>
        <v>3.7634194888890443E-2</v>
      </c>
      <c r="D477" s="35">
        <f ca="1"/>
        <v>3.2957214111015286E-2</v>
      </c>
      <c r="E477" s="35">
        <f ca="1"/>
        <v>3.011928391860412E-2</v>
      </c>
      <c r="F477" s="35">
        <f ca="1"/>
        <v>2.9652020949935843E-2</v>
      </c>
      <c r="G477" s="35">
        <f ca="1"/>
        <v>3.0447670978465569E-2</v>
      </c>
      <c r="H477" s="35">
        <f ca="1"/>
        <v>3.0307342900493233E-2</v>
      </c>
      <c r="I477" s="35">
        <f ca="1"/>
        <v>3.0284623585048204E-2</v>
      </c>
      <c r="J477" s="35">
        <f ca="1"/>
        <v>3.0395383899584245E-2</v>
      </c>
      <c r="K477" s="35">
        <f ca="1"/>
        <v>3.0660964236171172E-2</v>
      </c>
      <c r="M477" s="4" t="str">
        <f t="shared" si="33"/>
        <v>per Mtonne</v>
      </c>
    </row>
    <row r="478" spans="1:13" s="2" customFormat="1" ht="15.5" thickTop="1" x14ac:dyDescent="0.4">
      <c r="A478" s="2" t="s">
        <v>334</v>
      </c>
      <c r="B478" s="2" t="s">
        <v>337</v>
      </c>
    </row>
    <row r="479" spans="1:13" s="7" customFormat="1" x14ac:dyDescent="0.25">
      <c r="A479" s="4" t="str">
        <f t="array" ref="A479:A486">R_CODE&amp;" "&amp;'Base data'!$D$12</f>
        <v>EU N2O</v>
      </c>
      <c r="B479" s="29">
        <f t="array" aca="1" ref="B479:K486" ca="1">2*LN((1+CURVE_ABOVE)/(1-CURVE_ABOVE))/(QMAX_N2O-Q0_N2O)</f>
        <v>2.1974032984469027</v>
      </c>
      <c r="C479" s="29">
        <f ca="1"/>
        <v>2.0347888132702718</v>
      </c>
      <c r="D479" s="29">
        <f ca="1"/>
        <v>1.8633438400039739</v>
      </c>
      <c r="E479" s="29">
        <f ca="1"/>
        <v>1.7892373044921179</v>
      </c>
      <c r="F479" s="29">
        <f ca="1"/>
        <v>1.678646989713541</v>
      </c>
      <c r="G479" s="29">
        <f ca="1"/>
        <v>1.6077925214314026</v>
      </c>
      <c r="H479" s="29">
        <f ca="1"/>
        <v>1.5258831977924574</v>
      </c>
      <c r="I479" s="29">
        <f ca="1"/>
        <v>1.4483804396875517</v>
      </c>
      <c r="J479" s="29">
        <f ca="1"/>
        <v>1.3750417973951938</v>
      </c>
      <c r="K479" s="29">
        <f ca="1"/>
        <v>1.3056384251411641</v>
      </c>
      <c r="M479" s="4" t="str">
        <f t="shared" ref="M479:M486" si="34">"per "&amp;EMIT_NAME</f>
        <v>per Mtonne</v>
      </c>
    </row>
    <row r="480" spans="1:13" s="7" customFormat="1" x14ac:dyDescent="0.25">
      <c r="A480" s="4" t="str">
        <v>US N2O</v>
      </c>
      <c r="B480" s="26">
        <f ca="1"/>
        <v>2.4913324350403756</v>
      </c>
      <c r="C480" s="26">
        <f ca="1"/>
        <v>2.3069663054299068</v>
      </c>
      <c r="D480" s="26">
        <f ca="1"/>
        <v>2.1125885036741501</v>
      </c>
      <c r="E480" s="26">
        <f ca="1"/>
        <v>2.0285693271763048</v>
      </c>
      <c r="F480" s="26">
        <f ca="1"/>
        <v>1.903186226857885</v>
      </c>
      <c r="G480" s="26">
        <f ca="1"/>
        <v>1.8228541207198838</v>
      </c>
      <c r="H480" s="26">
        <f ca="1"/>
        <v>1.7299884392775413</v>
      </c>
      <c r="I480" s="26">
        <f ca="1"/>
        <v>1.6421187545417848</v>
      </c>
      <c r="J480" s="26">
        <f ca="1"/>
        <v>1.5589701862230276</v>
      </c>
      <c r="K480" s="26">
        <f ca="1"/>
        <v>1.4802832776706221</v>
      </c>
      <c r="M480" s="4" t="str">
        <f t="shared" si="34"/>
        <v>per Mtonne</v>
      </c>
    </row>
    <row r="481" spans="1:13" s="7" customFormat="1" x14ac:dyDescent="0.25">
      <c r="A481" s="4" t="str">
        <v>OT N2O</v>
      </c>
      <c r="B481" s="26">
        <f ca="1"/>
        <v>4.6349082857651007</v>
      </c>
      <c r="C481" s="26">
        <f ca="1"/>
        <v>4.291911064789188</v>
      </c>
      <c r="D481" s="26">
        <f ca="1"/>
        <v>3.9302879946379896</v>
      </c>
      <c r="E481" s="26">
        <f ca="1"/>
        <v>3.7739775914834981</v>
      </c>
      <c r="F481" s="26">
        <f ca="1"/>
        <v>3.5407131895164663</v>
      </c>
      <c r="G481" s="26">
        <f ca="1"/>
        <v>3.3912622615250156</v>
      </c>
      <c r="H481" s="26">
        <f ca="1"/>
        <v>3.218493701887426</v>
      </c>
      <c r="I481" s="26">
        <f ca="1"/>
        <v>3.0550197615488601</v>
      </c>
      <c r="J481" s="26">
        <f ca="1"/>
        <v>2.9003290495307872</v>
      </c>
      <c r="K481" s="26">
        <f ca="1"/>
        <v>2.7539388691994846</v>
      </c>
      <c r="M481" s="4" t="str">
        <f t="shared" si="34"/>
        <v>per Mtonne</v>
      </c>
    </row>
    <row r="482" spans="1:13" s="7" customFormat="1" x14ac:dyDescent="0.25">
      <c r="A482" s="4" t="str">
        <v>EE N2O</v>
      </c>
      <c r="B482" s="26">
        <f ca="1"/>
        <v>5.7349956991605806</v>
      </c>
      <c r="C482" s="26">
        <f ca="1"/>
        <v>5.129338483300371</v>
      </c>
      <c r="D482" s="26">
        <f ca="1"/>
        <v>4.7052470384680465</v>
      </c>
      <c r="E482" s="26">
        <f ca="1"/>
        <v>4.4949808215608327</v>
      </c>
      <c r="F482" s="26">
        <f ca="1"/>
        <v>4.1134556730067908</v>
      </c>
      <c r="G482" s="26">
        <f ca="1"/>
        <v>3.2484703679303335</v>
      </c>
      <c r="H482" s="26">
        <f ca="1"/>
        <v>3.0829763709428115</v>
      </c>
      <c r="I482" s="26">
        <f ca="1"/>
        <v>2.9263856356453783</v>
      </c>
      <c r="J482" s="26">
        <f ca="1"/>
        <v>2.778208303598289</v>
      </c>
      <c r="K482" s="26">
        <f ca="1"/>
        <v>2.6379820025075644</v>
      </c>
      <c r="M482" s="4" t="str">
        <f t="shared" si="34"/>
        <v>per Mtonne</v>
      </c>
    </row>
    <row r="483" spans="1:13" s="7" customFormat="1" x14ac:dyDescent="0.25">
      <c r="A483" s="4" t="str">
        <v>CA N2O</v>
      </c>
      <c r="B483" s="26">
        <f ca="1"/>
        <v>1.1270479674594798</v>
      </c>
      <c r="C483" s="26">
        <f ca="1"/>
        <v>0.99489482662879558</v>
      </c>
      <c r="D483" s="26">
        <f ca="1"/>
        <v>0.8820987092955328</v>
      </c>
      <c r="E483" s="26">
        <f ca="1"/>
        <v>0.82043292295579739</v>
      </c>
      <c r="F483" s="26">
        <f ca="1"/>
        <v>0.72834242177158803</v>
      </c>
      <c r="G483" s="26">
        <f ca="1"/>
        <v>0.6118823297898115</v>
      </c>
      <c r="H483" s="26">
        <f ca="1"/>
        <v>0.58070985752635995</v>
      </c>
      <c r="I483" s="26">
        <f ca="1"/>
        <v>0.55121440487171869</v>
      </c>
      <c r="J483" s="26">
        <f ca="1"/>
        <v>0.52330370202212584</v>
      </c>
      <c r="K483" s="26">
        <f ca="1"/>
        <v>0.49689065646805303</v>
      </c>
      <c r="M483" s="4" t="str">
        <f t="shared" si="34"/>
        <v>per Mtonne</v>
      </c>
    </row>
    <row r="484" spans="1:13" s="7" customFormat="1" x14ac:dyDescent="0.25">
      <c r="A484" s="4" t="str">
        <v>IA N2O</v>
      </c>
      <c r="B484" s="26">
        <f ca="1"/>
        <v>2.6883505198978326</v>
      </c>
      <c r="C484" s="26">
        <f ca="1"/>
        <v>2.373125280940934</v>
      </c>
      <c r="D484" s="26">
        <f ca="1"/>
        <v>2.1040724017108978</v>
      </c>
      <c r="E484" s="26">
        <f ca="1"/>
        <v>1.9569808372409083</v>
      </c>
      <c r="F484" s="26">
        <f ca="1"/>
        <v>1.7373171193831123</v>
      </c>
      <c r="G484" s="26">
        <f ca="1"/>
        <v>1.4595245516609985</v>
      </c>
      <c r="H484" s="26">
        <f ca="1"/>
        <v>1.3851687705092404</v>
      </c>
      <c r="I484" s="26">
        <f ca="1"/>
        <v>1.3148131886989416</v>
      </c>
      <c r="J484" s="26">
        <f ca="1"/>
        <v>1.2482377148213271</v>
      </c>
      <c r="K484" s="26">
        <f ca="1"/>
        <v>1.1852346068813542</v>
      </c>
      <c r="M484" s="4" t="str">
        <f t="shared" si="34"/>
        <v>per Mtonne</v>
      </c>
    </row>
    <row r="485" spans="1:13" s="7" customFormat="1" x14ac:dyDescent="0.25">
      <c r="A485" s="4" t="str">
        <v>AF N2O</v>
      </c>
      <c r="B485" s="26">
        <f ca="1"/>
        <v>1.2992627255079228</v>
      </c>
      <c r="C485" s="26">
        <f ca="1"/>
        <v>1.0580241286377263</v>
      </c>
      <c r="D485" s="26">
        <f ca="1"/>
        <v>0.90289024485137803</v>
      </c>
      <c r="E485" s="26">
        <f ca="1"/>
        <v>0.8028342175340073</v>
      </c>
      <c r="F485" s="26">
        <f ca="1"/>
        <v>0.61695291519871698</v>
      </c>
      <c r="G485" s="26">
        <f ca="1"/>
        <v>0.51648775969861838</v>
      </c>
      <c r="H485" s="26">
        <f ca="1"/>
        <v>0.49017518360388451</v>
      </c>
      <c r="I485" s="26">
        <f ca="1"/>
        <v>0.46527817396458787</v>
      </c>
      <c r="J485" s="26">
        <f ca="1"/>
        <v>0.44171884615828899</v>
      </c>
      <c r="K485" s="26">
        <f ca="1"/>
        <v>0.41942368569871674</v>
      </c>
      <c r="M485" s="4" t="str">
        <f t="shared" si="34"/>
        <v>per Mtonne</v>
      </c>
    </row>
    <row r="486" spans="1:13" s="7" customFormat="1" ht="13" thickBot="1" x14ac:dyDescent="0.3">
      <c r="A486" s="4" t="str">
        <v>LA N2O</v>
      </c>
      <c r="B486" s="35">
        <f ca="1"/>
        <v>1.3285725713328909</v>
      </c>
      <c r="C486" s="35">
        <f ca="1"/>
        <v>1.1478419999472937</v>
      </c>
      <c r="D486" s="35">
        <f ca="1"/>
        <v>1.0065128906369922</v>
      </c>
      <c r="E486" s="35">
        <f ca="1"/>
        <v>0.93979623710996252</v>
      </c>
      <c r="F486" s="35">
        <f ca="1"/>
        <v>0.85603275665187051</v>
      </c>
      <c r="G486" s="35">
        <f ca="1"/>
        <v>0.85537702744195898</v>
      </c>
      <c r="H486" s="35">
        <f ca="1"/>
        <v>0.81179966727879227</v>
      </c>
      <c r="I486" s="35">
        <f ca="1"/>
        <v>0.77056668605599965</v>
      </c>
      <c r="J486" s="35">
        <f ca="1"/>
        <v>0.73154909578582195</v>
      </c>
      <c r="K486" s="35">
        <f ca="1"/>
        <v>0.69462514604618353</v>
      </c>
      <c r="M486" s="4" t="str">
        <f t="shared" si="34"/>
        <v>per Mtonne</v>
      </c>
    </row>
    <row r="487" spans="1:13" s="2" customFormat="1" ht="15.5" thickTop="1" x14ac:dyDescent="0.4">
      <c r="A487" s="2" t="s">
        <v>334</v>
      </c>
      <c r="B487" s="2" t="s">
        <v>338</v>
      </c>
    </row>
    <row r="488" spans="1:13" s="7" customFormat="1" x14ac:dyDescent="0.25">
      <c r="A488" s="4" t="str">
        <f t="array" ref="A488:A495">R_CODE&amp;" "&amp;GLIN_NAME</f>
        <v>EU Lin</v>
      </c>
      <c r="B488" s="66">
        <f t="array" aca="1" ref="B488:K495" ca="1">2*LN((1+CURVE_ABOVE)/(1-CURVE_ABOVE))/(QMAX_GLIN-Q0_GLIN)</f>
        <v>1.8253508668740939E-2</v>
      </c>
      <c r="C488" s="66">
        <f ca="1"/>
        <v>1.5068551401489806E-2</v>
      </c>
      <c r="D488" s="66">
        <f ca="1"/>
        <v>1.4631082116944786E-2</v>
      </c>
      <c r="E488" s="66">
        <f ca="1"/>
        <v>1.4937634911937846E-2</v>
      </c>
      <c r="F488" s="66">
        <f ca="1"/>
        <v>1.4901731678417744E-2</v>
      </c>
      <c r="G488" s="66">
        <f ca="1"/>
        <v>1.3662939872002247E-2</v>
      </c>
      <c r="H488" s="66">
        <f ca="1"/>
        <v>1.2804240776166629E-2</v>
      </c>
      <c r="I488" s="66">
        <f ca="1"/>
        <v>1.1999509870493358E-2</v>
      </c>
      <c r="J488" s="66">
        <f ca="1"/>
        <v>1.1245355320096941E-2</v>
      </c>
      <c r="K488" s="66">
        <f ca="1"/>
        <v>1.0538598462774815E-2</v>
      </c>
      <c r="M488" s="4" t="str">
        <f t="shared" ref="M488:M495" si="35">"per "&amp;EMIT_NAME</f>
        <v>per Mtonne</v>
      </c>
    </row>
    <row r="489" spans="1:13" s="7" customFormat="1" x14ac:dyDescent="0.25">
      <c r="A489" s="4" t="str">
        <v>US Lin</v>
      </c>
      <c r="B489" s="67">
        <f ca="1"/>
        <v>7.0119186938225921E-3</v>
      </c>
      <c r="C489" s="67">
        <f ca="1"/>
        <v>5.7884464394439622E-3</v>
      </c>
      <c r="D489" s="67">
        <f ca="1"/>
        <v>5.6203966080420964E-3</v>
      </c>
      <c r="E489" s="67">
        <f ca="1"/>
        <v>5.7381560652984666E-3</v>
      </c>
      <c r="F489" s="67">
        <f ca="1"/>
        <v>5.7243641659514991E-3</v>
      </c>
      <c r="G489" s="67">
        <f ca="1"/>
        <v>5.2484936041436005E-3</v>
      </c>
      <c r="H489" s="67">
        <f ca="1"/>
        <v>4.918632186718167E-3</v>
      </c>
      <c r="I489" s="67">
        <f ca="1"/>
        <v>4.6095021567940956E-3</v>
      </c>
      <c r="J489" s="67">
        <f ca="1"/>
        <v>4.3198005719688268E-3</v>
      </c>
      <c r="K489" s="67">
        <f ca="1"/>
        <v>4.0483063781796098E-3</v>
      </c>
      <c r="M489" s="4" t="str">
        <f t="shared" si="35"/>
        <v>per Mtonne</v>
      </c>
    </row>
    <row r="490" spans="1:13" s="7" customFormat="1" x14ac:dyDescent="0.25">
      <c r="A490" s="4" t="str">
        <v>OT Lin</v>
      </c>
      <c r="B490" s="67">
        <f ca="1"/>
        <v>1.9468679813639214E-2</v>
      </c>
      <c r="C490" s="67">
        <f ca="1"/>
        <v>1.6071693821438044E-2</v>
      </c>
      <c r="D490" s="67">
        <f ca="1"/>
        <v>1.5605101366054712E-2</v>
      </c>
      <c r="E490" s="67">
        <f ca="1"/>
        <v>1.5932061969629874E-2</v>
      </c>
      <c r="F490" s="67">
        <f ca="1"/>
        <v>1.5893768588868824E-2</v>
      </c>
      <c r="G490" s="67">
        <f ca="1"/>
        <v>1.4572508031649794E-2</v>
      </c>
      <c r="H490" s="67">
        <f ca="1"/>
        <v>1.3656643687075089E-2</v>
      </c>
      <c r="I490" s="67">
        <f ca="1"/>
        <v>1.2798340298777879E-2</v>
      </c>
      <c r="J490" s="67">
        <f ca="1"/>
        <v>1.1993980230907178E-2</v>
      </c>
      <c r="K490" s="67">
        <f ca="1"/>
        <v>1.1240173211610026E-2</v>
      </c>
      <c r="M490" s="4" t="str">
        <f t="shared" si="35"/>
        <v>per Mtonne</v>
      </c>
    </row>
    <row r="491" spans="1:13" s="7" customFormat="1" x14ac:dyDescent="0.25">
      <c r="A491" s="4" t="str">
        <v>EE Lin</v>
      </c>
      <c r="B491" s="67">
        <f ca="1"/>
        <v>4.4649272191675866E-2</v>
      </c>
      <c r="C491" s="67">
        <f ca="1"/>
        <v>3.1153169767013874E-2</v>
      </c>
      <c r="D491" s="67">
        <f ca="1"/>
        <v>2.3579748300492854E-2</v>
      </c>
      <c r="E491" s="67">
        <f ca="1"/>
        <v>1.9222540094731032E-2</v>
      </c>
      <c r="F491" s="67">
        <f ca="1"/>
        <v>1.5138553285045953E-2</v>
      </c>
      <c r="G491" s="67">
        <f ca="1"/>
        <v>1.2764214660351067E-2</v>
      </c>
      <c r="H491" s="67">
        <f ca="1"/>
        <v>1.196199934720639E-2</v>
      </c>
      <c r="I491" s="67">
        <f ca="1"/>
        <v>1.1210202287418329E-2</v>
      </c>
      <c r="J491" s="67">
        <f ca="1"/>
        <v>1.0505654755297064E-2</v>
      </c>
      <c r="K491" s="67">
        <f ca="1"/>
        <v>9.8453871756950528E-3</v>
      </c>
      <c r="M491" s="4" t="str">
        <f t="shared" si="35"/>
        <v>per Mtonne</v>
      </c>
    </row>
    <row r="492" spans="1:13" s="7" customFormat="1" x14ac:dyDescent="0.25">
      <c r="A492" s="4" t="str">
        <v>CA Lin</v>
      </c>
      <c r="B492" s="67">
        <f ca="1"/>
        <v>1.4582215105409239E-2</v>
      </c>
      <c r="C492" s="67">
        <f ca="1"/>
        <v>1.098071208786541E-2</v>
      </c>
      <c r="D492" s="67">
        <f ca="1"/>
        <v>7.9694593272352839E-3</v>
      </c>
      <c r="E492" s="67">
        <f ca="1"/>
        <v>6.7732267874725059E-3</v>
      </c>
      <c r="F492" s="67">
        <f ca="1"/>
        <v>5.079422906594442E-3</v>
      </c>
      <c r="G492" s="67">
        <f ca="1"/>
        <v>4.3896953623922741E-3</v>
      </c>
      <c r="H492" s="67">
        <f ca="1"/>
        <v>4.1138083663289854E-3</v>
      </c>
      <c r="I492" s="67">
        <f ca="1"/>
        <v>3.8552605312582584E-3</v>
      </c>
      <c r="J492" s="67">
        <f ca="1"/>
        <v>3.6129621120735262E-3</v>
      </c>
      <c r="K492" s="67">
        <f ca="1"/>
        <v>3.3858918528181722E-3</v>
      </c>
      <c r="M492" s="4" t="str">
        <f t="shared" si="35"/>
        <v>per Mtonne</v>
      </c>
    </row>
    <row r="493" spans="1:13" s="7" customFormat="1" x14ac:dyDescent="0.25">
      <c r="A493" s="4" t="str">
        <v>IA Lin</v>
      </c>
      <c r="B493" s="67">
        <f ca="1"/>
        <v>2.0875450412647375E-2</v>
      </c>
      <c r="C493" s="67">
        <f ca="1"/>
        <v>1.5719649520240624E-2</v>
      </c>
      <c r="D493" s="67">
        <f ca="1"/>
        <v>1.1408832732113322E-2</v>
      </c>
      <c r="E493" s="67">
        <f ca="1"/>
        <v>9.6963430393402529E-3</v>
      </c>
      <c r="F493" s="67">
        <f ca="1"/>
        <v>7.2715455261761919E-3</v>
      </c>
      <c r="G493" s="67">
        <f ca="1"/>
        <v>6.2841527985865167E-3</v>
      </c>
      <c r="H493" s="67">
        <f ca="1"/>
        <v>5.8892014647746157E-3</v>
      </c>
      <c r="I493" s="67">
        <f ca="1"/>
        <v>5.5190723402690966E-3</v>
      </c>
      <c r="J493" s="67">
        <f ca="1"/>
        <v>5.1722053795096546E-3</v>
      </c>
      <c r="K493" s="67">
        <f ca="1"/>
        <v>4.8471385838954693E-3</v>
      </c>
      <c r="M493" s="4" t="str">
        <f t="shared" si="35"/>
        <v>per Mtonne</v>
      </c>
    </row>
    <row r="494" spans="1:13" s="7" customFormat="1" x14ac:dyDescent="0.25">
      <c r="A494" s="4" t="str">
        <v>AF Lin</v>
      </c>
      <c r="B494" s="67">
        <f ca="1"/>
        <v>3.1428749362636565E-2</v>
      </c>
      <c r="C494" s="67">
        <f ca="1"/>
        <v>2.4215732298760565E-2</v>
      </c>
      <c r="D494" s="67">
        <f ca="1"/>
        <v>2.0006860893667554E-2</v>
      </c>
      <c r="E494" s="67">
        <f ca="1"/>
        <v>1.6243416952176966E-2</v>
      </c>
      <c r="F494" s="67">
        <f ca="1"/>
        <v>1.0656315808712917E-2</v>
      </c>
      <c r="G494" s="67">
        <f ca="1"/>
        <v>8.7119593092771612E-3</v>
      </c>
      <c r="H494" s="67">
        <f ca="1"/>
        <v>8.1644232993176372E-3</v>
      </c>
      <c r="I494" s="67">
        <f ca="1"/>
        <v>7.6512992593363444E-3</v>
      </c>
      <c r="J494" s="67">
        <f ca="1"/>
        <v>7.1704244390187032E-3</v>
      </c>
      <c r="K494" s="67">
        <f ca="1"/>
        <v>6.719772014267847E-3</v>
      </c>
      <c r="M494" s="4" t="str">
        <f t="shared" si="35"/>
        <v>per Mtonne</v>
      </c>
    </row>
    <row r="495" spans="1:13" s="7" customFormat="1" ht="13" thickBot="1" x14ac:dyDescent="0.3">
      <c r="A495" s="4" t="str">
        <v>LA Lin</v>
      </c>
      <c r="B495" s="68">
        <f ca="1"/>
        <v>4.1467072363726272E-2</v>
      </c>
      <c r="C495" s="68">
        <f ca="1"/>
        <v>3.3262354818905805E-2</v>
      </c>
      <c r="D495" s="68">
        <f ca="1"/>
        <v>2.5077946297120769E-2</v>
      </c>
      <c r="E495" s="68">
        <f ca="1"/>
        <v>2.1129216257274302E-2</v>
      </c>
      <c r="F495" s="68">
        <f ca="1"/>
        <v>1.4068525440060372E-2</v>
      </c>
      <c r="G495" s="68">
        <f ca="1"/>
        <v>1.170174526231786E-2</v>
      </c>
      <c r="H495" s="68">
        <f ca="1"/>
        <v>1.0966304854134426E-2</v>
      </c>
      <c r="I495" s="68">
        <f ca="1"/>
        <v>1.0277085978027132E-2</v>
      </c>
      <c r="J495" s="68">
        <f ca="1"/>
        <v>9.6311836671166828E-3</v>
      </c>
      <c r="K495" s="68">
        <f ca="1"/>
        <v>9.0258755281467443E-3</v>
      </c>
      <c r="M495" s="4" t="str">
        <f t="shared" si="35"/>
        <v>per Mtonne</v>
      </c>
    </row>
    <row r="496" spans="1:13" s="2" customFormat="1" ht="15.5" thickTop="1" x14ac:dyDescent="0.4">
      <c r="A496" s="2" t="s">
        <v>339</v>
      </c>
      <c r="B496" s="2" t="s">
        <v>340</v>
      </c>
    </row>
    <row r="497" spans="1:13" s="6" customFormat="1" x14ac:dyDescent="0.25">
      <c r="A497" s="4" t="str">
        <f t="array" ref="A497:A504">R_CODE&amp;" "&amp;'Base data'!$B$12</f>
        <v>EU CO2</v>
      </c>
      <c r="B497" s="269">
        <f t="array" aca="1" ref="B497:K504" ca="1">cmax_co2_b/(EXP(BHI_CO2*(QMAX_CO2-Q0_CO2))-1)</f>
        <v>32.905514107642986</v>
      </c>
      <c r="C497" s="269">
        <f ca="1"/>
        <v>29.940364782688135</v>
      </c>
      <c r="D497" s="269">
        <f ca="1"/>
        <v>25.352781037899415</v>
      </c>
      <c r="E497" s="269">
        <f ca="1"/>
        <v>20.952061755903259</v>
      </c>
      <c r="F497" s="269">
        <f ca="1"/>
        <v>15.181442583012341</v>
      </c>
      <c r="G497" s="269">
        <f ca="1"/>
        <v>10.789360409949635</v>
      </c>
      <c r="H497" s="269">
        <f ca="1"/>
        <v>6.9859697489845045</v>
      </c>
      <c r="I497" s="269">
        <f ca="1"/>
        <v>4.7077850888092163</v>
      </c>
      <c r="J497" s="269">
        <f ca="1"/>
        <v>3.3251368862560704</v>
      </c>
      <c r="K497" s="269">
        <f ca="1"/>
        <v>2.4063810163645973</v>
      </c>
      <c r="M497" s="4" t="str">
        <f t="shared" ref="M497:M504" si="36">CURRENCY_NAME&amp;" per "&amp;EMIT_NAME</f>
        <v>$M(2015) per Mtonne</v>
      </c>
    </row>
    <row r="498" spans="1:13" s="6" customFormat="1" x14ac:dyDescent="0.25">
      <c r="A498" s="4" t="str">
        <v>US CO2</v>
      </c>
      <c r="B498" s="261">
        <f ca="1"/>
        <v>32.905514107642986</v>
      </c>
      <c r="C498" s="261">
        <f ca="1"/>
        <v>29.8059174856886</v>
      </c>
      <c r="D498" s="261">
        <f ca="1"/>
        <v>24.979481630460089</v>
      </c>
      <c r="E498" s="261">
        <f ca="1"/>
        <v>20.492727300313955</v>
      </c>
      <c r="F498" s="261">
        <f ca="1"/>
        <v>14.774969728373051</v>
      </c>
      <c r="G498" s="261">
        <f ca="1"/>
        <v>10.484422446735799</v>
      </c>
      <c r="H498" s="261">
        <f ca="1"/>
        <v>6.7905171355806564</v>
      </c>
      <c r="I498" s="261">
        <f ca="1"/>
        <v>4.5766523218197097</v>
      </c>
      <c r="J498" s="261">
        <f ca="1"/>
        <v>3.232678870192697</v>
      </c>
      <c r="K498" s="261">
        <f ca="1"/>
        <v>2.339520325175402</v>
      </c>
      <c r="M498" s="4" t="str">
        <f t="shared" si="36"/>
        <v>$M(2015) per Mtonne</v>
      </c>
    </row>
    <row r="499" spans="1:13" s="6" customFormat="1" x14ac:dyDescent="0.25">
      <c r="A499" s="4" t="str">
        <v>OT CO2</v>
      </c>
      <c r="B499" s="261">
        <f ca="1"/>
        <v>40.583467399426347</v>
      </c>
      <c r="C499" s="261">
        <f ca="1"/>
        <v>37.112563953755135</v>
      </c>
      <c r="D499" s="261">
        <f ca="1"/>
        <v>31.809562430974687</v>
      </c>
      <c r="E499" s="261">
        <f ca="1"/>
        <v>26.529606916532327</v>
      </c>
      <c r="F499" s="261">
        <f ca="1"/>
        <v>19.34771323099017</v>
      </c>
      <c r="G499" s="261">
        <f ca="1"/>
        <v>13.778392071000761</v>
      </c>
      <c r="H499" s="261">
        <f ca="1"/>
        <v>8.9178263217396996</v>
      </c>
      <c r="I499" s="261">
        <f ca="1"/>
        <v>6.0086264285473678</v>
      </c>
      <c r="J499" s="261">
        <f ca="1"/>
        <v>4.2436450160426569</v>
      </c>
      <c r="K499" s="261">
        <f ca="1"/>
        <v>3.0710109310623461</v>
      </c>
      <c r="M499" s="4" t="str">
        <f t="shared" si="36"/>
        <v>$M(2015) per Mtonne</v>
      </c>
    </row>
    <row r="500" spans="1:13" s="6" customFormat="1" x14ac:dyDescent="0.25">
      <c r="A500" s="4" t="str">
        <v>EE CO2</v>
      </c>
      <c r="B500" s="261">
        <f ca="1"/>
        <v>23.033859875350092</v>
      </c>
      <c r="C500" s="261">
        <f ca="1"/>
        <v>20.867248119102374</v>
      </c>
      <c r="D500" s="261">
        <f ca="1"/>
        <v>17.652341653813519</v>
      </c>
      <c r="E500" s="261">
        <f ca="1"/>
        <v>14.586759588733386</v>
      </c>
      <c r="F500" s="261">
        <f ca="1"/>
        <v>10.552113850264767</v>
      </c>
      <c r="G500" s="261">
        <f ca="1"/>
        <v>7.4477806171655363</v>
      </c>
      <c r="H500" s="261">
        <f ca="1"/>
        <v>4.7402530965915703</v>
      </c>
      <c r="I500" s="261">
        <f ca="1"/>
        <v>3.1698862454983119</v>
      </c>
      <c r="J500" s="261">
        <f ca="1"/>
        <v>2.2311974790605498</v>
      </c>
      <c r="K500" s="261">
        <f ca="1"/>
        <v>1.6115904761978053</v>
      </c>
      <c r="M500" s="4" t="str">
        <f t="shared" si="36"/>
        <v>$M(2015) per Mtonne</v>
      </c>
    </row>
    <row r="501" spans="1:13" s="6" customFormat="1" x14ac:dyDescent="0.25">
      <c r="A501" s="4" t="str">
        <v>CA CO2</v>
      </c>
      <c r="B501" s="261">
        <f ca="1"/>
        <v>32.905514107642986</v>
      </c>
      <c r="C501" s="261">
        <f ca="1"/>
        <v>29.825138458840204</v>
      </c>
      <c r="D501" s="261">
        <f ca="1"/>
        <v>24.834690901306892</v>
      </c>
      <c r="E501" s="261">
        <f ca="1"/>
        <v>19.969655442264806</v>
      </c>
      <c r="F501" s="261">
        <f ca="1"/>
        <v>14.041846789726721</v>
      </c>
      <c r="G501" s="261">
        <f ca="1"/>
        <v>9.7357090925469141</v>
      </c>
      <c r="H501" s="261">
        <f ca="1"/>
        <v>6.2260807846971211</v>
      </c>
      <c r="I501" s="261">
        <f ca="1"/>
        <v>4.1721908727904005</v>
      </c>
      <c r="J501" s="261">
        <f ca="1"/>
        <v>2.9394187469052997</v>
      </c>
      <c r="K501" s="261">
        <f ca="1"/>
        <v>2.1242410650551808</v>
      </c>
      <c r="M501" s="4" t="str">
        <f t="shared" si="36"/>
        <v>$M(2015) per Mtonne</v>
      </c>
    </row>
    <row r="502" spans="1:13" s="6" customFormat="1" x14ac:dyDescent="0.25">
      <c r="A502" s="4" t="str">
        <v>IA CO2</v>
      </c>
      <c r="B502" s="261">
        <f ca="1"/>
        <v>40.583467399426347</v>
      </c>
      <c r="C502" s="261">
        <f ca="1"/>
        <v>37.001466290382943</v>
      </c>
      <c r="D502" s="261">
        <f ca="1"/>
        <v>31.322072335524766</v>
      </c>
      <c r="E502" s="261">
        <f ca="1"/>
        <v>25.604775416485797</v>
      </c>
      <c r="F502" s="261">
        <f ca="1"/>
        <v>18.255888172700541</v>
      </c>
      <c r="G502" s="261">
        <f ca="1"/>
        <v>12.76211251887038</v>
      </c>
      <c r="H502" s="261">
        <f ca="1"/>
        <v>8.1858042590191165</v>
      </c>
      <c r="I502" s="261">
        <f ca="1"/>
        <v>5.4927227203827371</v>
      </c>
      <c r="J502" s="261">
        <f ca="1"/>
        <v>3.8720807313416516</v>
      </c>
      <c r="K502" s="261">
        <f ca="1"/>
        <v>2.7991979430126825</v>
      </c>
      <c r="M502" s="4" t="str">
        <f t="shared" si="36"/>
        <v>$M(2015) per Mtonne</v>
      </c>
    </row>
    <row r="503" spans="1:13" s="6" customFormat="1" x14ac:dyDescent="0.25">
      <c r="A503" s="4" t="str">
        <v>AF CO2</v>
      </c>
      <c r="B503" s="261">
        <f ca="1"/>
        <v>40.583467399426347</v>
      </c>
      <c r="C503" s="261">
        <f ca="1"/>
        <v>36.305481717358361</v>
      </c>
      <c r="D503" s="261">
        <f ca="1"/>
        <v>30.549093238337274</v>
      </c>
      <c r="E503" s="261">
        <f ca="1"/>
        <v>25.007954788262779</v>
      </c>
      <c r="F503" s="261">
        <f ca="1"/>
        <v>17.849485381152899</v>
      </c>
      <c r="G503" s="261">
        <f ca="1"/>
        <v>12.433347748355596</v>
      </c>
      <c r="H503" s="261">
        <f ca="1"/>
        <v>7.8643539018500732</v>
      </c>
      <c r="I503" s="261">
        <f ca="1"/>
        <v>5.2451960704819607</v>
      </c>
      <c r="J503" s="261">
        <f ca="1"/>
        <v>3.6877469001997074</v>
      </c>
      <c r="K503" s="261">
        <f ca="1"/>
        <v>2.6620018065168174</v>
      </c>
      <c r="M503" s="4" t="str">
        <f t="shared" si="36"/>
        <v>$M(2015) per Mtonne</v>
      </c>
    </row>
    <row r="504" spans="1:13" s="6" customFormat="1" ht="13" thickBot="1" x14ac:dyDescent="0.3">
      <c r="A504" s="4" t="str">
        <v>LA CO2</v>
      </c>
      <c r="B504" s="270">
        <f ca="1"/>
        <v>23.033859875350092</v>
      </c>
      <c r="C504" s="270">
        <f ca="1"/>
        <v>20.829911584880293</v>
      </c>
      <c r="D504" s="270">
        <f ca="1"/>
        <v>17.648750987754386</v>
      </c>
      <c r="E504" s="270">
        <f ca="1"/>
        <v>14.650120707347035</v>
      </c>
      <c r="F504" s="270">
        <f ca="1"/>
        <v>10.609480296625462</v>
      </c>
      <c r="G504" s="270">
        <f ca="1"/>
        <v>7.51542407573071</v>
      </c>
      <c r="H504" s="270">
        <f ca="1"/>
        <v>4.8953816736657982</v>
      </c>
      <c r="I504" s="270">
        <f ca="1"/>
        <v>3.3085711535785958</v>
      </c>
      <c r="J504" s="270">
        <f ca="1"/>
        <v>2.3401237968646109</v>
      </c>
      <c r="K504" s="270">
        <f ca="1"/>
        <v>1.6949561404841471</v>
      </c>
      <c r="M504" s="4" t="str">
        <f t="shared" si="36"/>
        <v>$M(2015) per Mtonne</v>
      </c>
    </row>
    <row r="505" spans="1:13" s="2" customFormat="1" ht="15.5" thickTop="1" x14ac:dyDescent="0.4">
      <c r="A505" s="2" t="s">
        <v>339</v>
      </c>
      <c r="B505" s="2" t="s">
        <v>341</v>
      </c>
    </row>
    <row r="506" spans="1:13" s="7" customFormat="1" x14ac:dyDescent="0.25">
      <c r="A506" s="4" t="str">
        <f t="array" ref="A506:A513">R_CODE&amp;" "&amp;'Base data'!$C$12</f>
        <v>EU CH4</v>
      </c>
      <c r="B506" s="269">
        <f t="array" aca="1" ref="B506:K513" ca="1">cmax_ch4_b/(EXP(BHI_CH4*(QMAX_CH4-Q0_CH4))-1)</f>
        <v>1597.745518337776</v>
      </c>
      <c r="C506" s="269">
        <f ca="1"/>
        <v>1420.3268423581346</v>
      </c>
      <c r="D506" s="269">
        <f ca="1"/>
        <v>1251.0889474402331</v>
      </c>
      <c r="E506" s="269">
        <f ca="1"/>
        <v>1098.8866788909797</v>
      </c>
      <c r="F506" s="269">
        <f ca="1"/>
        <v>850.48500996060966</v>
      </c>
      <c r="G506" s="269">
        <f ca="1"/>
        <v>643.73264961273594</v>
      </c>
      <c r="H506" s="269">
        <f ca="1"/>
        <v>425.68192028934953</v>
      </c>
      <c r="I506" s="269">
        <f ca="1"/>
        <v>290.78111632426072</v>
      </c>
      <c r="J506" s="269">
        <f ca="1"/>
        <v>207.23412529692342</v>
      </c>
      <c r="K506" s="269">
        <f ca="1"/>
        <v>151.09612027997704</v>
      </c>
      <c r="M506" s="4" t="str">
        <f t="shared" ref="M506:M513" si="37">CURRENCY_NAME&amp;" per "&amp;EMIT_NAME</f>
        <v>$M(2015) per Mtonne</v>
      </c>
    </row>
    <row r="507" spans="1:13" s="7" customFormat="1" x14ac:dyDescent="0.25">
      <c r="A507" s="4" t="str">
        <v>US CH4</v>
      </c>
      <c r="B507" s="261">
        <f ca="1"/>
        <v>1597.745518337776</v>
      </c>
      <c r="C507" s="261">
        <f ca="1"/>
        <v>1416.2970067665776</v>
      </c>
      <c r="D507" s="261">
        <f ca="1"/>
        <v>1244.75873471195</v>
      </c>
      <c r="E507" s="261">
        <f ca="1"/>
        <v>1091.7087351362779</v>
      </c>
      <c r="F507" s="261">
        <f ca="1"/>
        <v>843.7245612663562</v>
      </c>
      <c r="G507" s="261">
        <f ca="1"/>
        <v>637.89451533092233</v>
      </c>
      <c r="H507" s="261">
        <f ca="1"/>
        <v>421.43686573705986</v>
      </c>
      <c r="I507" s="261">
        <f ca="1"/>
        <v>287.74584774877729</v>
      </c>
      <c r="J507" s="261">
        <f ca="1"/>
        <v>205.02339455465534</v>
      </c>
      <c r="K507" s="261">
        <f ca="1"/>
        <v>149.46316343902507</v>
      </c>
      <c r="M507" s="4" t="str">
        <f t="shared" si="37"/>
        <v>$M(2015) per Mtonne</v>
      </c>
    </row>
    <row r="508" spans="1:13" s="7" customFormat="1" x14ac:dyDescent="0.25">
      <c r="A508" s="4" t="str">
        <v>OT CH4</v>
      </c>
      <c r="B508" s="261">
        <f ca="1"/>
        <v>1970.5528059499234</v>
      </c>
      <c r="C508" s="261">
        <f ca="1"/>
        <v>1753.3652448803825</v>
      </c>
      <c r="D508" s="261">
        <f ca="1"/>
        <v>1545.5839477555151</v>
      </c>
      <c r="E508" s="261">
        <f ca="1"/>
        <v>1358.2244261372211</v>
      </c>
      <c r="F508" s="261">
        <f ca="1"/>
        <v>1051.7027377827776</v>
      </c>
      <c r="G508" s="261">
        <f ca="1"/>
        <v>796.33753552808707</v>
      </c>
      <c r="H508" s="261">
        <f ca="1"/>
        <v>526.75762795947219</v>
      </c>
      <c r="I508" s="261">
        <f ca="1"/>
        <v>359.88288786706062</v>
      </c>
      <c r="J508" s="261">
        <f ca="1"/>
        <v>256.50184455700486</v>
      </c>
      <c r="K508" s="261">
        <f ca="1"/>
        <v>187.0265984514335</v>
      </c>
      <c r="M508" s="4" t="str">
        <f t="shared" si="37"/>
        <v>$M(2015) per Mtonne</v>
      </c>
    </row>
    <row r="509" spans="1:13" s="7" customFormat="1" x14ac:dyDescent="0.25">
      <c r="A509" s="4" t="str">
        <v>EE CH4</v>
      </c>
      <c r="B509" s="261">
        <f ca="1"/>
        <v>1118.4218628364433</v>
      </c>
      <c r="C509" s="261">
        <f ca="1"/>
        <v>980.35587253314964</v>
      </c>
      <c r="D509" s="261">
        <f ca="1"/>
        <v>854.32059075697953</v>
      </c>
      <c r="E509" s="261">
        <f ca="1"/>
        <v>742.91815104837497</v>
      </c>
      <c r="F509" s="261">
        <f ca="1"/>
        <v>568.51118725008689</v>
      </c>
      <c r="G509" s="261">
        <f ca="1"/>
        <v>428.2409014897566</v>
      </c>
      <c r="H509" s="261">
        <f ca="1"/>
        <v>280.3525544150134</v>
      </c>
      <c r="I509" s="261">
        <f ca="1"/>
        <v>190.53764504032088</v>
      </c>
      <c r="J509" s="261">
        <f ca="1"/>
        <v>135.45704859059552</v>
      </c>
      <c r="K509" s="261">
        <f ca="1"/>
        <v>98.61520406322316</v>
      </c>
      <c r="M509" s="4" t="str">
        <f t="shared" si="37"/>
        <v>$M(2015) per Mtonne</v>
      </c>
    </row>
    <row r="510" spans="1:13" s="7" customFormat="1" x14ac:dyDescent="0.25">
      <c r="A510" s="4" t="str">
        <v>CA CH4</v>
      </c>
      <c r="B510" s="261">
        <f ca="1"/>
        <v>1597.745518337776</v>
      </c>
      <c r="C510" s="261">
        <f ca="1"/>
        <v>1412.6405102651556</v>
      </c>
      <c r="D510" s="261">
        <f ca="1"/>
        <v>1233.2109513696819</v>
      </c>
      <c r="E510" s="261">
        <f ca="1"/>
        <v>1069.3483796665648</v>
      </c>
      <c r="F510" s="261">
        <f ca="1"/>
        <v>809.24941068115652</v>
      </c>
      <c r="G510" s="261">
        <f ca="1"/>
        <v>599.40746607790152</v>
      </c>
      <c r="H510" s="261">
        <f ca="1"/>
        <v>391.84899357117439</v>
      </c>
      <c r="I510" s="261">
        <f ca="1"/>
        <v>266.17745666251949</v>
      </c>
      <c r="J510" s="261">
        <f ca="1"/>
        <v>189.21238322140962</v>
      </c>
      <c r="K510" s="261">
        <f ca="1"/>
        <v>137.75967523296336</v>
      </c>
      <c r="M510" s="4" t="str">
        <f t="shared" si="37"/>
        <v>$M(2015) per Mtonne</v>
      </c>
    </row>
    <row r="511" spans="1:13" s="7" customFormat="1" x14ac:dyDescent="0.25">
      <c r="A511" s="4" t="str">
        <v>IA CH4</v>
      </c>
      <c r="B511" s="261">
        <f ca="1"/>
        <v>1970.5528059499238</v>
      </c>
      <c r="C511" s="261">
        <f ca="1"/>
        <v>1734.0536399579526</v>
      </c>
      <c r="D511" s="261">
        <f ca="1"/>
        <v>1506.7881477150404</v>
      </c>
      <c r="E511" s="261">
        <f ca="1"/>
        <v>1300.8546675008665</v>
      </c>
      <c r="F511" s="261">
        <f ca="1"/>
        <v>978.70362096088445</v>
      </c>
      <c r="G511" s="261">
        <f ca="1"/>
        <v>721.40086239217305</v>
      </c>
      <c r="H511" s="261">
        <f ca="1"/>
        <v>470.34081470732195</v>
      </c>
      <c r="I511" s="261">
        <f ca="1"/>
        <v>319.08912402369401</v>
      </c>
      <c r="J511" s="261">
        <f ca="1"/>
        <v>226.69139419874699</v>
      </c>
      <c r="K511" s="261">
        <f ca="1"/>
        <v>164.99194363806126</v>
      </c>
      <c r="M511" s="4" t="str">
        <f t="shared" si="37"/>
        <v>$M(2015) per Mtonne</v>
      </c>
    </row>
    <row r="512" spans="1:13" s="7" customFormat="1" x14ac:dyDescent="0.25">
      <c r="A512" s="4" t="str">
        <v>AF CH4</v>
      </c>
      <c r="B512" s="261">
        <f ca="1"/>
        <v>1970.5528059499238</v>
      </c>
      <c r="C512" s="261">
        <f ca="1"/>
        <v>1703.0832572478537</v>
      </c>
      <c r="D512" s="261">
        <f ca="1"/>
        <v>1454.7272308941626</v>
      </c>
      <c r="E512" s="261">
        <f ca="1"/>
        <v>1244.6738007456954</v>
      </c>
      <c r="F512" s="261">
        <f ca="1"/>
        <v>934.4831070092597</v>
      </c>
      <c r="G512" s="261">
        <f ca="1"/>
        <v>693.48330814110864</v>
      </c>
      <c r="H512" s="261">
        <f ca="1"/>
        <v>454.40015371190862</v>
      </c>
      <c r="I512" s="261">
        <f ca="1"/>
        <v>309.00248629273034</v>
      </c>
      <c r="J512" s="261">
        <f ca="1"/>
        <v>219.75927825650899</v>
      </c>
      <c r="K512" s="261">
        <f ca="1"/>
        <v>160.03952488894896</v>
      </c>
      <c r="M512" s="4" t="str">
        <f t="shared" si="37"/>
        <v>$M(2015) per Mtonne</v>
      </c>
    </row>
    <row r="513" spans="1:13" s="7" customFormat="1" ht="13" thickBot="1" x14ac:dyDescent="0.3">
      <c r="A513" s="4" t="str">
        <v>LA CH4</v>
      </c>
      <c r="B513" s="270">
        <f ca="1"/>
        <v>1118.4218628364433</v>
      </c>
      <c r="C513" s="270">
        <f ca="1"/>
        <v>973.42461719740004</v>
      </c>
      <c r="D513" s="270">
        <f ca="1"/>
        <v>839.71179927063042</v>
      </c>
      <c r="E513" s="270">
        <f ca="1"/>
        <v>726.12360860327908</v>
      </c>
      <c r="F513" s="270">
        <f ca="1"/>
        <v>553.5676345114415</v>
      </c>
      <c r="G513" s="270">
        <f ca="1"/>
        <v>418.36164468556285</v>
      </c>
      <c r="H513" s="270">
        <f ca="1"/>
        <v>278.29592338039049</v>
      </c>
      <c r="I513" s="270">
        <f ca="1"/>
        <v>190.73105360335504</v>
      </c>
      <c r="J513" s="270">
        <f ca="1"/>
        <v>136.17450360984674</v>
      </c>
      <c r="K513" s="270">
        <f ca="1"/>
        <v>99.408230129707306</v>
      </c>
      <c r="M513" s="4" t="str">
        <f t="shared" si="37"/>
        <v>$M(2015) per Mtonne</v>
      </c>
    </row>
    <row r="514" spans="1:13" s="2" customFormat="1" ht="15.5" thickTop="1" x14ac:dyDescent="0.4">
      <c r="A514" s="2" t="s">
        <v>339</v>
      </c>
      <c r="B514" s="2" t="s">
        <v>342</v>
      </c>
    </row>
    <row r="515" spans="1:13" s="7" customFormat="1" x14ac:dyDescent="0.25">
      <c r="A515" s="4" t="str">
        <f t="array" ref="A515:A522">R_CODE&amp;" "&amp;'Base data'!$D$12</f>
        <v>EU N2O</v>
      </c>
      <c r="B515" s="269">
        <f t="array" aca="1" ref="B515:K522" ca="1">cmax_n2o_b/(EXP(BHI_N2O*(QMAX_N2O-Q0_N2O))-1)</f>
        <v>6895.5332896682967</v>
      </c>
      <c r="C515" s="269">
        <f ca="1"/>
        <v>6299.788059562964</v>
      </c>
      <c r="D515" s="269">
        <f ca="1"/>
        <v>5672.3072312629693</v>
      </c>
      <c r="E515" s="269">
        <f ca="1"/>
        <v>5036.2659527269607</v>
      </c>
      <c r="F515" s="269">
        <f ca="1"/>
        <v>3922.6524992506929</v>
      </c>
      <c r="G515" s="269">
        <f ca="1"/>
        <v>2962.9890471090571</v>
      </c>
      <c r="H515" s="269">
        <f ca="1"/>
        <v>1942.17940174365</v>
      </c>
      <c r="I515" s="269">
        <f ca="1"/>
        <v>1313.3431632326908</v>
      </c>
      <c r="J515" s="269">
        <f ca="1"/>
        <v>927.32514095845943</v>
      </c>
      <c r="K515" s="269">
        <f ca="1"/>
        <v>669.89974228591859</v>
      </c>
      <c r="M515" s="4" t="str">
        <f t="shared" ref="M515:M522" si="38">CURRENCY_NAME&amp;" per "&amp;EMIT_NAME</f>
        <v>$M(2015) per Mtonne</v>
      </c>
    </row>
    <row r="516" spans="1:13" s="7" customFormat="1" x14ac:dyDescent="0.25">
      <c r="A516" s="4" t="str">
        <v>US N2O</v>
      </c>
      <c r="B516" s="261">
        <f ca="1"/>
        <v>6895.5332896682967</v>
      </c>
      <c r="C516" s="261">
        <f ca="1"/>
        <v>6312.4391078197386</v>
      </c>
      <c r="D516" s="261">
        <f ca="1"/>
        <v>5695.0853288687022</v>
      </c>
      <c r="E516" s="261">
        <f ca="1"/>
        <v>5065.3922231462629</v>
      </c>
      <c r="F516" s="261">
        <f ca="1"/>
        <v>3952.7534687455413</v>
      </c>
      <c r="G516" s="261">
        <f ca="1"/>
        <v>2989.2998558506456</v>
      </c>
      <c r="H516" s="261">
        <f ca="1"/>
        <v>1960.4330700451451</v>
      </c>
      <c r="I516" s="261">
        <f ca="1"/>
        <v>1326.03264262727</v>
      </c>
      <c r="J516" s="261">
        <f ca="1"/>
        <v>936.40233621293385</v>
      </c>
      <c r="K516" s="261">
        <f ca="1"/>
        <v>676.50727149726299</v>
      </c>
      <c r="M516" s="4" t="str">
        <f t="shared" si="38"/>
        <v>$M(2015) per Mtonne</v>
      </c>
    </row>
    <row r="517" spans="1:13" s="7" customFormat="1" x14ac:dyDescent="0.25">
      <c r="A517" s="4" t="str">
        <v>OT N2O</v>
      </c>
      <c r="B517" s="261">
        <f ca="1"/>
        <v>8504.4910572575664</v>
      </c>
      <c r="C517" s="261">
        <f ca="1"/>
        <v>7840.2989162140675</v>
      </c>
      <c r="D517" s="261">
        <f ca="1"/>
        <v>7124.7748491159027</v>
      </c>
      <c r="E517" s="261">
        <f ca="1"/>
        <v>6378.456520129911</v>
      </c>
      <c r="F517" s="261">
        <f ca="1"/>
        <v>5013.1098172392431</v>
      </c>
      <c r="G517" s="261">
        <f ca="1"/>
        <v>3808.9166200668938</v>
      </c>
      <c r="H517" s="261">
        <f ca="1"/>
        <v>2503.0258497433192</v>
      </c>
      <c r="I517" s="261">
        <f ca="1"/>
        <v>1694.796611468732</v>
      </c>
      <c r="J517" s="261">
        <f ca="1"/>
        <v>1197.4097307450102</v>
      </c>
      <c r="K517" s="261">
        <f ca="1"/>
        <v>865.32896858750564</v>
      </c>
      <c r="M517" s="4" t="str">
        <f t="shared" si="38"/>
        <v>$M(2015) per Mtonne</v>
      </c>
    </row>
    <row r="518" spans="1:13" s="7" customFormat="1" x14ac:dyDescent="0.25">
      <c r="A518" s="4" t="str">
        <v>EE N2O</v>
      </c>
      <c r="B518" s="261">
        <f ca="1"/>
        <v>4826.8733027678081</v>
      </c>
      <c r="C518" s="261">
        <f ca="1"/>
        <v>4487.3166023891999</v>
      </c>
      <c r="D518" s="261">
        <f ca="1"/>
        <v>4107.8869918593155</v>
      </c>
      <c r="E518" s="261">
        <f ca="1"/>
        <v>3697.3967325897524</v>
      </c>
      <c r="F518" s="261">
        <f ca="1"/>
        <v>2920.6679307759905</v>
      </c>
      <c r="G518" s="261">
        <f ca="1"/>
        <v>2226.6821826890614</v>
      </c>
      <c r="H518" s="261">
        <f ca="1"/>
        <v>1457.4561377692121</v>
      </c>
      <c r="I518" s="261">
        <f ca="1"/>
        <v>985.00718171951451</v>
      </c>
      <c r="J518" s="261">
        <f ca="1"/>
        <v>695.38946360810758</v>
      </c>
      <c r="K518" s="261">
        <f ca="1"/>
        <v>502.35393396142308</v>
      </c>
      <c r="M518" s="4" t="str">
        <f t="shared" si="38"/>
        <v>$M(2015) per Mtonne</v>
      </c>
    </row>
    <row r="519" spans="1:13" s="7" customFormat="1" x14ac:dyDescent="0.25">
      <c r="A519" s="4" t="str">
        <v>CA N2O</v>
      </c>
      <c r="B519" s="261">
        <f ca="1"/>
        <v>6895.5332896682967</v>
      </c>
      <c r="C519" s="261">
        <f ca="1"/>
        <v>6410.4522891274282</v>
      </c>
      <c r="D519" s="261">
        <f ca="1"/>
        <v>5865.5381332762308</v>
      </c>
      <c r="E519" s="261">
        <f ca="1"/>
        <v>5207.0903153657355</v>
      </c>
      <c r="F519" s="261">
        <f ca="1"/>
        <v>3967.6970884517268</v>
      </c>
      <c r="G519" s="261">
        <f ca="1"/>
        <v>2920.9231150553769</v>
      </c>
      <c r="H519" s="261">
        <f ca="1"/>
        <v>1858.0767523856109</v>
      </c>
      <c r="I519" s="261">
        <f ca="1"/>
        <v>1239.119439031012</v>
      </c>
      <c r="J519" s="261">
        <f ca="1"/>
        <v>869.45802707100722</v>
      </c>
      <c r="K519" s="261">
        <f ca="1"/>
        <v>625.91803118079622</v>
      </c>
      <c r="M519" s="4" t="str">
        <f t="shared" si="38"/>
        <v>$M(2015) per Mtonne</v>
      </c>
    </row>
    <row r="520" spans="1:13" s="7" customFormat="1" x14ac:dyDescent="0.25">
      <c r="A520" s="4" t="str">
        <v>IA N2O</v>
      </c>
      <c r="B520" s="261">
        <f ca="1"/>
        <v>8504.4910572575664</v>
      </c>
      <c r="C520" s="261">
        <f ca="1"/>
        <v>7906.2244899238285</v>
      </c>
      <c r="D520" s="261">
        <f ca="1"/>
        <v>7243.2481824804981</v>
      </c>
      <c r="E520" s="261">
        <f ca="1"/>
        <v>6492.9747473091593</v>
      </c>
      <c r="F520" s="261">
        <f ca="1"/>
        <v>5059.9939767558471</v>
      </c>
      <c r="G520" s="261">
        <f ca="1"/>
        <v>3799.9733183766566</v>
      </c>
      <c r="H520" s="261">
        <f ca="1"/>
        <v>2459.818819521498</v>
      </c>
      <c r="I520" s="261">
        <f ca="1"/>
        <v>1653.410359786759</v>
      </c>
      <c r="J520" s="261">
        <f ca="1"/>
        <v>1164.25264488881</v>
      </c>
      <c r="K520" s="261">
        <f ca="1"/>
        <v>839.78465527388801</v>
      </c>
      <c r="M520" s="4" t="str">
        <f t="shared" si="38"/>
        <v>$M(2015) per Mtonne</v>
      </c>
    </row>
    <row r="521" spans="1:13" s="7" customFormat="1" x14ac:dyDescent="0.25">
      <c r="A521" s="4" t="str">
        <v>AF N2O</v>
      </c>
      <c r="B521" s="261">
        <f ca="1"/>
        <v>8504.4910572575664</v>
      </c>
      <c r="C521" s="261">
        <f ca="1"/>
        <v>7766.9186967586302</v>
      </c>
      <c r="D521" s="261">
        <f ca="1"/>
        <v>6886.2727219150675</v>
      </c>
      <c r="E521" s="261">
        <f ca="1"/>
        <v>5995.4940404631734</v>
      </c>
      <c r="F521" s="261">
        <f ca="1"/>
        <v>4519.5062252199568</v>
      </c>
      <c r="G521" s="261">
        <f ca="1"/>
        <v>3289.2656122454569</v>
      </c>
      <c r="H521" s="261">
        <f ca="1"/>
        <v>2096.6283302610182</v>
      </c>
      <c r="I521" s="261">
        <f ca="1"/>
        <v>1398.8659436848384</v>
      </c>
      <c r="J521" s="261">
        <f ca="1"/>
        <v>981.44708055365538</v>
      </c>
      <c r="K521" s="261">
        <f ca="1"/>
        <v>706.31803793153006</v>
      </c>
      <c r="M521" s="4" t="str">
        <f t="shared" si="38"/>
        <v>$M(2015) per Mtonne</v>
      </c>
    </row>
    <row r="522" spans="1:13" s="7" customFormat="1" ht="13" thickBot="1" x14ac:dyDescent="0.3">
      <c r="A522" s="4" t="str">
        <v>LA N2O</v>
      </c>
      <c r="B522" s="270">
        <f ca="1"/>
        <v>4826.8733027678081</v>
      </c>
      <c r="C522" s="270">
        <f ca="1"/>
        <v>4378.0929021136571</v>
      </c>
      <c r="D522" s="270">
        <f ca="1"/>
        <v>3882.2677113215041</v>
      </c>
      <c r="E522" s="270">
        <f ca="1"/>
        <v>3396.5707538643546</v>
      </c>
      <c r="F522" s="270">
        <f ca="1"/>
        <v>2591.6145070087878</v>
      </c>
      <c r="G522" s="270">
        <f ca="1"/>
        <v>1930.0394380006921</v>
      </c>
      <c r="H522" s="270">
        <f ca="1"/>
        <v>1264.5868124400026</v>
      </c>
      <c r="I522" s="270">
        <f ca="1"/>
        <v>854.92383280712045</v>
      </c>
      <c r="J522" s="270">
        <f ca="1"/>
        <v>603.54949339806001</v>
      </c>
      <c r="K522" s="270">
        <f ca="1"/>
        <v>435.95105261047019</v>
      </c>
      <c r="M522" s="4" t="str">
        <f t="shared" si="38"/>
        <v>$M(2015) per Mtonne</v>
      </c>
    </row>
    <row r="523" spans="1:13" s="2" customFormat="1" ht="15.5" thickTop="1" x14ac:dyDescent="0.4">
      <c r="A523" s="2" t="s">
        <v>339</v>
      </c>
      <c r="B523" s="2" t="s">
        <v>343</v>
      </c>
    </row>
    <row r="524" spans="1:13" s="7" customFormat="1" x14ac:dyDescent="0.25">
      <c r="A524" s="4" t="str">
        <f t="array" ref="A524:A531">R_CODE&amp;" "&amp;GLIN_NAME</f>
        <v>EU Lin</v>
      </c>
      <c r="B524" s="269">
        <f t="array" ref="B524:K531" ca="1">cmax_glin_b/(EXP(BHI_GLIN*(QMAX_GLIN-Q0_GLIN))-1)</f>
        <v>84.091869386198738</v>
      </c>
      <c r="C524" s="269">
        <f ca="1"/>
        <v>67.04968494614252</v>
      </c>
      <c r="D524" s="269">
        <f ca="1"/>
        <v>52.936137473380555</v>
      </c>
      <c r="E524" s="269">
        <f ca="1"/>
        <v>43.482908272273576</v>
      </c>
      <c r="F524" s="269">
        <f ca="1"/>
        <v>31.945147945291591</v>
      </c>
      <c r="G524" s="269">
        <f ca="1"/>
        <v>23.724964177336954</v>
      </c>
      <c r="H524" s="269">
        <f ca="1"/>
        <v>15.568377634549842</v>
      </c>
      <c r="I524" s="269">
        <f ca="1"/>
        <v>10.511353818951003</v>
      </c>
      <c r="J524" s="269">
        <f ca="1"/>
        <v>7.4046209731323431</v>
      </c>
      <c r="K524" s="269">
        <f ca="1"/>
        <v>5.3350160695866844</v>
      </c>
      <c r="M524" s="4" t="str">
        <f t="shared" ref="M524:M531" si="39">CURRENCY_NAME&amp;" per "&amp;EMIT_NAME</f>
        <v>$M(2015) per Mtonne</v>
      </c>
    </row>
    <row r="525" spans="1:13" s="7" customFormat="1" x14ac:dyDescent="0.25">
      <c r="A525" s="4" t="str">
        <v>US Lin</v>
      </c>
      <c r="B525" s="261">
        <f ca="1"/>
        <v>84.091869386198738</v>
      </c>
      <c r="C525" s="261">
        <f ca="1"/>
        <v>63.034976442882474</v>
      </c>
      <c r="D525" s="261">
        <f ca="1"/>
        <v>48.206251090874268</v>
      </c>
      <c r="E525" s="261">
        <f ca="1"/>
        <v>39.205343855229195</v>
      </c>
      <c r="F525" s="261">
        <f ca="1"/>
        <v>28.667345203564604</v>
      </c>
      <c r="G525" s="261">
        <f ca="1"/>
        <v>21.359991500537845</v>
      </c>
      <c r="H525" s="261">
        <f ca="1"/>
        <v>14.060985906641356</v>
      </c>
      <c r="I525" s="261">
        <f ca="1"/>
        <v>9.5091833031827768</v>
      </c>
      <c r="J525" s="261">
        <f ca="1"/>
        <v>6.7039454081059073</v>
      </c>
      <c r="K525" s="261">
        <f ca="1"/>
        <v>4.8324262221589169</v>
      </c>
      <c r="M525" s="4" t="str">
        <f t="shared" si="39"/>
        <v>$M(2015) per Mtonne</v>
      </c>
    </row>
    <row r="526" spans="1:13" s="7" customFormat="1" x14ac:dyDescent="0.25">
      <c r="A526" s="4" t="str">
        <v>OT Lin</v>
      </c>
      <c r="B526" s="261">
        <f ca="1"/>
        <v>103.71330557631183</v>
      </c>
      <c r="C526" s="261">
        <f ca="1"/>
        <v>82.91493845940829</v>
      </c>
      <c r="D526" s="261">
        <f ca="1"/>
        <v>65.56642663138814</v>
      </c>
      <c r="E526" s="261">
        <f ca="1"/>
        <v>53.886474538714722</v>
      </c>
      <c r="F526" s="261">
        <f ca="1"/>
        <v>39.598467544318765</v>
      </c>
      <c r="G526" s="261">
        <f ca="1"/>
        <v>29.403649715768168</v>
      </c>
      <c r="H526" s="261">
        <f ca="1"/>
        <v>19.291411724899337</v>
      </c>
      <c r="I526" s="261">
        <f ca="1"/>
        <v>13.023892702848292</v>
      </c>
      <c r="J526" s="261">
        <f ca="1"/>
        <v>9.1741643305010765</v>
      </c>
      <c r="K526" s="261">
        <f ca="1"/>
        <v>6.6098037825835227</v>
      </c>
      <c r="M526" s="4" t="str">
        <f t="shared" si="39"/>
        <v>$M(2015) per Mtonne</v>
      </c>
    </row>
    <row r="527" spans="1:13" s="7" customFormat="1" x14ac:dyDescent="0.25">
      <c r="A527" s="4" t="str">
        <v>EE Lin</v>
      </c>
      <c r="B527" s="261">
        <f ca="1"/>
        <v>58.864308570339126</v>
      </c>
      <c r="C527" s="261">
        <f ca="1"/>
        <v>47.96486364091966</v>
      </c>
      <c r="D527" s="261">
        <f ca="1"/>
        <v>38.290753698572026</v>
      </c>
      <c r="E527" s="261">
        <f ca="1"/>
        <v>31.400829403570235</v>
      </c>
      <c r="F527" s="261">
        <f ca="1"/>
        <v>22.909175283600934</v>
      </c>
      <c r="G527" s="261">
        <f ca="1"/>
        <v>16.813202965401111</v>
      </c>
      <c r="H527" s="261">
        <f ca="1"/>
        <v>10.932408632249153</v>
      </c>
      <c r="I527" s="261">
        <f ca="1"/>
        <v>7.3474207421765163</v>
      </c>
      <c r="J527" s="261">
        <f ca="1"/>
        <v>5.1645330918454295</v>
      </c>
      <c r="K527" s="261">
        <f ca="1"/>
        <v>3.7162952716744928</v>
      </c>
      <c r="M527" s="4" t="str">
        <f t="shared" si="39"/>
        <v>$M(2015) per Mtonne</v>
      </c>
    </row>
    <row r="528" spans="1:13" s="7" customFormat="1" x14ac:dyDescent="0.25">
      <c r="A528" s="4" t="str">
        <v>CA Lin</v>
      </c>
      <c r="B528" s="261">
        <f ca="1"/>
        <v>84.091869386198738</v>
      </c>
      <c r="C528" s="261">
        <f ca="1"/>
        <v>65.758360346572772</v>
      </c>
      <c r="D528" s="261">
        <f ca="1"/>
        <v>51.253631550904792</v>
      </c>
      <c r="E528" s="261">
        <f ca="1"/>
        <v>41.27991129806356</v>
      </c>
      <c r="F528" s="261">
        <f ca="1"/>
        <v>29.71354511342285</v>
      </c>
      <c r="G528" s="261">
        <f ca="1"/>
        <v>21.547486428333716</v>
      </c>
      <c r="H528" s="261">
        <f ca="1"/>
        <v>13.929724331405545</v>
      </c>
      <c r="I528" s="261">
        <f ca="1"/>
        <v>9.3355237754922609</v>
      </c>
      <c r="J528" s="261">
        <f ca="1"/>
        <v>6.5533573611424378</v>
      </c>
      <c r="K528" s="261">
        <f ca="1"/>
        <v>4.7120764824430008</v>
      </c>
      <c r="M528" s="4" t="str">
        <f t="shared" si="39"/>
        <v>$M(2015) per Mtonne</v>
      </c>
    </row>
    <row r="529" spans="1:13" s="7" customFormat="1" x14ac:dyDescent="0.25">
      <c r="A529" s="4" t="str">
        <v>IA Lin</v>
      </c>
      <c r="B529" s="261">
        <f ca="1"/>
        <v>103.71330557631178</v>
      </c>
      <c r="C529" s="261">
        <f ca="1"/>
        <v>82.59523194170157</v>
      </c>
      <c r="D529" s="261">
        <f ca="1"/>
        <v>65.07340935944157</v>
      </c>
      <c r="E529" s="261">
        <f ca="1"/>
        <v>52.775562727754107</v>
      </c>
      <c r="F529" s="261">
        <f ca="1"/>
        <v>38.196833851843195</v>
      </c>
      <c r="G529" s="261">
        <f ca="1"/>
        <v>27.811242929742495</v>
      </c>
      <c r="H529" s="261">
        <f ca="1"/>
        <v>18.018505184123118</v>
      </c>
      <c r="I529" s="261">
        <f ca="1"/>
        <v>12.088526763765032</v>
      </c>
      <c r="J529" s="261">
        <f ca="1"/>
        <v>8.4900791831138083</v>
      </c>
      <c r="K529" s="261">
        <f ca="1"/>
        <v>6.1063745486670769</v>
      </c>
      <c r="M529" s="4" t="str">
        <f t="shared" si="39"/>
        <v>$M(2015) per Mtonne</v>
      </c>
    </row>
    <row r="530" spans="1:13" s="7" customFormat="1" x14ac:dyDescent="0.25">
      <c r="A530" s="4" t="str">
        <v>AF Lin</v>
      </c>
      <c r="B530" s="261">
        <f ca="1"/>
        <v>103.71330557631177</v>
      </c>
      <c r="C530" s="261">
        <f ca="1"/>
        <v>83.680342242840297</v>
      </c>
      <c r="D530" s="261">
        <f ca="1"/>
        <v>66.633172944752843</v>
      </c>
      <c r="E530" s="261">
        <f ca="1"/>
        <v>54.688694457079848</v>
      </c>
      <c r="F530" s="261">
        <f ca="1"/>
        <v>39.880772117322088</v>
      </c>
      <c r="G530" s="261">
        <f ca="1"/>
        <v>29.029571172084193</v>
      </c>
      <c r="H530" s="261">
        <f ca="1"/>
        <v>18.760142669205425</v>
      </c>
      <c r="I530" s="261">
        <f ca="1"/>
        <v>12.570725359791421</v>
      </c>
      <c r="J530" s="261">
        <f ca="1"/>
        <v>8.8237282609582479</v>
      </c>
      <c r="K530" s="261">
        <f ca="1"/>
        <v>6.3442654027441447</v>
      </c>
      <c r="M530" s="4" t="str">
        <f t="shared" si="39"/>
        <v>$M(2015) per Mtonne</v>
      </c>
    </row>
    <row r="531" spans="1:13" s="7" customFormat="1" ht="13" thickBot="1" x14ac:dyDescent="0.3">
      <c r="A531" s="4" t="str">
        <v>LA Lin</v>
      </c>
      <c r="B531" s="270">
        <f ca="1"/>
        <v>58.864308570339112</v>
      </c>
      <c r="C531" s="270">
        <f ca="1"/>
        <v>47.998118941571775</v>
      </c>
      <c r="D531" s="270">
        <f ca="1"/>
        <v>38.456095608277252</v>
      </c>
      <c r="E531" s="270">
        <f ca="1"/>
        <v>31.56411008042582</v>
      </c>
      <c r="F531" s="270">
        <f ca="1"/>
        <v>23.0544799338549</v>
      </c>
      <c r="G531" s="270">
        <f ca="1"/>
        <v>16.832953767126412</v>
      </c>
      <c r="H531" s="270">
        <f ca="1"/>
        <v>10.908158620218076</v>
      </c>
      <c r="I531" s="270">
        <f ca="1"/>
        <v>7.3189866548938856</v>
      </c>
      <c r="J531" s="270">
        <f ca="1"/>
        <v>5.1405578691761873</v>
      </c>
      <c r="K531" s="270">
        <f ca="1"/>
        <v>3.6973798068854178</v>
      </c>
      <c r="M531" s="4" t="str">
        <f t="shared" si="39"/>
        <v>$M(2015) per Mtonne</v>
      </c>
    </row>
    <row r="532" spans="1:13" s="2" customFormat="1" ht="15.5" thickTop="1" x14ac:dyDescent="0.4">
      <c r="A532" s="2" t="s">
        <v>344</v>
      </c>
      <c r="B532" s="2" t="s">
        <v>345</v>
      </c>
    </row>
    <row r="533" spans="1:13" s="6" customFormat="1" x14ac:dyDescent="0.25">
      <c r="A533" s="4" t="str">
        <f t="array" ref="A533:A540">R_CODE&amp;" "&amp;'Base data'!$B$12</f>
        <v>EU CO2</v>
      </c>
      <c r="B533" s="29">
        <f t="array" aca="1" ref="B533:K540" ca="1">IF(Q0_CO2=0,0,(ALO_CO2/BLO_CO2)*(1-EXP(-BLO_CO2*Q0_CO2))-ALO_CO2*Q0_CO2)</f>
        <v>-15869.495059966888</v>
      </c>
      <c r="C533" s="29">
        <f ca="1"/>
        <v>-18104.100194210201</v>
      </c>
      <c r="D533" s="29">
        <f ca="1"/>
        <v>-19275.034500108781</v>
      </c>
      <c r="E533" s="29">
        <f ca="1"/>
        <v>-20546.575648155485</v>
      </c>
      <c r="F533" s="29">
        <f ca="1"/>
        <v>-22370.630108902038</v>
      </c>
      <c r="G533" s="29">
        <f ca="1"/>
        <v>-19785.777032007056</v>
      </c>
      <c r="H533" s="29">
        <f ca="1"/>
        <v>-16932.299162316947</v>
      </c>
      <c r="I533" s="29">
        <f ca="1"/>
        <v>-14463.445359606187</v>
      </c>
      <c r="J533" s="29">
        <f ca="1"/>
        <v>-12329.52101233264</v>
      </c>
      <c r="K533" s="29">
        <f ca="1"/>
        <v>-10487.068457759042</v>
      </c>
      <c r="M533" s="4" t="str">
        <f t="shared" ref="M533:M540" si="40">CURRENCY_NAME</f>
        <v>$M(2015)</v>
      </c>
    </row>
    <row r="534" spans="1:13" s="6" customFormat="1" x14ac:dyDescent="0.25">
      <c r="A534" s="4" t="str">
        <v>US CO2</v>
      </c>
      <c r="B534" s="26">
        <f ca="1"/>
        <v>-24157.135615607855</v>
      </c>
      <c r="C534" s="26">
        <f ca="1"/>
        <v>-27558.734662790259</v>
      </c>
      <c r="D534" s="26">
        <f ca="1"/>
        <v>-29341.174413876994</v>
      </c>
      <c r="E534" s="26">
        <f ca="1"/>
        <v>-31276.761641959485</v>
      </c>
      <c r="F534" s="26">
        <f ca="1"/>
        <v>-34053.405184302959</v>
      </c>
      <c r="G534" s="26">
        <f ca="1"/>
        <v>-30118.645692018043</v>
      </c>
      <c r="H534" s="26">
        <f ca="1"/>
        <v>-25774.975549158222</v>
      </c>
      <c r="I534" s="26">
        <f ca="1"/>
        <v>-22016.794466406285</v>
      </c>
      <c r="J534" s="26">
        <f ca="1"/>
        <v>-18768.455457777349</v>
      </c>
      <c r="K534" s="26">
        <f ca="1"/>
        <v>-15963.805652728635</v>
      </c>
      <c r="M534" s="4" t="str">
        <f t="shared" si="40"/>
        <v>$M(2015)</v>
      </c>
    </row>
    <row r="535" spans="1:13" s="6" customFormat="1" x14ac:dyDescent="0.25">
      <c r="A535" s="4" t="str">
        <v>OT CO2</v>
      </c>
      <c r="B535" s="26">
        <f ca="1"/>
        <v>-8792.9394378577454</v>
      </c>
      <c r="C535" s="26">
        <f ca="1"/>
        <v>-10031.085172090603</v>
      </c>
      <c r="D535" s="26">
        <f ca="1"/>
        <v>-10679.874210341053</v>
      </c>
      <c r="E535" s="26">
        <f ca="1"/>
        <v>-11384.40729505926</v>
      </c>
      <c r="F535" s="26">
        <f ca="1"/>
        <v>-12395.075898193261</v>
      </c>
      <c r="G535" s="26">
        <f ca="1"/>
        <v>-10962.865454507903</v>
      </c>
      <c r="H535" s="26">
        <f ca="1"/>
        <v>-9381.8158999605257</v>
      </c>
      <c r="I535" s="26">
        <f ca="1"/>
        <v>-8013.8781120139311</v>
      </c>
      <c r="J535" s="26">
        <f ca="1"/>
        <v>-6831.5173954540169</v>
      </c>
      <c r="K535" s="26">
        <f ca="1"/>
        <v>-5810.6548117187449</v>
      </c>
      <c r="M535" s="4" t="str">
        <f t="shared" si="40"/>
        <v>$M(2015)</v>
      </c>
    </row>
    <row r="536" spans="1:13" s="6" customFormat="1" x14ac:dyDescent="0.25">
      <c r="A536" s="4" t="str">
        <v>EE CO2</v>
      </c>
      <c r="B536" s="26">
        <f ca="1"/>
        <v>-9689.905700829393</v>
      </c>
      <c r="C536" s="26">
        <f ca="1"/>
        <v>-11611.475084524864</v>
      </c>
      <c r="D536" s="26">
        <f ca="1"/>
        <v>-13966.941315674687</v>
      </c>
      <c r="E536" s="26">
        <f ca="1"/>
        <v>-16513.001575107854</v>
      </c>
      <c r="F536" s="26">
        <f ca="1"/>
        <v>-20969.070273691945</v>
      </c>
      <c r="G536" s="26">
        <f ca="1"/>
        <v>-25905.435011579008</v>
      </c>
      <c r="H536" s="26">
        <f ca="1"/>
        <v>-22169.388386235154</v>
      </c>
      <c r="I536" s="26">
        <f ca="1"/>
        <v>-18936.928441106305</v>
      </c>
      <c r="J536" s="26">
        <f ca="1"/>
        <v>-16142.990229405259</v>
      </c>
      <c r="K536" s="26">
        <f ca="1"/>
        <v>-13730.674815296788</v>
      </c>
      <c r="M536" s="4" t="str">
        <f t="shared" si="40"/>
        <v>$M(2015)</v>
      </c>
    </row>
    <row r="537" spans="1:13" s="6" customFormat="1" x14ac:dyDescent="0.25">
      <c r="A537" s="4" t="str">
        <v>CA CO2</v>
      </c>
      <c r="B537" s="26">
        <f ca="1"/>
        <v>-26244.59860364586</v>
      </c>
      <c r="C537" s="26">
        <f ca="1"/>
        <v>-28543.669958170482</v>
      </c>
      <c r="D537" s="26">
        <f ca="1"/>
        <v>-33955.983609833696</v>
      </c>
      <c r="E537" s="26">
        <f ca="1"/>
        <v>-39914.574742868586</v>
      </c>
      <c r="F537" s="26">
        <f ca="1"/>
        <v>-47964.921673456513</v>
      </c>
      <c r="G537" s="26">
        <f ca="1"/>
        <v>-46568.472305757765</v>
      </c>
      <c r="H537" s="26">
        <f ca="1"/>
        <v>-39852.430528131576</v>
      </c>
      <c r="I537" s="26">
        <f ca="1"/>
        <v>-34041.652930035991</v>
      </c>
      <c r="J537" s="26">
        <f ca="1"/>
        <v>-29019.176597272501</v>
      </c>
      <c r="K537" s="26">
        <f ca="1"/>
        <v>-24682.718108756431</v>
      </c>
      <c r="M537" s="4" t="str">
        <f t="shared" si="40"/>
        <v>$M(2015)</v>
      </c>
    </row>
    <row r="538" spans="1:13" s="6" customFormat="1" x14ac:dyDescent="0.25">
      <c r="A538" s="4" t="str">
        <v>IA CO2</v>
      </c>
      <c r="B538" s="26">
        <f ca="1"/>
        <v>-15963.032505814685</v>
      </c>
      <c r="C538" s="26">
        <f ca="1"/>
        <v>-17361.421230280277</v>
      </c>
      <c r="D538" s="26">
        <f ca="1"/>
        <v>-20653.410567132341</v>
      </c>
      <c r="E538" s="26">
        <f ca="1"/>
        <v>-24277.668090822615</v>
      </c>
      <c r="F538" s="26">
        <f ca="1"/>
        <v>-29174.216583593552</v>
      </c>
      <c r="G538" s="26">
        <f ca="1"/>
        <v>-28324.839270343178</v>
      </c>
      <c r="H538" s="26">
        <f ca="1"/>
        <v>-24239.869451381535</v>
      </c>
      <c r="I538" s="26">
        <f ca="1"/>
        <v>-20705.518132723002</v>
      </c>
      <c r="J538" s="26">
        <f ca="1"/>
        <v>-17650.643711879282</v>
      </c>
      <c r="K538" s="26">
        <f ca="1"/>
        <v>-15013.033251238376</v>
      </c>
      <c r="M538" s="4" t="str">
        <f t="shared" si="40"/>
        <v>$M(2015)</v>
      </c>
    </row>
    <row r="539" spans="1:13" s="6" customFormat="1" x14ac:dyDescent="0.25">
      <c r="A539" s="4" t="str">
        <v>AF CO2</v>
      </c>
      <c r="B539" s="26">
        <f ca="1"/>
        <v>-14465.424140354193</v>
      </c>
      <c r="C539" s="26">
        <f ca="1"/>
        <v>-17742.780038390818</v>
      </c>
      <c r="D539" s="26">
        <f ca="1"/>
        <v>-22668.228952661786</v>
      </c>
      <c r="E539" s="26">
        <f ca="1"/>
        <v>-28347.64700843157</v>
      </c>
      <c r="F539" s="26">
        <f ca="1"/>
        <v>-39456.502958139812</v>
      </c>
      <c r="G539" s="26">
        <f ca="1"/>
        <v>-44066.932941772975</v>
      </c>
      <c r="H539" s="26">
        <f ca="1"/>
        <v>-37711.659770997154</v>
      </c>
      <c r="I539" s="26">
        <f ca="1"/>
        <v>-32213.022300702156</v>
      </c>
      <c r="J539" s="26">
        <f ca="1"/>
        <v>-27460.340565635532</v>
      </c>
      <c r="K539" s="26">
        <f ca="1"/>
        <v>-23356.825548790272</v>
      </c>
      <c r="M539" s="4" t="str">
        <f t="shared" si="40"/>
        <v>$M(2015)</v>
      </c>
    </row>
    <row r="540" spans="1:13" s="6" customFormat="1" ht="13" thickBot="1" x14ac:dyDescent="0.3">
      <c r="A540" s="4" t="str">
        <v>LA CO2</v>
      </c>
      <c r="B540" s="35">
        <f ca="1"/>
        <v>-9880.5882105962901</v>
      </c>
      <c r="C540" s="35">
        <f ca="1"/>
        <v>-11055.232917053916</v>
      </c>
      <c r="D540" s="35">
        <f ca="1"/>
        <v>-13246.328873781795</v>
      </c>
      <c r="E540" s="35">
        <f ca="1"/>
        <v>-16073.212741782378</v>
      </c>
      <c r="F540" s="35">
        <f ca="1"/>
        <v>-19102.994516980791</v>
      </c>
      <c r="G540" s="35">
        <f ca="1"/>
        <v>-12802.377278342825</v>
      </c>
      <c r="H540" s="35">
        <f ca="1"/>
        <v>-10956.035828922939</v>
      </c>
      <c r="I540" s="35">
        <f ca="1"/>
        <v>-9358.565192503449</v>
      </c>
      <c r="J540" s="35">
        <f ca="1"/>
        <v>-7977.8104951749738</v>
      </c>
      <c r="K540" s="35">
        <f ca="1"/>
        <v>-6785.6524776788592</v>
      </c>
      <c r="M540" s="4" t="str">
        <f t="shared" si="40"/>
        <v>$M(2015)</v>
      </c>
    </row>
    <row r="541" spans="1:13" s="2" customFormat="1" ht="15.5" thickTop="1" x14ac:dyDescent="0.4">
      <c r="A541" s="2" t="s">
        <v>344</v>
      </c>
      <c r="B541" s="2" t="s">
        <v>346</v>
      </c>
    </row>
    <row r="542" spans="1:13" s="6" customFormat="1" x14ac:dyDescent="0.25">
      <c r="A542" s="4" t="str">
        <f t="array" ref="A542:A549">R_CODE&amp;" "&amp;'Base data'!$C$12</f>
        <v>EU CH4</v>
      </c>
      <c r="B542" s="29">
        <f t="array" aca="1" ref="B542:K549" ca="1">IF(Q0_CH4=0,0,(ALO_CH4/BLO_CH4)*(1-EXP(-BLO_CH4*Q0_CH4))-ALO_CH4*Q0_CH4)</f>
        <v>-3951.8833767281194</v>
      </c>
      <c r="C542" s="29">
        <f ca="1"/>
        <v>-4095.105211558528</v>
      </c>
      <c r="D542" s="29">
        <f ca="1"/>
        <v>-4253.5095577771117</v>
      </c>
      <c r="E542" s="29">
        <f ca="1"/>
        <v>-4449.5706445273536</v>
      </c>
      <c r="F542" s="29">
        <f ca="1"/>
        <v>-4944.9813303920446</v>
      </c>
      <c r="G542" s="29">
        <f ca="1"/>
        <v>-5277.28590717306</v>
      </c>
      <c r="H542" s="29">
        <f ca="1"/>
        <v>-4435.1640459103082</v>
      </c>
      <c r="I542" s="29">
        <f ca="1"/>
        <v>-3713.0279607078655</v>
      </c>
      <c r="J542" s="29">
        <f ca="1"/>
        <v>-3094.8215756722434</v>
      </c>
      <c r="K542" s="29">
        <f ca="1"/>
        <v>-2566.5533099714712</v>
      </c>
      <c r="M542" s="4" t="str">
        <f t="shared" ref="M542:M549" si="41">CURRENCY_NAME</f>
        <v>$M(2015)</v>
      </c>
    </row>
    <row r="543" spans="1:13" s="6" customFormat="1" x14ac:dyDescent="0.25">
      <c r="A543" s="4" t="str">
        <v>US CH4</v>
      </c>
      <c r="B543" s="26">
        <f ca="1"/>
        <v>-5205.2175208653034</v>
      </c>
      <c r="C543" s="26">
        <f ca="1"/>
        <v>-5393.8619551671436</v>
      </c>
      <c r="D543" s="26">
        <f ca="1"/>
        <v>-5602.504012565314</v>
      </c>
      <c r="E543" s="26">
        <f ca="1"/>
        <v>-5860.745591737923</v>
      </c>
      <c r="F543" s="26">
        <f ca="1"/>
        <v>-6513.2750659811063</v>
      </c>
      <c r="G543" s="26">
        <f ca="1"/>
        <v>-6950.969562612825</v>
      </c>
      <c r="H543" s="26">
        <f ca="1"/>
        <v>-5841.7699610350737</v>
      </c>
      <c r="I543" s="26">
        <f ca="1"/>
        <v>-4890.6094522811654</v>
      </c>
      <c r="J543" s="26">
        <f ca="1"/>
        <v>-4076.3397990196818</v>
      </c>
      <c r="K543" s="26">
        <f ca="1"/>
        <v>-3380.5320106280642</v>
      </c>
      <c r="M543" s="4" t="str">
        <f t="shared" si="41"/>
        <v>$M(2015)</v>
      </c>
    </row>
    <row r="544" spans="1:13" s="6" customFormat="1" x14ac:dyDescent="0.25">
      <c r="A544" s="4" t="str">
        <v>OT CH4</v>
      </c>
      <c r="B544" s="26">
        <f ca="1"/>
        <v>-3674.5174923275531</v>
      </c>
      <c r="C544" s="26">
        <f ca="1"/>
        <v>-3807.6871957825424</v>
      </c>
      <c r="D544" s="26">
        <f ca="1"/>
        <v>-3954.9738147320104</v>
      </c>
      <c r="E544" s="26">
        <f ca="1"/>
        <v>-4137.2742077727034</v>
      </c>
      <c r="F544" s="26">
        <f ca="1"/>
        <v>-4597.9141248855813</v>
      </c>
      <c r="G544" s="26">
        <f ca="1"/>
        <v>-4906.8956569198817</v>
      </c>
      <c r="H544" s="26">
        <f ca="1"/>
        <v>-4123.8787470323841</v>
      </c>
      <c r="I544" s="26">
        <f ca="1"/>
        <v>-3452.4263219574768</v>
      </c>
      <c r="J544" s="26">
        <f ca="1"/>
        <v>-2877.6092134721775</v>
      </c>
      <c r="K544" s="26">
        <f ca="1"/>
        <v>-2386.4178502882401</v>
      </c>
      <c r="M544" s="4" t="str">
        <f t="shared" si="41"/>
        <v>$M(2015)</v>
      </c>
    </row>
    <row r="545" spans="1:13" s="6" customFormat="1" x14ac:dyDescent="0.25">
      <c r="A545" s="4" t="str">
        <v>EE CH4</v>
      </c>
      <c r="B545" s="26">
        <f ca="1"/>
        <v>-5416.5158554649988</v>
      </c>
      <c r="C545" s="26">
        <f ca="1"/>
        <v>-5684.4367010478582</v>
      </c>
      <c r="D545" s="26">
        <f ca="1"/>
        <v>-6546.5739380782798</v>
      </c>
      <c r="E545" s="26">
        <f ca="1"/>
        <v>-7217.2392330764169</v>
      </c>
      <c r="F545" s="26">
        <f ca="1"/>
        <v>-7613.8813336842186</v>
      </c>
      <c r="G545" s="26">
        <f ca="1"/>
        <v>-9426.6430612736021</v>
      </c>
      <c r="H545" s="26">
        <f ca="1"/>
        <v>-7922.3883477987838</v>
      </c>
      <c r="I545" s="26">
        <f ca="1"/>
        <v>-6632.460298303462</v>
      </c>
      <c r="J545" s="26">
        <f ca="1"/>
        <v>-5528.1784700231292</v>
      </c>
      <c r="K545" s="26">
        <f ca="1"/>
        <v>-4584.5501601393453</v>
      </c>
      <c r="M545" s="4" t="str">
        <f t="shared" si="41"/>
        <v>$M(2015)</v>
      </c>
    </row>
    <row r="546" spans="1:13" s="6" customFormat="1" x14ac:dyDescent="0.25">
      <c r="A546" s="4" t="str">
        <v>CA CH4</v>
      </c>
      <c r="B546" s="26">
        <f ca="1"/>
        <v>-7626.3668062658608</v>
      </c>
      <c r="C546" s="26">
        <f ca="1"/>
        <v>-8082.850659899108</v>
      </c>
      <c r="D546" s="26">
        <f ca="1"/>
        <v>-9197.9815208874352</v>
      </c>
      <c r="E546" s="26">
        <f ca="1"/>
        <v>-10604.429237242117</v>
      </c>
      <c r="F546" s="26">
        <f ca="1"/>
        <v>-12255.15910427278</v>
      </c>
      <c r="G546" s="26">
        <f ca="1"/>
        <v>-12300.062175818692</v>
      </c>
      <c r="H546" s="26">
        <f ca="1"/>
        <v>-10337.282171978301</v>
      </c>
      <c r="I546" s="26">
        <f ca="1"/>
        <v>-8654.1596533898683</v>
      </c>
      <c r="J546" s="26">
        <f ca="1"/>
        <v>-7213.2718358299553</v>
      </c>
      <c r="K546" s="26">
        <f ca="1"/>
        <v>-5982.0077679121096</v>
      </c>
      <c r="M546" s="4" t="str">
        <f t="shared" si="41"/>
        <v>$M(2015)</v>
      </c>
    </row>
    <row r="547" spans="1:13" s="6" customFormat="1" x14ac:dyDescent="0.25">
      <c r="A547" s="4" t="str">
        <v>IA CH4</v>
      </c>
      <c r="B547" s="26">
        <f ca="1"/>
        <v>-9598.7030492656522</v>
      </c>
      <c r="C547" s="26">
        <f ca="1"/>
        <v>-10173.243071941984</v>
      </c>
      <c r="D547" s="26">
        <f ca="1"/>
        <v>-11576.769845254876</v>
      </c>
      <c r="E547" s="26">
        <f ca="1"/>
        <v>-13346.954039977147</v>
      </c>
      <c r="F547" s="26">
        <f ca="1"/>
        <v>-15424.596803653672</v>
      </c>
      <c r="G547" s="26">
        <f ca="1"/>
        <v>-15481.112738530417</v>
      </c>
      <c r="H547" s="26">
        <f ca="1"/>
        <v>-13010.717216455449</v>
      </c>
      <c r="I547" s="26">
        <f ca="1"/>
        <v>-10892.304391335525</v>
      </c>
      <c r="J547" s="26">
        <f ca="1"/>
        <v>-9078.7731726825295</v>
      </c>
      <c r="K547" s="26">
        <f ca="1"/>
        <v>-7529.0787423721376</v>
      </c>
      <c r="M547" s="4" t="str">
        <f t="shared" si="41"/>
        <v>$M(2015)</v>
      </c>
    </row>
    <row r="548" spans="1:13" s="6" customFormat="1" x14ac:dyDescent="0.25">
      <c r="A548" s="4" t="str">
        <v>AF CH4</v>
      </c>
      <c r="B548" s="26">
        <f ca="1"/>
        <v>-10397.126821624262</v>
      </c>
      <c r="C548" s="26">
        <f ca="1"/>
        <v>-12909.478398541349</v>
      </c>
      <c r="D548" s="26">
        <f ca="1"/>
        <v>-15663.307969181607</v>
      </c>
      <c r="E548" s="26">
        <f ca="1"/>
        <v>-17688.843256278938</v>
      </c>
      <c r="F548" s="26">
        <f ca="1"/>
        <v>-18427.999357674107</v>
      </c>
      <c r="G548" s="26">
        <f ca="1"/>
        <v>-18361.615005993001</v>
      </c>
      <c r="H548" s="26">
        <f ca="1"/>
        <v>-15431.563900818004</v>
      </c>
      <c r="I548" s="26">
        <f ca="1"/>
        <v>-12918.987358319264</v>
      </c>
      <c r="J548" s="26">
        <f ca="1"/>
        <v>-10768.020396146192</v>
      </c>
      <c r="K548" s="26">
        <f ca="1"/>
        <v>-8929.9811681602987</v>
      </c>
      <c r="M548" s="4" t="str">
        <f t="shared" si="41"/>
        <v>$M(2015)</v>
      </c>
    </row>
    <row r="549" spans="1:13" s="6" customFormat="1" ht="13" thickBot="1" x14ac:dyDescent="0.3">
      <c r="A549" s="4" t="str">
        <v>LA CH4</v>
      </c>
      <c r="B549" s="35">
        <f ca="1"/>
        <v>-8309.5586543795489</v>
      </c>
      <c r="C549" s="35">
        <f ca="1"/>
        <v>-9512.8400115964505</v>
      </c>
      <c r="D549" s="35">
        <f ca="1"/>
        <v>-10481.921398893137</v>
      </c>
      <c r="E549" s="35">
        <f ca="1"/>
        <v>-11067.392687678204</v>
      </c>
      <c r="F549" s="35">
        <f ca="1"/>
        <v>-10282.10627249235</v>
      </c>
      <c r="G549" s="35">
        <f ca="1"/>
        <v>-9158.5924398314655</v>
      </c>
      <c r="H549" s="35">
        <f ca="1"/>
        <v>-7697.1118515816324</v>
      </c>
      <c r="I549" s="35">
        <f ca="1"/>
        <v>-6443.8634570849563</v>
      </c>
      <c r="J549" s="35">
        <f ca="1"/>
        <v>-5370.9823542159675</v>
      </c>
      <c r="K549" s="35">
        <f ca="1"/>
        <v>-4454.1865183349228</v>
      </c>
      <c r="M549" s="4" t="str">
        <f t="shared" si="41"/>
        <v>$M(2015)</v>
      </c>
    </row>
    <row r="550" spans="1:13" s="2" customFormat="1" ht="15.5" thickTop="1" x14ac:dyDescent="0.4">
      <c r="A550" s="2" t="s">
        <v>344</v>
      </c>
      <c r="B550" s="2" t="s">
        <v>347</v>
      </c>
    </row>
    <row r="551" spans="1:13" s="7" customFormat="1" x14ac:dyDescent="0.25">
      <c r="A551" s="4" t="str">
        <f t="array" ref="A551:A558">R_CODE&amp;" "&amp;'Base data'!$D$12</f>
        <v>EU N2O</v>
      </c>
      <c r="B551" s="29">
        <f t="array" aca="1" ref="B551:K558" ca="1">IF(Q0_N2O=0,0,(ALO_N2O/BLO_N2O)*(1-EXP(-BLO_N2O*Q0_N2O))-ALO_N2O*Q0_N2O)</f>
        <v>-408.19320311850402</v>
      </c>
      <c r="C551" s="29">
        <f ca="1"/>
        <v>-425.35816085223451</v>
      </c>
      <c r="D551" s="29">
        <f ca="1"/>
        <v>-448.20807715603502</v>
      </c>
      <c r="E551" s="29">
        <f ca="1"/>
        <v>-450.40510693942355</v>
      </c>
      <c r="F551" s="29">
        <f ca="1"/>
        <v>-439.09480516109704</v>
      </c>
      <c r="G551" s="29">
        <f ca="1"/>
        <v>-419.30891431756964</v>
      </c>
      <c r="H551" s="29">
        <f ca="1"/>
        <v>-369.60314492106528</v>
      </c>
      <c r="I551" s="29">
        <f ca="1"/>
        <v>-325.7370409412992</v>
      </c>
      <c r="J551" s="29">
        <f ca="1"/>
        <v>-287.02964068757382</v>
      </c>
      <c r="K551" s="29">
        <f ca="1"/>
        <v>-252.87888807170648</v>
      </c>
      <c r="M551" s="4" t="str">
        <f t="shared" ref="M551:M558" si="42">CURRENCY_NAME</f>
        <v>$M(2015)</v>
      </c>
    </row>
    <row r="552" spans="1:13" s="7" customFormat="1" x14ac:dyDescent="0.25">
      <c r="A552" s="4" t="str">
        <v>US N2O</v>
      </c>
      <c r="B552" s="26">
        <f ca="1"/>
        <v>-390.03714164376845</v>
      </c>
      <c r="C552" s="26">
        <f ca="1"/>
        <v>-406.43861770890692</v>
      </c>
      <c r="D552" s="26">
        <f ca="1"/>
        <v>-428.27219057059506</v>
      </c>
      <c r="E552" s="26">
        <f ca="1"/>
        <v>-430.37149847252095</v>
      </c>
      <c r="F552" s="26">
        <f ca="1"/>
        <v>-419.56426860430048</v>
      </c>
      <c r="G552" s="26">
        <f ca="1"/>
        <v>-400.65843614426154</v>
      </c>
      <c r="H552" s="26">
        <f ca="1"/>
        <v>-353.16353404764698</v>
      </c>
      <c r="I552" s="26">
        <f ca="1"/>
        <v>-311.24855437477561</v>
      </c>
      <c r="J552" s="26">
        <f ca="1"/>
        <v>-274.26282399003577</v>
      </c>
      <c r="K552" s="26">
        <f ca="1"/>
        <v>-241.63106571107861</v>
      </c>
      <c r="M552" s="4" t="str">
        <f t="shared" si="42"/>
        <v>$M(2015)</v>
      </c>
    </row>
    <row r="553" spans="1:13" s="7" customFormat="1" x14ac:dyDescent="0.25">
      <c r="A553" s="4" t="str">
        <v>OT N2O</v>
      </c>
      <c r="B553" s="26">
        <f ca="1"/>
        <v>-193.52380578726846</v>
      </c>
      <c r="C553" s="26">
        <f ca="1"/>
        <v>-201.66168736253996</v>
      </c>
      <c r="D553" s="26">
        <f ca="1"/>
        <v>-212.49479955365177</v>
      </c>
      <c r="E553" s="26">
        <f ca="1"/>
        <v>-213.53640818863411</v>
      </c>
      <c r="F553" s="26">
        <f ca="1"/>
        <v>-208.17421051355717</v>
      </c>
      <c r="G553" s="26">
        <f ca="1"/>
        <v>-198.79374835084133</v>
      </c>
      <c r="H553" s="26">
        <f ca="1"/>
        <v>-175.22831514493063</v>
      </c>
      <c r="I553" s="26">
        <f ca="1"/>
        <v>-154.43145884656673</v>
      </c>
      <c r="J553" s="26">
        <f ca="1"/>
        <v>-136.08033650546949</v>
      </c>
      <c r="K553" s="26">
        <f ca="1"/>
        <v>-119.88951420311119</v>
      </c>
      <c r="M553" s="4" t="str">
        <f t="shared" si="42"/>
        <v>$M(2015)</v>
      </c>
    </row>
    <row r="554" spans="1:13" s="7" customFormat="1" x14ac:dyDescent="0.25">
      <c r="A554" s="4" t="str">
        <v>EE N2O</v>
      </c>
      <c r="B554" s="26">
        <f ca="1"/>
        <v>-109.48143583564428</v>
      </c>
      <c r="C554" s="26">
        <f ca="1"/>
        <v>-118.11656047017428</v>
      </c>
      <c r="D554" s="26">
        <f ca="1"/>
        <v>-124.24768071613265</v>
      </c>
      <c r="E554" s="26">
        <f ca="1"/>
        <v>-125.49934160407865</v>
      </c>
      <c r="F554" s="26">
        <f ca="1"/>
        <v>-125.43215778489778</v>
      </c>
      <c r="G554" s="26">
        <f ca="1"/>
        <v>-145.27243969511167</v>
      </c>
      <c r="H554" s="26">
        <f ca="1"/>
        <v>-128.0515361068708</v>
      </c>
      <c r="I554" s="26">
        <f ca="1"/>
        <v>-112.85382452129326</v>
      </c>
      <c r="J554" s="26">
        <f ca="1"/>
        <v>-99.443381105689824</v>
      </c>
      <c r="K554" s="26">
        <f ca="1"/>
        <v>-87.611619412748951</v>
      </c>
      <c r="M554" s="4" t="str">
        <f t="shared" si="42"/>
        <v>$M(2015)</v>
      </c>
    </row>
    <row r="555" spans="1:13" s="7" customFormat="1" x14ac:dyDescent="0.25">
      <c r="A555" s="4" t="str">
        <v>CA N2O</v>
      </c>
      <c r="B555" s="26">
        <f ca="1"/>
        <v>-557.0974632700528</v>
      </c>
      <c r="C555" s="26">
        <f ca="1"/>
        <v>-608.96870997681083</v>
      </c>
      <c r="D555" s="26">
        <f ca="1"/>
        <v>-662.75579542905848</v>
      </c>
      <c r="E555" s="26">
        <f ca="1"/>
        <v>-687.58471027282019</v>
      </c>
      <c r="F555" s="26">
        <f ca="1"/>
        <v>-708.4025392380322</v>
      </c>
      <c r="G555" s="26">
        <f ca="1"/>
        <v>-771.2483146696261</v>
      </c>
      <c r="H555" s="26">
        <f ca="1"/>
        <v>-679.82290116797776</v>
      </c>
      <c r="I555" s="26">
        <f ca="1"/>
        <v>-599.13857128536938</v>
      </c>
      <c r="J555" s="26">
        <f ca="1"/>
        <v>-527.94281037598216</v>
      </c>
      <c r="K555" s="26">
        <f ca="1"/>
        <v>-465.12823739569257</v>
      </c>
      <c r="M555" s="4" t="str">
        <f t="shared" si="42"/>
        <v>$M(2015)</v>
      </c>
    </row>
    <row r="556" spans="1:13" s="7" customFormat="1" x14ac:dyDescent="0.25">
      <c r="A556" s="4" t="str">
        <v>IA N2O</v>
      </c>
      <c r="B556" s="26">
        <f ca="1"/>
        <v>-233.55420322168652</v>
      </c>
      <c r="C556" s="26">
        <f ca="1"/>
        <v>-255.3003939575072</v>
      </c>
      <c r="D556" s="26">
        <f ca="1"/>
        <v>-277.84976945219864</v>
      </c>
      <c r="E556" s="26">
        <f ca="1"/>
        <v>-288.25889497424907</v>
      </c>
      <c r="F556" s="26">
        <f ca="1"/>
        <v>-296.98643688089481</v>
      </c>
      <c r="G556" s="26">
        <f ca="1"/>
        <v>-323.33352329665172</v>
      </c>
      <c r="H556" s="26">
        <f ca="1"/>
        <v>-285.00488062207546</v>
      </c>
      <c r="I556" s="26">
        <f ca="1"/>
        <v>-251.17926549972904</v>
      </c>
      <c r="J556" s="26">
        <f ca="1"/>
        <v>-221.3315811926598</v>
      </c>
      <c r="K556" s="26">
        <f ca="1"/>
        <v>-194.99757590567026</v>
      </c>
      <c r="M556" s="4" t="str">
        <f t="shared" si="42"/>
        <v>$M(2015)</v>
      </c>
    </row>
    <row r="557" spans="1:13" s="7" customFormat="1" x14ac:dyDescent="0.25">
      <c r="A557" s="4" t="str">
        <v>AF N2O</v>
      </c>
      <c r="B557" s="26">
        <f ca="1"/>
        <v>-483.25527341661291</v>
      </c>
      <c r="C557" s="26">
        <f ca="1"/>
        <v>-572.63327247066059</v>
      </c>
      <c r="D557" s="26">
        <f ca="1"/>
        <v>-647.49401719623029</v>
      </c>
      <c r="E557" s="26">
        <f ca="1"/>
        <v>-702.65706332447121</v>
      </c>
      <c r="F557" s="26">
        <f ca="1"/>
        <v>-836.30307646991696</v>
      </c>
      <c r="G557" s="26">
        <f ca="1"/>
        <v>-913.69680455135619</v>
      </c>
      <c r="H557" s="26">
        <f ca="1"/>
        <v>-805.38524447096165</v>
      </c>
      <c r="I557" s="26">
        <f ca="1"/>
        <v>-709.79863119883248</v>
      </c>
      <c r="J557" s="26">
        <f ca="1"/>
        <v>-625.45311237799092</v>
      </c>
      <c r="K557" s="26">
        <f ca="1"/>
        <v>-551.03677522731095</v>
      </c>
      <c r="M557" s="4" t="str">
        <f t="shared" si="42"/>
        <v>$M(2015)</v>
      </c>
    </row>
    <row r="558" spans="1:13" s="7" customFormat="1" ht="13" thickBot="1" x14ac:dyDescent="0.3">
      <c r="A558" s="4" t="str">
        <v>LA N2O</v>
      </c>
      <c r="B558" s="35">
        <f ca="1"/>
        <v>-472.59410377968942</v>
      </c>
      <c r="C558" s="35">
        <f ca="1"/>
        <v>-527.82510063454743</v>
      </c>
      <c r="D558" s="35">
        <f ca="1"/>
        <v>-580.8331290780792</v>
      </c>
      <c r="E558" s="35">
        <f ca="1"/>
        <v>-600.25472687952401</v>
      </c>
      <c r="F558" s="35">
        <f ca="1"/>
        <v>-602.73350173631275</v>
      </c>
      <c r="G558" s="35">
        <f ca="1"/>
        <v>-551.70199863537709</v>
      </c>
      <c r="H558" s="35">
        <f ca="1"/>
        <v>-486.30207179530146</v>
      </c>
      <c r="I558" s="35">
        <f ca="1"/>
        <v>-428.58563312294052</v>
      </c>
      <c r="J558" s="35">
        <f ca="1"/>
        <v>-377.6567132913284</v>
      </c>
      <c r="K558" s="35">
        <f ca="1"/>
        <v>-332.72316232272965</v>
      </c>
      <c r="M558" s="4" t="str">
        <f t="shared" si="42"/>
        <v>$M(2015)</v>
      </c>
    </row>
    <row r="559" spans="1:13" s="2" customFormat="1" ht="15.5" thickTop="1" x14ac:dyDescent="0.4">
      <c r="A559" s="2" t="s">
        <v>344</v>
      </c>
      <c r="B559" s="2" t="s">
        <v>348</v>
      </c>
    </row>
    <row r="560" spans="1:13" s="7" customFormat="1" x14ac:dyDescent="0.25">
      <c r="A560" s="4" t="str">
        <f t="array" ref="A560:A567">R_CODE&amp;" "&amp;GLIN_NAME</f>
        <v>EU Lin</v>
      </c>
      <c r="B560" s="32">
        <f t="array" aca="1" ref="B560:K567" ca="1">IF(Q0_GLIN=0,0,(ALO_GLIN/BLO_GLIN)*(1-EXP(-BLO_GLIN*Q0_GLIN))-ALO_GLIN*Q0_GLIN)</f>
        <v>-1154.029597219796</v>
      </c>
      <c r="C560" s="32">
        <f ca="1"/>
        <v>-1348.9329698587949</v>
      </c>
      <c r="D560" s="32">
        <f ca="1"/>
        <v>-1340.5530204378308</v>
      </c>
      <c r="E560" s="32">
        <f ca="1"/>
        <v>-1267.0016265323766</v>
      </c>
      <c r="F560" s="32">
        <f ca="1"/>
        <v>-1161.6323511344121</v>
      </c>
      <c r="G560" s="32">
        <f ca="1"/>
        <v>-1158.7979151540949</v>
      </c>
      <c r="H560" s="32">
        <f ca="1"/>
        <v>-1034.4056384947914</v>
      </c>
      <c r="I560" s="32">
        <f ca="1"/>
        <v>-923.36637040594871</v>
      </c>
      <c r="J560" s="32">
        <f ca="1"/>
        <v>-824.24671934050889</v>
      </c>
      <c r="K560" s="32">
        <f ca="1"/>
        <v>-735.76716254557505</v>
      </c>
      <c r="M560" s="4" t="str">
        <f t="shared" ref="M560:M567" si="43">CURRENCY_NAME</f>
        <v>$M(2015)</v>
      </c>
    </row>
    <row r="561" spans="1:13" s="7" customFormat="1" x14ac:dyDescent="0.25">
      <c r="A561" s="4" t="str">
        <v>US Lin</v>
      </c>
      <c r="B561" s="33">
        <f ca="1"/>
        <v>-3254.5319416889406</v>
      </c>
      <c r="C561" s="33">
        <f ca="1"/>
        <v>-3804.1879066006541</v>
      </c>
      <c r="D561" s="33">
        <f ca="1"/>
        <v>-3780.5552258392877</v>
      </c>
      <c r="E561" s="33">
        <f ca="1"/>
        <v>-3573.1295572102235</v>
      </c>
      <c r="F561" s="33">
        <f ca="1"/>
        <v>-3275.9728176591311</v>
      </c>
      <c r="G561" s="33">
        <f ca="1"/>
        <v>-3267.9792943934908</v>
      </c>
      <c r="H561" s="33">
        <f ca="1"/>
        <v>-2917.1749141051359</v>
      </c>
      <c r="I561" s="33">
        <f ca="1"/>
        <v>-2604.0279673998584</v>
      </c>
      <c r="J561" s="33">
        <f ca="1"/>
        <v>-2324.4960808531941</v>
      </c>
      <c r="K561" s="33">
        <f ca="1"/>
        <v>-2074.970813503618</v>
      </c>
      <c r="M561" s="4" t="str">
        <f t="shared" si="43"/>
        <v>$M(2015)</v>
      </c>
    </row>
    <row r="562" spans="1:13" s="7" customFormat="1" x14ac:dyDescent="0.25">
      <c r="A562" s="4" t="str">
        <v>OT Lin</v>
      </c>
      <c r="B562" s="33">
        <f ca="1"/>
        <v>-1081.9988544923081</v>
      </c>
      <c r="C562" s="33">
        <f ca="1"/>
        <v>-1264.7369978121449</v>
      </c>
      <c r="D562" s="33">
        <f ca="1"/>
        <v>-1256.8800973513332</v>
      </c>
      <c r="E562" s="33">
        <f ca="1"/>
        <v>-1187.9195402358673</v>
      </c>
      <c r="F562" s="33">
        <f ca="1"/>
        <v>-1089.1270694414043</v>
      </c>
      <c r="G562" s="33">
        <f ca="1"/>
        <v>-1086.4695496592226</v>
      </c>
      <c r="H562" s="33">
        <f ca="1"/>
        <v>-969.8414309547228</v>
      </c>
      <c r="I562" s="33">
        <f ca="1"/>
        <v>-865.732869817959</v>
      </c>
      <c r="J562" s="33">
        <f ca="1"/>
        <v>-772.79994230132002</v>
      </c>
      <c r="K562" s="33">
        <f ca="1"/>
        <v>-689.8429892658495</v>
      </c>
      <c r="M562" s="4" t="str">
        <f t="shared" si="43"/>
        <v>$M(2015)</v>
      </c>
    </row>
    <row r="563" spans="1:13" s="7" customFormat="1" x14ac:dyDescent="0.25">
      <c r="A563" s="4" t="str">
        <v>EE Lin</v>
      </c>
      <c r="B563" s="33">
        <f ca="1"/>
        <v>-330.25314313037529</v>
      </c>
      <c r="C563" s="33">
        <f ca="1"/>
        <v>-456.7280364036269</v>
      </c>
      <c r="D563" s="33">
        <f ca="1"/>
        <v>-582.26316718631051</v>
      </c>
      <c r="E563" s="33">
        <f ca="1"/>
        <v>-689.20160112512019</v>
      </c>
      <c r="F563" s="33">
        <f ca="1"/>
        <v>-800.42216027813822</v>
      </c>
      <c r="G563" s="33">
        <f ca="1"/>
        <v>-868.27201374264143</v>
      </c>
      <c r="H563" s="33">
        <f ca="1"/>
        <v>-775.06651937942274</v>
      </c>
      <c r="I563" s="33">
        <f ca="1"/>
        <v>-691.86625844765535</v>
      </c>
      <c r="J563" s="33">
        <f ca="1"/>
        <v>-617.59720954225315</v>
      </c>
      <c r="K563" s="33">
        <f ca="1"/>
        <v>-551.30064311878164</v>
      </c>
      <c r="M563" s="4" t="str">
        <f t="shared" si="43"/>
        <v>$M(2015)</v>
      </c>
    </row>
    <row r="564" spans="1:13" s="7" customFormat="1" x14ac:dyDescent="0.25">
      <c r="A564" s="4" t="str">
        <v>CA Lin</v>
      </c>
      <c r="B564" s="33">
        <f ca="1"/>
        <v>-1011.201821753046</v>
      </c>
      <c r="C564" s="33">
        <f ca="1"/>
        <v>-1295.7744399072972</v>
      </c>
      <c r="D564" s="33">
        <f ca="1"/>
        <v>-1722.7792204146908</v>
      </c>
      <c r="E564" s="33">
        <f ca="1"/>
        <v>-1955.9666059733609</v>
      </c>
      <c r="F564" s="33">
        <f ca="1"/>
        <v>-2385.5531911254711</v>
      </c>
      <c r="G564" s="33">
        <f ca="1"/>
        <v>-2524.7333703235654</v>
      </c>
      <c r="H564" s="33">
        <f ca="1"/>
        <v>-2253.7134385604845</v>
      </c>
      <c r="I564" s="33">
        <f ca="1"/>
        <v>-2011.7864020219979</v>
      </c>
      <c r="J564" s="33">
        <f ca="1"/>
        <v>-1795.829255890555</v>
      </c>
      <c r="K564" s="33">
        <f ca="1"/>
        <v>-1603.0542373042442</v>
      </c>
      <c r="M564" s="4" t="str">
        <f t="shared" si="43"/>
        <v>$M(2015)</v>
      </c>
    </row>
    <row r="565" spans="1:13" s="7" customFormat="1" x14ac:dyDescent="0.25">
      <c r="A565" s="4" t="str">
        <v>IA Lin</v>
      </c>
      <c r="B565" s="33">
        <f ca="1"/>
        <v>-706.35900966481813</v>
      </c>
      <c r="C565" s="33">
        <f ca="1"/>
        <v>-905.14270290291347</v>
      </c>
      <c r="D565" s="33">
        <f ca="1"/>
        <v>-1203.4201262549122</v>
      </c>
      <c r="E565" s="33">
        <f ca="1"/>
        <v>-1366.3094794841199</v>
      </c>
      <c r="F565" s="33">
        <f ca="1"/>
        <v>-1666.3903815608985</v>
      </c>
      <c r="G565" s="33">
        <f ca="1"/>
        <v>-1763.6124903708906</v>
      </c>
      <c r="H565" s="33">
        <f ca="1"/>
        <v>-1574.2958114632963</v>
      </c>
      <c r="I565" s="33">
        <f ca="1"/>
        <v>-1405.301513525606</v>
      </c>
      <c r="J565" s="33">
        <f ca="1"/>
        <v>-1254.4480710278526</v>
      </c>
      <c r="K565" s="33">
        <f ca="1"/>
        <v>-1119.788136396131</v>
      </c>
      <c r="M565" s="4" t="str">
        <f t="shared" si="43"/>
        <v>$M(2015)</v>
      </c>
    </row>
    <row r="566" spans="1:13" s="7" customFormat="1" x14ac:dyDescent="0.25">
      <c r="A566" s="4" t="str">
        <v>AF Lin</v>
      </c>
      <c r="B566" s="33">
        <f ca="1"/>
        <v>-469.1743317446344</v>
      </c>
      <c r="C566" s="33">
        <f ca="1"/>
        <v>-587.57364344357848</v>
      </c>
      <c r="D566" s="33">
        <f ca="1"/>
        <v>-686.24553346330322</v>
      </c>
      <c r="E566" s="33">
        <f ca="1"/>
        <v>-815.60458923052533</v>
      </c>
      <c r="F566" s="33">
        <f ca="1"/>
        <v>-1137.0940709165902</v>
      </c>
      <c r="G566" s="33">
        <f ca="1"/>
        <v>-1272.1375265360284</v>
      </c>
      <c r="H566" s="33">
        <f ca="1"/>
        <v>-1135.5787002902043</v>
      </c>
      <c r="I566" s="33">
        <f ca="1"/>
        <v>-1013.6789125812079</v>
      </c>
      <c r="J566" s="33">
        <f ca="1"/>
        <v>-904.86457481918728</v>
      </c>
      <c r="K566" s="33">
        <f ca="1"/>
        <v>-807.73101679484148</v>
      </c>
      <c r="M566" s="4" t="str">
        <f t="shared" si="43"/>
        <v>$M(2015)</v>
      </c>
    </row>
    <row r="567" spans="1:13" s="7" customFormat="1" ht="13" thickBot="1" x14ac:dyDescent="0.3">
      <c r="A567" s="4" t="str">
        <v>LA Lin</v>
      </c>
      <c r="B567" s="34">
        <f ca="1"/>
        <v>-355.59690229502291</v>
      </c>
      <c r="C567" s="34">
        <f ca="1"/>
        <v>-427.76664890093133</v>
      </c>
      <c r="D567" s="34">
        <f ca="1"/>
        <v>-547.47780237799225</v>
      </c>
      <c r="E567" s="34">
        <f ca="1"/>
        <v>-627.00884167529875</v>
      </c>
      <c r="F567" s="34">
        <f ca="1"/>
        <v>-861.30089294206721</v>
      </c>
      <c r="G567" s="34">
        <f ca="1"/>
        <v>-947.10747145345954</v>
      </c>
      <c r="H567" s="34">
        <f ca="1"/>
        <v>-845.43930906341518</v>
      </c>
      <c r="I567" s="34">
        <f ca="1"/>
        <v>-754.68481334300986</v>
      </c>
      <c r="J567" s="34">
        <f ca="1"/>
        <v>-673.67244624753164</v>
      </c>
      <c r="K567" s="34">
        <f ca="1"/>
        <v>-601.3564296103865</v>
      </c>
      <c r="M567" s="4" t="str">
        <f t="shared" si="43"/>
        <v>$M(2015)</v>
      </c>
    </row>
    <row r="568" spans="1:13" s="2" customFormat="1" ht="15.5" thickTop="1" x14ac:dyDescent="0.4">
      <c r="A568" s="2" t="s">
        <v>349</v>
      </c>
      <c r="B568" s="2" t="s">
        <v>350</v>
      </c>
    </row>
    <row r="569" spans="1:13" s="6" customFormat="1" x14ac:dyDescent="0.25">
      <c r="A569" s="4" t="str">
        <f t="array" ref="A569:A576">R_CODE&amp;" "&amp;'Base data'!$B$12</f>
        <v>EU CO2</v>
      </c>
      <c r="B569" s="267">
        <f t="array" aca="1" ref="B569:K576" ca="1">IF(cbe_co2_b&lt;Q0_CO2,ALO_CO2*(EXP(BLO_CO2*(cbe_co2_b-Q0_CO2))-1),ahi_co2_b*(EXP(BHI_CO2*(cbe_co2_b-Q0_CO2))-1))</f>
        <v>5.4095119842871968</v>
      </c>
      <c r="C569" s="267">
        <f ca="1"/>
        <v>61.139548252672647</v>
      </c>
      <c r="D569" s="267">
        <f ca="1"/>
        <v>136.06797465792209</v>
      </c>
      <c r="E569" s="267">
        <f ca="1"/>
        <v>161.26541488790463</v>
      </c>
      <c r="F569" s="267">
        <f ca="1"/>
        <v>164.47639297538601</v>
      </c>
      <c r="G569" s="267">
        <f ca="1"/>
        <v>114.12244407734686</v>
      </c>
      <c r="H569" s="267">
        <f ca="1"/>
        <v>63.792080742503124</v>
      </c>
      <c r="I569" s="267">
        <f ca="1"/>
        <v>37.309090119417526</v>
      </c>
      <c r="J569" s="267">
        <f ca="1"/>
        <v>22.987239539080427</v>
      </c>
      <c r="K569" s="267">
        <f ca="1"/>
        <v>14.583710797714009</v>
      </c>
      <c r="M569" s="4" t="str">
        <f t="shared" ref="M569:M576" si="44">CURRENCY_NAME&amp;" per "&amp;EMIT_NAME</f>
        <v>$M(2015) per Mtonne</v>
      </c>
    </row>
    <row r="570" spans="1:13" s="6" customFormat="1" x14ac:dyDescent="0.25">
      <c r="A570" s="4" t="str">
        <v>US CO2</v>
      </c>
      <c r="B570" s="266">
        <f ca="1"/>
        <v>4.5303204248823015</v>
      </c>
      <c r="C570" s="266">
        <f ca="1"/>
        <v>58.840385046168173</v>
      </c>
      <c r="D570" s="266">
        <f ca="1"/>
        <v>130.60868458619251</v>
      </c>
      <c r="E570" s="266">
        <f ca="1"/>
        <v>153.96166031837743</v>
      </c>
      <c r="F570" s="266">
        <f ca="1"/>
        <v>156.61953380633486</v>
      </c>
      <c r="G570" s="266">
        <f ca="1"/>
        <v>108.65803889060912</v>
      </c>
      <c r="H570" s="266">
        <f ca="1"/>
        <v>60.900408750356924</v>
      </c>
      <c r="I570" s="266">
        <f ca="1"/>
        <v>35.69672503386051</v>
      </c>
      <c r="J570" s="266">
        <f ca="1"/>
        <v>22.035070310684095</v>
      </c>
      <c r="K570" s="266">
        <f ca="1"/>
        <v>14.002292613061467</v>
      </c>
      <c r="M570" s="4" t="str">
        <f t="shared" si="44"/>
        <v>$M(2015) per Mtonne</v>
      </c>
    </row>
    <row r="571" spans="1:13" s="6" customFormat="1" x14ac:dyDescent="0.25">
      <c r="A571" s="4" t="str">
        <v>OT CO2</v>
      </c>
      <c r="B571" s="266">
        <f ca="1"/>
        <v>6.6717314472875415</v>
      </c>
      <c r="C571" s="266">
        <f ca="1"/>
        <v>75.785495971745831</v>
      </c>
      <c r="D571" s="266">
        <f ca="1"/>
        <v>170.72141822497551</v>
      </c>
      <c r="E571" s="266">
        <f ca="1"/>
        <v>204.19508667218361</v>
      </c>
      <c r="F571" s="266">
        <f ca="1"/>
        <v>209.61394591817401</v>
      </c>
      <c r="G571" s="266">
        <f ca="1"/>
        <v>145.73836806382903</v>
      </c>
      <c r="H571" s="266">
        <f ca="1"/>
        <v>81.432745517790593</v>
      </c>
      <c r="I571" s="266">
        <f ca="1"/>
        <v>47.618228251215847</v>
      </c>
      <c r="J571" s="266">
        <f ca="1"/>
        <v>29.33704320739503</v>
      </c>
      <c r="K571" s="266">
        <f ca="1"/>
        <v>18.611655831166978</v>
      </c>
      <c r="M571" s="4" t="str">
        <f t="shared" si="44"/>
        <v>$M(2015) per Mtonne</v>
      </c>
    </row>
    <row r="572" spans="1:13" s="6" customFormat="1" x14ac:dyDescent="0.25">
      <c r="A572" s="4" t="str">
        <v>EE CO2</v>
      </c>
      <c r="B572" s="266">
        <f ca="1"/>
        <v>14.649533453301824</v>
      </c>
      <c r="C572" s="266">
        <f ca="1"/>
        <v>67.113791755095619</v>
      </c>
      <c r="D572" s="266">
        <f ca="1"/>
        <v>110.82209560522416</v>
      </c>
      <c r="E572" s="266">
        <f ca="1"/>
        <v>110.9171215410469</v>
      </c>
      <c r="F572" s="266">
        <f ca="1"/>
        <v>108.03205995023245</v>
      </c>
      <c r="G572" s="266">
        <f ca="1"/>
        <v>74.806880250494643</v>
      </c>
      <c r="H572" s="266">
        <f ca="1"/>
        <v>40.796729720081771</v>
      </c>
      <c r="I572" s="266">
        <f ca="1"/>
        <v>23.515673993782261</v>
      </c>
      <c r="J572" s="266">
        <f ca="1"/>
        <v>14.347651019045367</v>
      </c>
      <c r="K572" s="266">
        <f ca="1"/>
        <v>9.0308257833459145</v>
      </c>
      <c r="M572" s="4" t="str">
        <f t="shared" si="44"/>
        <v>$M(2015) per Mtonne</v>
      </c>
    </row>
    <row r="573" spans="1:13" s="6" customFormat="1" x14ac:dyDescent="0.25">
      <c r="A573" s="4" t="str">
        <v>CA CO2</v>
      </c>
      <c r="B573" s="266">
        <f ca="1"/>
        <v>1.7065699546663056</v>
      </c>
      <c r="C573" s="266">
        <f ca="1"/>
        <v>37.224926634882912</v>
      </c>
      <c r="D573" s="266">
        <f ca="1"/>
        <v>103.37424743300416</v>
      </c>
      <c r="E573" s="266">
        <f ca="1"/>
        <v>132.74780180479107</v>
      </c>
      <c r="F573" s="266">
        <f ca="1"/>
        <v>152.66550981380135</v>
      </c>
      <c r="G573" s="266">
        <f ca="1"/>
        <v>99.355997246721344</v>
      </c>
      <c r="H573" s="266">
        <f ca="1"/>
        <v>54.43730275065586</v>
      </c>
      <c r="I573" s="266">
        <f ca="1"/>
        <v>31.44166366327303</v>
      </c>
      <c r="J573" s="266">
        <f ca="1"/>
        <v>19.20108958782069</v>
      </c>
      <c r="K573" s="266">
        <f ca="1"/>
        <v>12.092555725203519</v>
      </c>
      <c r="M573" s="4" t="str">
        <f t="shared" si="44"/>
        <v>$M(2015) per Mtonne</v>
      </c>
    </row>
    <row r="574" spans="1:13" s="6" customFormat="1" x14ac:dyDescent="0.25">
      <c r="A574" s="4" t="str">
        <v>IA CO2</v>
      </c>
      <c r="B574" s="266">
        <f ca="1"/>
        <v>2.1047696107551461</v>
      </c>
      <c r="C574" s="266">
        <f ca="1"/>
        <v>46.181742624378103</v>
      </c>
      <c r="D574" s="266">
        <f ca="1"/>
        <v>130.37793256998432</v>
      </c>
      <c r="E574" s="266">
        <f ca="1"/>
        <v>170.20712560969247</v>
      </c>
      <c r="F574" s="266">
        <f ca="1"/>
        <v>198.48133345452314</v>
      </c>
      <c r="G574" s="266">
        <f ca="1"/>
        <v>130.24140350063806</v>
      </c>
      <c r="H574" s="266">
        <f ca="1"/>
        <v>71.572008156574128</v>
      </c>
      <c r="I574" s="266">
        <f ca="1"/>
        <v>41.393202189330459</v>
      </c>
      <c r="J574" s="266">
        <f ca="1"/>
        <v>25.293493515356101</v>
      </c>
      <c r="K574" s="266">
        <f ca="1"/>
        <v>15.934847352589252</v>
      </c>
      <c r="M574" s="4" t="str">
        <f t="shared" si="44"/>
        <v>$M(2015) per Mtonne</v>
      </c>
    </row>
    <row r="575" spans="1:13" s="6" customFormat="1" x14ac:dyDescent="0.25">
      <c r="A575" s="4" t="str">
        <v>AF CO2</v>
      </c>
      <c r="B575" s="266">
        <f ca="1"/>
        <v>37.215115594730513</v>
      </c>
      <c r="C575" s="266">
        <f ca="1"/>
        <v>83.936697507906928</v>
      </c>
      <c r="D575" s="266">
        <f ca="1"/>
        <v>155.63546692424345</v>
      </c>
      <c r="E575" s="266">
        <f ca="1"/>
        <v>174.85302241976464</v>
      </c>
      <c r="F575" s="266">
        <f ca="1"/>
        <v>159.05119519871465</v>
      </c>
      <c r="G575" s="266">
        <f ca="1"/>
        <v>120.95139405765221</v>
      </c>
      <c r="H575" s="266">
        <f ca="1"/>
        <v>65.569052582224955</v>
      </c>
      <c r="I575" s="266">
        <f ca="1"/>
        <v>37.700234620806171</v>
      </c>
      <c r="J575" s="266">
        <f ca="1"/>
        <v>22.976261736982345</v>
      </c>
      <c r="K575" s="266">
        <f ca="1"/>
        <v>14.451431700096963</v>
      </c>
      <c r="M575" s="4" t="str">
        <f t="shared" si="44"/>
        <v>$M(2015) per Mtonne</v>
      </c>
    </row>
    <row r="576" spans="1:13" s="6" customFormat="1" ht="13" thickBot="1" x14ac:dyDescent="0.3">
      <c r="A576" s="4" t="str">
        <v>LA CO2</v>
      </c>
      <c r="B576" s="268">
        <f ca="1"/>
        <v>17.202113851983036</v>
      </c>
      <c r="C576" s="268">
        <f ca="1"/>
        <v>69.221098392451168</v>
      </c>
      <c r="D576" s="268">
        <f ca="1"/>
        <v>89.409545965184378</v>
      </c>
      <c r="E576" s="268">
        <f ca="1"/>
        <v>98.415079689893716</v>
      </c>
      <c r="F576" s="268">
        <f ca="1"/>
        <v>94.575008336600717</v>
      </c>
      <c r="G576" s="268">
        <f ca="1"/>
        <v>73.109916757077272</v>
      </c>
      <c r="H576" s="268">
        <f ca="1"/>
        <v>40.815245902799667</v>
      </c>
      <c r="I576" s="268">
        <f ca="1"/>
        <v>23.780599823808515</v>
      </c>
      <c r="J576" s="268">
        <f ca="1"/>
        <v>14.579985641311351</v>
      </c>
      <c r="K576" s="268">
        <f ca="1"/>
        <v>9.2015500661576493</v>
      </c>
      <c r="M576" s="4" t="str">
        <f t="shared" si="44"/>
        <v>$M(2015) per Mtonne</v>
      </c>
    </row>
    <row r="577" spans="1:13" s="2" customFormat="1" ht="15.5" thickTop="1" x14ac:dyDescent="0.4">
      <c r="A577" s="2" t="s">
        <v>349</v>
      </c>
      <c r="B577" s="2" t="s">
        <v>351</v>
      </c>
    </row>
    <row r="578" spans="1:13" s="6" customFormat="1" x14ac:dyDescent="0.25">
      <c r="A578" s="4" t="str">
        <f t="array" ref="A578:A585">R_CODE&amp;" "&amp;'Base data'!$C$12</f>
        <v>EU CH4</v>
      </c>
      <c r="B578" s="267">
        <f t="array" aca="1" ref="B578:K585" ca="1">IF(cbe_ch4_b&lt;Q0_CH4,ALO_CH4*(EXP(BLO_CH4*(cbe_ch4_b-Q0_CH4))-1),ahi_ch4_b*(EXP(BHI_CH4*(cbe_ch4_b-Q0_CH4))-1))</f>
        <v>4705.5087204636593</v>
      </c>
      <c r="C578" s="267">
        <f ca="1"/>
        <v>6283.5839171825264</v>
      </c>
      <c r="D578" s="267">
        <f ca="1"/>
        <v>6915.468052800742</v>
      </c>
      <c r="E578" s="267">
        <f ca="1"/>
        <v>7872.5867012981844</v>
      </c>
      <c r="F578" s="267">
        <f ca="1"/>
        <v>7348.5887076649806</v>
      </c>
      <c r="G578" s="267">
        <f ca="1"/>
        <v>6026.1010406166761</v>
      </c>
      <c r="H578" s="267">
        <f ca="1"/>
        <v>3371.9878629001346</v>
      </c>
      <c r="I578" s="267">
        <f ca="1"/>
        <v>1956.3078287090623</v>
      </c>
      <c r="J578" s="267">
        <f ca="1"/>
        <v>1187.7977909498036</v>
      </c>
      <c r="K578" s="267">
        <f ca="1"/>
        <v>739.54207825401159</v>
      </c>
      <c r="M578" s="4" t="str">
        <f t="shared" ref="M578:M585" si="45">CURRENCY_NAME&amp;" per "&amp;EMIT_NAME</f>
        <v>$M(2015) per Mtonne</v>
      </c>
    </row>
    <row r="579" spans="1:13" s="6" customFormat="1" x14ac:dyDescent="0.25">
      <c r="A579" s="4" t="str">
        <v>US CH4</v>
      </c>
      <c r="B579" s="266">
        <f ca="1"/>
        <v>4537.8560859757945</v>
      </c>
      <c r="C579" s="266">
        <f ca="1"/>
        <v>6066.9151824213277</v>
      </c>
      <c r="D579" s="266">
        <f ca="1"/>
        <v>6675.8133599415205</v>
      </c>
      <c r="E579" s="266">
        <f ca="1"/>
        <v>7602.690258601755</v>
      </c>
      <c r="F579" s="266">
        <f ca="1"/>
        <v>7103.9258821008743</v>
      </c>
      <c r="G579" s="266">
        <f ca="1"/>
        <v>5830.0824080887924</v>
      </c>
      <c r="H579" s="266">
        <f ca="1"/>
        <v>3268.2036188531797</v>
      </c>
      <c r="I579" s="266">
        <f ca="1"/>
        <v>1899.694910181528</v>
      </c>
      <c r="J579" s="266">
        <f ca="1"/>
        <v>1155.5356442252173</v>
      </c>
      <c r="K579" s="266">
        <f ca="1"/>
        <v>720.64446539533378</v>
      </c>
      <c r="M579" s="4" t="str">
        <f t="shared" si="45"/>
        <v>$M(2015) per Mtonne</v>
      </c>
    </row>
    <row r="580" spans="1:13" s="6" customFormat="1" x14ac:dyDescent="0.25">
      <c r="A580" s="4" t="str">
        <v>OT CH4</v>
      </c>
      <c r="B580" s="266">
        <f ca="1"/>
        <v>5803.4607552385178</v>
      </c>
      <c r="C580" s="266">
        <f ca="1"/>
        <v>7756.9594019537208</v>
      </c>
      <c r="D580" s="266">
        <f ca="1"/>
        <v>8543.3065614509578</v>
      </c>
      <c r="E580" s="266">
        <f ca="1"/>
        <v>9730.5206806015667</v>
      </c>
      <c r="F580" s="266">
        <f ca="1"/>
        <v>9087.2040919907759</v>
      </c>
      <c r="G580" s="266">
        <f ca="1"/>
        <v>7454.6637558539996</v>
      </c>
      <c r="H580" s="266">
        <f ca="1"/>
        <v>4172.6468602708146</v>
      </c>
      <c r="I580" s="266">
        <f ca="1"/>
        <v>2421.2085016127839</v>
      </c>
      <c r="J580" s="266">
        <f ca="1"/>
        <v>1470.1841402945972</v>
      </c>
      <c r="K580" s="266">
        <f ca="1"/>
        <v>915.40430721357677</v>
      </c>
      <c r="M580" s="4" t="str">
        <f t="shared" si="45"/>
        <v>$M(2015) per Mtonne</v>
      </c>
    </row>
    <row r="581" spans="1:13" s="6" customFormat="1" x14ac:dyDescent="0.25">
      <c r="A581" s="4" t="str">
        <v>EE CH4</v>
      </c>
      <c r="B581" s="266">
        <f ca="1"/>
        <v>4314.5203707889068</v>
      </c>
      <c r="C581" s="266">
        <f ca="1"/>
        <v>5524.4438023598677</v>
      </c>
      <c r="D581" s="266">
        <f ca="1"/>
        <v>6360.5068911856843</v>
      </c>
      <c r="E581" s="266">
        <f ca="1"/>
        <v>7085.4305162470782</v>
      </c>
      <c r="F581" s="266">
        <f ca="1"/>
        <v>5716.166006599361</v>
      </c>
      <c r="G581" s="266">
        <f ca="1"/>
        <v>4552.2179736914059</v>
      </c>
      <c r="H581" s="266">
        <f ca="1"/>
        <v>2498.586033302794</v>
      </c>
      <c r="I581" s="266">
        <f ca="1"/>
        <v>1431.1678435742253</v>
      </c>
      <c r="J581" s="266">
        <f ca="1"/>
        <v>861.36263632297243</v>
      </c>
      <c r="K581" s="266">
        <f ca="1"/>
        <v>532.84771904703598</v>
      </c>
      <c r="M581" s="4" t="str">
        <f t="shared" si="45"/>
        <v>$M(2015) per Mtonne</v>
      </c>
    </row>
    <row r="582" spans="1:13" s="6" customFormat="1" x14ac:dyDescent="0.25">
      <c r="A582" s="4" t="str">
        <v>CA CH4</v>
      </c>
      <c r="B582" s="266">
        <f ca="1"/>
        <v>1442.4551931037472</v>
      </c>
      <c r="C582" s="266">
        <f ca="1"/>
        <v>2620.7850625664005</v>
      </c>
      <c r="D582" s="266">
        <f ca="1"/>
        <v>4164.2516024372962</v>
      </c>
      <c r="E582" s="266">
        <f ca="1"/>
        <v>6375.8897532404917</v>
      </c>
      <c r="F582" s="266">
        <f ca="1"/>
        <v>6756.4512298259888</v>
      </c>
      <c r="G582" s="266">
        <f ca="1"/>
        <v>5332.3327425282578</v>
      </c>
      <c r="H582" s="266">
        <f ca="1"/>
        <v>2915.6148432455243</v>
      </c>
      <c r="I582" s="266">
        <f ca="1"/>
        <v>1663.1978864421503</v>
      </c>
      <c r="J582" s="266">
        <f ca="1"/>
        <v>995.91144623736693</v>
      </c>
      <c r="K582" s="266">
        <f ca="1"/>
        <v>611.98541808779783</v>
      </c>
      <c r="M582" s="4" t="str">
        <f t="shared" si="45"/>
        <v>$M(2015) per Mtonne</v>
      </c>
    </row>
    <row r="583" spans="1:13" s="6" customFormat="1" x14ac:dyDescent="0.25">
      <c r="A583" s="4" t="str">
        <v>IA CH4</v>
      </c>
      <c r="B583" s="266">
        <f ca="1"/>
        <v>1779.0280714946216</v>
      </c>
      <c r="C583" s="266">
        <f ca="1"/>
        <v>3217.0830754652998</v>
      </c>
      <c r="D583" s="266">
        <f ca="1"/>
        <v>5088.0548471345182</v>
      </c>
      <c r="E583" s="266">
        <f ca="1"/>
        <v>7756.2243537134636</v>
      </c>
      <c r="F583" s="266">
        <f ca="1"/>
        <v>8171.230273631505</v>
      </c>
      <c r="G583" s="266">
        <f ca="1"/>
        <v>6417.5867948264249</v>
      </c>
      <c r="H583" s="266">
        <f ca="1"/>
        <v>3499.6457391583795</v>
      </c>
      <c r="I583" s="266">
        <f ca="1"/>
        <v>1993.8140641856025</v>
      </c>
      <c r="J583" s="266">
        <f ca="1"/>
        <v>1193.1806491854047</v>
      </c>
      <c r="K583" s="266">
        <f ca="1"/>
        <v>732.96241035487287</v>
      </c>
      <c r="M583" s="4" t="str">
        <f t="shared" si="45"/>
        <v>$M(2015) per Mtonne</v>
      </c>
    </row>
    <row r="584" spans="1:13" s="6" customFormat="1" x14ac:dyDescent="0.25">
      <c r="A584" s="4" t="str">
        <v>AF CH4</v>
      </c>
      <c r="B584" s="266">
        <f ca="1"/>
        <v>4766.6365765850351</v>
      </c>
      <c r="C584" s="266">
        <f ca="1"/>
        <v>6875.7210659579114</v>
      </c>
      <c r="D584" s="266">
        <f ca="1"/>
        <v>7365.5468096028244</v>
      </c>
      <c r="E584" s="266">
        <f ca="1"/>
        <v>8468.4442991609849</v>
      </c>
      <c r="F584" s="266">
        <f ca="1"/>
        <v>8229.602351983176</v>
      </c>
      <c r="G584" s="266">
        <f ca="1"/>
        <v>6364.783832091478</v>
      </c>
      <c r="H584" s="266">
        <f ca="1"/>
        <v>3489.8159888369755</v>
      </c>
      <c r="I584" s="266">
        <f ca="1"/>
        <v>1994.2640073120069</v>
      </c>
      <c r="J584" s="266">
        <f ca="1"/>
        <v>1195.8472138709258</v>
      </c>
      <c r="K584" s="266">
        <f ca="1"/>
        <v>735.95707024677654</v>
      </c>
      <c r="M584" s="4" t="str">
        <f t="shared" si="45"/>
        <v>$M(2015) per Mtonne</v>
      </c>
    </row>
    <row r="585" spans="1:13" s="6" customFormat="1" ht="13" thickBot="1" x14ac:dyDescent="0.3">
      <c r="A585" s="4" t="str">
        <v>LA CH4</v>
      </c>
      <c r="B585" s="268">
        <f ca="1"/>
        <v>2869.8037849843208</v>
      </c>
      <c r="C585" s="268">
        <f ca="1"/>
        <v>4070.2181172647565</v>
      </c>
      <c r="D585" s="268">
        <f ca="1"/>
        <v>4424.4510219137364</v>
      </c>
      <c r="E585" s="268">
        <f ca="1"/>
        <v>4840.7351473496437</v>
      </c>
      <c r="F585" s="268">
        <f ca="1"/>
        <v>3952.3778249423785</v>
      </c>
      <c r="G585" s="268">
        <f ca="1"/>
        <v>3075.161315763904</v>
      </c>
      <c r="H585" s="268">
        <f ca="1"/>
        <v>1705.3989575168773</v>
      </c>
      <c r="I585" s="268">
        <f ca="1"/>
        <v>976.92127361350367</v>
      </c>
      <c r="J585" s="268">
        <f ca="1"/>
        <v>583.75237448170606</v>
      </c>
      <c r="K585" s="268">
        <f ca="1"/>
        <v>356.57514181932731</v>
      </c>
      <c r="M585" s="4" t="str">
        <f t="shared" si="45"/>
        <v>$M(2015) per Mtonne</v>
      </c>
    </row>
    <row r="586" spans="1:13" s="2" customFormat="1" ht="15.5" thickTop="1" x14ac:dyDescent="0.4">
      <c r="A586" s="2" t="s">
        <v>349</v>
      </c>
      <c r="B586" s="2" t="s">
        <v>352</v>
      </c>
    </row>
    <row r="587" spans="1:13" s="7" customFormat="1" x14ac:dyDescent="0.25">
      <c r="A587" s="4" t="str">
        <f t="array" ref="A587:A594">R_CODE&amp;" "&amp;'Base data'!$D$12</f>
        <v>EU N2O</v>
      </c>
      <c r="B587" s="267">
        <f t="array" ref="B587:K594" ca="1">IF(cbe_n2o_b&lt;Q0_N2O,ALO_N2O*(EXP(BLO_N2O*(cbe_n2o_b-Q0_N2O))-1),ahi_n2o_b*(EXP(BHI_N2O*(cbe_n2o_b-Q0_N2O))-1))</f>
        <v>5044.8190859264814</v>
      </c>
      <c r="C587" s="267">
        <f ca="1"/>
        <v>7465.9234337016378</v>
      </c>
      <c r="D587" s="267">
        <f ca="1"/>
        <v>10431.012753829838</v>
      </c>
      <c r="E587" s="267">
        <f ca="1"/>
        <v>13338.457398611625</v>
      </c>
      <c r="F587" s="267">
        <f ca="1"/>
        <v>15191.010007592882</v>
      </c>
      <c r="G587" s="267">
        <f ca="1"/>
        <v>14295.825268569466</v>
      </c>
      <c r="H587" s="267">
        <f ca="1"/>
        <v>8247.7474078672985</v>
      </c>
      <c r="I587" s="267">
        <f ca="1"/>
        <v>4923.1471431864211</v>
      </c>
      <c r="J587" s="267">
        <f ca="1"/>
        <v>3077.0793087723714</v>
      </c>
      <c r="K587" s="267">
        <f ca="1"/>
        <v>1973.0731733994189</v>
      </c>
      <c r="M587" s="4" t="str">
        <f t="shared" ref="M587:M594" si="46">CURRENCY_NAME&amp;" per "&amp;EMIT_NAME</f>
        <v>$M(2015) per Mtonne</v>
      </c>
    </row>
    <row r="588" spans="1:13" s="7" customFormat="1" x14ac:dyDescent="0.25">
      <c r="A588" s="4" t="str">
        <v>US N2O</v>
      </c>
      <c r="B588" s="266">
        <f ca="1"/>
        <v>4727.2320972628922</v>
      </c>
      <c r="C588" s="266">
        <f ca="1"/>
        <v>7123.892079319703</v>
      </c>
      <c r="D588" s="266">
        <f ca="1"/>
        <v>10065.649826249564</v>
      </c>
      <c r="E588" s="266">
        <f ca="1"/>
        <v>12962.59117277963</v>
      </c>
      <c r="F588" s="266">
        <f ca="1"/>
        <v>14866.558573487866</v>
      </c>
      <c r="G588" s="266">
        <f ca="1"/>
        <v>14050.344132181848</v>
      </c>
      <c r="H588" s="266">
        <f ca="1"/>
        <v>8133.3339028609835</v>
      </c>
      <c r="I588" s="266">
        <f ca="1"/>
        <v>4868.2272062027296</v>
      </c>
      <c r="J588" s="266">
        <f ca="1"/>
        <v>3049.8013855326967</v>
      </c>
      <c r="K588" s="266">
        <f ca="1"/>
        <v>1959.4973829786761</v>
      </c>
      <c r="M588" s="4" t="str">
        <f t="shared" si="46"/>
        <v>$M(2015) per Mtonne</v>
      </c>
    </row>
    <row r="589" spans="1:13" s="7" customFormat="1" x14ac:dyDescent="0.25">
      <c r="A589" s="4" t="str">
        <v>OT N2O</v>
      </c>
      <c r="B589" s="266">
        <f ca="1"/>
        <v>6221.9435393093263</v>
      </c>
      <c r="C589" s="266">
        <f ca="1"/>
        <v>9291.5937571793329</v>
      </c>
      <c r="D589" s="266">
        <f ca="1"/>
        <v>13102.008457808201</v>
      </c>
      <c r="E589" s="266">
        <f ca="1"/>
        <v>16893.224337484047</v>
      </c>
      <c r="F589" s="266">
        <f ca="1"/>
        <v>19413.955586784818</v>
      </c>
      <c r="G589" s="266">
        <f ca="1"/>
        <v>18377.255398953999</v>
      </c>
      <c r="H589" s="266">
        <f ca="1"/>
        <v>10629.463449932193</v>
      </c>
      <c r="I589" s="266">
        <f ca="1"/>
        <v>6353.0487153843842</v>
      </c>
      <c r="J589" s="266">
        <f ca="1"/>
        <v>3973.2824484731809</v>
      </c>
      <c r="K589" s="266">
        <f ca="1"/>
        <v>2548.6759679281718</v>
      </c>
      <c r="M589" s="4" t="str">
        <f t="shared" si="46"/>
        <v>$M(2015) per Mtonne</v>
      </c>
    </row>
    <row r="590" spans="1:13" s="7" customFormat="1" x14ac:dyDescent="0.25">
      <c r="A590" s="4" t="str">
        <v>EE N2O</v>
      </c>
      <c r="B590" s="266">
        <f ca="1"/>
        <v>-8399.176815230192</v>
      </c>
      <c r="C590" s="266">
        <f ca="1"/>
        <v>-70.704080667462264</v>
      </c>
      <c r="D590" s="266">
        <f ca="1"/>
        <v>1223.0845491915079</v>
      </c>
      <c r="E590" s="266">
        <f ca="1"/>
        <v>2046.6448783038986</v>
      </c>
      <c r="F590" s="266">
        <f ca="1"/>
        <v>1972.1541106237512</v>
      </c>
      <c r="G590" s="266">
        <f ca="1"/>
        <v>3543.6113257520765</v>
      </c>
      <c r="H590" s="266">
        <f ca="1"/>
        <v>2066.4453927046102</v>
      </c>
      <c r="I590" s="266">
        <f ca="1"/>
        <v>1245.1725353442371</v>
      </c>
      <c r="J590" s="266">
        <f ca="1"/>
        <v>784.24460095015115</v>
      </c>
      <c r="K590" s="266">
        <f ca="1"/>
        <v>505.68396753327812</v>
      </c>
      <c r="M590" s="4" t="str">
        <f t="shared" si="46"/>
        <v>$M(2015) per Mtonne</v>
      </c>
    </row>
    <row r="591" spans="1:13" s="7" customFormat="1" x14ac:dyDescent="0.25">
      <c r="A591" s="4" t="str">
        <v>CA N2O</v>
      </c>
      <c r="B591" s="266">
        <f ca="1"/>
        <v>-8399.176815230192</v>
      </c>
      <c r="C591" s="266">
        <f ca="1"/>
        <v>-4449.5206601672071</v>
      </c>
      <c r="D591" s="266">
        <f ca="1"/>
        <v>1626.295587719829</v>
      </c>
      <c r="E591" s="266">
        <f ca="1"/>
        <v>5998.8134616254265</v>
      </c>
      <c r="F591" s="266">
        <f ca="1"/>
        <v>8223.9201921346012</v>
      </c>
      <c r="G591" s="266">
        <f ca="1"/>
        <v>9595.2383121451694</v>
      </c>
      <c r="H591" s="266">
        <f ca="1"/>
        <v>5382.5517963860793</v>
      </c>
      <c r="I591" s="266">
        <f ca="1"/>
        <v>3174.2428809136159</v>
      </c>
      <c r="J591" s="266">
        <f ca="1"/>
        <v>1974.7938984332502</v>
      </c>
      <c r="K591" s="266">
        <f ca="1"/>
        <v>1263.5937580714597</v>
      </c>
      <c r="M591" s="4" t="str">
        <f t="shared" si="46"/>
        <v>$M(2015) per Mtonne</v>
      </c>
    </row>
    <row r="592" spans="1:13" s="7" customFormat="1" x14ac:dyDescent="0.25">
      <c r="A592" s="4" t="str">
        <v>IA N2O</v>
      </c>
      <c r="B592" s="266">
        <f ca="1"/>
        <v>-8399.176815230192</v>
      </c>
      <c r="C592" s="266">
        <f ca="1"/>
        <v>-4449.5206601672071</v>
      </c>
      <c r="D592" s="266">
        <f ca="1"/>
        <v>2008.2833479676167</v>
      </c>
      <c r="E592" s="266">
        <f ca="1"/>
        <v>7480.2129329720237</v>
      </c>
      <c r="F592" s="266">
        <f ca="1"/>
        <v>10487.944444811454</v>
      </c>
      <c r="G592" s="266">
        <f ca="1"/>
        <v>12482.919999394042</v>
      </c>
      <c r="H592" s="266">
        <f ca="1"/>
        <v>7125.7025248287327</v>
      </c>
      <c r="I592" s="266">
        <f ca="1"/>
        <v>4235.5287944527126</v>
      </c>
      <c r="J592" s="266">
        <f ca="1"/>
        <v>2644.3588393869954</v>
      </c>
      <c r="K592" s="266">
        <f ca="1"/>
        <v>1695.3444311652454</v>
      </c>
      <c r="M592" s="4" t="str">
        <f t="shared" si="46"/>
        <v>$M(2015) per Mtonne</v>
      </c>
    </row>
    <row r="593" spans="1:13" s="7" customFormat="1" x14ac:dyDescent="0.25">
      <c r="A593" s="4" t="str">
        <v>AF N2O</v>
      </c>
      <c r="B593" s="266">
        <f ca="1"/>
        <v>2981.3288230274293</v>
      </c>
      <c r="C593" s="266">
        <f ca="1"/>
        <v>9786.5259987654208</v>
      </c>
      <c r="D593" s="266">
        <f ca="1"/>
        <v>15788.229493812529</v>
      </c>
      <c r="E593" s="266">
        <f ca="1"/>
        <v>25720.950106452277</v>
      </c>
      <c r="F593" s="266">
        <f ca="1"/>
        <v>30213.261754517916</v>
      </c>
      <c r="G593" s="266">
        <f ca="1"/>
        <v>26127.239640811014</v>
      </c>
      <c r="H593" s="266">
        <f ca="1"/>
        <v>14328.020095321828</v>
      </c>
      <c r="I593" s="266">
        <f ca="1"/>
        <v>8268.1229484674077</v>
      </c>
      <c r="J593" s="266">
        <f ca="1"/>
        <v>5042.3360934290959</v>
      </c>
      <c r="K593" s="266">
        <f ca="1"/>
        <v>3169.1294385700148</v>
      </c>
      <c r="M593" s="4" t="str">
        <f t="shared" si="46"/>
        <v>$M(2015) per Mtonne</v>
      </c>
    </row>
    <row r="594" spans="1:13" s="7" customFormat="1" ht="13" thickBot="1" x14ac:dyDescent="0.3">
      <c r="A594" s="4" t="str">
        <v>LA N2O</v>
      </c>
      <c r="B594" s="268">
        <f ca="1"/>
        <v>3362.0924361429556</v>
      </c>
      <c r="C594" s="268">
        <f ca="1"/>
        <v>6866.8669750890076</v>
      </c>
      <c r="D594" s="268">
        <f ca="1"/>
        <v>9340.2940173749776</v>
      </c>
      <c r="E594" s="268">
        <f ca="1"/>
        <v>13603.003935140741</v>
      </c>
      <c r="F594" s="268">
        <f ca="1"/>
        <v>14796.975410924557</v>
      </c>
      <c r="G594" s="268">
        <f ca="1"/>
        <v>11489.421701917739</v>
      </c>
      <c r="H594" s="268">
        <f ca="1"/>
        <v>6536.7591533374525</v>
      </c>
      <c r="I594" s="268">
        <f ca="1"/>
        <v>3854.4012485436078</v>
      </c>
      <c r="J594" s="268">
        <f ca="1"/>
        <v>2383.3333025535399</v>
      </c>
      <c r="K594" s="268">
        <f ca="1"/>
        <v>1513.8094965134806</v>
      </c>
      <c r="M594" s="4" t="str">
        <f t="shared" si="46"/>
        <v>$M(2015) per Mtonne</v>
      </c>
    </row>
    <row r="595" spans="1:13" s="2" customFormat="1" ht="15.5" thickTop="1" x14ac:dyDescent="0.4">
      <c r="A595" s="2" t="s">
        <v>349</v>
      </c>
      <c r="B595" s="2" t="s">
        <v>353</v>
      </c>
    </row>
    <row r="596" spans="1:13" s="7" customFormat="1" x14ac:dyDescent="0.25">
      <c r="A596" s="4" t="str">
        <f t="array" ref="A596:A603">R_CODE&amp;" "&amp;GLIN_NAME</f>
        <v>EU Lin</v>
      </c>
      <c r="B596" s="267">
        <f t="array" ref="B596:K603" ca="1">IF(cbe_glin_b&lt;Q0_GLIN,ALO_GLIN*(EXP(BLO_GLIN*(cbe_glin_b-Q0_GLIN))-1),ahi_glin_b*(EXP(BHI_GLIN*(cbe_glin_b-Q0_GLIN))-1))</f>
        <v>103.09469356040468</v>
      </c>
      <c r="C596" s="267">
        <f ca="1"/>
        <v>190.7696445182435</v>
      </c>
      <c r="D596" s="267">
        <f ca="1"/>
        <v>208.19073079076631</v>
      </c>
      <c r="E596" s="267">
        <f ca="1"/>
        <v>236.52696984151081</v>
      </c>
      <c r="F596" s="267">
        <f ca="1"/>
        <v>164.68793301915537</v>
      </c>
      <c r="G596" s="267">
        <f ca="1"/>
        <v>118.25963973835368</v>
      </c>
      <c r="H596" s="267">
        <f ca="1"/>
        <v>68.751162487479519</v>
      </c>
      <c r="I596" s="267">
        <f ca="1"/>
        <v>41.250616723114327</v>
      </c>
      <c r="J596" s="267">
        <f ca="1"/>
        <v>25.900000467545073</v>
      </c>
      <c r="K596" s="267">
        <f ca="1"/>
        <v>16.680246035438842</v>
      </c>
      <c r="M596" s="4" t="str">
        <f t="shared" ref="M596:M603" si="47">CURRENCY_NAME&amp;" per "&amp;EMIT_NAME</f>
        <v>$M(2015) per Mtonne</v>
      </c>
    </row>
    <row r="597" spans="1:13" s="7" customFormat="1" x14ac:dyDescent="0.25">
      <c r="A597" s="4" t="str">
        <v>US Lin</v>
      </c>
      <c r="B597" s="266">
        <f ca="1"/>
        <v>99.406957819293623</v>
      </c>
      <c r="C597" s="266">
        <f ca="1"/>
        <v>174.70049979302075</v>
      </c>
      <c r="D597" s="266">
        <f ca="1"/>
        <v>185.15298064253921</v>
      </c>
      <c r="E597" s="266">
        <f ca="1"/>
        <v>208.67653812802095</v>
      </c>
      <c r="F597" s="266">
        <f ca="1"/>
        <v>144.79845845530329</v>
      </c>
      <c r="G597" s="266">
        <f ca="1"/>
        <v>104.44739563976773</v>
      </c>
      <c r="H597" s="266">
        <f ca="1"/>
        <v>61.042947236999275</v>
      </c>
      <c r="I597" s="266">
        <f ca="1"/>
        <v>36.753954639383828</v>
      </c>
      <c r="J597" s="266">
        <f ca="1"/>
        <v>23.132657806281113</v>
      </c>
      <c r="K597" s="266">
        <f ca="1"/>
        <v>14.926387064161101</v>
      </c>
      <c r="M597" s="4" t="str">
        <f t="shared" si="47"/>
        <v>$M(2015) per Mtonne</v>
      </c>
    </row>
    <row r="598" spans="1:13" s="7" customFormat="1" x14ac:dyDescent="0.25">
      <c r="A598" s="4" t="str">
        <v>OT Lin</v>
      </c>
      <c r="B598" s="266">
        <f ca="1"/>
        <v>127.15012205783249</v>
      </c>
      <c r="C598" s="266">
        <f ca="1"/>
        <v>235.90943563506443</v>
      </c>
      <c r="D598" s="266">
        <f ca="1"/>
        <v>257.86396452880723</v>
      </c>
      <c r="E598" s="266">
        <f ca="1"/>
        <v>293.11757296167377</v>
      </c>
      <c r="F598" s="266">
        <f ca="1"/>
        <v>204.14335791364383</v>
      </c>
      <c r="G598" s="266">
        <f ca="1"/>
        <v>146.56565954696416</v>
      </c>
      <c r="H598" s="266">
        <f ca="1"/>
        <v>85.192369638313423</v>
      </c>
      <c r="I598" s="266">
        <f ca="1"/>
        <v>51.110790805991073</v>
      </c>
      <c r="J598" s="266">
        <f ca="1"/>
        <v>32.089537237825382</v>
      </c>
      <c r="K598" s="266">
        <f ca="1"/>
        <v>20.665945875587401</v>
      </c>
      <c r="M598" s="4" t="str">
        <f t="shared" si="47"/>
        <v>$M(2015) per Mtonne</v>
      </c>
    </row>
    <row r="599" spans="1:13" s="7" customFormat="1" x14ac:dyDescent="0.25">
      <c r="A599" s="4" t="str">
        <v>EE Lin</v>
      </c>
      <c r="B599" s="266">
        <f ca="1"/>
        <v>121.09589736306843</v>
      </c>
      <c r="C599" s="266">
        <f ca="1"/>
        <v>204.40239453854835</v>
      </c>
      <c r="D599" s="266">
        <f ca="1"/>
        <v>218.60761457236379</v>
      </c>
      <c r="E599" s="266">
        <f ca="1"/>
        <v>214.90826844673623</v>
      </c>
      <c r="F599" s="266">
        <f ca="1"/>
        <v>150.11978918869644</v>
      </c>
      <c r="G599" s="266">
        <f ca="1"/>
        <v>104.38038563338407</v>
      </c>
      <c r="H599" s="266">
        <f ca="1"/>
        <v>59.289232924120434</v>
      </c>
      <c r="I599" s="266">
        <f ca="1"/>
        <v>34.965064934098109</v>
      </c>
      <c r="J599" s="266">
        <f ca="1"/>
        <v>21.657565827915718</v>
      </c>
      <c r="K599" s="266">
        <f ca="1"/>
        <v>13.788006266492797</v>
      </c>
      <c r="M599" s="4" t="str">
        <f t="shared" si="47"/>
        <v>$M(2015) per Mtonne</v>
      </c>
    </row>
    <row r="600" spans="1:13" s="7" customFormat="1" x14ac:dyDescent="0.25">
      <c r="A600" s="4" t="str">
        <v>CA Lin</v>
      </c>
      <c r="B600" s="266">
        <f ca="1"/>
        <v>157.36540493745838</v>
      </c>
      <c r="C600" s="266">
        <f ca="1"/>
        <v>254.59835629046924</v>
      </c>
      <c r="D600" s="266">
        <f ca="1"/>
        <v>283.73747898316338</v>
      </c>
      <c r="E600" s="266">
        <f ca="1"/>
        <v>278.05621198829766</v>
      </c>
      <c r="F600" s="266">
        <f ca="1"/>
        <v>193.30464597222215</v>
      </c>
      <c r="G600" s="266">
        <f ca="1"/>
        <v>132.75550710134476</v>
      </c>
      <c r="H600" s="266">
        <f ca="1"/>
        <v>74.995588082953745</v>
      </c>
      <c r="I600" s="266">
        <f ca="1"/>
        <v>44.116976221824856</v>
      </c>
      <c r="J600" s="266">
        <f ca="1"/>
        <v>27.298199122062211</v>
      </c>
      <c r="K600" s="266">
        <f ca="1"/>
        <v>17.370385939118965</v>
      </c>
      <c r="M600" s="4" t="str">
        <f t="shared" si="47"/>
        <v>$M(2015) per Mtonne</v>
      </c>
    </row>
    <row r="601" spans="1:13" s="7" customFormat="1" x14ac:dyDescent="0.25">
      <c r="A601" s="4" t="str">
        <v>IA Lin</v>
      </c>
      <c r="B601" s="266">
        <f ca="1"/>
        <v>194.08399942286545</v>
      </c>
      <c r="C601" s="266">
        <f ca="1"/>
        <v>319.78611052584216</v>
      </c>
      <c r="D601" s="266">
        <f ca="1"/>
        <v>360.24306106288765</v>
      </c>
      <c r="E601" s="266">
        <f ca="1"/>
        <v>355.48945228277393</v>
      </c>
      <c r="F601" s="266">
        <f ca="1"/>
        <v>248.49358825429573</v>
      </c>
      <c r="G601" s="266">
        <f ca="1"/>
        <v>171.34693044297541</v>
      </c>
      <c r="H601" s="266">
        <f ca="1"/>
        <v>97.008983129152369</v>
      </c>
      <c r="I601" s="266">
        <f ca="1"/>
        <v>57.126869431147043</v>
      </c>
      <c r="J601" s="266">
        <f ca="1"/>
        <v>35.365669737002264</v>
      </c>
      <c r="K601" s="266">
        <f ca="1"/>
        <v>22.510263361465615</v>
      </c>
      <c r="M601" s="4" t="str">
        <f t="shared" si="47"/>
        <v>$M(2015) per Mtonne</v>
      </c>
    </row>
    <row r="602" spans="1:13" s="7" customFormat="1" x14ac:dyDescent="0.25">
      <c r="A602" s="4" t="str">
        <v>AF Lin</v>
      </c>
      <c r="B602" s="266">
        <f ca="1"/>
        <v>217.8336541446325</v>
      </c>
      <c r="C602" s="266">
        <f ca="1"/>
        <v>335.18619440890279</v>
      </c>
      <c r="D602" s="266">
        <f ca="1"/>
        <v>357.06642260357921</v>
      </c>
      <c r="E602" s="266">
        <f ca="1"/>
        <v>366.43227435812111</v>
      </c>
      <c r="F602" s="266">
        <f ca="1"/>
        <v>261.60965767401655</v>
      </c>
      <c r="G602" s="266">
        <f ca="1"/>
        <v>180.74463190126156</v>
      </c>
      <c r="H602" s="266">
        <f ca="1"/>
        <v>102.02277284016316</v>
      </c>
      <c r="I602" s="266">
        <f ca="1"/>
        <v>59.980453468784752</v>
      </c>
      <c r="J602" s="266">
        <f ca="1"/>
        <v>37.096558157505818</v>
      </c>
      <c r="K602" s="266">
        <f ca="1"/>
        <v>23.595659061646042</v>
      </c>
      <c r="M602" s="4" t="str">
        <f t="shared" si="47"/>
        <v>$M(2015) per Mtonne</v>
      </c>
    </row>
    <row r="603" spans="1:13" s="7" customFormat="1" ht="13" thickBot="1" x14ac:dyDescent="0.3">
      <c r="A603" s="4" t="str">
        <v>LA Lin</v>
      </c>
      <c r="B603" s="268">
        <f ca="1"/>
        <v>99.547368409317059</v>
      </c>
      <c r="C603" s="268">
        <f ca="1"/>
        <v>168.37084474707848</v>
      </c>
      <c r="D603" s="268">
        <f ca="1"/>
        <v>200.27260726302484</v>
      </c>
      <c r="E603" s="268">
        <f ca="1"/>
        <v>208.29361928356312</v>
      </c>
      <c r="F603" s="268">
        <f ca="1"/>
        <v>149.60443435133257</v>
      </c>
      <c r="G603" s="268">
        <f ca="1"/>
        <v>103.79721131310428</v>
      </c>
      <c r="H603" s="268">
        <f ca="1"/>
        <v>58.775701661004156</v>
      </c>
      <c r="I603" s="268">
        <f ca="1"/>
        <v>34.614352407479359</v>
      </c>
      <c r="J603" s="268">
        <f ca="1"/>
        <v>21.429142479910958</v>
      </c>
      <c r="K603" s="268">
        <f ca="1"/>
        <v>13.639638387901707</v>
      </c>
      <c r="M603" s="4" t="str">
        <f t="shared" si="47"/>
        <v>$M(2015) per Mtonne</v>
      </c>
    </row>
    <row r="604" spans="1:13" s="2" customFormat="1" ht="15.5" thickTop="1" x14ac:dyDescent="0.4">
      <c r="A604" s="2" t="s">
        <v>354</v>
      </c>
      <c r="B604" s="2" t="s">
        <v>355</v>
      </c>
    </row>
    <row r="605" spans="1:13" s="6" customFormat="1" x14ac:dyDescent="0.25">
      <c r="A605" s="4" t="str">
        <f t="array" ref="A605:A612">R_CODE&amp;" "&amp;'Base data'!$B$12</f>
        <v>EU CO2</v>
      </c>
      <c r="B605" s="276">
        <f t="array" ref="B605:K612" ca="1">IF(cbe_co2_b&lt;Q0_CO2,(ALO_CO2/BLO_CO2)*(EXP(BLO_CO2*(cbe_co2_b-Q0_CO2))-EXP(-BLO_CO2*Q0_CO2))-ALO_CO2*cbe_co2_b,(ahi_co2_b/BHI_CO2)*(EXP(BHI_CO2*(cbe_co2_b-Q0_CO2))-1)-ahi_co2_b*(cbe_co2_b-Q0_CO2)+TCQ0_CO2)</f>
        <v>-15174.276614055432</v>
      </c>
      <c r="C605" s="276">
        <f ca="1"/>
        <v>38906.570768912381</v>
      </c>
      <c r="D605" s="276">
        <f ca="1"/>
        <v>182199.20301754339</v>
      </c>
      <c r="E605" s="276">
        <f ca="1"/>
        <v>268965.89579958597</v>
      </c>
      <c r="F605" s="276">
        <f ca="1"/>
        <v>355009.45489369438</v>
      </c>
      <c r="G605" s="276">
        <f ca="1"/>
        <v>232285.10420352005</v>
      </c>
      <c r="H605" s="276">
        <f ca="1"/>
        <v>123072.63414386526</v>
      </c>
      <c r="I605" s="276">
        <f ca="1"/>
        <v>66613.459389053314</v>
      </c>
      <c r="J605" s="276">
        <f ca="1"/>
        <v>36955.492363011799</v>
      </c>
      <c r="K605" s="276">
        <f ca="1"/>
        <v>20248.00474099641</v>
      </c>
      <c r="M605" s="4" t="str">
        <f t="shared" ref="M605:M612" si="48">CURRENCY_NAME</f>
        <v>$M(2015)</v>
      </c>
    </row>
    <row r="606" spans="1:13" s="6" customFormat="1" x14ac:dyDescent="0.25">
      <c r="A606" s="4" t="str">
        <v>US CO2</v>
      </c>
      <c r="B606" s="230">
        <f ca="1"/>
        <v>-23461.052773663068</v>
      </c>
      <c r="C606" s="230">
        <f ca="1"/>
        <v>48299.282957129384</v>
      </c>
      <c r="D606" s="230">
        <f ca="1"/>
        <v>240357.49719670854</v>
      </c>
      <c r="E606" s="230">
        <f ca="1"/>
        <v>354926.11910576478</v>
      </c>
      <c r="F606" s="230">
        <f ca="1"/>
        <v>468830.20919079619</v>
      </c>
      <c r="G606" s="230">
        <f ca="1"/>
        <v>305811.80974734935</v>
      </c>
      <c r="H606" s="230">
        <f ca="1"/>
        <v>161329.60868070315</v>
      </c>
      <c r="I606" s="230">
        <f ca="1"/>
        <v>86589.371688342915</v>
      </c>
      <c r="J606" s="230">
        <f ca="1"/>
        <v>47383.918667079997</v>
      </c>
      <c r="K606" s="230">
        <f ca="1"/>
        <v>25362.844288104741</v>
      </c>
      <c r="M606" s="4" t="str">
        <f t="shared" si="48"/>
        <v>$M(2015)</v>
      </c>
    </row>
    <row r="607" spans="1:13" s="6" customFormat="1" x14ac:dyDescent="0.25">
      <c r="A607" s="4" t="str">
        <v>OT CO2</v>
      </c>
      <c r="B607" s="230">
        <f ca="1"/>
        <v>-8317.8528945417474</v>
      </c>
      <c r="C607" s="230">
        <f ca="1"/>
        <v>29124.254643034405</v>
      </c>
      <c r="D607" s="230">
        <f ca="1"/>
        <v>129382.85472369991</v>
      </c>
      <c r="E607" s="230">
        <f ca="1"/>
        <v>191730.7342957581</v>
      </c>
      <c r="F607" s="230">
        <f ca="1"/>
        <v>254086.10960202044</v>
      </c>
      <c r="G607" s="230">
        <f ca="1"/>
        <v>167396.73515518705</v>
      </c>
      <c r="H607" s="230">
        <f ca="1"/>
        <v>89643.58785556673</v>
      </c>
      <c r="I607" s="230">
        <f ca="1"/>
        <v>49322.031724313551</v>
      </c>
      <c r="J607" s="230">
        <f ca="1"/>
        <v>28019.492810508971</v>
      </c>
      <c r="K607" s="230">
        <f ca="1"/>
        <v>15922.471028762346</v>
      </c>
      <c r="M607" s="4" t="str">
        <f t="shared" si="48"/>
        <v>$M(2015)</v>
      </c>
    </row>
    <row r="608" spans="1:13" s="6" customFormat="1" x14ac:dyDescent="0.25">
      <c r="A608" s="4" t="str">
        <v>EE CO2</v>
      </c>
      <c r="B608" s="230">
        <f ca="1"/>
        <v>-4685.5549711393651</v>
      </c>
      <c r="C608" s="230">
        <f ca="1"/>
        <v>57999.508048125339</v>
      </c>
      <c r="D608" s="230">
        <f ca="1"/>
        <v>163350.66721444856</v>
      </c>
      <c r="E608" s="230">
        <f ca="1"/>
        <v>211463.71265031892</v>
      </c>
      <c r="F608" s="230">
        <f ca="1"/>
        <v>307409.79074515094</v>
      </c>
      <c r="G608" s="230">
        <f ca="1"/>
        <v>280092.61299038219</v>
      </c>
      <c r="H608" s="230">
        <f ca="1"/>
        <v>143218.71495883435</v>
      </c>
      <c r="I608" s="230">
        <f ca="1"/>
        <v>75195.574680587742</v>
      </c>
      <c r="J608" s="230">
        <f ca="1"/>
        <v>40353.707386063616</v>
      </c>
      <c r="K608" s="230">
        <f ca="1"/>
        <v>21113.829655524965</v>
      </c>
      <c r="M608" s="4" t="str">
        <f t="shared" si="48"/>
        <v>$M(2015)</v>
      </c>
    </row>
    <row r="609" spans="1:13" s="6" customFormat="1" x14ac:dyDescent="0.25">
      <c r="A609" s="4" t="str">
        <v>CA CO2</v>
      </c>
      <c r="B609" s="230">
        <f ca="1"/>
        <v>-26069.47086114499</v>
      </c>
      <c r="C609" s="230">
        <f ca="1"/>
        <v>31733.37261653701</v>
      </c>
      <c r="D609" s="230">
        <f ca="1"/>
        <v>322191.6235868443</v>
      </c>
      <c r="E609" s="230">
        <f ca="1"/>
        <v>598445.54571055248</v>
      </c>
      <c r="F609" s="230">
        <f ca="1"/>
        <v>1025647.0763306468</v>
      </c>
      <c r="G609" s="230">
        <f ca="1"/>
        <v>686281.76821546641</v>
      </c>
      <c r="H609" s="230">
        <f ca="1"/>
        <v>358205.75739285152</v>
      </c>
      <c r="I609" s="230">
        <f ca="1"/>
        <v>193046.2150508108</v>
      </c>
      <c r="J609" s="230">
        <f ca="1"/>
        <v>107445.01359436759</v>
      </c>
      <c r="K609" s="230">
        <f ca="1"/>
        <v>59559.576954808879</v>
      </c>
      <c r="M609" s="4" t="str">
        <f t="shared" si="48"/>
        <v>$M(2015)</v>
      </c>
    </row>
    <row r="610" spans="1:13" s="6" customFormat="1" x14ac:dyDescent="0.25">
      <c r="A610" s="4" t="str">
        <v>IA CO2</v>
      </c>
      <c r="B610" s="230">
        <f ca="1"/>
        <v>-15831.658064579544</v>
      </c>
      <c r="C610" s="230">
        <f ca="1"/>
        <v>28123.12487768523</v>
      </c>
      <c r="D610" s="230">
        <f ca="1"/>
        <v>252556.9869299198</v>
      </c>
      <c r="E610" s="230">
        <f ca="1"/>
        <v>473564.42108139757</v>
      </c>
      <c r="F610" s="230">
        <f ca="1"/>
        <v>819813.79177040816</v>
      </c>
      <c r="G610" s="230">
        <f ca="1"/>
        <v>555988.33554404182</v>
      </c>
      <c r="H610" s="230">
        <f ca="1"/>
        <v>294083.57743178605</v>
      </c>
      <c r="I610" s="230">
        <f ca="1"/>
        <v>161135.9391821989</v>
      </c>
      <c r="J610" s="230">
        <f ca="1"/>
        <v>91688.862794465836</v>
      </c>
      <c r="K610" s="230">
        <f ca="1"/>
        <v>52507.437785050264</v>
      </c>
      <c r="M610" s="4" t="str">
        <f t="shared" si="48"/>
        <v>$M(2015)</v>
      </c>
    </row>
    <row r="611" spans="1:13" s="6" customFormat="1" x14ac:dyDescent="0.25">
      <c r="A611" s="4" t="str">
        <v>AF CO2</v>
      </c>
      <c r="B611" s="230">
        <f ca="1"/>
        <v>9913.7613514237637</v>
      </c>
      <c r="C611" s="230">
        <f ca="1"/>
        <v>98297.749229648791</v>
      </c>
      <c r="D611" s="230">
        <f ca="1"/>
        <v>358670.73799420573</v>
      </c>
      <c r="E611" s="230">
        <f ca="1"/>
        <v>576372.049607808</v>
      </c>
      <c r="F611" s="230">
        <f ca="1"/>
        <v>845118.4851861205</v>
      </c>
      <c r="G611" s="230">
        <f ca="1"/>
        <v>792246.42699785542</v>
      </c>
      <c r="H611" s="230">
        <f ca="1"/>
        <v>411343.82155551924</v>
      </c>
      <c r="I611" s="230">
        <f ca="1"/>
        <v>222571.27718494623</v>
      </c>
      <c r="J611" s="230">
        <f ca="1"/>
        <v>125181.4331593134</v>
      </c>
      <c r="K611" s="230">
        <f ca="1"/>
        <v>70648.689128250553</v>
      </c>
      <c r="M611" s="4" t="str">
        <f t="shared" si="48"/>
        <v>$M(2015)</v>
      </c>
    </row>
    <row r="612" spans="1:13" s="6" customFormat="1" ht="13" thickBot="1" x14ac:dyDescent="0.3">
      <c r="A612" s="4" t="str">
        <v>LA CO2</v>
      </c>
      <c r="B612" s="277">
        <f ca="1"/>
        <v>-3170.4840935782504</v>
      </c>
      <c r="C612" s="277">
        <f ca="1"/>
        <v>58150.62799729823</v>
      </c>
      <c r="D612" s="277">
        <f ca="1"/>
        <v>114556.97221844758</v>
      </c>
      <c r="E612" s="277">
        <f ca="1"/>
        <v>175008.99354303937</v>
      </c>
      <c r="F612" s="277">
        <f ca="1"/>
        <v>235575.93044740561</v>
      </c>
      <c r="G612" s="277">
        <f ca="1"/>
        <v>134060.57102120612</v>
      </c>
      <c r="H612" s="277">
        <f ca="1"/>
        <v>70252.430290424236</v>
      </c>
      <c r="I612" s="277">
        <f ca="1"/>
        <v>37332.008544092176</v>
      </c>
      <c r="J612" s="277">
        <f ca="1"/>
        <v>20162.502725383358</v>
      </c>
      <c r="K612" s="277">
        <f ca="1"/>
        <v>10603.61337204237</v>
      </c>
      <c r="M612" s="4" t="str">
        <f t="shared" si="48"/>
        <v>$M(2015)</v>
      </c>
    </row>
    <row r="613" spans="1:13" s="2" customFormat="1" ht="15.5" thickTop="1" x14ac:dyDescent="0.4">
      <c r="A613" s="2" t="s">
        <v>354</v>
      </c>
      <c r="B613" s="2" t="s">
        <v>356</v>
      </c>
    </row>
    <row r="614" spans="1:13" s="6" customFormat="1" x14ac:dyDescent="0.25">
      <c r="A614" s="4" t="str">
        <f t="array" ref="A614:A621">R_CODE&amp;" "&amp;'Base data'!$C$12</f>
        <v>EU CH4</v>
      </c>
      <c r="B614" s="276">
        <f t="array" aca="1" ref="B614:K621" ca="1">IF(cbe_ch4_b&lt;Q0_CH4,(ALO_CH4/BLO_CH4)*(EXP(BLO_CH4*(cbe_ch4_b-Q0_CH4))-EXP(-BLO_CH4*Q0_CH4))-ALO_CH4*cbe_ch4_b,(ahi_ch4_b/BHI_CH4)*(EXP(BHI_CH4*(cbe_ch4_b-Q0_CH4))-1)-ahi_ch4_b*(cbe_ch4_b-Q0_CH4)+TCQ0_CH4)</f>
        <v>14782.499242224372</v>
      </c>
      <c r="C614" s="276">
        <f ca="1"/>
        <v>26988.397108770427</v>
      </c>
      <c r="D614" s="276">
        <f ca="1"/>
        <v>35121.134872632407</v>
      </c>
      <c r="E614" s="276">
        <f ca="1"/>
        <v>47550.832573261963</v>
      </c>
      <c r="F614" s="276">
        <f ca="1"/>
        <v>56606.569514668874</v>
      </c>
      <c r="G614" s="276">
        <f ca="1"/>
        <v>54613.695819999077</v>
      </c>
      <c r="H614" s="276">
        <f ca="1"/>
        <v>28043.174309351722</v>
      </c>
      <c r="I614" s="276">
        <f ca="1"/>
        <v>14423.045291378538</v>
      </c>
      <c r="J614" s="276">
        <f ca="1"/>
        <v>7423.5301288720057</v>
      </c>
      <c r="K614" s="276">
        <f ca="1"/>
        <v>3635.9998877933886</v>
      </c>
      <c r="M614" s="4" t="str">
        <f t="shared" ref="M614:M621" si="49">CURRENCY_NAME</f>
        <v>$M(2015)</v>
      </c>
    </row>
    <row r="615" spans="1:13" s="6" customFormat="1" x14ac:dyDescent="0.25">
      <c r="A615" s="4" t="str">
        <v>US CH4</v>
      </c>
      <c r="B615" s="230">
        <f ca="1"/>
        <v>16443.238814643992</v>
      </c>
      <c r="C615" s="230">
        <f ca="1"/>
        <v>30716.987207100894</v>
      </c>
      <c r="D615" s="230">
        <f ca="1"/>
        <v>40216.185076432826</v>
      </c>
      <c r="E615" s="230">
        <f ca="1"/>
        <v>54775.728232927257</v>
      </c>
      <c r="F615" s="230">
        <f ca="1"/>
        <v>65426.877791567727</v>
      </c>
      <c r="G615" s="230">
        <f ca="1"/>
        <v>63151.084334114101</v>
      </c>
      <c r="H615" s="230">
        <f ca="1"/>
        <v>32245.791576013224</v>
      </c>
      <c r="I615" s="230">
        <f ca="1"/>
        <v>16419.989774963728</v>
      </c>
      <c r="J615" s="230">
        <f ca="1"/>
        <v>8306.9648811742081</v>
      </c>
      <c r="K615" s="230">
        <f ca="1"/>
        <v>3934.5685628837664</v>
      </c>
      <c r="M615" s="4" t="str">
        <f t="shared" si="49"/>
        <v>$M(2015)</v>
      </c>
    </row>
    <row r="616" spans="1:13" s="6" customFormat="1" x14ac:dyDescent="0.25">
      <c r="A616" s="4" t="str">
        <v>OT CH4</v>
      </c>
      <c r="B616" s="230">
        <f ca="1"/>
        <v>17809.527564326199</v>
      </c>
      <c r="C616" s="230">
        <f ca="1"/>
        <v>31871.113307403699</v>
      </c>
      <c r="D616" s="230">
        <f ca="1"/>
        <v>41274.054285706188</v>
      </c>
      <c r="E616" s="230">
        <f ca="1"/>
        <v>55624.232504231768</v>
      </c>
      <c r="F616" s="230">
        <f ca="1"/>
        <v>66174.097517792659</v>
      </c>
      <c r="G616" s="230">
        <f ca="1"/>
        <v>63982.009321276491</v>
      </c>
      <c r="H616" s="230">
        <f ca="1"/>
        <v>33245.478635346561</v>
      </c>
      <c r="I616" s="230">
        <f ca="1"/>
        <v>17418.150774050373</v>
      </c>
      <c r="J616" s="230">
        <f ca="1"/>
        <v>9227.6225284449538</v>
      </c>
      <c r="K616" s="230">
        <f ca="1"/>
        <v>4752.2431608093448</v>
      </c>
      <c r="M616" s="4" t="str">
        <f t="shared" si="49"/>
        <v>$M(2015)</v>
      </c>
    </row>
    <row r="617" spans="1:13" s="6" customFormat="1" x14ac:dyDescent="0.25">
      <c r="A617" s="4" t="str">
        <v>EE CH4</v>
      </c>
      <c r="B617" s="230">
        <f ca="1"/>
        <v>31764.226719585233</v>
      </c>
      <c r="C617" s="230">
        <f ca="1"/>
        <v>52575.565293858104</v>
      </c>
      <c r="D617" s="230">
        <f ca="1"/>
        <v>79446.25783404494</v>
      </c>
      <c r="E617" s="230">
        <f ca="1"/>
        <v>108311.54478104648</v>
      </c>
      <c r="F617" s="230">
        <f ca="1"/>
        <v>101021.40535125021</v>
      </c>
      <c r="G617" s="230">
        <f ca="1"/>
        <v>108939.39575355689</v>
      </c>
      <c r="H617" s="230">
        <f ca="1"/>
        <v>55092.924651993832</v>
      </c>
      <c r="I617" s="230">
        <f ca="1"/>
        <v>28140.926294113851</v>
      </c>
      <c r="J617" s="230">
        <f ca="1"/>
        <v>14484.698753801793</v>
      </c>
      <c r="K617" s="230">
        <f ca="1"/>
        <v>7155.9042883838983</v>
      </c>
      <c r="M617" s="4" t="str">
        <f t="shared" si="49"/>
        <v>$M(2015)</v>
      </c>
    </row>
    <row r="618" spans="1:13" s="6" customFormat="1" x14ac:dyDescent="0.25">
      <c r="A618" s="4" t="str">
        <v>CA CH4</v>
      </c>
      <c r="B618" s="230">
        <f ca="1"/>
        <v>895.39356124851201</v>
      </c>
      <c r="C618" s="230">
        <f ca="1"/>
        <v>17626.032903825748</v>
      </c>
      <c r="D618" s="230">
        <f ca="1"/>
        <v>53203.431237654477</v>
      </c>
      <c r="E618" s="230">
        <f ca="1"/>
        <v>126214.3797709058</v>
      </c>
      <c r="F618" s="230">
        <f ca="1"/>
        <v>186616.75098980471</v>
      </c>
      <c r="G618" s="230">
        <f ca="1"/>
        <v>162300.44641747451</v>
      </c>
      <c r="H618" s="230">
        <f ca="1"/>
        <v>81823.794009498321</v>
      </c>
      <c r="I618" s="230">
        <f ca="1"/>
        <v>41721.200378975831</v>
      </c>
      <c r="J618" s="230">
        <f ca="1"/>
        <v>21451.81295719395</v>
      </c>
      <c r="K618" s="230">
        <f ca="1"/>
        <v>10600.940570167026</v>
      </c>
      <c r="M618" s="4" t="str">
        <f t="shared" si="49"/>
        <v>$M(2015)</v>
      </c>
    </row>
    <row r="619" spans="1:13" s="6" customFormat="1" x14ac:dyDescent="0.25">
      <c r="A619" s="4" t="str">
        <v>IA CH4</v>
      </c>
      <c r="B619" s="230">
        <f ca="1"/>
        <v>3629.6157741000534</v>
      </c>
      <c r="C619" s="230">
        <f ca="1"/>
        <v>29546.730882990669</v>
      </c>
      <c r="D619" s="230">
        <f ca="1"/>
        <v>84386.295320738078</v>
      </c>
      <c r="E619" s="230">
        <f ca="1"/>
        <v>196136.74596875036</v>
      </c>
      <c r="F619" s="230">
        <f ca="1"/>
        <v>287292.61514710222</v>
      </c>
      <c r="G619" s="230">
        <f ca="1"/>
        <v>249000.13191337712</v>
      </c>
      <c r="H619" s="230">
        <f ca="1"/>
        <v>126220.40879376685</v>
      </c>
      <c r="I619" s="230">
        <f ca="1"/>
        <v>65114.725201116598</v>
      </c>
      <c r="J619" s="230">
        <f ca="1"/>
        <v>34146.084796931347</v>
      </c>
      <c r="K619" s="230">
        <f ca="1"/>
        <v>17468.459571002404</v>
      </c>
      <c r="M619" s="4" t="str">
        <f t="shared" si="49"/>
        <v>$M(2015)</v>
      </c>
    </row>
    <row r="620" spans="1:13" s="6" customFormat="1" x14ac:dyDescent="0.25">
      <c r="A620" s="4" t="str">
        <v>AF CH4</v>
      </c>
      <c r="B620" s="230">
        <f ca="1"/>
        <v>55294.488117282002</v>
      </c>
      <c r="C620" s="230">
        <f ca="1"/>
        <v>135729.48688685364</v>
      </c>
      <c r="D620" s="230">
        <f ca="1"/>
        <v>199425.24148999926</v>
      </c>
      <c r="E620" s="230">
        <f ca="1"/>
        <v>295986.35445353371</v>
      </c>
      <c r="F620" s="230">
        <f ca="1"/>
        <v>350036.64069647272</v>
      </c>
      <c r="G620" s="230">
        <f ca="1"/>
        <v>294784.18791839853</v>
      </c>
      <c r="H620" s="230">
        <f ca="1"/>
        <v>150464.06594425693</v>
      </c>
      <c r="I620" s="230">
        <f ca="1"/>
        <v>78011.105891136875</v>
      </c>
      <c r="J620" s="230">
        <f ca="1"/>
        <v>41107.724621998539</v>
      </c>
      <c r="K620" s="230">
        <f ca="1"/>
        <v>21167.110803877167</v>
      </c>
      <c r="M620" s="4" t="str">
        <f t="shared" si="49"/>
        <v>$M(2015)</v>
      </c>
    </row>
    <row r="621" spans="1:13" s="6" customFormat="1" ht="13" thickBot="1" x14ac:dyDescent="0.3">
      <c r="A621" s="4" t="str">
        <v>LA CH4</v>
      </c>
      <c r="B621" s="277">
        <f ca="1"/>
        <v>24116.608779926843</v>
      </c>
      <c r="C621" s="277">
        <f ca="1"/>
        <v>56089.010603992996</v>
      </c>
      <c r="D621" s="277">
        <f ca="1"/>
        <v>76996.964370300557</v>
      </c>
      <c r="E621" s="277">
        <f ca="1"/>
        <v>100546.10709414893</v>
      </c>
      <c r="F621" s="277">
        <f ca="1"/>
        <v>83865.754037711449</v>
      </c>
      <c r="G621" s="277">
        <f ca="1"/>
        <v>62678.237101760227</v>
      </c>
      <c r="H621" s="277">
        <f ca="1"/>
        <v>30538.407868468465</v>
      </c>
      <c r="I621" s="277">
        <f ca="1"/>
        <v>14402.964115160397</v>
      </c>
      <c r="J621" s="277">
        <f ca="1"/>
        <v>6373.9883317742324</v>
      </c>
      <c r="K621" s="277">
        <f ca="1"/>
        <v>2236.8748990397607</v>
      </c>
      <c r="M621" s="4" t="str">
        <f t="shared" si="49"/>
        <v>$M(2015)</v>
      </c>
    </row>
    <row r="622" spans="1:13" s="2" customFormat="1" ht="15.5" thickTop="1" x14ac:dyDescent="0.4">
      <c r="A622" s="2" t="s">
        <v>354</v>
      </c>
      <c r="B622" s="2" t="s">
        <v>357</v>
      </c>
    </row>
    <row r="623" spans="1:13" s="7" customFormat="1" x14ac:dyDescent="0.25">
      <c r="A623" s="4" t="str">
        <f t="array" ref="A623:A630">R_CODE&amp;" "&amp;'Base data'!$D$12</f>
        <v>EU N2O</v>
      </c>
      <c r="B623" s="276">
        <f t="array" ref="B623:K630" ca="1">IF(cbe_n2o_b&lt;Q0_N2O,(ALO_N2O/BLO_N2O)*(EXP(BLO_N2O*(cbe_n2o_b-Q0_N2O))-EXP(-BLO_N2O*Q0_N2O))-ALO_N2O*cbe_n2o_b,(ahi_n2o_b/BHI_N2O)*(EXP(BHI_N2O*(cbe_n2o_b-Q0_N2O))-1)-ahi_n2o_b*(cbe_n2o_b-Q0_N2O)+TCQ0_N2O)</f>
        <v>164.67757592373823</v>
      </c>
      <c r="C623" s="276">
        <f ca="1"/>
        <v>823.7152698391792</v>
      </c>
      <c r="D623" s="276">
        <f ca="1"/>
        <v>1973.4383841837116</v>
      </c>
      <c r="E623" s="276">
        <f ca="1"/>
        <v>3361.2539931338133</v>
      </c>
      <c r="F623" s="276">
        <f ca="1"/>
        <v>4909.831474433423</v>
      </c>
      <c r="G623" s="276">
        <f ca="1"/>
        <v>5224.8707942260444</v>
      </c>
      <c r="H623" s="276">
        <f ca="1"/>
        <v>2925.8079060785694</v>
      </c>
      <c r="I623" s="276">
        <f ca="1"/>
        <v>1660.7344542145879</v>
      </c>
      <c r="J623" s="276">
        <f ca="1"/>
        <v>964.23816375522779</v>
      </c>
      <c r="K623" s="276">
        <f ca="1"/>
        <v>554.09384281090274</v>
      </c>
      <c r="M623" s="4" t="str">
        <f t="shared" ref="M623:M630" si="50">CURRENCY_NAME</f>
        <v>$M(2015)</v>
      </c>
    </row>
    <row r="624" spans="1:13" s="7" customFormat="1" x14ac:dyDescent="0.25">
      <c r="A624" s="4" t="str">
        <v>US N2O</v>
      </c>
      <c r="B624" s="230">
        <f ca="1"/>
        <v>62.383543428913413</v>
      </c>
      <c r="C624" s="230">
        <f ca="1"/>
        <v>614.47876015411327</v>
      </c>
      <c r="D624" s="230">
        <f ca="1"/>
        <v>1592.2439179257015</v>
      </c>
      <c r="E624" s="230">
        <f ca="1"/>
        <v>2789.6851295648244</v>
      </c>
      <c r="F624" s="230">
        <f ca="1"/>
        <v>4150.8769482319667</v>
      </c>
      <c r="G624" s="230">
        <f ca="1"/>
        <v>4452.9704845719789</v>
      </c>
      <c r="H624" s="230">
        <f ca="1"/>
        <v>2491.1727669254828</v>
      </c>
      <c r="I624" s="230">
        <f ca="1"/>
        <v>1408.6262608886072</v>
      </c>
      <c r="J624" s="230">
        <f ca="1"/>
        <v>811.95189554228682</v>
      </c>
      <c r="K624" s="230">
        <f ca="1"/>
        <v>460.52897367142566</v>
      </c>
      <c r="M624" s="4" t="str">
        <f t="shared" si="50"/>
        <v>$M(2015)</v>
      </c>
    </row>
    <row r="625" spans="1:13" s="7" customFormat="1" x14ac:dyDescent="0.25">
      <c r="A625" s="4" t="str">
        <v>OT N2O</v>
      </c>
      <c r="B625" s="230">
        <f ca="1"/>
        <v>141.44608133897631</v>
      </c>
      <c r="C625" s="230">
        <f ca="1"/>
        <v>535.33117103642132</v>
      </c>
      <c r="D625" s="230">
        <f ca="1"/>
        <v>1229.5898918989037</v>
      </c>
      <c r="E625" s="230">
        <f ca="1"/>
        <v>2075.167560430064</v>
      </c>
      <c r="F625" s="230">
        <f ca="1"/>
        <v>3032.7033326964261</v>
      </c>
      <c r="G625" s="230">
        <f ca="1"/>
        <v>3241.0671428181276</v>
      </c>
      <c r="H625" s="230">
        <f ca="1"/>
        <v>1838.283637125417</v>
      </c>
      <c r="I625" s="230">
        <f ca="1"/>
        <v>1060.8876712640047</v>
      </c>
      <c r="J625" s="230">
        <f ca="1"/>
        <v>629.92120970067515</v>
      </c>
      <c r="K625" s="230">
        <f ca="1"/>
        <v>374.30613616252492</v>
      </c>
      <c r="M625" s="4" t="str">
        <f t="shared" si="50"/>
        <v>$M(2015)</v>
      </c>
    </row>
    <row r="626" spans="1:13" s="7" customFormat="1" x14ac:dyDescent="0.25">
      <c r="A626" s="4" t="str">
        <v>EE N2O</v>
      </c>
      <c r="B626" s="230">
        <f ca="1"/>
        <v>0</v>
      </c>
      <c r="C626" s="230">
        <f ca="1"/>
        <v>-118.07166853372732</v>
      </c>
      <c r="D626" s="230">
        <f ca="1"/>
        <v>-91.843927399405331</v>
      </c>
      <c r="E626" s="230">
        <f ca="1"/>
        <v>-32.547760508125336</v>
      </c>
      <c r="F626" s="230">
        <f ca="1"/>
        <v>-12.336174128030763</v>
      </c>
      <c r="G626" s="230">
        <f ca="1"/>
        <v>292.88506203490851</v>
      </c>
      <c r="H626" s="230">
        <f ca="1"/>
        <v>124.85083239278339</v>
      </c>
      <c r="I626" s="230">
        <f ca="1"/>
        <v>37.582935887102025</v>
      </c>
      <c r="J626" s="230">
        <f ca="1"/>
        <v>-6.1561696840647784</v>
      </c>
      <c r="K626" s="230">
        <f ca="1"/>
        <v>-28.545071256114397</v>
      </c>
      <c r="M626" s="4" t="str">
        <f t="shared" si="50"/>
        <v>$M(2015)</v>
      </c>
    </row>
    <row r="627" spans="1:13" s="7" customFormat="1" x14ac:dyDescent="0.25">
      <c r="A627" s="4" t="str">
        <v>CA N2O</v>
      </c>
      <c r="B627" s="230">
        <f ca="1"/>
        <v>0</v>
      </c>
      <c r="C627" s="230">
        <f ca="1"/>
        <v>-335.0563943948319</v>
      </c>
      <c r="D627" s="230">
        <f ca="1"/>
        <v>-446.35727436064894</v>
      </c>
      <c r="E627" s="230">
        <f ca="1"/>
        <v>1759.9007864460909</v>
      </c>
      <c r="F627" s="230">
        <f ca="1"/>
        <v>4467.6397822428808</v>
      </c>
      <c r="G627" s="230">
        <f ca="1"/>
        <v>7963.9960684588068</v>
      </c>
      <c r="H627" s="230">
        <f ca="1"/>
        <v>4237.0194861018654</v>
      </c>
      <c r="I627" s="230">
        <f ca="1"/>
        <v>2304.0311479506304</v>
      </c>
      <c r="J627" s="230">
        <f ca="1"/>
        <v>1276.6020742683713</v>
      </c>
      <c r="K627" s="230">
        <f ca="1"/>
        <v>686.12203721890114</v>
      </c>
      <c r="M627" s="4" t="str">
        <f t="shared" si="50"/>
        <v>$M(2015)</v>
      </c>
    </row>
    <row r="628" spans="1:13" s="7" customFormat="1" x14ac:dyDescent="0.25">
      <c r="A628" s="4" t="str">
        <v>IA N2O</v>
      </c>
      <c r="B628" s="230">
        <f ca="1"/>
        <v>0</v>
      </c>
      <c r="C628" s="230">
        <f ca="1"/>
        <v>-140.4670356383989</v>
      </c>
      <c r="D628" s="230">
        <f ca="1"/>
        <v>-165.81926318749152</v>
      </c>
      <c r="E628" s="230">
        <f ca="1"/>
        <v>991.19675657767118</v>
      </c>
      <c r="F628" s="230">
        <f ca="1"/>
        <v>2470.3745644681358</v>
      </c>
      <c r="G628" s="230">
        <f ca="1"/>
        <v>4440.8884513983494</v>
      </c>
      <c r="H628" s="230">
        <f ca="1"/>
        <v>2443.8614557070377</v>
      </c>
      <c r="I628" s="230">
        <f ca="1"/>
        <v>1372.8595929531098</v>
      </c>
      <c r="J628" s="230">
        <f ca="1"/>
        <v>791.69958630597694</v>
      </c>
      <c r="K628" s="230">
        <f ca="1"/>
        <v>452.55752035708497</v>
      </c>
      <c r="M628" s="4" t="str">
        <f t="shared" si="50"/>
        <v>$M(2015)</v>
      </c>
    </row>
    <row r="629" spans="1:13" s="7" customFormat="1" x14ac:dyDescent="0.25">
      <c r="A629" s="4" t="str">
        <v>AF N2O</v>
      </c>
      <c r="B629" s="230">
        <f ca="1"/>
        <v>-155.70869423979661</v>
      </c>
      <c r="C629" s="230">
        <f ca="1"/>
        <v>2691.5281605197042</v>
      </c>
      <c r="D629" s="230">
        <f ca="1"/>
        <v>7749.7415052842898</v>
      </c>
      <c r="E629" s="230">
        <f ca="1"/>
        <v>18894.780788978489</v>
      </c>
      <c r="F629" s="230">
        <f ca="1"/>
        <v>33196.633450618923</v>
      </c>
      <c r="G629" s="230">
        <f ca="1"/>
        <v>35719.921110146854</v>
      </c>
      <c r="H629" s="230">
        <f ca="1"/>
        <v>19620.393666455064</v>
      </c>
      <c r="I629" s="230">
        <f ca="1"/>
        <v>11248.720904496888</v>
      </c>
      <c r="J629" s="230">
        <f ca="1"/>
        <v>6758.3310546098928</v>
      </c>
      <c r="K629" s="230">
        <f ca="1"/>
        <v>4138.0841065107397</v>
      </c>
      <c r="M629" s="4" t="str">
        <f t="shared" si="50"/>
        <v>$M(2015)</v>
      </c>
    </row>
    <row r="630" spans="1:13" s="7" customFormat="1" ht="13" thickBot="1" x14ac:dyDescent="0.3">
      <c r="A630" s="4" t="str">
        <v>LA N2O</v>
      </c>
      <c r="B630" s="277">
        <f ca="1"/>
        <v>137.58089173572154</v>
      </c>
      <c r="C630" s="277">
        <f ca="1"/>
        <v>1856.6338904630322</v>
      </c>
      <c r="D630" s="277">
        <f ca="1"/>
        <v>3972.0692674630823</v>
      </c>
      <c r="E630" s="277">
        <f ca="1"/>
        <v>8053.8463768909387</v>
      </c>
      <c r="F630" s="277">
        <f ca="1"/>
        <v>10919.899351924714</v>
      </c>
      <c r="G630" s="277">
        <f ca="1"/>
        <v>8504.8373796174164</v>
      </c>
      <c r="H630" s="277">
        <f ca="1"/>
        <v>4731.4620232280731</v>
      </c>
      <c r="I630" s="277">
        <f ca="1"/>
        <v>2680.3670913379456</v>
      </c>
      <c r="J630" s="277">
        <f ca="1"/>
        <v>1560.9180080073797</v>
      </c>
      <c r="K630" s="277">
        <f ca="1"/>
        <v>906.48408952991963</v>
      </c>
      <c r="M630" s="4" t="str">
        <f t="shared" si="50"/>
        <v>$M(2015)</v>
      </c>
    </row>
    <row r="631" spans="1:13" s="2" customFormat="1" ht="15.5" thickTop="1" x14ac:dyDescent="0.4">
      <c r="A631" s="2" t="s">
        <v>354</v>
      </c>
      <c r="B631" s="2" t="s">
        <v>358</v>
      </c>
    </row>
    <row r="632" spans="1:13" s="7" customFormat="1" x14ac:dyDescent="0.25">
      <c r="A632" s="4" t="str">
        <f t="array" ref="A632:A639">R_CODE&amp;" "&amp;GLIN_NAME</f>
        <v>EU Lin</v>
      </c>
      <c r="B632" s="276">
        <f t="array" ref="B632:K639" ca="1">IF(cbe_glin_b&lt;Q0_GLIN,(ALO_GLIN/BLO_GLIN)*(EXP(BLO_GLIN*(cbe_glin_b-Q0_GLIN))-EXP(-BLO_GLIN*Q0_GLIN))-ALO_GLIN*cbe_glin_b,(ahi_glin_b/BHI_GLIN)*(EXP(BHI_GLIN*(cbe_glin_b-Q0_GLIN))-1)-ahi_glin_b*(cbe_glin_b-Q0_GLIN)+TCQ0_GLIN)</f>
        <v>807.49600728823225</v>
      </c>
      <c r="C632" s="276">
        <f ca="1"/>
        <v>5318.2933282339072</v>
      </c>
      <c r="D632" s="276">
        <f ca="1"/>
        <v>7114.6577308698625</v>
      </c>
      <c r="E632" s="276">
        <f ca="1"/>
        <v>9145.7529185945568</v>
      </c>
      <c r="F632" s="276">
        <f ca="1"/>
        <v>5994.140286224494</v>
      </c>
      <c r="G632" s="276">
        <f ca="1"/>
        <v>4389.8726458109722</v>
      </c>
      <c r="H632" s="276">
        <f ca="1"/>
        <v>2280.932172305239</v>
      </c>
      <c r="I632" s="276">
        <f ca="1"/>
        <v>1117.8352749197102</v>
      </c>
      <c r="J632" s="276">
        <f ca="1"/>
        <v>488.87072947650586</v>
      </c>
      <c r="K632" s="276">
        <f ca="1"/>
        <v>129.44838710019746</v>
      </c>
      <c r="M632" s="4" t="str">
        <f t="shared" ref="M632:M639" si="51">CURRENCY_NAME</f>
        <v>$M(2015)</v>
      </c>
    </row>
    <row r="633" spans="1:13" s="7" customFormat="1" x14ac:dyDescent="0.25">
      <c r="A633" s="4" t="str">
        <v>US Lin</v>
      </c>
      <c r="B633" s="230">
        <f ca="1"/>
        <v>1564.4354259183501</v>
      </c>
      <c r="C633" s="230">
        <f ca="1"/>
        <v>11920.848612741811</v>
      </c>
      <c r="D633" s="230">
        <f ca="1"/>
        <v>15635.755723460714</v>
      </c>
      <c r="E633" s="230">
        <f ca="1"/>
        <v>20193.464030209718</v>
      </c>
      <c r="F633" s="230">
        <f ca="1"/>
        <v>13003.717957905541</v>
      </c>
      <c r="G633" s="230">
        <f ca="1"/>
        <v>9415.8821428143856</v>
      </c>
      <c r="H633" s="230">
        <f ca="1"/>
        <v>4703.6840735502838</v>
      </c>
      <c r="I633" s="230">
        <f ca="1"/>
        <v>2105.7202737840207</v>
      </c>
      <c r="J633" s="230">
        <f ca="1"/>
        <v>713.46848305854382</v>
      </c>
      <c r="K633" s="230">
        <f ca="1"/>
        <v>-68.917566876277533</v>
      </c>
      <c r="M633" s="4" t="str">
        <f t="shared" si="51"/>
        <v>$M(2015)</v>
      </c>
    </row>
    <row r="634" spans="1:13" s="7" customFormat="1" x14ac:dyDescent="0.25">
      <c r="A634" s="4" t="str">
        <v>OT Lin</v>
      </c>
      <c r="B634" s="230">
        <f ca="1"/>
        <v>1186.2165969189564</v>
      </c>
      <c r="C634" s="230">
        <f ca="1"/>
        <v>6465.4694227753489</v>
      </c>
      <c r="D634" s="230">
        <f ca="1"/>
        <v>8562.0361730577297</v>
      </c>
      <c r="E634" s="230">
        <f ca="1"/>
        <v>10910.723760291032</v>
      </c>
      <c r="F634" s="230">
        <f ca="1"/>
        <v>7227.3589579715817</v>
      </c>
      <c r="G634" s="230">
        <f ca="1"/>
        <v>5361.0767451251395</v>
      </c>
      <c r="H634" s="230">
        <f ca="1"/>
        <v>2881.91035787894</v>
      </c>
      <c r="I634" s="230">
        <f ca="1"/>
        <v>1505.5202655025787</v>
      </c>
      <c r="J634" s="230">
        <f ca="1"/>
        <v>752.57675781461535</v>
      </c>
      <c r="K634" s="230">
        <f ca="1"/>
        <v>315.20547686083398</v>
      </c>
      <c r="M634" s="4" t="str">
        <f t="shared" si="51"/>
        <v>$M(2015)</v>
      </c>
    </row>
    <row r="635" spans="1:13" s="7" customFormat="1" x14ac:dyDescent="0.25">
      <c r="A635" s="4" t="str">
        <v>EE Lin</v>
      </c>
      <c r="B635" s="230">
        <f ca="1"/>
        <v>908.62449733691255</v>
      </c>
      <c r="C635" s="230">
        <f ca="1"/>
        <v>3548.0244992610296</v>
      </c>
      <c r="D635" s="230">
        <f ca="1"/>
        <v>5597.7109037090668</v>
      </c>
      <c r="E635" s="230">
        <f ca="1"/>
        <v>7126.1192230037614</v>
      </c>
      <c r="F635" s="230">
        <f ca="1"/>
        <v>6056.1930664343818</v>
      </c>
      <c r="G635" s="230">
        <f ca="1"/>
        <v>4707.514172170534</v>
      </c>
      <c r="H635" s="230">
        <f ca="1"/>
        <v>2481.5608010754195</v>
      </c>
      <c r="I635" s="230">
        <f ca="1"/>
        <v>1279.7033253407137</v>
      </c>
      <c r="J635" s="230">
        <f ca="1"/>
        <v>634.05775780104284</v>
      </c>
      <c r="K635" s="230">
        <f ca="1"/>
        <v>264.18698935131943</v>
      </c>
      <c r="M635" s="4" t="str">
        <f t="shared" si="51"/>
        <v>$M(2015)</v>
      </c>
    </row>
    <row r="636" spans="1:13" s="7" customFormat="1" x14ac:dyDescent="0.25">
      <c r="A636" s="4" t="str">
        <v>CA Lin</v>
      </c>
      <c r="B636" s="230">
        <f ca="1"/>
        <v>3697.7370584797682</v>
      </c>
      <c r="C636" s="230">
        <f ca="1"/>
        <v>12407.653108656461</v>
      </c>
      <c r="D636" s="230">
        <f ca="1"/>
        <v>21806.814290590577</v>
      </c>
      <c r="E636" s="230">
        <f ca="1"/>
        <v>26627.596003610066</v>
      </c>
      <c r="F636" s="230">
        <f ca="1"/>
        <v>23879.739387733229</v>
      </c>
      <c r="G636" s="230">
        <f ca="1"/>
        <v>18054.338021154988</v>
      </c>
      <c r="H636" s="230">
        <f ca="1"/>
        <v>9699.4581962727425</v>
      </c>
      <c r="I636" s="230">
        <f ca="1"/>
        <v>5206.091486233674</v>
      </c>
      <c r="J636" s="230">
        <f ca="1"/>
        <v>2781.4502044499613</v>
      </c>
      <c r="K636" s="230">
        <f ca="1"/>
        <v>1377.5055663799628</v>
      </c>
      <c r="M636" s="4" t="str">
        <f t="shared" si="51"/>
        <v>$M(2015)</v>
      </c>
    </row>
    <row r="637" spans="1:13" s="7" customFormat="1" x14ac:dyDescent="0.25">
      <c r="A637" s="4" t="str">
        <v>IA Lin</v>
      </c>
      <c r="B637" s="230">
        <f ca="1"/>
        <v>3350.5117125793236</v>
      </c>
      <c r="C637" s="230">
        <f ca="1"/>
        <v>11118.078988562351</v>
      </c>
      <c r="D637" s="230">
        <f ca="1"/>
        <v>19664.587594600955</v>
      </c>
      <c r="E637" s="230">
        <f ca="1"/>
        <v>24160.593077843831</v>
      </c>
      <c r="F637" s="230">
        <f ca="1"/>
        <v>21918.984507468896</v>
      </c>
      <c r="G637" s="230">
        <f ca="1"/>
        <v>16790.372555107784</v>
      </c>
      <c r="H637" s="230">
        <f ca="1"/>
        <v>9226.2832018380141</v>
      </c>
      <c r="I637" s="230">
        <f ca="1"/>
        <v>5123.4759100304</v>
      </c>
      <c r="J637" s="230">
        <f ca="1"/>
        <v>2887.8654251556786</v>
      </c>
      <c r="K637" s="230">
        <f ca="1"/>
        <v>1578.3028689676144</v>
      </c>
      <c r="M637" s="4" t="str">
        <f t="shared" si="51"/>
        <v>$M(2015)</v>
      </c>
    </row>
    <row r="638" spans="1:13" s="7" customFormat="1" x14ac:dyDescent="0.25">
      <c r="A638" s="4" t="str">
        <v>AF Lin</v>
      </c>
      <c r="B638" s="230">
        <f ca="1"/>
        <v>2727.9201681391846</v>
      </c>
      <c r="C638" s="230">
        <f ca="1"/>
        <v>7688.6561694520715</v>
      </c>
      <c r="D638" s="230">
        <f ca="1"/>
        <v>11000.090675130445</v>
      </c>
      <c r="E638" s="230">
        <f ca="1"/>
        <v>14870.642942295299</v>
      </c>
      <c r="F638" s="230">
        <f ca="1"/>
        <v>15842.233645621172</v>
      </c>
      <c r="G638" s="230">
        <f ca="1"/>
        <v>12884.535979573961</v>
      </c>
      <c r="H638" s="230">
        <f ca="1"/>
        <v>7081.3524267196617</v>
      </c>
      <c r="I638" s="230">
        <f ca="1"/>
        <v>3945.6041339591889</v>
      </c>
      <c r="J638" s="230">
        <f ca="1"/>
        <v>2238.9031956189865</v>
      </c>
      <c r="K638" s="230">
        <f ca="1"/>
        <v>1238.7124204670963</v>
      </c>
      <c r="M638" s="4" t="str">
        <f t="shared" si="51"/>
        <v>$M(2015)</v>
      </c>
    </row>
    <row r="639" spans="1:13" s="7" customFormat="1" ht="13" thickBot="1" x14ac:dyDescent="0.3">
      <c r="A639" s="4" t="str">
        <v>LA Lin</v>
      </c>
      <c r="B639" s="277">
        <f ca="1"/>
        <v>639.74524348191073</v>
      </c>
      <c r="C639" s="277">
        <f ca="1"/>
        <v>2461.2097837278798</v>
      </c>
      <c r="D639" s="277">
        <f ca="1"/>
        <v>4638.7148953199139</v>
      </c>
      <c r="E639" s="277">
        <f ca="1"/>
        <v>6201.4889956863262</v>
      </c>
      <c r="F639" s="277">
        <f ca="1"/>
        <v>6473.1712916325641</v>
      </c>
      <c r="G639" s="277">
        <f ca="1"/>
        <v>5090.1582620447025</v>
      </c>
      <c r="H639" s="277">
        <f ca="1"/>
        <v>2669.5990889242353</v>
      </c>
      <c r="I639" s="277">
        <f ca="1"/>
        <v>1370.2620069205204</v>
      </c>
      <c r="J639" s="277">
        <f ca="1"/>
        <v>674.57423013358664</v>
      </c>
      <c r="K639" s="277">
        <f ca="1"/>
        <v>276.8270402394761</v>
      </c>
      <c r="M639" s="4" t="str">
        <f t="shared" si="51"/>
        <v>$M(2015)</v>
      </c>
    </row>
    <row r="640" spans="1:13" s="2" customFormat="1" ht="15.5" thickTop="1" x14ac:dyDescent="0.4">
      <c r="A640" s="2" t="s">
        <v>354</v>
      </c>
      <c r="B640" s="2" t="s">
        <v>394</v>
      </c>
    </row>
    <row r="641" spans="1:15" s="7" customFormat="1" x14ac:dyDescent="0.25">
      <c r="A641" s="4" t="str">
        <f t="array" ref="A641:A648">R_CODE</f>
        <v>EU</v>
      </c>
      <c r="B641" s="276">
        <f t="array" aca="1" ref="B641:K648" ca="1">tc_co2_b+tc_ch4_b+tc_n2o_b+tc_glin_b</f>
        <v>580.39621138091047</v>
      </c>
      <c r="C641" s="276">
        <f ca="1"/>
        <v>72036.976475755888</v>
      </c>
      <c r="D641" s="276">
        <f ca="1"/>
        <v>226408.43400522938</v>
      </c>
      <c r="E641" s="276">
        <f ca="1"/>
        <v>329023.73528457637</v>
      </c>
      <c r="F641" s="276">
        <f ca="1"/>
        <v>422519.99616902118</v>
      </c>
      <c r="G641" s="276">
        <f ca="1"/>
        <v>296513.54346355615</v>
      </c>
      <c r="H641" s="276">
        <f ca="1"/>
        <v>156322.5485316008</v>
      </c>
      <c r="I641" s="276">
        <f ca="1"/>
        <v>83815.07440956615</v>
      </c>
      <c r="J641" s="276">
        <f ca="1"/>
        <v>45832.131385115536</v>
      </c>
      <c r="K641" s="276">
        <f ca="1"/>
        <v>24567.546858700902</v>
      </c>
      <c r="M641" s="4" t="str">
        <f t="shared" ref="M641:M648" si="52">CURRENCY_NAME</f>
        <v>$M(2015)</v>
      </c>
    </row>
    <row r="642" spans="1:15" s="7" customFormat="1" x14ac:dyDescent="0.25">
      <c r="A642" s="4" t="str">
        <v>US</v>
      </c>
      <c r="B642" s="230">
        <f ca="1"/>
        <v>-5390.9949896718135</v>
      </c>
      <c r="C642" s="230">
        <f ca="1"/>
        <v>91551.597537126218</v>
      </c>
      <c r="D642" s="230">
        <f ca="1"/>
        <v>297801.68191452773</v>
      </c>
      <c r="E642" s="230">
        <f ca="1"/>
        <v>432684.99649846659</v>
      </c>
      <c r="F642" s="230">
        <f ca="1"/>
        <v>551411.68188850139</v>
      </c>
      <c r="G642" s="230">
        <f ca="1"/>
        <v>382831.74670884985</v>
      </c>
      <c r="H642" s="230">
        <f ca="1"/>
        <v>200770.25709719214</v>
      </c>
      <c r="I642" s="230">
        <f ca="1"/>
        <v>106523.70799797928</v>
      </c>
      <c r="J642" s="230">
        <f ca="1"/>
        <v>57216.303926855042</v>
      </c>
      <c r="K642" s="230">
        <f ca="1"/>
        <v>29689.024257783658</v>
      </c>
      <c r="M642" s="4" t="str">
        <f t="shared" si="52"/>
        <v>$M(2015)</v>
      </c>
    </row>
    <row r="643" spans="1:15" s="7" customFormat="1" x14ac:dyDescent="0.25">
      <c r="A643" s="4" t="str">
        <v>OT</v>
      </c>
      <c r="B643" s="230">
        <f ca="1"/>
        <v>10819.337348042383</v>
      </c>
      <c r="C643" s="230">
        <f ca="1"/>
        <v>67996.168544249871</v>
      </c>
      <c r="D643" s="230">
        <f ca="1"/>
        <v>180448.53507436276</v>
      </c>
      <c r="E643" s="230">
        <f ca="1"/>
        <v>260340.85812071097</v>
      </c>
      <c r="F643" s="230">
        <f ca="1"/>
        <v>330520.26941048104</v>
      </c>
      <c r="G643" s="230">
        <f ca="1"/>
        <v>239980.8883644068</v>
      </c>
      <c r="H643" s="230">
        <f ca="1"/>
        <v>127609.26048591765</v>
      </c>
      <c r="I643" s="230">
        <f ca="1"/>
        <v>69306.590435130507</v>
      </c>
      <c r="J643" s="230">
        <f ca="1"/>
        <v>38629.613306469219</v>
      </c>
      <c r="K643" s="230">
        <f ca="1"/>
        <v>21364.22580259505</v>
      </c>
      <c r="M643" s="4" t="str">
        <f t="shared" si="52"/>
        <v>$M(2015)</v>
      </c>
    </row>
    <row r="644" spans="1:15" s="7" customFormat="1" x14ac:dyDescent="0.25">
      <c r="A644" s="4" t="str">
        <v>EE</v>
      </c>
      <c r="B644" s="230">
        <f ca="1"/>
        <v>27987.296245782782</v>
      </c>
      <c r="C644" s="230">
        <f ca="1"/>
        <v>114005.02617271074</v>
      </c>
      <c r="D644" s="230">
        <f ca="1"/>
        <v>248302.79202480314</v>
      </c>
      <c r="E644" s="230">
        <f ca="1"/>
        <v>326868.82889386103</v>
      </c>
      <c r="F644" s="230">
        <f ca="1"/>
        <v>414475.05298870744</v>
      </c>
      <c r="G644" s="230">
        <f ca="1"/>
        <v>394032.40797814453</v>
      </c>
      <c r="H644" s="230">
        <f ca="1"/>
        <v>200918.0512442964</v>
      </c>
      <c r="I644" s="230">
        <f ca="1"/>
        <v>104653.78723592941</v>
      </c>
      <c r="J644" s="230">
        <f ca="1"/>
        <v>55466.307727982385</v>
      </c>
      <c r="K644" s="230">
        <f ca="1"/>
        <v>28505.375862004068</v>
      </c>
      <c r="M644" s="4" t="str">
        <f t="shared" si="52"/>
        <v>$M(2015)</v>
      </c>
    </row>
    <row r="645" spans="1:15" s="7" customFormat="1" x14ac:dyDescent="0.25">
      <c r="A645" s="4" t="str">
        <v>CA</v>
      </c>
      <c r="B645" s="230">
        <f ca="1"/>
        <v>-21476.34024141671</v>
      </c>
      <c r="C645" s="230">
        <f ca="1"/>
        <v>61432.002234624393</v>
      </c>
      <c r="D645" s="230">
        <f ca="1"/>
        <v>396755.51184072869</v>
      </c>
      <c r="E645" s="230">
        <f ca="1"/>
        <v>753047.42227151443</v>
      </c>
      <c r="F645" s="230">
        <f ca="1"/>
        <v>1240611.2064904275</v>
      </c>
      <c r="G645" s="230">
        <f ca="1"/>
        <v>874600.5487225547</v>
      </c>
      <c r="H645" s="230">
        <f ca="1"/>
        <v>453966.02908472443</v>
      </c>
      <c r="I645" s="230">
        <f ca="1"/>
        <v>242277.53806397092</v>
      </c>
      <c r="J645" s="230">
        <f ca="1"/>
        <v>132954.87883027986</v>
      </c>
      <c r="K645" s="230">
        <f ca="1"/>
        <v>72224.145128574761</v>
      </c>
      <c r="M645" s="4" t="str">
        <f t="shared" si="52"/>
        <v>$M(2015)</v>
      </c>
    </row>
    <row r="646" spans="1:15" s="7" customFormat="1" x14ac:dyDescent="0.25">
      <c r="A646" s="4" t="str">
        <v>IA</v>
      </c>
      <c r="B646" s="230">
        <f ca="1"/>
        <v>-8851.5305779001665</v>
      </c>
      <c r="C646" s="230">
        <f ca="1"/>
        <v>68647.46771359985</v>
      </c>
      <c r="D646" s="230">
        <f ca="1"/>
        <v>356442.05058207142</v>
      </c>
      <c r="E646" s="230">
        <f ca="1"/>
        <v>694852.95688456937</v>
      </c>
      <c r="F646" s="230">
        <f ca="1"/>
        <v>1131495.7659894475</v>
      </c>
      <c r="G646" s="230">
        <f ca="1"/>
        <v>826219.72846392507</v>
      </c>
      <c r="H646" s="230">
        <f ca="1"/>
        <v>431974.130883098</v>
      </c>
      <c r="I646" s="230">
        <f ca="1"/>
        <v>232746.99988629899</v>
      </c>
      <c r="J646" s="230">
        <f ca="1"/>
        <v>129514.51260285883</v>
      </c>
      <c r="K646" s="230">
        <f ca="1"/>
        <v>72006.75774537737</v>
      </c>
      <c r="M646" s="4" t="str">
        <f t="shared" si="52"/>
        <v>$M(2015)</v>
      </c>
    </row>
    <row r="647" spans="1:15" s="7" customFormat="1" x14ac:dyDescent="0.25">
      <c r="A647" s="4" t="str">
        <v>AF</v>
      </c>
      <c r="B647" s="230">
        <f ca="1"/>
        <v>67780.460942605147</v>
      </c>
      <c r="C647" s="230">
        <f ca="1"/>
        <v>244407.42044647419</v>
      </c>
      <c r="D647" s="230">
        <f ca="1"/>
        <v>576845.81166461983</v>
      </c>
      <c r="E647" s="230">
        <f ca="1"/>
        <v>906123.8277926154</v>
      </c>
      <c r="F647" s="230">
        <f ca="1"/>
        <v>1244193.9929788334</v>
      </c>
      <c r="G647" s="230">
        <f ca="1"/>
        <v>1135635.0720059746</v>
      </c>
      <c r="H647" s="230">
        <f ca="1"/>
        <v>588509.63359295088</v>
      </c>
      <c r="I647" s="230">
        <f ca="1"/>
        <v>315776.70811453916</v>
      </c>
      <c r="J647" s="230">
        <f ca="1"/>
        <v>175286.3920315408</v>
      </c>
      <c r="K647" s="230">
        <f ca="1"/>
        <v>97192.596459105553</v>
      </c>
      <c r="M647" s="4" t="str">
        <f t="shared" si="52"/>
        <v>$M(2015)</v>
      </c>
    </row>
    <row r="648" spans="1:15" s="7" customFormat="1" ht="13" thickBot="1" x14ac:dyDescent="0.3">
      <c r="A648" s="4" t="str">
        <v>LA</v>
      </c>
      <c r="B648" s="277">
        <f ca="1"/>
        <v>21723.450821566224</v>
      </c>
      <c r="C648" s="277">
        <f ca="1"/>
        <v>118557.48227548215</v>
      </c>
      <c r="D648" s="277">
        <f ca="1"/>
        <v>200164.72075153113</v>
      </c>
      <c r="E648" s="277">
        <f ca="1"/>
        <v>289810.4360097656</v>
      </c>
      <c r="F648" s="277">
        <f ca="1"/>
        <v>336834.75512867438</v>
      </c>
      <c r="G648" s="277">
        <f ca="1"/>
        <v>210333.80376462848</v>
      </c>
      <c r="H648" s="277">
        <f ca="1"/>
        <v>108191.89927104501</v>
      </c>
      <c r="I648" s="277">
        <f ca="1"/>
        <v>55785.601757511038</v>
      </c>
      <c r="J648" s="277">
        <f ca="1"/>
        <v>28771.983295298553</v>
      </c>
      <c r="K648" s="277">
        <f ca="1"/>
        <v>14023.799400851525</v>
      </c>
      <c r="M648" s="4" t="str">
        <f t="shared" si="52"/>
        <v>$M(2015)</v>
      </c>
    </row>
    <row r="649" spans="1:15" s="2" customFormat="1" ht="15.5" thickTop="1" x14ac:dyDescent="0.4">
      <c r="A649" s="2" t="s">
        <v>359</v>
      </c>
      <c r="B649" s="2" t="s">
        <v>397</v>
      </c>
    </row>
    <row r="650" spans="1:15" s="7" customFormat="1" ht="13" x14ac:dyDescent="0.3">
      <c r="A650" s="4" t="str">
        <f t="array" ref="A650:A657">R_CODE</f>
        <v>EU</v>
      </c>
      <c r="B650" s="271">
        <f t="array" aca="1" ref="B650:K657" ca="1">tct_b/POP_B</f>
        <v>1.1419285623970943</v>
      </c>
      <c r="C650" s="271">
        <f ca="1"/>
        <v>140.04300915053332</v>
      </c>
      <c r="D650" s="271">
        <f ca="1"/>
        <v>438.82955598082742</v>
      </c>
      <c r="E650" s="271">
        <f ca="1"/>
        <v>640.27717997450725</v>
      </c>
      <c r="F650" s="271">
        <f ca="1"/>
        <v>864.41944960148089</v>
      </c>
      <c r="G650" s="271">
        <f ca="1"/>
        <v>657.23557778087979</v>
      </c>
      <c r="H650" s="271">
        <f ca="1"/>
        <v>346.49594519102942</v>
      </c>
      <c r="I650" s="271">
        <f ca="1"/>
        <v>185.77987437895624</v>
      </c>
      <c r="J650" s="271">
        <f ca="1"/>
        <v>101.5889763414058</v>
      </c>
      <c r="K650" s="271">
        <f ca="1"/>
        <v>54.455070300428545</v>
      </c>
      <c r="M650" s="1" t="str">
        <f t="shared" ref="M650:M657" si="53">CURRENCY_NAME&amp;"/"&amp;POP_UNIT_NAME</f>
        <v>$M(2015)/million</v>
      </c>
      <c r="O650" s="294" t="s">
        <v>1050</v>
      </c>
    </row>
    <row r="651" spans="1:15" s="7" customFormat="1" x14ac:dyDescent="0.25">
      <c r="A651" s="4" t="str">
        <v>US</v>
      </c>
      <c r="B651" s="262">
        <f ca="1"/>
        <v>-16.347146134905302</v>
      </c>
      <c r="C651" s="262">
        <f ca="1"/>
        <v>258.90726572546441</v>
      </c>
      <c r="D651" s="262">
        <f ca="1"/>
        <v>794.06741706871003</v>
      </c>
      <c r="E651" s="262">
        <f ca="1"/>
        <v>1099.7799605640482</v>
      </c>
      <c r="F651" s="262">
        <f ca="1"/>
        <v>1281.1312131749312</v>
      </c>
      <c r="G651" s="262">
        <f ca="1"/>
        <v>874.03354318994968</v>
      </c>
      <c r="H651" s="262">
        <f ca="1"/>
        <v>458.37353011183654</v>
      </c>
      <c r="I651" s="262">
        <f ca="1"/>
        <v>243.2016015798543</v>
      </c>
      <c r="J651" s="262">
        <f ca="1"/>
        <v>130.62910607425363</v>
      </c>
      <c r="K651" s="262">
        <f ca="1"/>
        <v>67.782265418071063</v>
      </c>
      <c r="M651" s="1" t="str">
        <f t="shared" si="53"/>
        <v>$M(2015)/million</v>
      </c>
    </row>
    <row r="652" spans="1:15" s="7" customFormat="1" x14ac:dyDescent="0.25">
      <c r="A652" s="4" t="str">
        <v>OT</v>
      </c>
      <c r="B652" s="262">
        <f ca="1"/>
        <v>38.364318454398614</v>
      </c>
      <c r="C652" s="262">
        <f ca="1"/>
        <v>236.33826957604782</v>
      </c>
      <c r="D652" s="262">
        <f ca="1"/>
        <v>624.69228121641038</v>
      </c>
      <c r="E652" s="262">
        <f ca="1"/>
        <v>910.33287933207816</v>
      </c>
      <c r="F652" s="262">
        <f ca="1"/>
        <v>1264.7742739767243</v>
      </c>
      <c r="G652" s="262">
        <f ca="1"/>
        <v>1070.0998836580713</v>
      </c>
      <c r="H652" s="262">
        <f ca="1"/>
        <v>569.0230406694601</v>
      </c>
      <c r="I652" s="262">
        <f ca="1"/>
        <v>309.04533634675334</v>
      </c>
      <c r="J652" s="262">
        <f ca="1"/>
        <v>172.25348646196633</v>
      </c>
      <c r="K652" s="262">
        <f ca="1"/>
        <v>95.265317590984168</v>
      </c>
      <c r="M652" s="1" t="str">
        <f t="shared" si="53"/>
        <v>$M(2015)/million</v>
      </c>
    </row>
    <row r="653" spans="1:15" s="7" customFormat="1" x14ac:dyDescent="0.25">
      <c r="A653" s="4" t="str">
        <v>EE</v>
      </c>
      <c r="B653" s="262">
        <f ca="1"/>
        <v>91.254534542003</v>
      </c>
      <c r="C653" s="262">
        <f ca="1"/>
        <v>379.99905099504213</v>
      </c>
      <c r="D653" s="262">
        <f ca="1"/>
        <v>852.8811840139133</v>
      </c>
      <c r="E653" s="262">
        <f ca="1"/>
        <v>1171.0062631860585</v>
      </c>
      <c r="F653" s="262">
        <f ca="1"/>
        <v>1756.6013809182903</v>
      </c>
      <c r="G653" s="262">
        <f ca="1"/>
        <v>2051.6542203449285</v>
      </c>
      <c r="H653" s="262">
        <f ca="1"/>
        <v>1046.1433106327215</v>
      </c>
      <c r="I653" s="262">
        <f ca="1"/>
        <v>544.91300692602965</v>
      </c>
      <c r="J653" s="262">
        <f ca="1"/>
        <v>288.80285487425567</v>
      </c>
      <c r="K653" s="262">
        <f ca="1"/>
        <v>148.42224524091162</v>
      </c>
      <c r="M653" s="1" t="str">
        <f t="shared" si="53"/>
        <v>$M(2015)/million</v>
      </c>
    </row>
    <row r="654" spans="1:15" s="7" customFormat="1" x14ac:dyDescent="0.25">
      <c r="A654" s="4" t="str">
        <v>CA</v>
      </c>
      <c r="B654" s="262">
        <f ca="1"/>
        <v>-13.715777548942437</v>
      </c>
      <c r="C654" s="262">
        <f ca="1"/>
        <v>39.508992347013518</v>
      </c>
      <c r="D654" s="262">
        <f ca="1"/>
        <v>264.53738928882615</v>
      </c>
      <c r="E654" s="262">
        <f ca="1"/>
        <v>537.0096202211746</v>
      </c>
      <c r="F654" s="262">
        <f ca="1"/>
        <v>1163.5643134067791</v>
      </c>
      <c r="G654" s="262">
        <f ca="1"/>
        <v>1175.8326754468953</v>
      </c>
      <c r="H654" s="262">
        <f ca="1"/>
        <v>610.32215371960126</v>
      </c>
      <c r="I654" s="262">
        <f ca="1"/>
        <v>325.7233787453481</v>
      </c>
      <c r="J654" s="262">
        <f ca="1"/>
        <v>178.74753350780074</v>
      </c>
      <c r="K654" s="262">
        <f ca="1"/>
        <v>97.09976734228735</v>
      </c>
      <c r="M654" s="1" t="str">
        <f t="shared" si="53"/>
        <v>$M(2015)/million</v>
      </c>
    </row>
    <row r="655" spans="1:15" s="7" customFormat="1" x14ac:dyDescent="0.25">
      <c r="A655" s="4" t="str">
        <v>IA</v>
      </c>
      <c r="B655" s="262">
        <f ca="1"/>
        <v>-3.8171325382884933</v>
      </c>
      <c r="C655" s="262">
        <f ca="1"/>
        <v>27.69125896839947</v>
      </c>
      <c r="D655" s="262">
        <f ca="1"/>
        <v>138.29375560805354</v>
      </c>
      <c r="E655" s="262">
        <f ca="1"/>
        <v>266.91056985500637</v>
      </c>
      <c r="F655" s="262">
        <f ca="1"/>
        <v>473.26427768591662</v>
      </c>
      <c r="G655" s="262">
        <f ca="1"/>
        <v>424.56457416697623</v>
      </c>
      <c r="H655" s="262">
        <f ca="1"/>
        <v>221.97595459322167</v>
      </c>
      <c r="I655" s="262">
        <f ca="1"/>
        <v>119.6003042424112</v>
      </c>
      <c r="J655" s="262">
        <f ca="1"/>
        <v>66.552845444524053</v>
      </c>
      <c r="K655" s="262">
        <f ca="1"/>
        <v>37.001680528917063</v>
      </c>
      <c r="M655" s="1" t="str">
        <f t="shared" si="53"/>
        <v>$M(2015)/million</v>
      </c>
    </row>
    <row r="656" spans="1:15" s="7" customFormat="1" x14ac:dyDescent="0.25">
      <c r="A656" s="4" t="str">
        <v>AF</v>
      </c>
      <c r="B656" s="262">
        <f ca="1"/>
        <v>46.934007540803151</v>
      </c>
      <c r="C656" s="262">
        <f ca="1"/>
        <v>145.68311884846841</v>
      </c>
      <c r="D656" s="262">
        <f ca="1"/>
        <v>302.17611490565008</v>
      </c>
      <c r="E656" s="262">
        <f ca="1"/>
        <v>428.43447541105689</v>
      </c>
      <c r="F656" s="262">
        <f ca="1"/>
        <v>504.05408073131747</v>
      </c>
      <c r="G656" s="262">
        <f ca="1"/>
        <v>448.72048283058342</v>
      </c>
      <c r="H656" s="262">
        <f ca="1"/>
        <v>232.53625521605002</v>
      </c>
      <c r="I656" s="262">
        <f ca="1"/>
        <v>124.77201561018957</v>
      </c>
      <c r="J656" s="262">
        <f ca="1"/>
        <v>69.260448540999377</v>
      </c>
      <c r="K656" s="262">
        <f ca="1"/>
        <v>38.403453614418183</v>
      </c>
      <c r="M656" s="1" t="str">
        <f t="shared" si="53"/>
        <v>$M(2015)/million</v>
      </c>
    </row>
    <row r="657" spans="1:15" s="7" customFormat="1" ht="13" thickBot="1" x14ac:dyDescent="0.3">
      <c r="A657" s="4" t="str">
        <v>LA</v>
      </c>
      <c r="B657" s="272">
        <f ca="1"/>
        <v>34.275836292729053</v>
      </c>
      <c r="C657" s="272">
        <f ca="1"/>
        <v>175.8510973742265</v>
      </c>
      <c r="D657" s="272">
        <f ca="1"/>
        <v>285.84574803543626</v>
      </c>
      <c r="E657" s="272">
        <f ca="1"/>
        <v>410.56814913841635</v>
      </c>
      <c r="F657" s="272">
        <f ca="1"/>
        <v>510.55514245952719</v>
      </c>
      <c r="G657" s="272">
        <f ca="1"/>
        <v>377.15854152644903</v>
      </c>
      <c r="H657" s="272">
        <f ca="1"/>
        <v>194.00352298913742</v>
      </c>
      <c r="I657" s="272">
        <f ca="1"/>
        <v>100.03154899714909</v>
      </c>
      <c r="J657" s="272">
        <f ca="1"/>
        <v>51.592274100750394</v>
      </c>
      <c r="K657" s="272">
        <f ca="1"/>
        <v>25.146674638202533</v>
      </c>
      <c r="M657" s="1" t="str">
        <f t="shared" si="53"/>
        <v>$M(2015)/million</v>
      </c>
    </row>
    <row r="658" spans="1:15" s="2" customFormat="1" ht="15.5" thickTop="1" x14ac:dyDescent="0.4">
      <c r="A658" s="2" t="s">
        <v>360</v>
      </c>
      <c r="B658" s="2" t="s">
        <v>398</v>
      </c>
    </row>
    <row r="659" spans="1:15" s="7" customFormat="1" ht="13" x14ac:dyDescent="0.3">
      <c r="A659" s="4" t="str">
        <f t="array" ref="A659:A666">R_CODE</f>
        <v>EU</v>
      </c>
      <c r="B659" s="244">
        <f t="array" aca="1" ref="B659:K666" ca="1" xml:space="preserve"> (((CONS_PER_CAP_FOCUS_0)^EMUC)/(1-EMUC))*( (CONS_PER_CAP_B)^(1-EMUC) - IF((CONS_PER_CAP_B - tct_per_cap_b) &lt; 0.01*CONS_PER_CAP_FOCUS_0, 0.01*CONS_PER_CAP_FOCUS_0, (CONS_PER_CAP_B - tct_per_cap_b)) ^(1-EMUC) )</f>
        <v>1.0501296755137461</v>
      </c>
      <c r="C659" s="244">
        <f ca="1"/>
        <v>109.26592419552335</v>
      </c>
      <c r="D659" s="244">
        <f ca="1"/>
        <v>283.96503022284122</v>
      </c>
      <c r="E659" s="244">
        <f ca="1"/>
        <v>342.38335305421549</v>
      </c>
      <c r="F659" s="244">
        <f ca="1"/>
        <v>281.37566595535441</v>
      </c>
      <c r="G659" s="244">
        <f ca="1"/>
        <v>130.5827742090103</v>
      </c>
      <c r="H659" s="244">
        <f ca="1"/>
        <v>32.238362476610334</v>
      </c>
      <c r="I659" s="244">
        <f ca="1"/>
        <v>9.2623735402151066</v>
      </c>
      <c r="J659" s="244">
        <f ca="1"/>
        <v>3.0301524322827502</v>
      </c>
      <c r="K659" s="244">
        <f ca="1"/>
        <v>1.0638961146539261</v>
      </c>
      <c r="M659" s="1" t="str">
        <f t="shared" ref="M659:M666" si="54">CURRENCY_NAME&amp;"/"&amp;POP_UNIT_NAME</f>
        <v>$M(2015)/million</v>
      </c>
      <c r="O659" s="242" t="s">
        <v>885</v>
      </c>
    </row>
    <row r="660" spans="1:15" s="7" customFormat="1" ht="13" x14ac:dyDescent="0.3">
      <c r="A660" s="4" t="str">
        <v>US</v>
      </c>
      <c r="B660" s="108">
        <f ca="1"/>
        <v>-8.8463609635180198</v>
      </c>
      <c r="C660" s="108">
        <f ca="1"/>
        <v>119.60643988872596</v>
      </c>
      <c r="D660" s="108">
        <f ca="1"/>
        <v>323.51869534130276</v>
      </c>
      <c r="E660" s="108">
        <f ca="1"/>
        <v>395.78757321504469</v>
      </c>
      <c r="F660" s="108">
        <f ca="1"/>
        <v>328.41295394722283</v>
      </c>
      <c r="G660" s="108">
        <f ca="1"/>
        <v>149.64991008210052</v>
      </c>
      <c r="H660" s="108">
        <f ca="1"/>
        <v>34.547925670975467</v>
      </c>
      <c r="I660" s="108">
        <f ca="1"/>
        <v>8.7838995885906925</v>
      </c>
      <c r="J660" s="108">
        <f ca="1"/>
        <v>2.4368403285004625</v>
      </c>
      <c r="K660" s="108">
        <f ca="1"/>
        <v>0.69838324793431694</v>
      </c>
      <c r="M660" s="1" t="str">
        <f t="shared" si="54"/>
        <v>$M(2015)/million</v>
      </c>
      <c r="O660" s="294" t="s">
        <v>1074</v>
      </c>
    </row>
    <row r="661" spans="1:15" s="7" customFormat="1" ht="13" x14ac:dyDescent="0.3">
      <c r="A661" s="4" t="str">
        <v>OT</v>
      </c>
      <c r="B661" s="108">
        <f ca="1"/>
        <v>34.923870118581412</v>
      </c>
      <c r="C661" s="108">
        <f ca="1"/>
        <v>176.7208931139744</v>
      </c>
      <c r="D661" s="108">
        <f ca="1"/>
        <v>388.18475776857986</v>
      </c>
      <c r="E661" s="108">
        <f ca="1"/>
        <v>468.74401598895361</v>
      </c>
      <c r="F661" s="108">
        <f ca="1"/>
        <v>398.39271109883828</v>
      </c>
      <c r="G661" s="108">
        <f ca="1"/>
        <v>206.46416806734857</v>
      </c>
      <c r="H661" s="108">
        <f ca="1"/>
        <v>63.157371799544904</v>
      </c>
      <c r="I661" s="108">
        <f ca="1"/>
        <v>24.157017331614846</v>
      </c>
      <c r="J661" s="108">
        <f ca="1"/>
        <v>10.776621597074927</v>
      </c>
      <c r="K661" s="108">
        <f ca="1"/>
        <v>5.1738244033807819</v>
      </c>
      <c r="M661" s="1" t="str">
        <f t="shared" si="54"/>
        <v>$M(2015)/million</v>
      </c>
      <c r="O661" s="294"/>
    </row>
    <row r="662" spans="1:15" s="7" customFormat="1" x14ac:dyDescent="0.25">
      <c r="A662" s="4" t="str">
        <v>EE</v>
      </c>
      <c r="B662" s="108">
        <f ca="1"/>
        <v>212.31638755462308</v>
      </c>
      <c r="C662" s="108">
        <f ca="1"/>
        <v>556.43995263480258</v>
      </c>
      <c r="D662" s="108">
        <f ca="1"/>
        <v>861.80025259848492</v>
      </c>
      <c r="E662" s="108">
        <f ca="1"/>
        <v>919.69982295094428</v>
      </c>
      <c r="F662" s="108">
        <f ca="1"/>
        <v>804.55798715021774</v>
      </c>
      <c r="G662" s="108">
        <f ca="1"/>
        <v>586.89612672969088</v>
      </c>
      <c r="H662" s="108">
        <f ca="1"/>
        <v>205.14356849216253</v>
      </c>
      <c r="I662" s="108">
        <f ca="1"/>
        <v>90.669638570703327</v>
      </c>
      <c r="J662" s="108">
        <f ca="1"/>
        <v>44.727189084588751</v>
      </c>
      <c r="K662" s="108">
        <f ca="1"/>
        <v>22.274960244644696</v>
      </c>
      <c r="M662" s="1" t="str">
        <f t="shared" si="54"/>
        <v>$M(2015)/million</v>
      </c>
    </row>
    <row r="663" spans="1:15" s="7" customFormat="1" x14ac:dyDescent="0.25">
      <c r="A663" s="4" t="str">
        <v>CA</v>
      </c>
      <c r="B663" s="108">
        <f ca="1"/>
        <v>-36.930718868289283</v>
      </c>
      <c r="C663" s="108">
        <f ca="1"/>
        <v>51.307467701353396</v>
      </c>
      <c r="D663" s="108">
        <f ca="1"/>
        <v>210.78963124142763</v>
      </c>
      <c r="E663" s="108">
        <f ca="1"/>
        <v>304.11640818541991</v>
      </c>
      <c r="F663" s="108">
        <f ca="1"/>
        <v>397.29108603887869</v>
      </c>
      <c r="G663" s="108">
        <f ca="1"/>
        <v>268.50203171353422</v>
      </c>
      <c r="H663" s="108">
        <f ca="1"/>
        <v>144.73254999588033</v>
      </c>
      <c r="I663" s="108">
        <f ca="1"/>
        <v>80.334899785088609</v>
      </c>
      <c r="J663" s="108">
        <f ca="1"/>
        <v>45.884606609726404</v>
      </c>
      <c r="K663" s="108">
        <f ca="1"/>
        <v>25.952139718415705</v>
      </c>
      <c r="M663" s="1" t="str">
        <f t="shared" si="54"/>
        <v>$M(2015)/million</v>
      </c>
    </row>
    <row r="664" spans="1:15" s="7" customFormat="1" x14ac:dyDescent="0.25">
      <c r="A664" s="4" t="str">
        <v>IA</v>
      </c>
      <c r="B664" s="108">
        <f ca="1"/>
        <v>-24.408345241142754</v>
      </c>
      <c r="C664" s="108">
        <f ca="1"/>
        <v>94.238119941803248</v>
      </c>
      <c r="D664" s="108">
        <f ca="1"/>
        <v>264.56764785542953</v>
      </c>
      <c r="E664" s="108">
        <f ca="1"/>
        <v>311.95413038983861</v>
      </c>
      <c r="F664" s="108">
        <f ca="1"/>
        <v>221.03028075467711</v>
      </c>
      <c r="G664" s="108">
        <f ca="1"/>
        <v>102.82399539745761</v>
      </c>
      <c r="H664" s="108">
        <f ca="1"/>
        <v>29.780795552365095</v>
      </c>
      <c r="I664" s="108">
        <f ca="1"/>
        <v>13.80669839037003</v>
      </c>
      <c r="J664" s="108">
        <f ca="1"/>
        <v>7.394863220888765</v>
      </c>
      <c r="K664" s="108">
        <f ca="1"/>
        <v>4.0715188608996566</v>
      </c>
      <c r="M664" s="1" t="str">
        <f t="shared" si="54"/>
        <v>$M(2015)/million</v>
      </c>
    </row>
    <row r="665" spans="1:15" s="7" customFormat="1" x14ac:dyDescent="0.25">
      <c r="A665" s="4" t="str">
        <v>AF</v>
      </c>
      <c r="B665" s="108">
        <f ca="1"/>
        <v>347.84213031471819</v>
      </c>
      <c r="C665" s="108">
        <f ca="1"/>
        <v>746.62481627861871</v>
      </c>
      <c r="D665" s="108">
        <f ca="1"/>
        <v>1007.3506918786268</v>
      </c>
      <c r="E665" s="108">
        <f ca="1"/>
        <v>898.22074423248773</v>
      </c>
      <c r="F665" s="108">
        <f ca="1"/>
        <v>337.82468971969007</v>
      </c>
      <c r="G665" s="108">
        <f ca="1"/>
        <v>122.69002226460064</v>
      </c>
      <c r="H665" s="108">
        <f ca="1"/>
        <v>13.546846192299981</v>
      </c>
      <c r="I665" s="108">
        <f ca="1"/>
        <v>3.4093547903003514</v>
      </c>
      <c r="J665" s="108">
        <f ca="1"/>
        <v>1.3074672112121821</v>
      </c>
      <c r="K665" s="108">
        <f ca="1"/>
        <v>0.60531563562019264</v>
      </c>
      <c r="M665" s="1" t="str">
        <f t="shared" si="54"/>
        <v>$M(2015)/million</v>
      </c>
    </row>
    <row r="666" spans="1:15" s="7" customFormat="1" x14ac:dyDescent="0.25">
      <c r="A666" s="4" t="str">
        <v>LA</v>
      </c>
      <c r="B666" s="108">
        <f ca="1"/>
        <v>92.259935038406724</v>
      </c>
      <c r="C666" s="108">
        <f ca="1"/>
        <v>333.71293658982921</v>
      </c>
      <c r="D666" s="108">
        <f ca="1"/>
        <v>377.43441431994552</v>
      </c>
      <c r="E666" s="108">
        <f ca="1"/>
        <v>380.80882310291202</v>
      </c>
      <c r="F666" s="108">
        <f ca="1"/>
        <v>217.90162653653076</v>
      </c>
      <c r="G666" s="108">
        <f ca="1"/>
        <v>84.971913736550164</v>
      </c>
      <c r="H666" s="108">
        <f ca="1"/>
        <v>21.673145345191667</v>
      </c>
      <c r="I666" s="108">
        <f ca="1"/>
        <v>8.4476845392717479</v>
      </c>
      <c r="J666" s="108">
        <f ca="1"/>
        <v>3.8974905086843079</v>
      </c>
      <c r="K666" s="108">
        <f ca="1"/>
        <v>1.8172424236547795</v>
      </c>
      <c r="M666" s="1" t="str">
        <f t="shared" si="54"/>
        <v>$M(2015)/million</v>
      </c>
    </row>
    <row r="667" spans="1:15" s="2" customFormat="1" ht="15" x14ac:dyDescent="0.4">
      <c r="A667" s="2" t="s">
        <v>361</v>
      </c>
      <c r="B667" s="2" t="s">
        <v>399</v>
      </c>
    </row>
    <row r="668" spans="1:15" s="7" customFormat="1" x14ac:dyDescent="0.25">
      <c r="A668" s="4" t="str">
        <f t="array" ref="A668:A675">R_CODE</f>
        <v>EU</v>
      </c>
      <c r="B668" s="267">
        <f t="array" aca="1" ref="B668:K675" ca="1">IF(EQUITY_SWITCH=0,tct_per_cap_b,(1-EQUITY_PROP)*tct_per_cap_b+EQUITY_PROP*wtct_per_cap_b)</f>
        <v>1.0501296755137461</v>
      </c>
      <c r="C668" s="267">
        <f ca="1"/>
        <v>109.26592419552335</v>
      </c>
      <c r="D668" s="267">
        <f ca="1"/>
        <v>283.96503022284122</v>
      </c>
      <c r="E668" s="267">
        <f ca="1"/>
        <v>342.38335305421549</v>
      </c>
      <c r="F668" s="267">
        <f ca="1"/>
        <v>281.37566595535441</v>
      </c>
      <c r="G668" s="267">
        <f ca="1"/>
        <v>130.5827742090103</v>
      </c>
      <c r="H668" s="267">
        <f ca="1"/>
        <v>32.238362476610334</v>
      </c>
      <c r="I668" s="267">
        <f ca="1"/>
        <v>9.2623735402151066</v>
      </c>
      <c r="J668" s="267">
        <f ca="1"/>
        <v>3.0301524322827502</v>
      </c>
      <c r="K668" s="267">
        <f ca="1"/>
        <v>1.0638961146539261</v>
      </c>
      <c r="M668" s="1" t="str">
        <f t="shared" ref="M668:M675" si="55">CURRENCY_NAME&amp;"/"&amp;POP_UNIT_NAME</f>
        <v>$M(2015)/million</v>
      </c>
    </row>
    <row r="669" spans="1:15" s="7" customFormat="1" x14ac:dyDescent="0.25">
      <c r="A669" s="4" t="str">
        <v>US</v>
      </c>
      <c r="B669" s="266">
        <f ca="1"/>
        <v>-8.8463609635180198</v>
      </c>
      <c r="C669" s="266">
        <f ca="1"/>
        <v>119.60643988872596</v>
      </c>
      <c r="D669" s="266">
        <f ca="1"/>
        <v>323.51869534130276</v>
      </c>
      <c r="E669" s="266">
        <f ca="1"/>
        <v>395.78757321504469</v>
      </c>
      <c r="F669" s="266">
        <f ca="1"/>
        <v>328.41295394722283</v>
      </c>
      <c r="G669" s="266">
        <f ca="1"/>
        <v>149.64991008210052</v>
      </c>
      <c r="H669" s="266">
        <f ca="1"/>
        <v>34.547925670975467</v>
      </c>
      <c r="I669" s="266">
        <f ca="1"/>
        <v>8.7838995885906925</v>
      </c>
      <c r="J669" s="266">
        <f ca="1"/>
        <v>2.4368403285004625</v>
      </c>
      <c r="K669" s="266">
        <f ca="1"/>
        <v>0.69838324793431694</v>
      </c>
      <c r="M669" s="1" t="str">
        <f t="shared" si="55"/>
        <v>$M(2015)/million</v>
      </c>
    </row>
    <row r="670" spans="1:15" s="7" customFormat="1" x14ac:dyDescent="0.25">
      <c r="A670" s="4" t="str">
        <v>OT</v>
      </c>
      <c r="B670" s="266">
        <f ca="1"/>
        <v>34.923870118581412</v>
      </c>
      <c r="C670" s="266">
        <f ca="1"/>
        <v>176.7208931139744</v>
      </c>
      <c r="D670" s="266">
        <f ca="1"/>
        <v>388.18475776857986</v>
      </c>
      <c r="E670" s="266">
        <f ca="1"/>
        <v>468.74401598895361</v>
      </c>
      <c r="F670" s="266">
        <f ca="1"/>
        <v>398.39271109883828</v>
      </c>
      <c r="G670" s="266">
        <f ca="1"/>
        <v>206.46416806734857</v>
      </c>
      <c r="H670" s="266">
        <f ca="1"/>
        <v>63.157371799544904</v>
      </c>
      <c r="I670" s="266">
        <f ca="1"/>
        <v>24.157017331614846</v>
      </c>
      <c r="J670" s="266">
        <f ca="1"/>
        <v>10.776621597074927</v>
      </c>
      <c r="K670" s="266">
        <f ca="1"/>
        <v>5.1738244033807819</v>
      </c>
      <c r="M670" s="1" t="str">
        <f t="shared" si="55"/>
        <v>$M(2015)/million</v>
      </c>
    </row>
    <row r="671" spans="1:15" s="7" customFormat="1" x14ac:dyDescent="0.25">
      <c r="A671" s="4" t="str">
        <v>EE</v>
      </c>
      <c r="B671" s="266">
        <f ca="1"/>
        <v>212.31638755462308</v>
      </c>
      <c r="C671" s="266">
        <f ca="1"/>
        <v>556.43995263480258</v>
      </c>
      <c r="D671" s="266">
        <f ca="1"/>
        <v>861.80025259848492</v>
      </c>
      <c r="E671" s="266">
        <f ca="1"/>
        <v>919.69982295094428</v>
      </c>
      <c r="F671" s="266">
        <f ca="1"/>
        <v>804.55798715021774</v>
      </c>
      <c r="G671" s="266">
        <f ca="1"/>
        <v>586.89612672969088</v>
      </c>
      <c r="H671" s="266">
        <f ca="1"/>
        <v>205.14356849216253</v>
      </c>
      <c r="I671" s="266">
        <f ca="1"/>
        <v>90.669638570703327</v>
      </c>
      <c r="J671" s="266">
        <f ca="1"/>
        <v>44.727189084588751</v>
      </c>
      <c r="K671" s="266">
        <f ca="1"/>
        <v>22.274960244644696</v>
      </c>
      <c r="M671" s="1" t="str">
        <f t="shared" si="55"/>
        <v>$M(2015)/million</v>
      </c>
    </row>
    <row r="672" spans="1:15" s="7" customFormat="1" x14ac:dyDescent="0.25">
      <c r="A672" s="4" t="str">
        <v>CA</v>
      </c>
      <c r="B672" s="266">
        <f ca="1"/>
        <v>-36.930718868289283</v>
      </c>
      <c r="C672" s="266">
        <f ca="1"/>
        <v>51.307467701353396</v>
      </c>
      <c r="D672" s="266">
        <f ca="1"/>
        <v>210.78963124142763</v>
      </c>
      <c r="E672" s="266">
        <f ca="1"/>
        <v>304.11640818541991</v>
      </c>
      <c r="F672" s="266">
        <f ca="1"/>
        <v>397.29108603887869</v>
      </c>
      <c r="G672" s="266">
        <f ca="1"/>
        <v>268.50203171353422</v>
      </c>
      <c r="H672" s="266">
        <f ca="1"/>
        <v>144.73254999588033</v>
      </c>
      <c r="I672" s="266">
        <f ca="1"/>
        <v>80.334899785088609</v>
      </c>
      <c r="J672" s="266">
        <f ca="1"/>
        <v>45.884606609726404</v>
      </c>
      <c r="K672" s="266">
        <f ca="1"/>
        <v>25.952139718415705</v>
      </c>
      <c r="M672" s="1" t="str">
        <f t="shared" si="55"/>
        <v>$M(2015)/million</v>
      </c>
    </row>
    <row r="673" spans="1:15" s="7" customFormat="1" x14ac:dyDescent="0.25">
      <c r="A673" s="4" t="str">
        <v>IA</v>
      </c>
      <c r="B673" s="266">
        <f ca="1"/>
        <v>-24.408345241142754</v>
      </c>
      <c r="C673" s="266">
        <f ca="1"/>
        <v>94.238119941803248</v>
      </c>
      <c r="D673" s="266">
        <f ca="1"/>
        <v>264.56764785542953</v>
      </c>
      <c r="E673" s="266">
        <f ca="1"/>
        <v>311.95413038983861</v>
      </c>
      <c r="F673" s="266">
        <f ca="1"/>
        <v>221.03028075467711</v>
      </c>
      <c r="G673" s="266">
        <f ca="1"/>
        <v>102.82399539745761</v>
      </c>
      <c r="H673" s="266">
        <f ca="1"/>
        <v>29.780795552365095</v>
      </c>
      <c r="I673" s="266">
        <f ca="1"/>
        <v>13.80669839037003</v>
      </c>
      <c r="J673" s="266">
        <f ca="1"/>
        <v>7.394863220888765</v>
      </c>
      <c r="K673" s="266">
        <f ca="1"/>
        <v>4.0715188608996566</v>
      </c>
      <c r="M673" s="1" t="str">
        <f t="shared" si="55"/>
        <v>$M(2015)/million</v>
      </c>
    </row>
    <row r="674" spans="1:15" s="7" customFormat="1" x14ac:dyDescent="0.25">
      <c r="A674" s="4" t="str">
        <v>AF</v>
      </c>
      <c r="B674" s="266">
        <f ca="1"/>
        <v>347.84213031471819</v>
      </c>
      <c r="C674" s="266">
        <f ca="1"/>
        <v>746.62481627861871</v>
      </c>
      <c r="D674" s="266">
        <f ca="1"/>
        <v>1007.3506918786268</v>
      </c>
      <c r="E674" s="266">
        <f ca="1"/>
        <v>898.22074423248773</v>
      </c>
      <c r="F674" s="266">
        <f ca="1"/>
        <v>337.82468971969007</v>
      </c>
      <c r="G674" s="266">
        <f ca="1"/>
        <v>122.69002226460064</v>
      </c>
      <c r="H674" s="266">
        <f ca="1"/>
        <v>13.546846192299981</v>
      </c>
      <c r="I674" s="266">
        <f ca="1"/>
        <v>3.4093547903003514</v>
      </c>
      <c r="J674" s="266">
        <f ca="1"/>
        <v>1.3074672112121821</v>
      </c>
      <c r="K674" s="266">
        <f ca="1"/>
        <v>0.60531563562019264</v>
      </c>
      <c r="M674" s="1" t="str">
        <f t="shared" si="55"/>
        <v>$M(2015)/million</v>
      </c>
    </row>
    <row r="675" spans="1:15" s="7" customFormat="1" x14ac:dyDescent="0.25">
      <c r="A675" s="4" t="str">
        <v>LA</v>
      </c>
      <c r="B675" s="266">
        <f ca="1"/>
        <v>92.259935038406724</v>
      </c>
      <c r="C675" s="266">
        <f ca="1"/>
        <v>333.71293658982921</v>
      </c>
      <c r="D675" s="266">
        <f ca="1"/>
        <v>377.43441431994552</v>
      </c>
      <c r="E675" s="266">
        <f ca="1"/>
        <v>380.80882310291202</v>
      </c>
      <c r="F675" s="266">
        <f ca="1"/>
        <v>217.90162653653076</v>
      </c>
      <c r="G675" s="266">
        <f ca="1"/>
        <v>84.971913736550164</v>
      </c>
      <c r="H675" s="266">
        <f ca="1"/>
        <v>21.673145345191667</v>
      </c>
      <c r="I675" s="266">
        <f ca="1"/>
        <v>8.4476845392717479</v>
      </c>
      <c r="J675" s="266">
        <f ca="1"/>
        <v>3.8974905086843079</v>
      </c>
      <c r="K675" s="266">
        <f ca="1"/>
        <v>1.8172424236547795</v>
      </c>
      <c r="M675" s="1" t="str">
        <f t="shared" si="55"/>
        <v>$M(2015)/million</v>
      </c>
    </row>
    <row r="676" spans="1:15" s="2" customFormat="1" ht="15" x14ac:dyDescent="0.4">
      <c r="A676" s="2" t="s">
        <v>46</v>
      </c>
      <c r="B676" s="2" t="s">
        <v>364</v>
      </c>
    </row>
    <row r="677" spans="1:15" ht="13" x14ac:dyDescent="0.3">
      <c r="A677" s="4" t="str">
        <f t="array" ref="A677:A684">R_CODE</f>
        <v>EU</v>
      </c>
      <c r="B677" s="269">
        <f t="array" aca="1" ref="B677:K684" ca="1">pct_per_cap_b*POP_B</f>
        <v>533.73854126866001</v>
      </c>
      <c r="C677" s="269">
        <f ca="1"/>
        <v>56205.496144501165</v>
      </c>
      <c r="D677" s="269">
        <f ca="1"/>
        <v>146508.08481051822</v>
      </c>
      <c r="E677" s="269">
        <f ca="1"/>
        <v>175942.94040846673</v>
      </c>
      <c r="F677" s="269">
        <f ca="1"/>
        <v>137533.74632688097</v>
      </c>
      <c r="G677" s="269">
        <f ca="1"/>
        <v>58912.758841737697</v>
      </c>
      <c r="H677" s="269">
        <f ca="1"/>
        <v>14544.421234282683</v>
      </c>
      <c r="I677" s="269">
        <f ca="1"/>
        <v>4178.7439574792943</v>
      </c>
      <c r="J677" s="269">
        <f ca="1"/>
        <v>1367.0611654416894</v>
      </c>
      <c r="K677" s="269">
        <f ca="1"/>
        <v>479.9795043023654</v>
      </c>
      <c r="M677" s="4" t="str">
        <f t="shared" ref="M677:M685" si="56">CURRENCY_NAME</f>
        <v>$M(2015)</v>
      </c>
      <c r="O677" s="124" t="s">
        <v>1050</v>
      </c>
    </row>
    <row r="678" spans="1:15" x14ac:dyDescent="0.25">
      <c r="A678" s="4" t="str">
        <v>US</v>
      </c>
      <c r="B678" s="261">
        <f ca="1"/>
        <v>-2917.3708510088045</v>
      </c>
      <c r="C678" s="261">
        <f ca="1"/>
        <v>42293.755707699063</v>
      </c>
      <c r="D678" s="261">
        <f ca="1"/>
        <v>121330.26684193622</v>
      </c>
      <c r="E678" s="261">
        <f ca="1"/>
        <v>155714.1890845673</v>
      </c>
      <c r="F678" s="261">
        <f ca="1"/>
        <v>141352.21859221236</v>
      </c>
      <c r="G678" s="261">
        <f ca="1"/>
        <v>65547.526085165518</v>
      </c>
      <c r="H678" s="261">
        <f ca="1"/>
        <v>15132.191244647343</v>
      </c>
      <c r="I678" s="261">
        <f ca="1"/>
        <v>3847.3988196635041</v>
      </c>
      <c r="J678" s="261">
        <f ca="1"/>
        <v>1067.350156843645</v>
      </c>
      <c r="K678" s="261">
        <f ca="1"/>
        <v>305.89590154984415</v>
      </c>
      <c r="M678" s="4" t="str">
        <f t="shared" si="56"/>
        <v>$M(2015)</v>
      </c>
    </row>
    <row r="679" spans="1:15" x14ac:dyDescent="0.25">
      <c r="A679" s="4" t="str">
        <v>OT</v>
      </c>
      <c r="B679" s="261">
        <f ca="1"/>
        <v>9849.0771512409592</v>
      </c>
      <c r="C679" s="261">
        <f ca="1"/>
        <v>50843.833523125664</v>
      </c>
      <c r="D679" s="261">
        <f ca="1"/>
        <v>112131.00110848062</v>
      </c>
      <c r="E679" s="261">
        <f ca="1"/>
        <v>134053.40192814922</v>
      </c>
      <c r="F679" s="261">
        <f ca="1"/>
        <v>104110.96186321008</v>
      </c>
      <c r="G679" s="261">
        <f ca="1"/>
        <v>46301.709985095535</v>
      </c>
      <c r="H679" s="261">
        <f ca="1"/>
        <v>14163.689224415326</v>
      </c>
      <c r="I679" s="261">
        <f ca="1"/>
        <v>5417.4592185337406</v>
      </c>
      <c r="J679" s="261">
        <f ca="1"/>
        <v>2416.7680642973091</v>
      </c>
      <c r="K679" s="261">
        <f ca="1"/>
        <v>1160.2832553540404</v>
      </c>
      <c r="M679" s="4" t="str">
        <f t="shared" si="56"/>
        <v>$M(2015)</v>
      </c>
    </row>
    <row r="680" spans="1:15" x14ac:dyDescent="0.25">
      <c r="A680" s="4" t="str">
        <v>EE</v>
      </c>
      <c r="B680" s="261">
        <f ca="1"/>
        <v>65116.343709918139</v>
      </c>
      <c r="C680" s="261">
        <f ca="1"/>
        <v>166939.76260614468</v>
      </c>
      <c r="D680" s="261">
        <f ca="1"/>
        <v>250899.43698933048</v>
      </c>
      <c r="E680" s="261">
        <f ca="1"/>
        <v>256720.40663893655</v>
      </c>
      <c r="F680" s="261">
        <f ca="1"/>
        <v>189837.72754536272</v>
      </c>
      <c r="G680" s="261">
        <f ca="1"/>
        <v>112716.8953496789</v>
      </c>
      <c r="H680" s="261">
        <f ca="1"/>
        <v>39399.043694900189</v>
      </c>
      <c r="I680" s="261">
        <f ca="1"/>
        <v>17413.643908531438</v>
      </c>
      <c r="J680" s="261">
        <f ca="1"/>
        <v>8590.1229565532285</v>
      </c>
      <c r="K680" s="261">
        <f ca="1"/>
        <v>4278.0387337098018</v>
      </c>
      <c r="M680" s="4" t="str">
        <f t="shared" si="56"/>
        <v>$M(2015)</v>
      </c>
    </row>
    <row r="681" spans="1:15" x14ac:dyDescent="0.25">
      <c r="A681" s="4" t="str">
        <v>CA</v>
      </c>
      <c r="B681" s="261">
        <f ca="1"/>
        <v>-57826.592837723867</v>
      </c>
      <c r="C681" s="261">
        <f ca="1"/>
        <v>79777.293300691192</v>
      </c>
      <c r="D681" s="261">
        <f ca="1"/>
        <v>316144.14982602093</v>
      </c>
      <c r="E681" s="261">
        <f ca="1"/>
        <v>426461.77764968091</v>
      </c>
      <c r="F681" s="261">
        <f ca="1"/>
        <v>423598.22134410421</v>
      </c>
      <c r="G681" s="261">
        <f ca="1"/>
        <v>199715.51154633961</v>
      </c>
      <c r="H681" s="261">
        <f ca="1"/>
        <v>107654.06531699029</v>
      </c>
      <c r="I681" s="261">
        <f ca="1"/>
        <v>59754.205594691492</v>
      </c>
      <c r="J681" s="261">
        <f ca="1"/>
        <v>34129.60275451855</v>
      </c>
      <c r="K681" s="261">
        <f ca="1"/>
        <v>19303.559181687233</v>
      </c>
      <c r="M681" s="4" t="str">
        <f t="shared" si="56"/>
        <v>$M(2015)</v>
      </c>
    </row>
    <row r="682" spans="1:15" x14ac:dyDescent="0.25">
      <c r="A682" s="4" t="str">
        <v>IA</v>
      </c>
      <c r="B682" s="261">
        <f ca="1"/>
        <v>-56600.39626362858</v>
      </c>
      <c r="C682" s="261">
        <f ca="1"/>
        <v>233619.14687511238</v>
      </c>
      <c r="D682" s="261">
        <f ca="1"/>
        <v>681903.78158891306</v>
      </c>
      <c r="E682" s="261">
        <f ca="1"/>
        <v>812115.64619372494</v>
      </c>
      <c r="F682" s="261">
        <f ca="1"/>
        <v>528446.44867819967</v>
      </c>
      <c r="G682" s="261">
        <f ca="1"/>
        <v>200099.62848066411</v>
      </c>
      <c r="H682" s="261">
        <f ca="1"/>
        <v>57954.625307569142</v>
      </c>
      <c r="I682" s="261">
        <f ca="1"/>
        <v>26868.390085199277</v>
      </c>
      <c r="J682" s="261">
        <f ca="1"/>
        <v>14390.701095065167</v>
      </c>
      <c r="K682" s="261">
        <f ca="1"/>
        <v>7923.3393749080305</v>
      </c>
      <c r="M682" s="4" t="str">
        <f t="shared" si="56"/>
        <v>$M(2015)</v>
      </c>
    </row>
    <row r="683" spans="1:15" x14ac:dyDescent="0.25">
      <c r="A683" s="4" t="str">
        <v>AF</v>
      </c>
      <c r="B683" s="261">
        <f ca="1"/>
        <v>502341.50381239469</v>
      </c>
      <c r="C683" s="261">
        <f ca="1"/>
        <v>1252586.0705781996</v>
      </c>
      <c r="D683" s="261">
        <f ca="1"/>
        <v>1923004.4958023175</v>
      </c>
      <c r="E683" s="261">
        <f ca="1"/>
        <v>1899705.2424079238</v>
      </c>
      <c r="F683" s="261">
        <f ca="1"/>
        <v>833877.6843535268</v>
      </c>
      <c r="G683" s="261">
        <f ca="1"/>
        <v>310507.53776595375</v>
      </c>
      <c r="H683" s="261">
        <f ca="1"/>
        <v>34284.759086548889</v>
      </c>
      <c r="I683" s="261">
        <f ca="1"/>
        <v>8628.4959588940001</v>
      </c>
      <c r="J683" s="261">
        <f ca="1"/>
        <v>3308.9766956570884</v>
      </c>
      <c r="K683" s="261">
        <f ca="1"/>
        <v>1531.9507170868721</v>
      </c>
      <c r="M683" s="4" t="str">
        <f t="shared" si="56"/>
        <v>$M(2015)</v>
      </c>
    </row>
    <row r="684" spans="1:15" x14ac:dyDescent="0.25">
      <c r="A684" s="4" t="str">
        <v>LA</v>
      </c>
      <c r="B684" s="261">
        <f ca="1"/>
        <v>58472.801202895105</v>
      </c>
      <c r="C684" s="261">
        <f ca="1"/>
        <v>224986.74250892943</v>
      </c>
      <c r="D684" s="261">
        <f ca="1"/>
        <v>264300.08024818962</v>
      </c>
      <c r="E684" s="261">
        <f ca="1"/>
        <v>268804.02508430765</v>
      </c>
      <c r="F684" s="261">
        <f ca="1"/>
        <v>143758.89088687519</v>
      </c>
      <c r="G684" s="261">
        <f ca="1"/>
        <v>47387.143234339652</v>
      </c>
      <c r="H684" s="261">
        <f ca="1"/>
        <v>12086.681323848883</v>
      </c>
      <c r="I684" s="261">
        <f ca="1"/>
        <v>4711.1053483169371</v>
      </c>
      <c r="J684" s="261">
        <f ca="1"/>
        <v>2173.552799600639</v>
      </c>
      <c r="K684" s="261">
        <f ca="1"/>
        <v>1013.4398913061809</v>
      </c>
      <c r="M684" s="4" t="str">
        <f t="shared" si="56"/>
        <v>$M(2015)</v>
      </c>
    </row>
    <row r="685" spans="1:15" ht="13.5" thickBot="1" x14ac:dyDescent="0.35">
      <c r="A685" s="2" t="s">
        <v>206</v>
      </c>
      <c r="B685" s="42">
        <f ca="1">_xll.RiskOutput(,"pct_g_a",1)+SUM(B677:B684)</f>
        <v>518969.10446535633</v>
      </c>
      <c r="C685" s="42">
        <f ca="1">_xll.RiskOutput(,"pct_g_a",2)+SUM(C677:C684)</f>
        <v>2107252.101244403</v>
      </c>
      <c r="D685" s="42">
        <f ca="1">_xll.RiskOutput(,"pct_g_a",3)+SUM(D677:D684)</f>
        <v>3816221.2972157067</v>
      </c>
      <c r="E685" s="42">
        <f ca="1">_xll.RiskOutput(,"pct_g_a",4)+SUM(E677:E684)</f>
        <v>4129517.6293957569</v>
      </c>
      <c r="F685" s="42">
        <f ca="1">_xll.RiskOutput(,"pct_g_a",5)+SUM(F677:F684)</f>
        <v>2502515.8995903721</v>
      </c>
      <c r="G685" s="42">
        <f ca="1">_xll.RiskOutput(,"pct_g_a",6)+SUM(G677:G684)</f>
        <v>1041188.7112889747</v>
      </c>
      <c r="H685" s="42">
        <f ca="1">_xll.RiskOutput(,"pct_g_a",7)+SUM(H677:H684)</f>
        <v>295219.47643320274</v>
      </c>
      <c r="I685" s="42">
        <f ca="1">_xll.RiskOutput(,"pct_g_a",8)+SUM(I677:I684)</f>
        <v>130819.44289130968</v>
      </c>
      <c r="J685" s="42">
        <f ca="1">_xll.RiskOutput(,"pct_g_a",9)+SUM(J677:J684)</f>
        <v>67444.135687977323</v>
      </c>
      <c r="K685" s="42">
        <f ca="1">_xll.RiskOutput(,"pct_g_a",10)+SUM(K677:K684)</f>
        <v>35996.48655990437</v>
      </c>
      <c r="L685" s="1"/>
      <c r="M685" s="4" t="str">
        <f t="shared" si="56"/>
        <v>$M(2015)</v>
      </c>
    </row>
    <row r="686" spans="1:15" ht="15.5" thickTop="1" x14ac:dyDescent="0.4">
      <c r="A686" s="2" t="s">
        <v>114</v>
      </c>
      <c r="B686" s="53" t="s">
        <v>363</v>
      </c>
      <c r="C686" s="1"/>
      <c r="D686" s="1"/>
      <c r="E686" s="1"/>
      <c r="F686" s="1"/>
      <c r="G686" s="1"/>
      <c r="H686" s="1"/>
      <c r="I686" s="1"/>
      <c r="J686" s="1"/>
      <c r="K686" s="1"/>
      <c r="L686" s="1"/>
      <c r="M686" s="1"/>
    </row>
    <row r="687" spans="1:15" ht="13" x14ac:dyDescent="0.3">
      <c r="A687" s="1" t="str">
        <f t="array" ref="A687:A694">R_CODE&amp;" total"</f>
        <v>EU total</v>
      </c>
      <c r="B687" s="269">
        <f t="array" aca="1" ref="B687:K694" ca="1">IF(EQUITY_SWITCH=0,pct_b*DFC_B,pct_b*DF)</f>
        <v>506.99672749505476</v>
      </c>
      <c r="C687" s="269">
        <f ca="1"/>
        <v>48173.539976119479</v>
      </c>
      <c r="D687" s="269">
        <f ca="1"/>
        <v>113303.81942227039</v>
      </c>
      <c r="E687" s="269">
        <f ca="1"/>
        <v>122774.44739819362</v>
      </c>
      <c r="F687" s="269">
        <f ca="1"/>
        <v>74221.268782460233</v>
      </c>
      <c r="G687" s="269">
        <f ca="1"/>
        <v>24587.332868188794</v>
      </c>
      <c r="H687" s="269">
        <f ca="1"/>
        <v>3630.4831178898589</v>
      </c>
      <c r="I687" s="269">
        <f ca="1"/>
        <v>623.84924917624676</v>
      </c>
      <c r="J687" s="269">
        <f ca="1"/>
        <v>122.06404539406373</v>
      </c>
      <c r="K687" s="269">
        <f ca="1"/>
        <v>25.632349919705245</v>
      </c>
      <c r="L687" s="1"/>
      <c r="M687" s="4" t="str">
        <f t="shared" ref="M687:M695" si="57">CURRENCY_NAME</f>
        <v>$M(2015)</v>
      </c>
      <c r="O687" s="124" t="s">
        <v>1048</v>
      </c>
    </row>
    <row r="688" spans="1:15" x14ac:dyDescent="0.25">
      <c r="A688" s="1" t="str">
        <v>US total</v>
      </c>
      <c r="B688" s="261">
        <f ca="1"/>
        <v>-2771.2023022268791</v>
      </c>
      <c r="C688" s="261">
        <f ca="1"/>
        <v>36249.834466133507</v>
      </c>
      <c r="D688" s="261">
        <f ca="1"/>
        <v>93832.245930278339</v>
      </c>
      <c r="E688" s="261">
        <f ca="1"/>
        <v>108658.6564515299</v>
      </c>
      <c r="F688" s="261">
        <f ca="1"/>
        <v>76281.940173392446</v>
      </c>
      <c r="G688" s="261">
        <f ca="1"/>
        <v>27356.363447037569</v>
      </c>
      <c r="H688" s="261">
        <f ca="1"/>
        <v>3777.1984161790101</v>
      </c>
      <c r="I688" s="261">
        <f ca="1"/>
        <v>574.38237167718307</v>
      </c>
      <c r="J688" s="261">
        <f ca="1"/>
        <v>95.303034926187365</v>
      </c>
      <c r="K688" s="261">
        <f ca="1"/>
        <v>16.335761667418915</v>
      </c>
      <c r="L688" s="1"/>
      <c r="M688" s="4" t="str">
        <f t="shared" si="57"/>
        <v>$M(2015)</v>
      </c>
    </row>
    <row r="689" spans="1:13" x14ac:dyDescent="0.25">
      <c r="A689" s="1" t="str">
        <v>OT total</v>
      </c>
      <c r="B689" s="261">
        <f ca="1"/>
        <v>9355.6104692316094</v>
      </c>
      <c r="C689" s="261">
        <f ca="1"/>
        <v>43578.077141573041</v>
      </c>
      <c r="D689" s="261">
        <f ca="1"/>
        <v>86717.881253209664</v>
      </c>
      <c r="E689" s="261">
        <f ca="1"/>
        <v>93543.578988546084</v>
      </c>
      <c r="F689" s="261">
        <f ca="1"/>
        <v>56184.375762470532</v>
      </c>
      <c r="G689" s="261">
        <f ca="1"/>
        <v>19324.091727365205</v>
      </c>
      <c r="H689" s="261">
        <f ca="1"/>
        <v>3535.447288550316</v>
      </c>
      <c r="I689" s="261">
        <f ca="1"/>
        <v>808.77840334680445</v>
      </c>
      <c r="J689" s="261">
        <f ca="1"/>
        <v>215.79172473383613</v>
      </c>
      <c r="K689" s="261">
        <f ca="1"/>
        <v>61.962617446419394</v>
      </c>
      <c r="L689" s="1"/>
      <c r="M689" s="4" t="str">
        <f t="shared" si="57"/>
        <v>$M(2015)</v>
      </c>
    </row>
    <row r="690" spans="1:13" x14ac:dyDescent="0.25">
      <c r="A690" s="1" t="str">
        <v>EE total</v>
      </c>
      <c r="B690" s="261">
        <f ca="1"/>
        <v>61853.830320928682</v>
      </c>
      <c r="C690" s="261">
        <f ca="1"/>
        <v>143083.5039127717</v>
      </c>
      <c r="D690" s="261">
        <f ca="1"/>
        <v>194036.14850712658</v>
      </c>
      <c r="E690" s="261">
        <f ca="1"/>
        <v>179141.6352810837</v>
      </c>
      <c r="F690" s="261">
        <f ca="1"/>
        <v>102447.56198022602</v>
      </c>
      <c r="G690" s="261">
        <f ca="1"/>
        <v>47042.57414385266</v>
      </c>
      <c r="H690" s="261">
        <f ca="1"/>
        <v>9834.5311024261246</v>
      </c>
      <c r="I690" s="261">
        <f ca="1"/>
        <v>2599.7019172031169</v>
      </c>
      <c r="J690" s="261">
        <f ca="1"/>
        <v>767.00676240080554</v>
      </c>
      <c r="K690" s="261">
        <f ca="1"/>
        <v>228.46014217187059</v>
      </c>
      <c r="L690" s="1"/>
      <c r="M690" s="4" t="str">
        <f t="shared" si="57"/>
        <v>$M(2015)</v>
      </c>
    </row>
    <row r="691" spans="1:13" x14ac:dyDescent="0.25">
      <c r="A691" s="1" t="str">
        <v>CA total</v>
      </c>
      <c r="B691" s="261">
        <f ca="1"/>
        <v>-54929.316629877139</v>
      </c>
      <c r="C691" s="261">
        <f ca="1"/>
        <v>68376.847312706246</v>
      </c>
      <c r="D691" s="261">
        <f ca="1"/>
        <v>244493.94522917844</v>
      </c>
      <c r="E691" s="261">
        <f ca="1"/>
        <v>297588.57596579811</v>
      </c>
      <c r="F691" s="261">
        <f ca="1"/>
        <v>228598.42243683501</v>
      </c>
      <c r="G691" s="261">
        <f ca="1"/>
        <v>83351.583899200312</v>
      </c>
      <c r="H691" s="261">
        <f ca="1"/>
        <v>26871.90231979149</v>
      </c>
      <c r="I691" s="261">
        <f ca="1"/>
        <v>8920.7706130571369</v>
      </c>
      <c r="J691" s="261">
        <f ca="1"/>
        <v>3047.4111072878773</v>
      </c>
      <c r="K691" s="261">
        <f ca="1"/>
        <v>1030.8681500055206</v>
      </c>
      <c r="L691" s="1"/>
      <c r="M691" s="4" t="str">
        <f t="shared" si="57"/>
        <v>$M(2015)</v>
      </c>
    </row>
    <row r="692" spans="1:13" x14ac:dyDescent="0.25">
      <c r="A692" s="1" t="str">
        <v>IA total</v>
      </c>
      <c r="B692" s="261">
        <f ca="1"/>
        <v>-53764.555979738827</v>
      </c>
      <c r="C692" s="261">
        <f ca="1"/>
        <v>200234.17785052699</v>
      </c>
      <c r="D692" s="261">
        <f ca="1"/>
        <v>527358.63029291772</v>
      </c>
      <c r="E692" s="261">
        <f ca="1"/>
        <v>566701.05349713366</v>
      </c>
      <c r="F692" s="261">
        <f ca="1"/>
        <v>285180.66985000978</v>
      </c>
      <c r="G692" s="261">
        <f ca="1"/>
        <v>83511.895707885356</v>
      </c>
      <c r="H692" s="261">
        <f ca="1"/>
        <v>14466.253788553659</v>
      </c>
      <c r="I692" s="261">
        <f ca="1"/>
        <v>4011.2112998033899</v>
      </c>
      <c r="J692" s="261">
        <f ca="1"/>
        <v>1284.9367944358908</v>
      </c>
      <c r="K692" s="261">
        <f ca="1"/>
        <v>423.13016612117951</v>
      </c>
      <c r="L692" s="1"/>
      <c r="M692" s="4" t="str">
        <f t="shared" si="57"/>
        <v>$M(2015)</v>
      </c>
    </row>
    <row r="693" spans="1:13" x14ac:dyDescent="0.25">
      <c r="A693" s="1" t="str">
        <v>AF total</v>
      </c>
      <c r="B693" s="261">
        <f ca="1"/>
        <v>477172.77060873038</v>
      </c>
      <c r="C693" s="261">
        <f ca="1"/>
        <v>1073587.2696398713</v>
      </c>
      <c r="D693" s="261">
        <f ca="1"/>
        <v>1487179.0483261948</v>
      </c>
      <c r="E693" s="261">
        <f ca="1"/>
        <v>1325630.1208483188</v>
      </c>
      <c r="F693" s="261">
        <f ca="1"/>
        <v>450009.26241767011</v>
      </c>
      <c r="G693" s="261">
        <f ca="1"/>
        <v>129590.81087413592</v>
      </c>
      <c r="H693" s="261">
        <f ca="1"/>
        <v>8557.9368927549785</v>
      </c>
      <c r="I693" s="261">
        <f ca="1"/>
        <v>1288.1575852097355</v>
      </c>
      <c r="J693" s="261">
        <f ca="1"/>
        <v>295.45648124389947</v>
      </c>
      <c r="K693" s="261">
        <f ca="1"/>
        <v>81.810778352271754</v>
      </c>
      <c r="L693" s="1"/>
      <c r="M693" s="4" t="str">
        <f t="shared" si="57"/>
        <v>$M(2015)</v>
      </c>
    </row>
    <row r="694" spans="1:13" x14ac:dyDescent="0.25">
      <c r="A694" s="1" t="str">
        <v>LA total</v>
      </c>
      <c r="B694" s="261">
        <f ca="1"/>
        <v>55543.148124306987</v>
      </c>
      <c r="C694" s="261">
        <f ca="1"/>
        <v>192835.37336786202</v>
      </c>
      <c r="D694" s="261">
        <f ca="1"/>
        <v>204399.69988320078</v>
      </c>
      <c r="E694" s="261">
        <f ca="1"/>
        <v>187573.68474983104</v>
      </c>
      <c r="F694" s="261">
        <f ca="1"/>
        <v>77580.721570860682</v>
      </c>
      <c r="G694" s="261">
        <f ca="1"/>
        <v>19777.099006774049</v>
      </c>
      <c r="H694" s="261">
        <f ca="1"/>
        <v>3016.9981871892728</v>
      </c>
      <c r="I694" s="261">
        <f ca="1"/>
        <v>703.32606262638785</v>
      </c>
      <c r="J694" s="261">
        <f ca="1"/>
        <v>194.07518427394268</v>
      </c>
      <c r="K694" s="261">
        <f ca="1"/>
        <v>54.120739914310676</v>
      </c>
      <c r="L694" s="1"/>
      <c r="M694" s="4" t="str">
        <f t="shared" si="57"/>
        <v>$M(2015)</v>
      </c>
    </row>
    <row r="695" spans="1:13" ht="13" x14ac:dyDescent="0.3">
      <c r="A695" s="2" t="s">
        <v>257</v>
      </c>
      <c r="B695" s="40">
        <f ca="1">SUM(B687:B694)</f>
        <v>492967.28133884986</v>
      </c>
      <c r="C695" s="40">
        <f t="shared" ref="C695:K695" ca="1" si="58">SUM(C687:C694)</f>
        <v>1806118.6236675645</v>
      </c>
      <c r="D695" s="40">
        <f t="shared" ca="1" si="58"/>
        <v>2951321.4188443767</v>
      </c>
      <c r="E695" s="40">
        <f t="shared" ca="1" si="58"/>
        <v>2881611.7531804345</v>
      </c>
      <c r="F695" s="40">
        <f t="shared" ca="1" si="58"/>
        <v>1350504.2229739246</v>
      </c>
      <c r="G695" s="40">
        <f t="shared" ca="1" si="58"/>
        <v>434541.75167443987</v>
      </c>
      <c r="H695" s="40">
        <f t="shared" ca="1" si="58"/>
        <v>73690.7511133347</v>
      </c>
      <c r="I695" s="40">
        <f t="shared" ca="1" si="58"/>
        <v>19530.177502099999</v>
      </c>
      <c r="J695" s="40">
        <f t="shared" ca="1" si="58"/>
        <v>6022.0451346965028</v>
      </c>
      <c r="K695" s="40">
        <f t="shared" ca="1" si="58"/>
        <v>1922.3207055986968</v>
      </c>
      <c r="L695" s="1"/>
      <c r="M695" s="4" t="str">
        <f t="shared" si="57"/>
        <v>$M(2015)</v>
      </c>
    </row>
    <row r="696" spans="1:13" s="2" customFormat="1" ht="15" x14ac:dyDescent="0.4">
      <c r="A696" s="2" t="s">
        <v>113</v>
      </c>
      <c r="B696" s="2" t="s">
        <v>365</v>
      </c>
      <c r="L696" s="2" t="s">
        <v>88</v>
      </c>
    </row>
    <row r="697" spans="1:13" x14ac:dyDescent="0.25">
      <c r="A697" s="1" t="str">
        <f t="array" ref="A697:A704">R_CODE&amp;" total"</f>
        <v>EU total</v>
      </c>
      <c r="B697" s="269">
        <f t="array" ref="B697:K704" ca="1">pcdt_b*YAGG</f>
        <v>5069.967274950548</v>
      </c>
      <c r="C697" s="269">
        <f ca="1"/>
        <v>481735.39976119477</v>
      </c>
      <c r="D697" s="269">
        <f ca="1"/>
        <v>1133038.1942227038</v>
      </c>
      <c r="E697" s="269">
        <f ca="1"/>
        <v>2148552.8294683881</v>
      </c>
      <c r="F697" s="269">
        <f ca="1"/>
        <v>1855531.7195615058</v>
      </c>
      <c r="G697" s="269">
        <f ca="1"/>
        <v>922024.98255707975</v>
      </c>
      <c r="H697" s="269">
        <f ca="1"/>
        <v>181524.15589449296</v>
      </c>
      <c r="I697" s="269">
        <f ca="1"/>
        <v>31192.462458812337</v>
      </c>
      <c r="J697" s="269">
        <f ca="1"/>
        <v>6103.2022697031862</v>
      </c>
      <c r="K697" s="269">
        <f ca="1"/>
        <v>640.80874799263108</v>
      </c>
      <c r="L697" s="40">
        <f t="shared" ref="L697:L704" ca="1" si="59">SUM(B697:K697)</f>
        <v>6765413.7222168241</v>
      </c>
      <c r="M697" s="4" t="str">
        <f t="shared" ref="M697:M706" si="60">CURRENCY_NAME</f>
        <v>$M(2015)</v>
      </c>
    </row>
    <row r="698" spans="1:13" x14ac:dyDescent="0.25">
      <c r="A698" s="1" t="str">
        <v>US total</v>
      </c>
      <c r="B698" s="261">
        <f ca="1"/>
        <v>-27712.02302226879</v>
      </c>
      <c r="C698" s="261">
        <f ca="1"/>
        <v>362498.34466133505</v>
      </c>
      <c r="D698" s="261">
        <f ca="1"/>
        <v>938322.45930278336</v>
      </c>
      <c r="E698" s="261">
        <f ca="1"/>
        <v>1901526.4879017731</v>
      </c>
      <c r="F698" s="261">
        <f ca="1"/>
        <v>1907048.5043348111</v>
      </c>
      <c r="G698" s="261">
        <f ca="1"/>
        <v>1025863.6292639088</v>
      </c>
      <c r="H698" s="261">
        <f ca="1"/>
        <v>188859.9208089505</v>
      </c>
      <c r="I698" s="261">
        <f ca="1"/>
        <v>28719.118583859155</v>
      </c>
      <c r="J698" s="261">
        <f ca="1"/>
        <v>4765.1517463093678</v>
      </c>
      <c r="K698" s="261">
        <f ca="1"/>
        <v>408.39404168547287</v>
      </c>
      <c r="L698" s="40">
        <f t="shared" ca="1" si="59"/>
        <v>6330299.9876231467</v>
      </c>
      <c r="M698" s="4" t="str">
        <f t="shared" si="60"/>
        <v>$M(2015)</v>
      </c>
    </row>
    <row r="699" spans="1:13" x14ac:dyDescent="0.25">
      <c r="A699" s="1" t="str">
        <v>OT total</v>
      </c>
      <c r="B699" s="261">
        <f ca="1"/>
        <v>93556.10469231609</v>
      </c>
      <c r="C699" s="261">
        <f ca="1"/>
        <v>435780.77141573041</v>
      </c>
      <c r="D699" s="261">
        <f ca="1"/>
        <v>867178.81253209664</v>
      </c>
      <c r="E699" s="261">
        <f ca="1"/>
        <v>1637012.6322995564</v>
      </c>
      <c r="F699" s="261">
        <f ca="1"/>
        <v>1404609.3940617633</v>
      </c>
      <c r="G699" s="261">
        <f ca="1"/>
        <v>724653.43977619521</v>
      </c>
      <c r="H699" s="261">
        <f ca="1"/>
        <v>176772.3644275158</v>
      </c>
      <c r="I699" s="261">
        <f ca="1"/>
        <v>40438.92016734022</v>
      </c>
      <c r="J699" s="261">
        <f ca="1"/>
        <v>10789.586236691806</v>
      </c>
      <c r="K699" s="261">
        <f ca="1"/>
        <v>1549.0654361604848</v>
      </c>
      <c r="L699" s="40">
        <f t="shared" ca="1" si="59"/>
        <v>5392341.0910453666</v>
      </c>
      <c r="M699" s="4" t="str">
        <f t="shared" si="60"/>
        <v>$M(2015)</v>
      </c>
    </row>
    <row r="700" spans="1:13" x14ac:dyDescent="0.25">
      <c r="A700" s="1" t="str">
        <v>EE total</v>
      </c>
      <c r="B700" s="261">
        <f ca="1"/>
        <v>618538.30320928688</v>
      </c>
      <c r="C700" s="261">
        <f ca="1"/>
        <v>1430835.039127717</v>
      </c>
      <c r="D700" s="261">
        <f ca="1"/>
        <v>1940361.4850712658</v>
      </c>
      <c r="E700" s="261">
        <f ca="1"/>
        <v>3134978.6174189649</v>
      </c>
      <c r="F700" s="261">
        <f ca="1"/>
        <v>2561189.0495056505</v>
      </c>
      <c r="G700" s="261">
        <f ca="1"/>
        <v>1764096.5303944747</v>
      </c>
      <c r="H700" s="261">
        <f ca="1"/>
        <v>491726.55512130621</v>
      </c>
      <c r="I700" s="261">
        <f ca="1"/>
        <v>129985.09586015584</v>
      </c>
      <c r="J700" s="261">
        <f ca="1"/>
        <v>38350.33812004028</v>
      </c>
      <c r="K700" s="261">
        <f ca="1"/>
        <v>5711.5035542967644</v>
      </c>
      <c r="L700" s="40">
        <f t="shared" ca="1" si="59"/>
        <v>12115772.517383158</v>
      </c>
      <c r="M700" s="4" t="str">
        <f t="shared" si="60"/>
        <v>$M(2015)</v>
      </c>
    </row>
    <row r="701" spans="1:13" x14ac:dyDescent="0.25">
      <c r="A701" s="1" t="str">
        <v>CA total</v>
      </c>
      <c r="B701" s="261">
        <f ca="1"/>
        <v>-549293.16629877139</v>
      </c>
      <c r="C701" s="261">
        <f ca="1"/>
        <v>683768.47312706243</v>
      </c>
      <c r="D701" s="261">
        <f ca="1"/>
        <v>2444939.4522917843</v>
      </c>
      <c r="E701" s="261">
        <f ca="1"/>
        <v>5207800.079401467</v>
      </c>
      <c r="F701" s="261">
        <f ca="1"/>
        <v>5714960.5609208755</v>
      </c>
      <c r="G701" s="261">
        <f ca="1"/>
        <v>3125684.3962200116</v>
      </c>
      <c r="H701" s="261">
        <f ca="1"/>
        <v>1343595.1159895745</v>
      </c>
      <c r="I701" s="261">
        <f ca="1"/>
        <v>446038.53065285686</v>
      </c>
      <c r="J701" s="261">
        <f ca="1"/>
        <v>152370.55536439386</v>
      </c>
      <c r="K701" s="261">
        <f ca="1"/>
        <v>25771.703750138015</v>
      </c>
      <c r="L701" s="40">
        <f t="shared" ca="1" si="59"/>
        <v>18595635.701419391</v>
      </c>
      <c r="M701" s="4" t="str">
        <f t="shared" si="60"/>
        <v>$M(2015)</v>
      </c>
    </row>
    <row r="702" spans="1:13" x14ac:dyDescent="0.25">
      <c r="A702" s="1" t="str">
        <v>IA total</v>
      </c>
      <c r="B702" s="261">
        <f ca="1"/>
        <v>-537645.55979738827</v>
      </c>
      <c r="C702" s="261">
        <f ca="1"/>
        <v>2002341.7785052699</v>
      </c>
      <c r="D702" s="261">
        <f ca="1"/>
        <v>5273586.3029291769</v>
      </c>
      <c r="E702" s="261">
        <f ca="1"/>
        <v>9917268.4361998383</v>
      </c>
      <c r="F702" s="261">
        <f ca="1"/>
        <v>7129516.7462502448</v>
      </c>
      <c r="G702" s="261">
        <f ca="1"/>
        <v>3131696.0890457011</v>
      </c>
      <c r="H702" s="261">
        <f ca="1"/>
        <v>723312.6894276829</v>
      </c>
      <c r="I702" s="261">
        <f ca="1"/>
        <v>200560.56499016949</v>
      </c>
      <c r="J702" s="261">
        <f ca="1"/>
        <v>64246.839721794538</v>
      </c>
      <c r="K702" s="261">
        <f ca="1"/>
        <v>10578.254153029487</v>
      </c>
      <c r="L702" s="40">
        <f t="shared" ca="1" si="59"/>
        <v>27915462.141425516</v>
      </c>
      <c r="M702" s="4" t="str">
        <f t="shared" si="60"/>
        <v>$M(2015)</v>
      </c>
    </row>
    <row r="703" spans="1:13" x14ac:dyDescent="0.25">
      <c r="A703" s="1" t="str">
        <v>AF total</v>
      </c>
      <c r="B703" s="261">
        <f ca="1"/>
        <v>4771727.7060873043</v>
      </c>
      <c r="C703" s="261">
        <f ca="1"/>
        <v>10735872.696398713</v>
      </c>
      <c r="D703" s="261">
        <f ca="1"/>
        <v>14871790.483261947</v>
      </c>
      <c r="E703" s="261">
        <f ca="1"/>
        <v>23198527.114845578</v>
      </c>
      <c r="F703" s="261">
        <f ca="1"/>
        <v>11250231.560441753</v>
      </c>
      <c r="G703" s="261">
        <f ca="1"/>
        <v>4859655.4077800969</v>
      </c>
      <c r="H703" s="261">
        <f ca="1"/>
        <v>427896.8446377489</v>
      </c>
      <c r="I703" s="261">
        <f ca="1"/>
        <v>64407.879260486778</v>
      </c>
      <c r="J703" s="261">
        <f ca="1"/>
        <v>14772.824062194974</v>
      </c>
      <c r="K703" s="261">
        <f ca="1"/>
        <v>2045.2694588067939</v>
      </c>
      <c r="L703" s="40">
        <f t="shared" ca="1" si="59"/>
        <v>70196927.786234632</v>
      </c>
      <c r="M703" s="4" t="str">
        <f t="shared" si="60"/>
        <v>$M(2015)</v>
      </c>
    </row>
    <row r="704" spans="1:13" x14ac:dyDescent="0.25">
      <c r="A704" s="1" t="str">
        <v>LA total</v>
      </c>
      <c r="B704" s="261">
        <f ca="1"/>
        <v>555431.48124306987</v>
      </c>
      <c r="C704" s="261">
        <f ca="1"/>
        <v>1928353.7336786203</v>
      </c>
      <c r="D704" s="261">
        <f ca="1"/>
        <v>2043996.9988320079</v>
      </c>
      <c r="E704" s="261">
        <f ca="1"/>
        <v>3282539.4831220433</v>
      </c>
      <c r="F704" s="261">
        <f ca="1"/>
        <v>1939518.039271517</v>
      </c>
      <c r="G704" s="261">
        <f ca="1"/>
        <v>741641.21275402687</v>
      </c>
      <c r="H704" s="261">
        <f ca="1"/>
        <v>150849.90935946364</v>
      </c>
      <c r="I704" s="261">
        <f ca="1"/>
        <v>35166.303131319393</v>
      </c>
      <c r="J704" s="261">
        <f ca="1"/>
        <v>9703.7592136971343</v>
      </c>
      <c r="K704" s="261">
        <f ca="1"/>
        <v>1353.018497857767</v>
      </c>
      <c r="L704" s="40">
        <f t="shared" ca="1" si="59"/>
        <v>10688553.939103624</v>
      </c>
      <c r="M704" s="4" t="str">
        <f t="shared" si="60"/>
        <v>$M(2015)</v>
      </c>
    </row>
    <row r="705" spans="1:15" ht="13" x14ac:dyDescent="0.3">
      <c r="A705" s="2" t="s">
        <v>257</v>
      </c>
      <c r="B705" s="40">
        <f t="shared" ref="B705:L705" ca="1" si="61">SUM(B697:B704)</f>
        <v>4929672.8133884994</v>
      </c>
      <c r="C705" s="40">
        <f t="shared" ca="1" si="61"/>
        <v>18061186.236675642</v>
      </c>
      <c r="D705" s="40">
        <f t="shared" ca="1" si="61"/>
        <v>29513214.188443765</v>
      </c>
      <c r="E705" s="40">
        <f t="shared" ca="1" si="61"/>
        <v>50428205.680657603</v>
      </c>
      <c r="F705" s="40">
        <f t="shared" ca="1" si="61"/>
        <v>33762605.574348122</v>
      </c>
      <c r="G705" s="40">
        <f t="shared" ca="1" si="61"/>
        <v>16295315.687791493</v>
      </c>
      <c r="H705" s="40">
        <f t="shared" ca="1" si="61"/>
        <v>3684537.5556667354</v>
      </c>
      <c r="I705" s="40">
        <f t="shared" ca="1" si="61"/>
        <v>976508.8751050001</v>
      </c>
      <c r="J705" s="40">
        <f t="shared" ca="1" si="61"/>
        <v>301102.25673482509</v>
      </c>
      <c r="K705" s="40">
        <f t="shared" ca="1" si="61"/>
        <v>48058.017639967416</v>
      </c>
      <c r="L705" s="40">
        <f t="shared" ca="1" si="61"/>
        <v>158000406.88645166</v>
      </c>
      <c r="M705" s="4" t="str">
        <f t="shared" si="60"/>
        <v>$M(2015)</v>
      </c>
    </row>
    <row r="706" spans="1:15" ht="13.5" thickBot="1" x14ac:dyDescent="0.35">
      <c r="A706" s="2" t="s">
        <v>366</v>
      </c>
      <c r="L706" s="42">
        <f ca="1">SUM(B705:K705)</f>
        <v>158000406.88645166</v>
      </c>
      <c r="M706" s="4" t="str">
        <f t="shared" si="60"/>
        <v>$M(2015)</v>
      </c>
      <c r="O706" s="6"/>
    </row>
    <row r="707" spans="1:15" ht="13" thickTop="1" x14ac:dyDescent="0.25"/>
  </sheetData>
  <pageMargins left="0.75" right="0.75" top="1" bottom="1" header="0.5" footer="0.5"/>
  <pageSetup paperSize="9" orientation="portrait" horizontalDpi="4294967293"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O707"/>
  <sheetViews>
    <sheetView topLeftCell="A666" workbookViewId="0">
      <selection activeCell="E233" sqref="E233"/>
    </sheetView>
  </sheetViews>
  <sheetFormatPr defaultRowHeight="12.5" x14ac:dyDescent="0.25"/>
  <cols>
    <col min="1" max="1" width="21.54296875" bestFit="1" customWidth="1"/>
    <col min="2" max="6" width="10.1796875" bestFit="1" customWidth="1"/>
    <col min="7" max="7" width="9" customWidth="1"/>
    <col min="8" max="11" width="10.1796875" bestFit="1" customWidth="1"/>
    <col min="12" max="12" width="10.81640625" customWidth="1"/>
    <col min="13" max="13" width="7.1796875" bestFit="1" customWidth="1"/>
  </cols>
  <sheetData>
    <row r="1" spans="1:5" ht="13" x14ac:dyDescent="0.3">
      <c r="A1" s="2" t="str">
        <f>MODEL_NAME</f>
        <v>PAGE-ICE Nonlinear Arctic Feedbacks</v>
      </c>
      <c r="B1" t="s">
        <v>39</v>
      </c>
      <c r="C1" s="51" t="str">
        <f>VERSION</f>
        <v>6.22</v>
      </c>
    </row>
    <row r="2" spans="1:5" s="3" customFormat="1" x14ac:dyDescent="0.25">
      <c r="A2" s="4" t="str">
        <f>"Uncertainty in BAU emissions in "&amp;Y_LAST</f>
        <v>Uncertainty in BAU emissions in 2300</v>
      </c>
      <c r="B2" s="4"/>
      <c r="C2" s="4"/>
      <c r="D2" s="4"/>
      <c r="E2" s="4"/>
    </row>
    <row r="3" spans="1:5" x14ac:dyDescent="0.25">
      <c r="A3" s="4"/>
      <c r="B3" s="58" t="s">
        <v>14</v>
      </c>
      <c r="C3" s="58" t="s">
        <v>15</v>
      </c>
      <c r="D3" s="58" t="s">
        <v>146</v>
      </c>
      <c r="E3" s="4" t="str">
        <f>GLIN_NAME</f>
        <v>Lin</v>
      </c>
    </row>
    <row r="4" spans="1:5" ht="15.5" x14ac:dyDescent="0.4">
      <c r="A4" s="4"/>
      <c r="B4" s="4" t="s">
        <v>99</v>
      </c>
      <c r="C4" s="4" t="s">
        <v>100</v>
      </c>
      <c r="D4" s="4" t="s">
        <v>100</v>
      </c>
      <c r="E4" s="4" t="s">
        <v>126</v>
      </c>
    </row>
    <row r="5" spans="1:5" x14ac:dyDescent="0.25">
      <c r="A5" s="14" t="str">
        <f t="array" ref="A5:A12">R_CODE</f>
        <v>EU</v>
      </c>
      <c r="B5" s="26">
        <f ca="1">'Preventative costs A'!B5-'Preventative costs B'!B5</f>
        <v>0</v>
      </c>
      <c r="C5" s="26">
        <f ca="1">'Preventative costs A'!C5-'Preventative costs B'!C5</f>
        <v>0</v>
      </c>
      <c r="D5" s="26">
        <f ca="1">'Preventative costs A'!D5-'Preventative costs B'!D5</f>
        <v>0</v>
      </c>
      <c r="E5" s="26">
        <f ca="1">'Preventative costs A'!E5-'Preventative costs B'!E5</f>
        <v>0</v>
      </c>
    </row>
    <row r="6" spans="1:5" x14ac:dyDescent="0.25">
      <c r="A6" s="14" t="str">
        <v>US</v>
      </c>
      <c r="B6" s="26">
        <f ca="1">'Preventative costs A'!B6-'Preventative costs B'!B6</f>
        <v>0</v>
      </c>
      <c r="C6" s="26">
        <f ca="1">'Preventative costs A'!C6-'Preventative costs B'!C6</f>
        <v>0</v>
      </c>
      <c r="D6" s="26">
        <f ca="1">'Preventative costs A'!D6-'Preventative costs B'!D6</f>
        <v>0</v>
      </c>
      <c r="E6" s="26">
        <f ca="1">'Preventative costs A'!E6-'Preventative costs B'!E6</f>
        <v>0</v>
      </c>
    </row>
    <row r="7" spans="1:5" x14ac:dyDescent="0.25">
      <c r="A7" s="14" t="str">
        <v>OT</v>
      </c>
      <c r="B7" s="26">
        <f ca="1">'Preventative costs A'!B7-'Preventative costs B'!B7</f>
        <v>0</v>
      </c>
      <c r="C7" s="26">
        <f ca="1">'Preventative costs A'!C7-'Preventative costs B'!C7</f>
        <v>0</v>
      </c>
      <c r="D7" s="26">
        <f ca="1">'Preventative costs A'!D7-'Preventative costs B'!D7</f>
        <v>0</v>
      </c>
      <c r="E7" s="26">
        <f ca="1">'Preventative costs A'!E7-'Preventative costs B'!E7</f>
        <v>0</v>
      </c>
    </row>
    <row r="8" spans="1:5" x14ac:dyDescent="0.25">
      <c r="A8" s="14" t="str">
        <v>EE</v>
      </c>
      <c r="B8" s="26">
        <f ca="1">'Preventative costs A'!B8-'Preventative costs B'!B8</f>
        <v>0</v>
      </c>
      <c r="C8" s="26">
        <f ca="1">'Preventative costs A'!C8-'Preventative costs B'!C8</f>
        <v>0</v>
      </c>
      <c r="D8" s="26">
        <f ca="1">'Preventative costs A'!D8-'Preventative costs B'!D8</f>
        <v>0</v>
      </c>
      <c r="E8" s="26">
        <f ca="1">'Preventative costs A'!E8-'Preventative costs B'!E8</f>
        <v>0</v>
      </c>
    </row>
    <row r="9" spans="1:5" x14ac:dyDescent="0.25">
      <c r="A9" s="14" t="str">
        <v>CA</v>
      </c>
      <c r="B9" s="26">
        <f ca="1">'Preventative costs A'!B9-'Preventative costs B'!B9</f>
        <v>0</v>
      </c>
      <c r="C9" s="26">
        <f ca="1">'Preventative costs A'!C9-'Preventative costs B'!C9</f>
        <v>0</v>
      </c>
      <c r="D9" s="26">
        <f ca="1">'Preventative costs A'!D9-'Preventative costs B'!D9</f>
        <v>0</v>
      </c>
      <c r="E9" s="26">
        <f ca="1">'Preventative costs A'!E9-'Preventative costs B'!E9</f>
        <v>0</v>
      </c>
    </row>
    <row r="10" spans="1:5" x14ac:dyDescent="0.25">
      <c r="A10" s="14" t="str">
        <v>IA</v>
      </c>
      <c r="B10" s="26">
        <f ca="1">'Preventative costs A'!B10-'Preventative costs B'!B10</f>
        <v>0</v>
      </c>
      <c r="C10" s="26">
        <f ca="1">'Preventative costs A'!C10-'Preventative costs B'!C10</f>
        <v>0</v>
      </c>
      <c r="D10" s="26">
        <f ca="1">'Preventative costs A'!D10-'Preventative costs B'!D10</f>
        <v>0</v>
      </c>
      <c r="E10" s="26">
        <f ca="1">'Preventative costs A'!E10-'Preventative costs B'!E10</f>
        <v>0</v>
      </c>
    </row>
    <row r="11" spans="1:5" x14ac:dyDescent="0.25">
      <c r="A11" s="14" t="str">
        <v>AF</v>
      </c>
      <c r="B11" s="26">
        <f ca="1">'Preventative costs A'!B11-'Preventative costs B'!B11</f>
        <v>0</v>
      </c>
      <c r="C11" s="26">
        <f ca="1">'Preventative costs A'!C11-'Preventative costs B'!C11</f>
        <v>0</v>
      </c>
      <c r="D11" s="26">
        <f ca="1">'Preventative costs A'!D11-'Preventative costs B'!D11</f>
        <v>0</v>
      </c>
      <c r="E11" s="26">
        <f ca="1">'Preventative costs A'!E11-'Preventative costs B'!E11</f>
        <v>0</v>
      </c>
    </row>
    <row r="12" spans="1:5" x14ac:dyDescent="0.25">
      <c r="A12" s="14" t="str">
        <v>LA</v>
      </c>
      <c r="B12" s="26">
        <f ca="1">'Preventative costs A'!B12-'Preventative costs B'!B12</f>
        <v>0</v>
      </c>
      <c r="C12" s="26">
        <f ca="1">'Preventative costs A'!C12-'Preventative costs B'!C12</f>
        <v>0</v>
      </c>
      <c r="D12" s="26">
        <f ca="1">'Preventative costs A'!D12-'Preventative costs B'!D12</f>
        <v>0</v>
      </c>
      <c r="E12" s="26">
        <f ca="1">'Preventative costs A'!E12-'Preventative costs B'!E12</f>
        <v>0</v>
      </c>
    </row>
    <row r="13" spans="1:5" x14ac:dyDescent="0.25">
      <c r="A13" s="4"/>
      <c r="B13" s="4" t="str">
        <f>'Library data'!$G$131</f>
        <v>% relative to RCP8.5</v>
      </c>
      <c r="C13" s="4" t="str">
        <f>'Library data'!$G$138</f>
        <v>% relative to RCP8.5</v>
      </c>
      <c r="D13" s="4" t="str">
        <f>'Library data'!$G$138</f>
        <v>% relative to RCP8.5</v>
      </c>
      <c r="E13" s="4" t="str">
        <f>'Library data'!$G$138</f>
        <v>% relative to RCP8.5</v>
      </c>
    </row>
    <row r="15" spans="1:5" s="3" customFormat="1" x14ac:dyDescent="0.25">
      <c r="A15" s="58" t="s">
        <v>275</v>
      </c>
      <c r="B15" s="4"/>
      <c r="C15" s="4"/>
      <c r="D15" s="4"/>
      <c r="E15" s="4"/>
    </row>
    <row r="16" spans="1:5" x14ac:dyDescent="0.25">
      <c r="A16" s="4"/>
      <c r="B16" s="58" t="s">
        <v>14</v>
      </c>
      <c r="C16" s="58" t="s">
        <v>15</v>
      </c>
      <c r="D16" s="58" t="s">
        <v>146</v>
      </c>
      <c r="E16" s="4" t="str">
        <f>GLIN_NAME</f>
        <v>Lin</v>
      </c>
    </row>
    <row r="17" spans="1:5" ht="13" x14ac:dyDescent="0.3">
      <c r="A17" s="4"/>
      <c r="B17" s="71" t="s">
        <v>281</v>
      </c>
      <c r="C17" s="71" t="s">
        <v>282</v>
      </c>
      <c r="D17" s="71" t="s">
        <v>283</v>
      </c>
      <c r="E17" s="71" t="s">
        <v>284</v>
      </c>
    </row>
    <row r="18" spans="1:5" x14ac:dyDescent="0.25">
      <c r="A18" s="14" t="str">
        <f t="array" ref="A18:A25">R_CODE</f>
        <v>EU</v>
      </c>
      <c r="B18" s="26">
        <f ca="1">'Preventative costs A'!B18-'Preventative costs B'!B18</f>
        <v>0</v>
      </c>
      <c r="C18" s="26">
        <f ca="1">'Preventative costs A'!C18-'Preventative costs B'!C18</f>
        <v>0</v>
      </c>
      <c r="D18" s="26">
        <f ca="1">'Preventative costs A'!D18-'Preventative costs B'!D18</f>
        <v>0</v>
      </c>
      <c r="E18" s="26">
        <f ca="1">'Preventative costs A'!E18-'Preventative costs B'!E18</f>
        <v>0</v>
      </c>
    </row>
    <row r="19" spans="1:5" x14ac:dyDescent="0.25">
      <c r="A19" s="14" t="str">
        <v>US</v>
      </c>
      <c r="B19" s="26">
        <f ca="1">'Preventative costs A'!B19-'Preventative costs B'!B19</f>
        <v>0</v>
      </c>
      <c r="C19" s="26">
        <f ca="1">'Preventative costs A'!C19-'Preventative costs B'!C19</f>
        <v>0</v>
      </c>
      <c r="D19" s="26">
        <f ca="1">'Preventative costs A'!D19-'Preventative costs B'!D19</f>
        <v>0</v>
      </c>
      <c r="E19" s="26">
        <f ca="1">'Preventative costs A'!E19-'Preventative costs B'!E19</f>
        <v>0</v>
      </c>
    </row>
    <row r="20" spans="1:5" x14ac:dyDescent="0.25">
      <c r="A20" s="14" t="str">
        <v>OT</v>
      </c>
      <c r="B20" s="26">
        <f ca="1">'Preventative costs A'!B20-'Preventative costs B'!B20</f>
        <v>0</v>
      </c>
      <c r="C20" s="26">
        <f ca="1">'Preventative costs A'!C20-'Preventative costs B'!C20</f>
        <v>0</v>
      </c>
      <c r="D20" s="26">
        <f ca="1">'Preventative costs A'!D20-'Preventative costs B'!D20</f>
        <v>0</v>
      </c>
      <c r="E20" s="26">
        <f ca="1">'Preventative costs A'!E20-'Preventative costs B'!E20</f>
        <v>0</v>
      </c>
    </row>
    <row r="21" spans="1:5" x14ac:dyDescent="0.25">
      <c r="A21" s="14" t="str">
        <v>EE</v>
      </c>
      <c r="B21" s="26">
        <f ca="1">'Preventative costs A'!B21-'Preventative costs B'!B21</f>
        <v>0</v>
      </c>
      <c r="C21" s="26">
        <f ca="1">'Preventative costs A'!C21-'Preventative costs B'!C21</f>
        <v>0</v>
      </c>
      <c r="D21" s="26">
        <f ca="1">'Preventative costs A'!D21-'Preventative costs B'!D21</f>
        <v>0</v>
      </c>
      <c r="E21" s="26">
        <f ca="1">'Preventative costs A'!E21-'Preventative costs B'!E21</f>
        <v>0</v>
      </c>
    </row>
    <row r="22" spans="1:5" x14ac:dyDescent="0.25">
      <c r="A22" s="14" t="str">
        <v>CA</v>
      </c>
      <c r="B22" s="26">
        <f ca="1">'Preventative costs A'!B22-'Preventative costs B'!B22</f>
        <v>0</v>
      </c>
      <c r="C22" s="26">
        <f ca="1">'Preventative costs A'!C22-'Preventative costs B'!C22</f>
        <v>0</v>
      </c>
      <c r="D22" s="26">
        <f ca="1">'Preventative costs A'!D22-'Preventative costs B'!D22</f>
        <v>0</v>
      </c>
      <c r="E22" s="26">
        <f ca="1">'Preventative costs A'!E22-'Preventative costs B'!E22</f>
        <v>0</v>
      </c>
    </row>
    <row r="23" spans="1:5" x14ac:dyDescent="0.25">
      <c r="A23" s="14" t="str">
        <v>IA</v>
      </c>
      <c r="B23" s="26">
        <f ca="1">'Preventative costs A'!B23-'Preventative costs B'!B23</f>
        <v>0</v>
      </c>
      <c r="C23" s="26">
        <f ca="1">'Preventative costs A'!C23-'Preventative costs B'!C23</f>
        <v>0</v>
      </c>
      <c r="D23" s="26">
        <f ca="1">'Preventative costs A'!D23-'Preventative costs B'!D23</f>
        <v>0</v>
      </c>
      <c r="E23" s="26">
        <f ca="1">'Preventative costs A'!E23-'Preventative costs B'!E23</f>
        <v>0</v>
      </c>
    </row>
    <row r="24" spans="1:5" x14ac:dyDescent="0.25">
      <c r="A24" s="14" t="str">
        <v>AF</v>
      </c>
      <c r="B24" s="26">
        <f ca="1">'Preventative costs A'!B24-'Preventative costs B'!B24</f>
        <v>0</v>
      </c>
      <c r="C24" s="26">
        <f ca="1">'Preventative costs A'!C24-'Preventative costs B'!C24</f>
        <v>0</v>
      </c>
      <c r="D24" s="26">
        <f ca="1">'Preventative costs A'!D24-'Preventative costs B'!D24</f>
        <v>0</v>
      </c>
      <c r="E24" s="26">
        <f ca="1">'Preventative costs A'!E24-'Preventative costs B'!E24</f>
        <v>0</v>
      </c>
    </row>
    <row r="25" spans="1:5" x14ac:dyDescent="0.25">
      <c r="A25" s="14" t="str">
        <v>LA</v>
      </c>
      <c r="B25" s="26">
        <f ca="1">'Preventative costs A'!B25-'Preventative costs B'!B25</f>
        <v>0</v>
      </c>
      <c r="C25" s="26">
        <f ca="1">'Preventative costs A'!C25-'Preventative costs B'!C25</f>
        <v>0</v>
      </c>
      <c r="D25" s="26">
        <f ca="1">'Preventative costs A'!D25-'Preventative costs B'!D25</f>
        <v>0</v>
      </c>
      <c r="E25" s="26">
        <f ca="1">'Preventative costs A'!E25-'Preventative costs B'!E25</f>
        <v>0</v>
      </c>
    </row>
    <row r="26" spans="1:5" x14ac:dyDescent="0.25">
      <c r="A26" s="4"/>
      <c r="B26" s="4" t="str">
        <f>'Library data'!$G$131</f>
        <v>% relative to RCP8.5</v>
      </c>
      <c r="C26" s="4" t="str">
        <f>'Library data'!$G$138</f>
        <v>% relative to RCP8.5</v>
      </c>
      <c r="D26" s="4" t="str">
        <f>'Library data'!$G$138</f>
        <v>% relative to RCP8.5</v>
      </c>
      <c r="E26" s="4" t="str">
        <f>'Library data'!$G$138</f>
        <v>% relative to RCP8.5</v>
      </c>
    </row>
    <row r="28" spans="1:5" s="3" customFormat="1" x14ac:dyDescent="0.25">
      <c r="A28" s="58" t="s">
        <v>276</v>
      </c>
      <c r="B28" s="4"/>
      <c r="C28" s="4"/>
      <c r="D28" s="4"/>
      <c r="E28" s="4"/>
    </row>
    <row r="29" spans="1:5" x14ac:dyDescent="0.25">
      <c r="A29" s="4"/>
      <c r="B29" s="58" t="s">
        <v>14</v>
      </c>
      <c r="C29" s="58" t="s">
        <v>15</v>
      </c>
      <c r="D29" s="58" t="s">
        <v>146</v>
      </c>
      <c r="E29" s="4" t="str">
        <f>GLIN_NAME</f>
        <v>Lin</v>
      </c>
    </row>
    <row r="30" spans="1:5" ht="13.5" x14ac:dyDescent="0.35">
      <c r="A30" s="4"/>
      <c r="B30" s="72" t="s">
        <v>277</v>
      </c>
      <c r="C30" s="72" t="s">
        <v>278</v>
      </c>
      <c r="D30" s="72" t="s">
        <v>279</v>
      </c>
      <c r="E30" s="72" t="s">
        <v>280</v>
      </c>
    </row>
    <row r="31" spans="1:5" x14ac:dyDescent="0.25">
      <c r="A31" s="14" t="str">
        <f t="array" ref="A31:A38">R_CODE</f>
        <v>EU</v>
      </c>
      <c r="B31" s="26">
        <f ca="1">'Preventative costs A'!B31-'Preventative costs B'!B31</f>
        <v>0</v>
      </c>
      <c r="C31" s="26">
        <f ca="1">'Preventative costs A'!C31-'Preventative costs B'!C31</f>
        <v>0</v>
      </c>
      <c r="D31" s="26">
        <f ca="1">'Preventative costs A'!D31-'Preventative costs B'!D31</f>
        <v>0</v>
      </c>
      <c r="E31" s="26">
        <f ca="1">'Preventative costs A'!E31-'Preventative costs B'!E31</f>
        <v>0</v>
      </c>
    </row>
    <row r="32" spans="1:5" x14ac:dyDescent="0.25">
      <c r="A32" s="14" t="str">
        <v>US</v>
      </c>
      <c r="B32" s="26">
        <f ca="1">'Preventative costs A'!B32-'Preventative costs B'!B32</f>
        <v>0</v>
      </c>
      <c r="C32" s="26">
        <f ca="1">'Preventative costs A'!C32-'Preventative costs B'!C32</f>
        <v>0</v>
      </c>
      <c r="D32" s="26">
        <f ca="1">'Preventative costs A'!D32-'Preventative costs B'!D32</f>
        <v>0</v>
      </c>
      <c r="E32" s="26">
        <f ca="1">'Preventative costs A'!E32-'Preventative costs B'!E32</f>
        <v>0</v>
      </c>
    </row>
    <row r="33" spans="1:13" x14ac:dyDescent="0.25">
      <c r="A33" s="14" t="str">
        <v>OT</v>
      </c>
      <c r="B33" s="26">
        <f ca="1">'Preventative costs A'!B33-'Preventative costs B'!B33</f>
        <v>0</v>
      </c>
      <c r="C33" s="26">
        <f ca="1">'Preventative costs A'!C33-'Preventative costs B'!C33</f>
        <v>0</v>
      </c>
      <c r="D33" s="26">
        <f ca="1">'Preventative costs A'!D33-'Preventative costs B'!D33</f>
        <v>0</v>
      </c>
      <c r="E33" s="26">
        <f ca="1">'Preventative costs A'!E33-'Preventative costs B'!E33</f>
        <v>0</v>
      </c>
    </row>
    <row r="34" spans="1:13" x14ac:dyDescent="0.25">
      <c r="A34" s="14" t="str">
        <v>EE</v>
      </c>
      <c r="B34" s="26">
        <f ca="1">'Preventative costs A'!B34-'Preventative costs B'!B34</f>
        <v>0</v>
      </c>
      <c r="C34" s="26">
        <f ca="1">'Preventative costs A'!C34-'Preventative costs B'!C34</f>
        <v>0</v>
      </c>
      <c r="D34" s="26">
        <f ca="1">'Preventative costs A'!D34-'Preventative costs B'!D34</f>
        <v>0</v>
      </c>
      <c r="E34" s="26">
        <f ca="1">'Preventative costs A'!E34-'Preventative costs B'!E34</f>
        <v>0</v>
      </c>
    </row>
    <row r="35" spans="1:13" x14ac:dyDescent="0.25">
      <c r="A35" s="14" t="str">
        <v>CA</v>
      </c>
      <c r="B35" s="26">
        <f ca="1">'Preventative costs A'!B35-'Preventative costs B'!B35</f>
        <v>0</v>
      </c>
      <c r="C35" s="26">
        <f ca="1">'Preventative costs A'!C35-'Preventative costs B'!C35</f>
        <v>0</v>
      </c>
      <c r="D35" s="26">
        <f ca="1">'Preventative costs A'!D35-'Preventative costs B'!D35</f>
        <v>0</v>
      </c>
      <c r="E35" s="26">
        <f ca="1">'Preventative costs A'!E35-'Preventative costs B'!E35</f>
        <v>0</v>
      </c>
    </row>
    <row r="36" spans="1:13" x14ac:dyDescent="0.25">
      <c r="A36" s="14" t="str">
        <v>IA</v>
      </c>
      <c r="B36" s="26">
        <f ca="1">'Preventative costs A'!B36-'Preventative costs B'!B36</f>
        <v>0</v>
      </c>
      <c r="C36" s="26">
        <f ca="1">'Preventative costs A'!C36-'Preventative costs B'!C36</f>
        <v>0</v>
      </c>
      <c r="D36" s="26">
        <f ca="1">'Preventative costs A'!D36-'Preventative costs B'!D36</f>
        <v>0</v>
      </c>
      <c r="E36" s="26">
        <f ca="1">'Preventative costs A'!E36-'Preventative costs B'!E36</f>
        <v>0</v>
      </c>
    </row>
    <row r="37" spans="1:13" x14ac:dyDescent="0.25">
      <c r="A37" s="14" t="str">
        <v>AF</v>
      </c>
      <c r="B37" s="26">
        <f ca="1">'Preventative costs A'!B37-'Preventative costs B'!B37</f>
        <v>0</v>
      </c>
      <c r="C37" s="26">
        <f ca="1">'Preventative costs A'!C37-'Preventative costs B'!C37</f>
        <v>0</v>
      </c>
      <c r="D37" s="26">
        <f ca="1">'Preventative costs A'!D37-'Preventative costs B'!D37</f>
        <v>0</v>
      </c>
      <c r="E37" s="26">
        <f ca="1">'Preventative costs A'!E37-'Preventative costs B'!E37</f>
        <v>0</v>
      </c>
    </row>
    <row r="38" spans="1:13" x14ac:dyDescent="0.25">
      <c r="A38" s="14" t="str">
        <v>LA</v>
      </c>
      <c r="B38" s="26">
        <f ca="1">'Preventative costs A'!B38-'Preventative costs B'!B38</f>
        <v>0</v>
      </c>
      <c r="C38" s="26">
        <f ca="1">'Preventative costs A'!C38-'Preventative costs B'!C38</f>
        <v>0</v>
      </c>
      <c r="D38" s="26">
        <f ca="1">'Preventative costs A'!D38-'Preventative costs B'!D38</f>
        <v>0</v>
      </c>
      <c r="E38" s="26">
        <f ca="1">'Preventative costs A'!E38-'Preventative costs B'!E38</f>
        <v>0</v>
      </c>
    </row>
    <row r="39" spans="1:13" x14ac:dyDescent="0.25">
      <c r="A39" s="4"/>
      <c r="B39" s="4" t="str">
        <f>CURRENCY_NAME&amp;" per "&amp;EMIT_NAME</f>
        <v>$M(2015) per Mtonne</v>
      </c>
      <c r="C39" s="4" t="str">
        <f>CURRENCY_NAME&amp;" per "&amp;EMIT_NAME</f>
        <v>$M(2015) per Mtonne</v>
      </c>
      <c r="D39" s="4" t="str">
        <f>CURRENCY_NAME&amp;" per "&amp;EMIT_NAME</f>
        <v>$M(2015) per Mtonne</v>
      </c>
      <c r="E39" s="4" t="str">
        <f>CURRENCY_NAME&amp;" per "&amp;EMIT_NAME</f>
        <v>$M(2015) per Mtonne</v>
      </c>
    </row>
    <row r="40" spans="1:13" x14ac:dyDescent="0.25">
      <c r="A40" s="4"/>
      <c r="B40" s="4"/>
      <c r="C40" s="4"/>
      <c r="D40" s="4"/>
      <c r="E40" s="4"/>
    </row>
    <row r="41" spans="1:13" x14ac:dyDescent="0.25">
      <c r="B41">
        <f t="array" ref="B41:K41">Y</f>
        <v>2020</v>
      </c>
      <c r="C41">
        <v>2030</v>
      </c>
      <c r="D41">
        <v>2040</v>
      </c>
      <c r="E41">
        <v>2050</v>
      </c>
      <c r="F41">
        <v>2075</v>
      </c>
      <c r="G41">
        <v>2100</v>
      </c>
      <c r="H41">
        <v>2150</v>
      </c>
      <c r="I41">
        <v>2200</v>
      </c>
      <c r="J41">
        <v>2250</v>
      </c>
      <c r="K41">
        <v>2300</v>
      </c>
    </row>
    <row r="42" spans="1:13" s="4" customFormat="1" x14ac:dyDescent="0.25">
      <c r="A42" s="4" t="s">
        <v>59</v>
      </c>
      <c r="B42" s="12">
        <f>'Preventative costs A'!B42-'Preventative costs B'!B42</f>
        <v>0</v>
      </c>
      <c r="C42" s="12">
        <f>'Preventative costs A'!C42-'Preventative costs B'!C42</f>
        <v>0</v>
      </c>
      <c r="D42" s="12">
        <f>'Preventative costs A'!D42-'Preventative costs B'!D42</f>
        <v>0</v>
      </c>
      <c r="E42" s="12">
        <f>'Preventative costs A'!E42-'Preventative costs B'!E42</f>
        <v>0</v>
      </c>
      <c r="F42" s="12">
        <f>'Preventative costs A'!F42-'Preventative costs B'!F42</f>
        <v>0</v>
      </c>
      <c r="G42" s="12">
        <f>'Preventative costs A'!G42-'Preventative costs B'!G42</f>
        <v>0</v>
      </c>
      <c r="H42" s="12">
        <f>'Preventative costs A'!H42-'Preventative costs B'!H42</f>
        <v>0</v>
      </c>
      <c r="I42" s="12">
        <f>'Preventative costs A'!I42-'Preventative costs B'!I42</f>
        <v>0</v>
      </c>
      <c r="J42" s="12">
        <f>'Preventative costs A'!J42-'Preventative costs B'!J42</f>
        <v>0</v>
      </c>
      <c r="K42" s="12">
        <f>'Preventative costs A'!K42-'Preventative costs B'!K42</f>
        <v>0</v>
      </c>
      <c r="M42" s="4" t="s">
        <v>41</v>
      </c>
    </row>
    <row r="43" spans="1:13" s="4" customFormat="1" x14ac:dyDescent="0.25">
      <c r="A43" s="4" t="s">
        <v>84</v>
      </c>
      <c r="B43" s="14">
        <f>'Preventative costs A'!B43-'Preventative costs B'!B43</f>
        <v>0</v>
      </c>
      <c r="C43" s="14">
        <f>'Preventative costs A'!C43-'Preventative costs B'!C43</f>
        <v>0</v>
      </c>
      <c r="D43" s="14">
        <f>'Preventative costs A'!D43-'Preventative costs B'!D43</f>
        <v>0</v>
      </c>
      <c r="E43" s="14">
        <f>'Preventative costs A'!E43-'Preventative costs B'!E43</f>
        <v>0</v>
      </c>
      <c r="F43" s="14">
        <f>'Preventative costs A'!F43-'Preventative costs B'!F43</f>
        <v>0</v>
      </c>
      <c r="G43" s="14">
        <f>'Preventative costs A'!G43-'Preventative costs B'!G43</f>
        <v>0</v>
      </c>
      <c r="H43" s="14">
        <f>'Preventative costs A'!H43-'Preventative costs B'!H43</f>
        <v>0</v>
      </c>
      <c r="I43" s="14">
        <f>'Preventative costs A'!I43-'Preventative costs B'!I43</f>
        <v>0</v>
      </c>
      <c r="J43" s="14">
        <f>'Preventative costs A'!J43-'Preventative costs B'!J43</f>
        <v>0</v>
      </c>
      <c r="K43" s="14">
        <f>'Preventative costs A'!K43-'Preventative costs B'!K43</f>
        <v>0</v>
      </c>
    </row>
    <row r="44" spans="1:13" s="4" customFormat="1" x14ac:dyDescent="0.25">
      <c r="A44" s="4" t="s">
        <v>85</v>
      </c>
      <c r="B44" s="14">
        <f>'Preventative costs A'!B44-'Preventative costs B'!B44</f>
        <v>0</v>
      </c>
      <c r="C44" s="14">
        <f>'Preventative costs A'!C44-'Preventative costs B'!C44</f>
        <v>0</v>
      </c>
      <c r="D44" s="14">
        <f>'Preventative costs A'!D44-'Preventative costs B'!D44</f>
        <v>0</v>
      </c>
      <c r="E44" s="14">
        <f>'Preventative costs A'!E44-'Preventative costs B'!E44</f>
        <v>0</v>
      </c>
      <c r="F44" s="14">
        <f>'Preventative costs A'!F44-'Preventative costs B'!F44</f>
        <v>0</v>
      </c>
      <c r="G44" s="14">
        <f>'Preventative costs A'!G44-'Preventative costs B'!G44</f>
        <v>0</v>
      </c>
      <c r="H44" s="14">
        <f>'Preventative costs A'!H44-'Preventative costs B'!H44</f>
        <v>0</v>
      </c>
      <c r="I44" s="14">
        <f>'Preventative costs A'!I44-'Preventative costs B'!I44</f>
        <v>0</v>
      </c>
      <c r="J44" s="14">
        <f>'Preventative costs A'!J44-'Preventative costs B'!J44</f>
        <v>0</v>
      </c>
      <c r="K44" s="14">
        <f>'Preventative costs A'!K44-'Preventative costs B'!K44</f>
        <v>0</v>
      </c>
    </row>
    <row r="45" spans="1:13" s="4" customFormat="1" x14ac:dyDescent="0.25">
      <c r="A45" s="4" t="s">
        <v>83</v>
      </c>
      <c r="B45" s="65">
        <f>'Preventative costs A'!B45-'Preventative costs B'!B45</f>
        <v>0</v>
      </c>
      <c r="C45" s="65">
        <f>'Preventative costs A'!C45-'Preventative costs B'!C45</f>
        <v>0</v>
      </c>
      <c r="D45" s="65">
        <f>'Preventative costs A'!D45-'Preventative costs B'!D45</f>
        <v>0</v>
      </c>
      <c r="E45" s="65">
        <f>'Preventative costs A'!E45-'Preventative costs B'!E45</f>
        <v>0</v>
      </c>
      <c r="F45" s="65">
        <f>'Preventative costs A'!F45-'Preventative costs B'!F45</f>
        <v>0</v>
      </c>
      <c r="G45" s="65">
        <f>'Preventative costs A'!G45-'Preventative costs B'!G45</f>
        <v>0</v>
      </c>
      <c r="H45" s="65">
        <f>'Preventative costs A'!H45-'Preventative costs B'!H45</f>
        <v>0</v>
      </c>
      <c r="I45" s="65">
        <f>'Preventative costs A'!I45-'Preventative costs B'!I45</f>
        <v>0</v>
      </c>
      <c r="J45" s="65">
        <f>'Preventative costs A'!J45-'Preventative costs B'!J45</f>
        <v>0</v>
      </c>
      <c r="K45" s="65">
        <f>'Preventative costs A'!K45-'Preventative costs B'!K45</f>
        <v>0</v>
      </c>
      <c r="M45" s="4" t="s">
        <v>41</v>
      </c>
    </row>
    <row r="46" spans="1:13" ht="16" thickBot="1" x14ac:dyDescent="0.45">
      <c r="A46" t="s">
        <v>101</v>
      </c>
      <c r="B46" s="15">
        <f>'Preventative costs A'!B46-'Preventative costs B'!B46</f>
        <v>0</v>
      </c>
      <c r="C46" s="15">
        <f>'Preventative costs A'!C46-'Preventative costs B'!C46</f>
        <v>0</v>
      </c>
      <c r="D46" s="15">
        <f>'Preventative costs A'!D46-'Preventative costs B'!D46</f>
        <v>0</v>
      </c>
      <c r="E46" s="15">
        <f>'Preventative costs A'!E46-'Preventative costs B'!E46</f>
        <v>0</v>
      </c>
      <c r="F46" s="15">
        <f>'Preventative costs A'!F46-'Preventative costs B'!F46</f>
        <v>0</v>
      </c>
      <c r="G46" s="15">
        <f>'Preventative costs A'!G46-'Preventative costs B'!G46</f>
        <v>0</v>
      </c>
      <c r="H46" s="15">
        <f>'Preventative costs A'!H46-'Preventative costs B'!H46</f>
        <v>0</v>
      </c>
      <c r="I46" s="15">
        <f>'Preventative costs A'!I46-'Preventative costs B'!I46</f>
        <v>0</v>
      </c>
      <c r="J46" s="15">
        <f>'Preventative costs A'!J46-'Preventative costs B'!J46</f>
        <v>0</v>
      </c>
      <c r="K46" s="15">
        <f>'Preventative costs A'!K46-'Preventative costs B'!K46</f>
        <v>0</v>
      </c>
      <c r="M46" t="s">
        <v>41</v>
      </c>
    </row>
    <row r="47" spans="1:13" ht="13" thickTop="1" x14ac:dyDescent="0.25"/>
    <row r="48" spans="1:13" s="2" customFormat="1" ht="15" x14ac:dyDescent="0.4">
      <c r="A48" s="2" t="s">
        <v>102</v>
      </c>
      <c r="B48" s="5" t="s">
        <v>103</v>
      </c>
    </row>
    <row r="49" spans="1:13" s="4" customFormat="1" x14ac:dyDescent="0.25">
      <c r="A49" s="4" t="str">
        <f t="array" ref="A49:A56">R_CODE&amp;" "&amp;'Base data'!$B$12</f>
        <v>EU CO2</v>
      </c>
      <c r="B49" s="12">
        <f ca="1">'Preventative costs A'!B49-'Preventative costs B'!B49</f>
        <v>0</v>
      </c>
      <c r="C49" s="12">
        <f ca="1">'Preventative costs A'!C49-'Preventative costs B'!C49</f>
        <v>0</v>
      </c>
      <c r="D49" s="12">
        <f ca="1">'Preventative costs A'!D49-'Preventative costs B'!D49</f>
        <v>0</v>
      </c>
      <c r="E49" s="12">
        <f ca="1">'Preventative costs A'!E49-'Preventative costs B'!E49</f>
        <v>0</v>
      </c>
      <c r="F49" s="12">
        <f ca="1">'Preventative costs A'!F49-'Preventative costs B'!F49</f>
        <v>0</v>
      </c>
      <c r="G49" s="12">
        <f ca="1">'Preventative costs A'!G49-'Preventative costs B'!G49</f>
        <v>0</v>
      </c>
      <c r="H49" s="12">
        <f ca="1">'Preventative costs A'!H49-'Preventative costs B'!H49</f>
        <v>0</v>
      </c>
      <c r="I49" s="12">
        <f ca="1">'Preventative costs A'!I49-'Preventative costs B'!I49</f>
        <v>0</v>
      </c>
      <c r="J49" s="12">
        <f ca="1">'Preventative costs A'!J49-'Preventative costs B'!J49</f>
        <v>0</v>
      </c>
      <c r="K49" s="12">
        <f ca="1">'Preventative costs A'!K49-'Preventative costs B'!K49</f>
        <v>0</v>
      </c>
      <c r="M49" s="4" t="str">
        <f>'Library data'!$G$131</f>
        <v>% relative to RCP8.5</v>
      </c>
    </row>
    <row r="50" spans="1:13" s="4" customFormat="1" x14ac:dyDescent="0.25">
      <c r="A50" s="4" t="str">
        <v>US CO2</v>
      </c>
      <c r="B50" s="14">
        <f ca="1">'Preventative costs A'!B50-'Preventative costs B'!B50</f>
        <v>0</v>
      </c>
      <c r="C50" s="14">
        <f ca="1">'Preventative costs A'!C50-'Preventative costs B'!C50</f>
        <v>0</v>
      </c>
      <c r="D50" s="14">
        <f ca="1">'Preventative costs A'!D50-'Preventative costs B'!D50</f>
        <v>0</v>
      </c>
      <c r="E50" s="14">
        <f ca="1">'Preventative costs A'!E50-'Preventative costs B'!E50</f>
        <v>0</v>
      </c>
      <c r="F50" s="14">
        <f ca="1">'Preventative costs A'!F50-'Preventative costs B'!F50</f>
        <v>0</v>
      </c>
      <c r="G50" s="14">
        <f ca="1">'Preventative costs A'!G50-'Preventative costs B'!G50</f>
        <v>0</v>
      </c>
      <c r="H50" s="14">
        <f ca="1">'Preventative costs A'!H50-'Preventative costs B'!H50</f>
        <v>0</v>
      </c>
      <c r="I50" s="14">
        <f ca="1">'Preventative costs A'!I50-'Preventative costs B'!I50</f>
        <v>0</v>
      </c>
      <c r="J50" s="14">
        <f ca="1">'Preventative costs A'!J50-'Preventative costs B'!J50</f>
        <v>0</v>
      </c>
      <c r="K50" s="14">
        <f ca="1">'Preventative costs A'!K50-'Preventative costs B'!K50</f>
        <v>0</v>
      </c>
      <c r="M50" s="4" t="str">
        <f>'Library data'!$G$131</f>
        <v>% relative to RCP8.5</v>
      </c>
    </row>
    <row r="51" spans="1:13" s="4" customFormat="1" x14ac:dyDescent="0.25">
      <c r="A51" s="4" t="str">
        <v>OT CO2</v>
      </c>
      <c r="B51" s="14">
        <f ca="1">'Preventative costs A'!B51-'Preventative costs B'!B51</f>
        <v>0</v>
      </c>
      <c r="C51" s="14">
        <f ca="1">'Preventative costs A'!C51-'Preventative costs B'!C51</f>
        <v>0</v>
      </c>
      <c r="D51" s="14">
        <f ca="1">'Preventative costs A'!D51-'Preventative costs B'!D51</f>
        <v>0</v>
      </c>
      <c r="E51" s="14">
        <f ca="1">'Preventative costs A'!E51-'Preventative costs B'!E51</f>
        <v>0</v>
      </c>
      <c r="F51" s="14">
        <f ca="1">'Preventative costs A'!F51-'Preventative costs B'!F51</f>
        <v>0</v>
      </c>
      <c r="G51" s="14">
        <f ca="1">'Preventative costs A'!G51-'Preventative costs B'!G51</f>
        <v>0</v>
      </c>
      <c r="H51" s="14">
        <f ca="1">'Preventative costs A'!H51-'Preventative costs B'!H51</f>
        <v>0</v>
      </c>
      <c r="I51" s="14">
        <f ca="1">'Preventative costs A'!I51-'Preventative costs B'!I51</f>
        <v>0</v>
      </c>
      <c r="J51" s="14">
        <f ca="1">'Preventative costs A'!J51-'Preventative costs B'!J51</f>
        <v>0</v>
      </c>
      <c r="K51" s="14">
        <f ca="1">'Preventative costs A'!K51-'Preventative costs B'!K51</f>
        <v>0</v>
      </c>
      <c r="M51" s="4" t="str">
        <f>'Library data'!$G$131</f>
        <v>% relative to RCP8.5</v>
      </c>
    </row>
    <row r="52" spans="1:13" s="4" customFormat="1" x14ac:dyDescent="0.25">
      <c r="A52" s="4" t="str">
        <v>EE CO2</v>
      </c>
      <c r="B52" s="14">
        <f ca="1">'Preventative costs A'!B52-'Preventative costs B'!B52</f>
        <v>0</v>
      </c>
      <c r="C52" s="14">
        <f ca="1">'Preventative costs A'!C52-'Preventative costs B'!C52</f>
        <v>0</v>
      </c>
      <c r="D52" s="14">
        <f ca="1">'Preventative costs A'!D52-'Preventative costs B'!D52</f>
        <v>0</v>
      </c>
      <c r="E52" s="14">
        <f ca="1">'Preventative costs A'!E52-'Preventative costs B'!E52</f>
        <v>0</v>
      </c>
      <c r="F52" s="14">
        <f ca="1">'Preventative costs A'!F52-'Preventative costs B'!F52</f>
        <v>0</v>
      </c>
      <c r="G52" s="14">
        <f ca="1">'Preventative costs A'!G52-'Preventative costs B'!G52</f>
        <v>0</v>
      </c>
      <c r="H52" s="14">
        <f ca="1">'Preventative costs A'!H52-'Preventative costs B'!H52</f>
        <v>0</v>
      </c>
      <c r="I52" s="14">
        <f ca="1">'Preventative costs A'!I52-'Preventative costs B'!I52</f>
        <v>0</v>
      </c>
      <c r="J52" s="14">
        <f ca="1">'Preventative costs A'!J52-'Preventative costs B'!J52</f>
        <v>0</v>
      </c>
      <c r="K52" s="14">
        <f ca="1">'Preventative costs A'!K52-'Preventative costs B'!K52</f>
        <v>0</v>
      </c>
      <c r="M52" s="4" t="str">
        <f>'Library data'!$G$131</f>
        <v>% relative to RCP8.5</v>
      </c>
    </row>
    <row r="53" spans="1:13" s="4" customFormat="1" x14ac:dyDescent="0.25">
      <c r="A53" s="4" t="str">
        <v>CA CO2</v>
      </c>
      <c r="B53" s="14">
        <f ca="1">'Preventative costs A'!B53-'Preventative costs B'!B53</f>
        <v>0</v>
      </c>
      <c r="C53" s="14">
        <f ca="1">'Preventative costs A'!C53-'Preventative costs B'!C53</f>
        <v>0</v>
      </c>
      <c r="D53" s="14">
        <f ca="1">'Preventative costs A'!D53-'Preventative costs B'!D53</f>
        <v>0</v>
      </c>
      <c r="E53" s="14">
        <f ca="1">'Preventative costs A'!E53-'Preventative costs B'!E53</f>
        <v>0</v>
      </c>
      <c r="F53" s="14">
        <f ca="1">'Preventative costs A'!F53-'Preventative costs B'!F53</f>
        <v>0</v>
      </c>
      <c r="G53" s="14">
        <f ca="1">'Preventative costs A'!G53-'Preventative costs B'!G53</f>
        <v>0</v>
      </c>
      <c r="H53" s="14">
        <f ca="1">'Preventative costs A'!H53-'Preventative costs B'!H53</f>
        <v>0</v>
      </c>
      <c r="I53" s="14">
        <f ca="1">'Preventative costs A'!I53-'Preventative costs B'!I53</f>
        <v>0</v>
      </c>
      <c r="J53" s="14">
        <f ca="1">'Preventative costs A'!J53-'Preventative costs B'!J53</f>
        <v>0</v>
      </c>
      <c r="K53" s="14">
        <f ca="1">'Preventative costs A'!K53-'Preventative costs B'!K53</f>
        <v>0</v>
      </c>
      <c r="M53" s="4" t="str">
        <f>'Library data'!$G$131</f>
        <v>% relative to RCP8.5</v>
      </c>
    </row>
    <row r="54" spans="1:13" s="4" customFormat="1" x14ac:dyDescent="0.25">
      <c r="A54" s="4" t="str">
        <v>IA CO2</v>
      </c>
      <c r="B54" s="14">
        <f ca="1">'Preventative costs A'!B54-'Preventative costs B'!B54</f>
        <v>0</v>
      </c>
      <c r="C54" s="14">
        <f ca="1">'Preventative costs A'!C54-'Preventative costs B'!C54</f>
        <v>0</v>
      </c>
      <c r="D54" s="14">
        <f ca="1">'Preventative costs A'!D54-'Preventative costs B'!D54</f>
        <v>0</v>
      </c>
      <c r="E54" s="14">
        <f ca="1">'Preventative costs A'!E54-'Preventative costs B'!E54</f>
        <v>0</v>
      </c>
      <c r="F54" s="14">
        <f ca="1">'Preventative costs A'!F54-'Preventative costs B'!F54</f>
        <v>0</v>
      </c>
      <c r="G54" s="14">
        <f ca="1">'Preventative costs A'!G54-'Preventative costs B'!G54</f>
        <v>0</v>
      </c>
      <c r="H54" s="14">
        <f ca="1">'Preventative costs A'!H54-'Preventative costs B'!H54</f>
        <v>0</v>
      </c>
      <c r="I54" s="14">
        <f ca="1">'Preventative costs A'!I54-'Preventative costs B'!I54</f>
        <v>0</v>
      </c>
      <c r="J54" s="14">
        <f ca="1">'Preventative costs A'!J54-'Preventative costs B'!J54</f>
        <v>0</v>
      </c>
      <c r="K54" s="14">
        <f ca="1">'Preventative costs A'!K54-'Preventative costs B'!K54</f>
        <v>0</v>
      </c>
      <c r="M54" s="4" t="str">
        <f>'Library data'!$G$131</f>
        <v>% relative to RCP8.5</v>
      </c>
    </row>
    <row r="55" spans="1:13" s="4" customFormat="1" x14ac:dyDescent="0.25">
      <c r="A55" s="4" t="str">
        <v>AF CO2</v>
      </c>
      <c r="B55" s="14">
        <f ca="1">'Preventative costs A'!B55-'Preventative costs B'!B55</f>
        <v>0</v>
      </c>
      <c r="C55" s="14">
        <f ca="1">'Preventative costs A'!C55-'Preventative costs B'!C55</f>
        <v>0</v>
      </c>
      <c r="D55" s="14">
        <f ca="1">'Preventative costs A'!D55-'Preventative costs B'!D55</f>
        <v>0</v>
      </c>
      <c r="E55" s="14">
        <f ca="1">'Preventative costs A'!E55-'Preventative costs B'!E55</f>
        <v>0</v>
      </c>
      <c r="F55" s="14">
        <f ca="1">'Preventative costs A'!F55-'Preventative costs B'!F55</f>
        <v>0</v>
      </c>
      <c r="G55" s="14">
        <f ca="1">'Preventative costs A'!G55-'Preventative costs B'!G55</f>
        <v>0</v>
      </c>
      <c r="H55" s="14">
        <f ca="1">'Preventative costs A'!H55-'Preventative costs B'!H55</f>
        <v>0</v>
      </c>
      <c r="I55" s="14">
        <f ca="1">'Preventative costs A'!I55-'Preventative costs B'!I55</f>
        <v>0</v>
      </c>
      <c r="J55" s="14">
        <f ca="1">'Preventative costs A'!J55-'Preventative costs B'!J55</f>
        <v>0</v>
      </c>
      <c r="K55" s="14">
        <f ca="1">'Preventative costs A'!K55-'Preventative costs B'!K55</f>
        <v>0</v>
      </c>
      <c r="M55" s="4" t="str">
        <f>'Library data'!$G$131</f>
        <v>% relative to RCP8.5</v>
      </c>
    </row>
    <row r="56" spans="1:13" s="4" customFormat="1" ht="13" thickBot="1" x14ac:dyDescent="0.3">
      <c r="A56" s="4" t="str">
        <v>LA CO2</v>
      </c>
      <c r="B56" s="16">
        <f ca="1">'Preventative costs A'!B56-'Preventative costs B'!B56</f>
        <v>0</v>
      </c>
      <c r="C56" s="16">
        <f ca="1">'Preventative costs A'!C56-'Preventative costs B'!C56</f>
        <v>0</v>
      </c>
      <c r="D56" s="16">
        <f ca="1">'Preventative costs A'!D56-'Preventative costs B'!D56</f>
        <v>0</v>
      </c>
      <c r="E56" s="16">
        <f ca="1">'Preventative costs A'!E56-'Preventative costs B'!E56</f>
        <v>0</v>
      </c>
      <c r="F56" s="16">
        <f ca="1">'Preventative costs A'!F56-'Preventative costs B'!F56</f>
        <v>0</v>
      </c>
      <c r="G56" s="16">
        <f ca="1">'Preventative costs A'!G56-'Preventative costs B'!G56</f>
        <v>0</v>
      </c>
      <c r="H56" s="16">
        <f ca="1">'Preventative costs A'!H56-'Preventative costs B'!H56</f>
        <v>0</v>
      </c>
      <c r="I56" s="16">
        <f ca="1">'Preventative costs A'!I56-'Preventative costs B'!I56</f>
        <v>0</v>
      </c>
      <c r="J56" s="16">
        <f ca="1">'Preventative costs A'!J56-'Preventative costs B'!J56</f>
        <v>0</v>
      </c>
      <c r="K56" s="16">
        <f ca="1">'Preventative costs A'!K56-'Preventative costs B'!K56</f>
        <v>0</v>
      </c>
      <c r="M56" s="4" t="str">
        <f>'Library data'!$G$131</f>
        <v>% relative to RCP8.5</v>
      </c>
    </row>
    <row r="57" spans="1:13" s="5" customFormat="1" ht="15.5" thickTop="1" x14ac:dyDescent="0.4">
      <c r="A57" s="5" t="s">
        <v>102</v>
      </c>
      <c r="B57" s="5" t="s">
        <v>104</v>
      </c>
    </row>
    <row r="58" spans="1:13" s="4" customFormat="1" x14ac:dyDescent="0.25">
      <c r="A58" s="4" t="str">
        <f t="array" ref="A58:A65">R_CODE&amp;" "&amp;'Base data'!$C$12</f>
        <v>EU CH4</v>
      </c>
      <c r="B58" s="12">
        <f ca="1">'Preventative costs A'!B58-'Preventative costs B'!B58</f>
        <v>0</v>
      </c>
      <c r="C58" s="12">
        <f ca="1">'Preventative costs A'!C58-'Preventative costs B'!C58</f>
        <v>0</v>
      </c>
      <c r="D58" s="12">
        <f ca="1">'Preventative costs A'!D58-'Preventative costs B'!D58</f>
        <v>0</v>
      </c>
      <c r="E58" s="12">
        <f ca="1">'Preventative costs A'!E58-'Preventative costs B'!E58</f>
        <v>0</v>
      </c>
      <c r="F58" s="12">
        <f ca="1">'Preventative costs A'!F58-'Preventative costs B'!F58</f>
        <v>0</v>
      </c>
      <c r="G58" s="12">
        <f ca="1">'Preventative costs A'!G58-'Preventative costs B'!G58</f>
        <v>0</v>
      </c>
      <c r="H58" s="12">
        <f ca="1">'Preventative costs A'!H58-'Preventative costs B'!H58</f>
        <v>0</v>
      </c>
      <c r="I58" s="12">
        <f ca="1">'Preventative costs A'!I58-'Preventative costs B'!I58</f>
        <v>0</v>
      </c>
      <c r="J58" s="12">
        <f ca="1">'Preventative costs A'!J58-'Preventative costs B'!J58</f>
        <v>0</v>
      </c>
      <c r="K58" s="12">
        <f ca="1">'Preventative costs A'!K58-'Preventative costs B'!K58</f>
        <v>0</v>
      </c>
      <c r="M58" s="4" t="str">
        <f>'Library data'!$G$138</f>
        <v>% relative to RCP8.5</v>
      </c>
    </row>
    <row r="59" spans="1:13" s="4" customFormat="1" x14ac:dyDescent="0.25">
      <c r="A59" s="4" t="str">
        <v>US CH4</v>
      </c>
      <c r="B59" s="14">
        <f ca="1">'Preventative costs A'!B59-'Preventative costs B'!B59</f>
        <v>0</v>
      </c>
      <c r="C59" s="14">
        <f ca="1">'Preventative costs A'!C59-'Preventative costs B'!C59</f>
        <v>0</v>
      </c>
      <c r="D59" s="14">
        <f ca="1">'Preventative costs A'!D59-'Preventative costs B'!D59</f>
        <v>0</v>
      </c>
      <c r="E59" s="14">
        <f ca="1">'Preventative costs A'!E59-'Preventative costs B'!E59</f>
        <v>0</v>
      </c>
      <c r="F59" s="14">
        <f ca="1">'Preventative costs A'!F59-'Preventative costs B'!F59</f>
        <v>0</v>
      </c>
      <c r="G59" s="14">
        <f ca="1">'Preventative costs A'!G59-'Preventative costs B'!G59</f>
        <v>0</v>
      </c>
      <c r="H59" s="14">
        <f ca="1">'Preventative costs A'!H59-'Preventative costs B'!H59</f>
        <v>0</v>
      </c>
      <c r="I59" s="14">
        <f ca="1">'Preventative costs A'!I59-'Preventative costs B'!I59</f>
        <v>0</v>
      </c>
      <c r="J59" s="14">
        <f ca="1">'Preventative costs A'!J59-'Preventative costs B'!J59</f>
        <v>0</v>
      </c>
      <c r="K59" s="14">
        <f ca="1">'Preventative costs A'!K59-'Preventative costs B'!K59</f>
        <v>0</v>
      </c>
      <c r="M59" s="4" t="str">
        <f>'Library data'!$G$138</f>
        <v>% relative to RCP8.5</v>
      </c>
    </row>
    <row r="60" spans="1:13" s="4" customFormat="1" x14ac:dyDescent="0.25">
      <c r="A60" s="4" t="str">
        <v>OT CH4</v>
      </c>
      <c r="B60" s="14">
        <f ca="1">'Preventative costs A'!B60-'Preventative costs B'!B60</f>
        <v>0</v>
      </c>
      <c r="C60" s="14">
        <f ca="1">'Preventative costs A'!C60-'Preventative costs B'!C60</f>
        <v>0</v>
      </c>
      <c r="D60" s="14">
        <f ca="1">'Preventative costs A'!D60-'Preventative costs B'!D60</f>
        <v>0</v>
      </c>
      <c r="E60" s="14">
        <f ca="1">'Preventative costs A'!E60-'Preventative costs B'!E60</f>
        <v>0</v>
      </c>
      <c r="F60" s="14">
        <f ca="1">'Preventative costs A'!F60-'Preventative costs B'!F60</f>
        <v>0</v>
      </c>
      <c r="G60" s="14">
        <f ca="1">'Preventative costs A'!G60-'Preventative costs B'!G60</f>
        <v>0</v>
      </c>
      <c r="H60" s="14">
        <f ca="1">'Preventative costs A'!H60-'Preventative costs B'!H60</f>
        <v>0</v>
      </c>
      <c r="I60" s="14">
        <f ca="1">'Preventative costs A'!I60-'Preventative costs B'!I60</f>
        <v>0</v>
      </c>
      <c r="J60" s="14">
        <f ca="1">'Preventative costs A'!J60-'Preventative costs B'!J60</f>
        <v>0</v>
      </c>
      <c r="K60" s="14">
        <f ca="1">'Preventative costs A'!K60-'Preventative costs B'!K60</f>
        <v>0</v>
      </c>
      <c r="M60" s="4" t="str">
        <f>'Library data'!$G$138</f>
        <v>% relative to RCP8.5</v>
      </c>
    </row>
    <row r="61" spans="1:13" s="4" customFormat="1" x14ac:dyDescent="0.25">
      <c r="A61" s="4" t="str">
        <v>EE CH4</v>
      </c>
      <c r="B61" s="14">
        <f ca="1">'Preventative costs A'!B61-'Preventative costs B'!B61</f>
        <v>0</v>
      </c>
      <c r="C61" s="14">
        <f ca="1">'Preventative costs A'!C61-'Preventative costs B'!C61</f>
        <v>0</v>
      </c>
      <c r="D61" s="14">
        <f ca="1">'Preventative costs A'!D61-'Preventative costs B'!D61</f>
        <v>0</v>
      </c>
      <c r="E61" s="14">
        <f ca="1">'Preventative costs A'!E61-'Preventative costs B'!E61</f>
        <v>0</v>
      </c>
      <c r="F61" s="14">
        <f ca="1">'Preventative costs A'!F61-'Preventative costs B'!F61</f>
        <v>0</v>
      </c>
      <c r="G61" s="14">
        <f ca="1">'Preventative costs A'!G61-'Preventative costs B'!G61</f>
        <v>0</v>
      </c>
      <c r="H61" s="14">
        <f ca="1">'Preventative costs A'!H61-'Preventative costs B'!H61</f>
        <v>0</v>
      </c>
      <c r="I61" s="14">
        <f ca="1">'Preventative costs A'!I61-'Preventative costs B'!I61</f>
        <v>0</v>
      </c>
      <c r="J61" s="14">
        <f ca="1">'Preventative costs A'!J61-'Preventative costs B'!J61</f>
        <v>0</v>
      </c>
      <c r="K61" s="14">
        <f ca="1">'Preventative costs A'!K61-'Preventative costs B'!K61</f>
        <v>0</v>
      </c>
      <c r="M61" s="4" t="str">
        <f>'Library data'!$G$138</f>
        <v>% relative to RCP8.5</v>
      </c>
    </row>
    <row r="62" spans="1:13" s="4" customFormat="1" x14ac:dyDescent="0.25">
      <c r="A62" s="4" t="str">
        <v>CA CH4</v>
      </c>
      <c r="B62" s="14">
        <f ca="1">'Preventative costs A'!B62-'Preventative costs B'!B62</f>
        <v>0</v>
      </c>
      <c r="C62" s="14">
        <f ca="1">'Preventative costs A'!C62-'Preventative costs B'!C62</f>
        <v>0</v>
      </c>
      <c r="D62" s="14">
        <f ca="1">'Preventative costs A'!D62-'Preventative costs B'!D62</f>
        <v>0</v>
      </c>
      <c r="E62" s="14">
        <f ca="1">'Preventative costs A'!E62-'Preventative costs B'!E62</f>
        <v>0</v>
      </c>
      <c r="F62" s="14">
        <f ca="1">'Preventative costs A'!F62-'Preventative costs B'!F62</f>
        <v>0</v>
      </c>
      <c r="G62" s="14">
        <f ca="1">'Preventative costs A'!G62-'Preventative costs B'!G62</f>
        <v>0</v>
      </c>
      <c r="H62" s="14">
        <f ca="1">'Preventative costs A'!H62-'Preventative costs B'!H62</f>
        <v>0</v>
      </c>
      <c r="I62" s="14">
        <f ca="1">'Preventative costs A'!I62-'Preventative costs B'!I62</f>
        <v>0</v>
      </c>
      <c r="J62" s="14">
        <f ca="1">'Preventative costs A'!J62-'Preventative costs B'!J62</f>
        <v>0</v>
      </c>
      <c r="K62" s="14">
        <f ca="1">'Preventative costs A'!K62-'Preventative costs B'!K62</f>
        <v>0</v>
      </c>
      <c r="M62" s="4" t="str">
        <f>'Library data'!$G$138</f>
        <v>% relative to RCP8.5</v>
      </c>
    </row>
    <row r="63" spans="1:13" s="4" customFormat="1" x14ac:dyDescent="0.25">
      <c r="A63" s="4" t="str">
        <v>IA CH4</v>
      </c>
      <c r="B63" s="14">
        <f ca="1">'Preventative costs A'!B63-'Preventative costs B'!B63</f>
        <v>0</v>
      </c>
      <c r="C63" s="14">
        <f ca="1">'Preventative costs A'!C63-'Preventative costs B'!C63</f>
        <v>0</v>
      </c>
      <c r="D63" s="14">
        <f ca="1">'Preventative costs A'!D63-'Preventative costs B'!D63</f>
        <v>0</v>
      </c>
      <c r="E63" s="14">
        <f ca="1">'Preventative costs A'!E63-'Preventative costs B'!E63</f>
        <v>0</v>
      </c>
      <c r="F63" s="14">
        <f ca="1">'Preventative costs A'!F63-'Preventative costs B'!F63</f>
        <v>0</v>
      </c>
      <c r="G63" s="14">
        <f ca="1">'Preventative costs A'!G63-'Preventative costs B'!G63</f>
        <v>0</v>
      </c>
      <c r="H63" s="14">
        <f ca="1">'Preventative costs A'!H63-'Preventative costs B'!H63</f>
        <v>0</v>
      </c>
      <c r="I63" s="14">
        <f ca="1">'Preventative costs A'!I63-'Preventative costs B'!I63</f>
        <v>0</v>
      </c>
      <c r="J63" s="14">
        <f ca="1">'Preventative costs A'!J63-'Preventative costs B'!J63</f>
        <v>0</v>
      </c>
      <c r="K63" s="14">
        <f ca="1">'Preventative costs A'!K63-'Preventative costs B'!K63</f>
        <v>0</v>
      </c>
      <c r="M63" s="4" t="str">
        <f>'Library data'!$G$138</f>
        <v>% relative to RCP8.5</v>
      </c>
    </row>
    <row r="64" spans="1:13" s="4" customFormat="1" x14ac:dyDescent="0.25">
      <c r="A64" s="4" t="str">
        <v>AF CH4</v>
      </c>
      <c r="B64" s="14">
        <f ca="1">'Preventative costs A'!B64-'Preventative costs B'!B64</f>
        <v>0</v>
      </c>
      <c r="C64" s="14">
        <f ca="1">'Preventative costs A'!C64-'Preventative costs B'!C64</f>
        <v>0</v>
      </c>
      <c r="D64" s="14">
        <f ca="1">'Preventative costs A'!D64-'Preventative costs B'!D64</f>
        <v>0</v>
      </c>
      <c r="E64" s="14">
        <f ca="1">'Preventative costs A'!E64-'Preventative costs B'!E64</f>
        <v>0</v>
      </c>
      <c r="F64" s="14">
        <f ca="1">'Preventative costs A'!F64-'Preventative costs B'!F64</f>
        <v>0</v>
      </c>
      <c r="G64" s="14">
        <f ca="1">'Preventative costs A'!G64-'Preventative costs B'!G64</f>
        <v>0</v>
      </c>
      <c r="H64" s="14">
        <f ca="1">'Preventative costs A'!H64-'Preventative costs B'!H64</f>
        <v>0</v>
      </c>
      <c r="I64" s="14">
        <f ca="1">'Preventative costs A'!I64-'Preventative costs B'!I64</f>
        <v>0</v>
      </c>
      <c r="J64" s="14">
        <f ca="1">'Preventative costs A'!J64-'Preventative costs B'!J64</f>
        <v>0</v>
      </c>
      <c r="K64" s="14">
        <f ca="1">'Preventative costs A'!K64-'Preventative costs B'!K64</f>
        <v>0</v>
      </c>
      <c r="M64" s="4" t="str">
        <f>'Library data'!$G$138</f>
        <v>% relative to RCP8.5</v>
      </c>
    </row>
    <row r="65" spans="1:13" s="4" customFormat="1" ht="13" thickBot="1" x14ac:dyDescent="0.3">
      <c r="A65" s="4" t="str">
        <v>LA CH4</v>
      </c>
      <c r="B65" s="16">
        <f ca="1">'Preventative costs A'!B65-'Preventative costs B'!B65</f>
        <v>0</v>
      </c>
      <c r="C65" s="16">
        <f ca="1">'Preventative costs A'!C65-'Preventative costs B'!C65</f>
        <v>0</v>
      </c>
      <c r="D65" s="16">
        <f ca="1">'Preventative costs A'!D65-'Preventative costs B'!D65</f>
        <v>0</v>
      </c>
      <c r="E65" s="16">
        <f ca="1">'Preventative costs A'!E65-'Preventative costs B'!E65</f>
        <v>0</v>
      </c>
      <c r="F65" s="16">
        <f ca="1">'Preventative costs A'!F65-'Preventative costs B'!F65</f>
        <v>0</v>
      </c>
      <c r="G65" s="16">
        <f ca="1">'Preventative costs A'!G65-'Preventative costs B'!G65</f>
        <v>0</v>
      </c>
      <c r="H65" s="16">
        <f ca="1">'Preventative costs A'!H65-'Preventative costs B'!H65</f>
        <v>0</v>
      </c>
      <c r="I65" s="16">
        <f ca="1">'Preventative costs A'!I65-'Preventative costs B'!I65</f>
        <v>0</v>
      </c>
      <c r="J65" s="16">
        <f ca="1">'Preventative costs A'!J65-'Preventative costs B'!J65</f>
        <v>0</v>
      </c>
      <c r="K65" s="16">
        <f ca="1">'Preventative costs A'!K65-'Preventative costs B'!K65</f>
        <v>0</v>
      </c>
      <c r="M65" s="4" t="str">
        <f>'Library data'!$G$138</f>
        <v>% relative to RCP8.5</v>
      </c>
    </row>
    <row r="66" spans="1:13" s="5" customFormat="1" ht="15.5" thickTop="1" x14ac:dyDescent="0.4">
      <c r="A66" s="5" t="s">
        <v>102</v>
      </c>
      <c r="B66" s="5" t="s">
        <v>127</v>
      </c>
    </row>
    <row r="67" spans="1:13" s="4" customFormat="1" x14ac:dyDescent="0.25">
      <c r="A67" s="4" t="str">
        <f t="array" ref="A67:A74">R_CODE&amp;" "&amp;'Base data'!$D$12</f>
        <v>EU N2O</v>
      </c>
      <c r="B67" s="12">
        <f ca="1">'Preventative costs A'!B67-'Preventative costs B'!B67</f>
        <v>0</v>
      </c>
      <c r="C67" s="12">
        <f ca="1">'Preventative costs A'!C67-'Preventative costs B'!C67</f>
        <v>0</v>
      </c>
      <c r="D67" s="12">
        <f ca="1">'Preventative costs A'!D67-'Preventative costs B'!D67</f>
        <v>0</v>
      </c>
      <c r="E67" s="12">
        <f ca="1">'Preventative costs A'!E67-'Preventative costs B'!E67</f>
        <v>0</v>
      </c>
      <c r="F67" s="12">
        <f ca="1">'Preventative costs A'!F67-'Preventative costs B'!F67</f>
        <v>0</v>
      </c>
      <c r="G67" s="12">
        <f ca="1">'Preventative costs A'!G67-'Preventative costs B'!G67</f>
        <v>0</v>
      </c>
      <c r="H67" s="12">
        <f ca="1">'Preventative costs A'!H67-'Preventative costs B'!H67</f>
        <v>0</v>
      </c>
      <c r="I67" s="12">
        <f ca="1">'Preventative costs A'!I67-'Preventative costs B'!I67</f>
        <v>0</v>
      </c>
      <c r="J67" s="12">
        <f ca="1">'Preventative costs A'!J67-'Preventative costs B'!J67</f>
        <v>0</v>
      </c>
      <c r="K67" s="12">
        <f ca="1">'Preventative costs A'!K67-'Preventative costs B'!K67</f>
        <v>0</v>
      </c>
      <c r="M67" s="4" t="str">
        <f>'Library data'!$G$138</f>
        <v>% relative to RCP8.5</v>
      </c>
    </row>
    <row r="68" spans="1:13" s="4" customFormat="1" x14ac:dyDescent="0.25">
      <c r="A68" s="4" t="str">
        <v>US N2O</v>
      </c>
      <c r="B68" s="14">
        <f ca="1">'Preventative costs A'!B68-'Preventative costs B'!B68</f>
        <v>0</v>
      </c>
      <c r="C68" s="14">
        <f ca="1">'Preventative costs A'!C68-'Preventative costs B'!C68</f>
        <v>0</v>
      </c>
      <c r="D68" s="14">
        <f ca="1">'Preventative costs A'!D68-'Preventative costs B'!D68</f>
        <v>0</v>
      </c>
      <c r="E68" s="14">
        <f ca="1">'Preventative costs A'!E68-'Preventative costs B'!E68</f>
        <v>0</v>
      </c>
      <c r="F68" s="14">
        <f ca="1">'Preventative costs A'!F68-'Preventative costs B'!F68</f>
        <v>0</v>
      </c>
      <c r="G68" s="14">
        <f ca="1">'Preventative costs A'!G68-'Preventative costs B'!G68</f>
        <v>0</v>
      </c>
      <c r="H68" s="14">
        <f ca="1">'Preventative costs A'!H68-'Preventative costs B'!H68</f>
        <v>0</v>
      </c>
      <c r="I68" s="14">
        <f ca="1">'Preventative costs A'!I68-'Preventative costs B'!I68</f>
        <v>0</v>
      </c>
      <c r="J68" s="14">
        <f ca="1">'Preventative costs A'!J68-'Preventative costs B'!J68</f>
        <v>0</v>
      </c>
      <c r="K68" s="14">
        <f ca="1">'Preventative costs A'!K68-'Preventative costs B'!K68</f>
        <v>0</v>
      </c>
      <c r="M68" s="4" t="str">
        <f>'Library data'!$G$138</f>
        <v>% relative to RCP8.5</v>
      </c>
    </row>
    <row r="69" spans="1:13" s="4" customFormat="1" x14ac:dyDescent="0.25">
      <c r="A69" s="4" t="str">
        <v>OT N2O</v>
      </c>
      <c r="B69" s="14">
        <f ca="1">'Preventative costs A'!B69-'Preventative costs B'!B69</f>
        <v>0</v>
      </c>
      <c r="C69" s="14">
        <f ca="1">'Preventative costs A'!C69-'Preventative costs B'!C69</f>
        <v>0</v>
      </c>
      <c r="D69" s="14">
        <f ca="1">'Preventative costs A'!D69-'Preventative costs B'!D69</f>
        <v>0</v>
      </c>
      <c r="E69" s="14">
        <f ca="1">'Preventative costs A'!E69-'Preventative costs B'!E69</f>
        <v>0</v>
      </c>
      <c r="F69" s="14">
        <f ca="1">'Preventative costs A'!F69-'Preventative costs B'!F69</f>
        <v>0</v>
      </c>
      <c r="G69" s="14">
        <f ca="1">'Preventative costs A'!G69-'Preventative costs B'!G69</f>
        <v>0</v>
      </c>
      <c r="H69" s="14">
        <f ca="1">'Preventative costs A'!H69-'Preventative costs B'!H69</f>
        <v>0</v>
      </c>
      <c r="I69" s="14">
        <f ca="1">'Preventative costs A'!I69-'Preventative costs B'!I69</f>
        <v>0</v>
      </c>
      <c r="J69" s="14">
        <f ca="1">'Preventative costs A'!J69-'Preventative costs B'!J69</f>
        <v>0</v>
      </c>
      <c r="K69" s="14">
        <f ca="1">'Preventative costs A'!K69-'Preventative costs B'!K69</f>
        <v>0</v>
      </c>
      <c r="M69" s="4" t="str">
        <f>'Library data'!$G$138</f>
        <v>% relative to RCP8.5</v>
      </c>
    </row>
    <row r="70" spans="1:13" s="4" customFormat="1" x14ac:dyDescent="0.25">
      <c r="A70" s="4" t="str">
        <v>EE N2O</v>
      </c>
      <c r="B70" s="14">
        <f ca="1">'Preventative costs A'!B70-'Preventative costs B'!B70</f>
        <v>0</v>
      </c>
      <c r="C70" s="14">
        <f ca="1">'Preventative costs A'!C70-'Preventative costs B'!C70</f>
        <v>0</v>
      </c>
      <c r="D70" s="14">
        <f ca="1">'Preventative costs A'!D70-'Preventative costs B'!D70</f>
        <v>0</v>
      </c>
      <c r="E70" s="14">
        <f ca="1">'Preventative costs A'!E70-'Preventative costs B'!E70</f>
        <v>0</v>
      </c>
      <c r="F70" s="14">
        <f ca="1">'Preventative costs A'!F70-'Preventative costs B'!F70</f>
        <v>0</v>
      </c>
      <c r="G70" s="14">
        <f ca="1">'Preventative costs A'!G70-'Preventative costs B'!G70</f>
        <v>0</v>
      </c>
      <c r="H70" s="14">
        <f ca="1">'Preventative costs A'!H70-'Preventative costs B'!H70</f>
        <v>0</v>
      </c>
      <c r="I70" s="14">
        <f ca="1">'Preventative costs A'!I70-'Preventative costs B'!I70</f>
        <v>0</v>
      </c>
      <c r="J70" s="14">
        <f ca="1">'Preventative costs A'!J70-'Preventative costs B'!J70</f>
        <v>0</v>
      </c>
      <c r="K70" s="14">
        <f ca="1">'Preventative costs A'!K70-'Preventative costs B'!K70</f>
        <v>0</v>
      </c>
      <c r="M70" s="4" t="str">
        <f>'Library data'!$G$138</f>
        <v>% relative to RCP8.5</v>
      </c>
    </row>
    <row r="71" spans="1:13" s="4" customFormat="1" x14ac:dyDescent="0.25">
      <c r="A71" s="4" t="str">
        <v>CA N2O</v>
      </c>
      <c r="B71" s="14">
        <f ca="1">'Preventative costs A'!B71-'Preventative costs B'!B71</f>
        <v>0</v>
      </c>
      <c r="C71" s="14">
        <f ca="1">'Preventative costs A'!C71-'Preventative costs B'!C71</f>
        <v>0</v>
      </c>
      <c r="D71" s="14">
        <f ca="1">'Preventative costs A'!D71-'Preventative costs B'!D71</f>
        <v>0</v>
      </c>
      <c r="E71" s="14">
        <f ca="1">'Preventative costs A'!E71-'Preventative costs B'!E71</f>
        <v>0</v>
      </c>
      <c r="F71" s="14">
        <f ca="1">'Preventative costs A'!F71-'Preventative costs B'!F71</f>
        <v>0</v>
      </c>
      <c r="G71" s="14">
        <f ca="1">'Preventative costs A'!G71-'Preventative costs B'!G71</f>
        <v>0</v>
      </c>
      <c r="H71" s="14">
        <f ca="1">'Preventative costs A'!H71-'Preventative costs B'!H71</f>
        <v>0</v>
      </c>
      <c r="I71" s="14">
        <f ca="1">'Preventative costs A'!I71-'Preventative costs B'!I71</f>
        <v>0</v>
      </c>
      <c r="J71" s="14">
        <f ca="1">'Preventative costs A'!J71-'Preventative costs B'!J71</f>
        <v>0</v>
      </c>
      <c r="K71" s="14">
        <f ca="1">'Preventative costs A'!K71-'Preventative costs B'!K71</f>
        <v>0</v>
      </c>
      <c r="M71" s="4" t="str">
        <f>'Library data'!$G$138</f>
        <v>% relative to RCP8.5</v>
      </c>
    </row>
    <row r="72" spans="1:13" s="4" customFormat="1" x14ac:dyDescent="0.25">
      <c r="A72" s="4" t="str">
        <v>IA N2O</v>
      </c>
      <c r="B72" s="14">
        <f ca="1">'Preventative costs A'!B72-'Preventative costs B'!B72</f>
        <v>0</v>
      </c>
      <c r="C72" s="14">
        <f ca="1">'Preventative costs A'!C72-'Preventative costs B'!C72</f>
        <v>0</v>
      </c>
      <c r="D72" s="14">
        <f ca="1">'Preventative costs A'!D72-'Preventative costs B'!D72</f>
        <v>0</v>
      </c>
      <c r="E72" s="14">
        <f ca="1">'Preventative costs A'!E72-'Preventative costs B'!E72</f>
        <v>0</v>
      </c>
      <c r="F72" s="14">
        <f ca="1">'Preventative costs A'!F72-'Preventative costs B'!F72</f>
        <v>0</v>
      </c>
      <c r="G72" s="14">
        <f ca="1">'Preventative costs A'!G72-'Preventative costs B'!G72</f>
        <v>0</v>
      </c>
      <c r="H72" s="14">
        <f ca="1">'Preventative costs A'!H72-'Preventative costs B'!H72</f>
        <v>0</v>
      </c>
      <c r="I72" s="14">
        <f ca="1">'Preventative costs A'!I72-'Preventative costs B'!I72</f>
        <v>0</v>
      </c>
      <c r="J72" s="14">
        <f ca="1">'Preventative costs A'!J72-'Preventative costs B'!J72</f>
        <v>0</v>
      </c>
      <c r="K72" s="14">
        <f ca="1">'Preventative costs A'!K72-'Preventative costs B'!K72</f>
        <v>0</v>
      </c>
      <c r="M72" s="4" t="str">
        <f>'Library data'!$G$138</f>
        <v>% relative to RCP8.5</v>
      </c>
    </row>
    <row r="73" spans="1:13" s="4" customFormat="1" x14ac:dyDescent="0.25">
      <c r="A73" s="4" t="str">
        <v>AF N2O</v>
      </c>
      <c r="B73" s="14">
        <f ca="1">'Preventative costs A'!B73-'Preventative costs B'!B73</f>
        <v>0</v>
      </c>
      <c r="C73" s="14">
        <f ca="1">'Preventative costs A'!C73-'Preventative costs B'!C73</f>
        <v>0</v>
      </c>
      <c r="D73" s="14">
        <f ca="1">'Preventative costs A'!D73-'Preventative costs B'!D73</f>
        <v>0</v>
      </c>
      <c r="E73" s="14">
        <f ca="1">'Preventative costs A'!E73-'Preventative costs B'!E73</f>
        <v>0</v>
      </c>
      <c r="F73" s="14">
        <f ca="1">'Preventative costs A'!F73-'Preventative costs B'!F73</f>
        <v>0</v>
      </c>
      <c r="G73" s="14">
        <f ca="1">'Preventative costs A'!G73-'Preventative costs B'!G73</f>
        <v>0</v>
      </c>
      <c r="H73" s="14">
        <f ca="1">'Preventative costs A'!H73-'Preventative costs B'!H73</f>
        <v>0</v>
      </c>
      <c r="I73" s="14">
        <f ca="1">'Preventative costs A'!I73-'Preventative costs B'!I73</f>
        <v>0</v>
      </c>
      <c r="J73" s="14">
        <f ca="1">'Preventative costs A'!J73-'Preventative costs B'!J73</f>
        <v>0</v>
      </c>
      <c r="K73" s="14">
        <f ca="1">'Preventative costs A'!K73-'Preventative costs B'!K73</f>
        <v>0</v>
      </c>
      <c r="M73" s="4" t="str">
        <f>'Library data'!$G$138</f>
        <v>% relative to RCP8.5</v>
      </c>
    </row>
    <row r="74" spans="1:13" s="4" customFormat="1" ht="13" thickBot="1" x14ac:dyDescent="0.3">
      <c r="A74" s="4" t="str">
        <v>LA N2O</v>
      </c>
      <c r="B74" s="16">
        <f ca="1">'Preventative costs A'!B74-'Preventative costs B'!B74</f>
        <v>0</v>
      </c>
      <c r="C74" s="16">
        <f ca="1">'Preventative costs A'!C74-'Preventative costs B'!C74</f>
        <v>0</v>
      </c>
      <c r="D74" s="16">
        <f ca="1">'Preventative costs A'!D74-'Preventative costs B'!D74</f>
        <v>0</v>
      </c>
      <c r="E74" s="16">
        <f ca="1">'Preventative costs A'!E74-'Preventative costs B'!E74</f>
        <v>0</v>
      </c>
      <c r="F74" s="16">
        <f ca="1">'Preventative costs A'!F74-'Preventative costs B'!F74</f>
        <v>0</v>
      </c>
      <c r="G74" s="16">
        <f ca="1">'Preventative costs A'!G74-'Preventative costs B'!G74</f>
        <v>0</v>
      </c>
      <c r="H74" s="16">
        <f ca="1">'Preventative costs A'!H74-'Preventative costs B'!H74</f>
        <v>0</v>
      </c>
      <c r="I74" s="16">
        <f ca="1">'Preventative costs A'!I74-'Preventative costs B'!I74</f>
        <v>0</v>
      </c>
      <c r="J74" s="16">
        <f ca="1">'Preventative costs A'!J74-'Preventative costs B'!J74</f>
        <v>0</v>
      </c>
      <c r="K74" s="16">
        <f ca="1">'Preventative costs A'!K74-'Preventative costs B'!K74</f>
        <v>0</v>
      </c>
      <c r="M74" s="4" t="str">
        <f>'Library data'!$G$138</f>
        <v>% relative to RCP8.5</v>
      </c>
    </row>
    <row r="75" spans="1:13" s="5" customFormat="1" ht="15.5" thickTop="1" x14ac:dyDescent="0.4">
      <c r="A75" s="5" t="s">
        <v>102</v>
      </c>
      <c r="B75" s="5" t="s">
        <v>262</v>
      </c>
    </row>
    <row r="76" spans="1:13" s="4" customFormat="1" x14ac:dyDescent="0.25">
      <c r="A76" s="4" t="str">
        <f t="array" ref="A76:A83">R_CODE&amp;" "&amp;GLIN_NAME</f>
        <v>EU Lin</v>
      </c>
      <c r="B76" s="12">
        <f ca="1">'Preventative costs A'!B76-'Preventative costs B'!B76</f>
        <v>0</v>
      </c>
      <c r="C76" s="12">
        <f ca="1">'Preventative costs A'!C76-'Preventative costs B'!C76</f>
        <v>0</v>
      </c>
      <c r="D76" s="12">
        <f ca="1">'Preventative costs A'!D76-'Preventative costs B'!D76</f>
        <v>0</v>
      </c>
      <c r="E76" s="12">
        <f ca="1">'Preventative costs A'!E76-'Preventative costs B'!E76</f>
        <v>0</v>
      </c>
      <c r="F76" s="12">
        <f ca="1">'Preventative costs A'!F76-'Preventative costs B'!F76</f>
        <v>0</v>
      </c>
      <c r="G76" s="12">
        <f ca="1">'Preventative costs A'!G76-'Preventative costs B'!G76</f>
        <v>0</v>
      </c>
      <c r="H76" s="12">
        <f ca="1">'Preventative costs A'!H76-'Preventative costs B'!H76</f>
        <v>0</v>
      </c>
      <c r="I76" s="12">
        <f ca="1">'Preventative costs A'!I76-'Preventative costs B'!I76</f>
        <v>0</v>
      </c>
      <c r="J76" s="12">
        <f ca="1">'Preventative costs A'!J76-'Preventative costs B'!J76</f>
        <v>0</v>
      </c>
      <c r="K76" s="12">
        <f ca="1">'Preventative costs A'!K76-'Preventative costs B'!K76</f>
        <v>0</v>
      </c>
      <c r="M76" s="4" t="str">
        <f>'Library data'!$G$138</f>
        <v>% relative to RCP8.5</v>
      </c>
    </row>
    <row r="77" spans="1:13" s="4" customFormat="1" x14ac:dyDescent="0.25">
      <c r="A77" s="4" t="str">
        <v>US Lin</v>
      </c>
      <c r="B77" s="14">
        <f ca="1">'Preventative costs A'!B77-'Preventative costs B'!B77</f>
        <v>0</v>
      </c>
      <c r="C77" s="14">
        <f ca="1">'Preventative costs A'!C77-'Preventative costs B'!C77</f>
        <v>0</v>
      </c>
      <c r="D77" s="14">
        <f ca="1">'Preventative costs A'!D77-'Preventative costs B'!D77</f>
        <v>0</v>
      </c>
      <c r="E77" s="14">
        <f ca="1">'Preventative costs A'!E77-'Preventative costs B'!E77</f>
        <v>0</v>
      </c>
      <c r="F77" s="14">
        <f ca="1">'Preventative costs A'!F77-'Preventative costs B'!F77</f>
        <v>0</v>
      </c>
      <c r="G77" s="14">
        <f ca="1">'Preventative costs A'!G77-'Preventative costs B'!G77</f>
        <v>0</v>
      </c>
      <c r="H77" s="14">
        <f ca="1">'Preventative costs A'!H77-'Preventative costs B'!H77</f>
        <v>0</v>
      </c>
      <c r="I77" s="14">
        <f ca="1">'Preventative costs A'!I77-'Preventative costs B'!I77</f>
        <v>0</v>
      </c>
      <c r="J77" s="14">
        <f ca="1">'Preventative costs A'!J77-'Preventative costs B'!J77</f>
        <v>0</v>
      </c>
      <c r="K77" s="14">
        <f ca="1">'Preventative costs A'!K77-'Preventative costs B'!K77</f>
        <v>0</v>
      </c>
      <c r="M77" s="4" t="str">
        <f>'Library data'!$G$138</f>
        <v>% relative to RCP8.5</v>
      </c>
    </row>
    <row r="78" spans="1:13" s="4" customFormat="1" x14ac:dyDescent="0.25">
      <c r="A78" s="4" t="str">
        <v>OT Lin</v>
      </c>
      <c r="B78" s="14">
        <f ca="1">'Preventative costs A'!B78-'Preventative costs B'!B78</f>
        <v>0</v>
      </c>
      <c r="C78" s="14">
        <f ca="1">'Preventative costs A'!C78-'Preventative costs B'!C78</f>
        <v>0</v>
      </c>
      <c r="D78" s="14">
        <f ca="1">'Preventative costs A'!D78-'Preventative costs B'!D78</f>
        <v>0</v>
      </c>
      <c r="E78" s="14">
        <f ca="1">'Preventative costs A'!E78-'Preventative costs B'!E78</f>
        <v>0</v>
      </c>
      <c r="F78" s="14">
        <f ca="1">'Preventative costs A'!F78-'Preventative costs B'!F78</f>
        <v>0</v>
      </c>
      <c r="G78" s="14">
        <f ca="1">'Preventative costs A'!G78-'Preventative costs B'!G78</f>
        <v>0</v>
      </c>
      <c r="H78" s="14">
        <f ca="1">'Preventative costs A'!H78-'Preventative costs B'!H78</f>
        <v>0</v>
      </c>
      <c r="I78" s="14">
        <f ca="1">'Preventative costs A'!I78-'Preventative costs B'!I78</f>
        <v>0</v>
      </c>
      <c r="J78" s="14">
        <f ca="1">'Preventative costs A'!J78-'Preventative costs B'!J78</f>
        <v>0</v>
      </c>
      <c r="K78" s="14">
        <f ca="1">'Preventative costs A'!K78-'Preventative costs B'!K78</f>
        <v>0</v>
      </c>
      <c r="M78" s="4" t="str">
        <f>'Library data'!$G$138</f>
        <v>% relative to RCP8.5</v>
      </c>
    </row>
    <row r="79" spans="1:13" s="4" customFormat="1" x14ac:dyDescent="0.25">
      <c r="A79" s="4" t="str">
        <v>EE Lin</v>
      </c>
      <c r="B79" s="14">
        <f ca="1">'Preventative costs A'!B79-'Preventative costs B'!B79</f>
        <v>0</v>
      </c>
      <c r="C79" s="14">
        <f ca="1">'Preventative costs A'!C79-'Preventative costs B'!C79</f>
        <v>0</v>
      </c>
      <c r="D79" s="14">
        <f ca="1">'Preventative costs A'!D79-'Preventative costs B'!D79</f>
        <v>0</v>
      </c>
      <c r="E79" s="14">
        <f ca="1">'Preventative costs A'!E79-'Preventative costs B'!E79</f>
        <v>0</v>
      </c>
      <c r="F79" s="14">
        <f ca="1">'Preventative costs A'!F79-'Preventative costs B'!F79</f>
        <v>0</v>
      </c>
      <c r="G79" s="14">
        <f ca="1">'Preventative costs A'!G79-'Preventative costs B'!G79</f>
        <v>0</v>
      </c>
      <c r="H79" s="14">
        <f ca="1">'Preventative costs A'!H79-'Preventative costs B'!H79</f>
        <v>0</v>
      </c>
      <c r="I79" s="14">
        <f ca="1">'Preventative costs A'!I79-'Preventative costs B'!I79</f>
        <v>0</v>
      </c>
      <c r="J79" s="14">
        <f ca="1">'Preventative costs A'!J79-'Preventative costs B'!J79</f>
        <v>0</v>
      </c>
      <c r="K79" s="14">
        <f ca="1">'Preventative costs A'!K79-'Preventative costs B'!K79</f>
        <v>0</v>
      </c>
      <c r="M79" s="4" t="str">
        <f>'Library data'!$G$138</f>
        <v>% relative to RCP8.5</v>
      </c>
    </row>
    <row r="80" spans="1:13" s="4" customFormat="1" x14ac:dyDescent="0.25">
      <c r="A80" s="4" t="str">
        <v>CA Lin</v>
      </c>
      <c r="B80" s="14">
        <f ca="1">'Preventative costs A'!B80-'Preventative costs B'!B80</f>
        <v>0</v>
      </c>
      <c r="C80" s="14">
        <f ca="1">'Preventative costs A'!C80-'Preventative costs B'!C80</f>
        <v>0</v>
      </c>
      <c r="D80" s="14">
        <f ca="1">'Preventative costs A'!D80-'Preventative costs B'!D80</f>
        <v>0</v>
      </c>
      <c r="E80" s="14">
        <f ca="1">'Preventative costs A'!E80-'Preventative costs B'!E80</f>
        <v>0</v>
      </c>
      <c r="F80" s="14">
        <f ca="1">'Preventative costs A'!F80-'Preventative costs B'!F80</f>
        <v>0</v>
      </c>
      <c r="G80" s="14">
        <f ca="1">'Preventative costs A'!G80-'Preventative costs B'!G80</f>
        <v>0</v>
      </c>
      <c r="H80" s="14">
        <f ca="1">'Preventative costs A'!H80-'Preventative costs B'!H80</f>
        <v>0</v>
      </c>
      <c r="I80" s="14">
        <f ca="1">'Preventative costs A'!I80-'Preventative costs B'!I80</f>
        <v>0</v>
      </c>
      <c r="J80" s="14">
        <f ca="1">'Preventative costs A'!J80-'Preventative costs B'!J80</f>
        <v>0</v>
      </c>
      <c r="K80" s="14">
        <f ca="1">'Preventative costs A'!K80-'Preventative costs B'!K80</f>
        <v>0</v>
      </c>
      <c r="M80" s="4" t="str">
        <f>'Library data'!$G$138</f>
        <v>% relative to RCP8.5</v>
      </c>
    </row>
    <row r="81" spans="1:13" s="4" customFormat="1" x14ac:dyDescent="0.25">
      <c r="A81" s="4" t="str">
        <v>IA Lin</v>
      </c>
      <c r="B81" s="14">
        <f ca="1">'Preventative costs A'!B81-'Preventative costs B'!B81</f>
        <v>0</v>
      </c>
      <c r="C81" s="14">
        <f ca="1">'Preventative costs A'!C81-'Preventative costs B'!C81</f>
        <v>0</v>
      </c>
      <c r="D81" s="14">
        <f ca="1">'Preventative costs A'!D81-'Preventative costs B'!D81</f>
        <v>0</v>
      </c>
      <c r="E81" s="14">
        <f ca="1">'Preventative costs A'!E81-'Preventative costs B'!E81</f>
        <v>0</v>
      </c>
      <c r="F81" s="14">
        <f ca="1">'Preventative costs A'!F81-'Preventative costs B'!F81</f>
        <v>0</v>
      </c>
      <c r="G81" s="14">
        <f ca="1">'Preventative costs A'!G81-'Preventative costs B'!G81</f>
        <v>0</v>
      </c>
      <c r="H81" s="14">
        <f ca="1">'Preventative costs A'!H81-'Preventative costs B'!H81</f>
        <v>0</v>
      </c>
      <c r="I81" s="14">
        <f ca="1">'Preventative costs A'!I81-'Preventative costs B'!I81</f>
        <v>0</v>
      </c>
      <c r="J81" s="14">
        <f ca="1">'Preventative costs A'!J81-'Preventative costs B'!J81</f>
        <v>0</v>
      </c>
      <c r="K81" s="14">
        <f ca="1">'Preventative costs A'!K81-'Preventative costs B'!K81</f>
        <v>0</v>
      </c>
      <c r="M81" s="4" t="str">
        <f>'Library data'!$G$138</f>
        <v>% relative to RCP8.5</v>
      </c>
    </row>
    <row r="82" spans="1:13" s="4" customFormat="1" x14ac:dyDescent="0.25">
      <c r="A82" s="4" t="str">
        <v>AF Lin</v>
      </c>
      <c r="B82" s="14">
        <f ca="1">'Preventative costs A'!B82-'Preventative costs B'!B82</f>
        <v>0</v>
      </c>
      <c r="C82" s="14">
        <f ca="1">'Preventative costs A'!C82-'Preventative costs B'!C82</f>
        <v>0</v>
      </c>
      <c r="D82" s="14">
        <f ca="1">'Preventative costs A'!D82-'Preventative costs B'!D82</f>
        <v>0</v>
      </c>
      <c r="E82" s="14">
        <f ca="1">'Preventative costs A'!E82-'Preventative costs B'!E82</f>
        <v>0</v>
      </c>
      <c r="F82" s="14">
        <f ca="1">'Preventative costs A'!F82-'Preventative costs B'!F82</f>
        <v>0</v>
      </c>
      <c r="G82" s="14">
        <f ca="1">'Preventative costs A'!G82-'Preventative costs B'!G82</f>
        <v>0</v>
      </c>
      <c r="H82" s="14">
        <f ca="1">'Preventative costs A'!H82-'Preventative costs B'!H82</f>
        <v>0</v>
      </c>
      <c r="I82" s="14">
        <f ca="1">'Preventative costs A'!I82-'Preventative costs B'!I82</f>
        <v>0</v>
      </c>
      <c r="J82" s="14">
        <f ca="1">'Preventative costs A'!J82-'Preventative costs B'!J82</f>
        <v>0</v>
      </c>
      <c r="K82" s="14">
        <f ca="1">'Preventative costs A'!K82-'Preventative costs B'!K82</f>
        <v>0</v>
      </c>
      <c r="M82" s="4" t="str">
        <f>'Library data'!$G$138</f>
        <v>% relative to RCP8.5</v>
      </c>
    </row>
    <row r="83" spans="1:13" s="4" customFormat="1" ht="13" thickBot="1" x14ac:dyDescent="0.3">
      <c r="A83" s="4" t="str">
        <v>LA Lin</v>
      </c>
      <c r="B83" s="16">
        <f ca="1">'Preventative costs A'!B83-'Preventative costs B'!B83</f>
        <v>0</v>
      </c>
      <c r="C83" s="16">
        <f ca="1">'Preventative costs A'!C83-'Preventative costs B'!C83</f>
        <v>0</v>
      </c>
      <c r="D83" s="16">
        <f ca="1">'Preventative costs A'!D83-'Preventative costs B'!D83</f>
        <v>0</v>
      </c>
      <c r="E83" s="16">
        <f ca="1">'Preventative costs A'!E83-'Preventative costs B'!E83</f>
        <v>0</v>
      </c>
      <c r="F83" s="16">
        <f ca="1">'Preventative costs A'!F83-'Preventative costs B'!F83</f>
        <v>0</v>
      </c>
      <c r="G83" s="16">
        <f ca="1">'Preventative costs A'!G83-'Preventative costs B'!G83</f>
        <v>0</v>
      </c>
      <c r="H83" s="16">
        <f ca="1">'Preventative costs A'!H83-'Preventative costs B'!H83</f>
        <v>0</v>
      </c>
      <c r="I83" s="16">
        <f ca="1">'Preventative costs A'!I83-'Preventative costs B'!I83</f>
        <v>0</v>
      </c>
      <c r="J83" s="16">
        <f ca="1">'Preventative costs A'!J83-'Preventative costs B'!J83</f>
        <v>0</v>
      </c>
      <c r="K83" s="16">
        <f ca="1">'Preventative costs A'!K83-'Preventative costs B'!K83</f>
        <v>0</v>
      </c>
      <c r="M83" s="4" t="str">
        <f>'Library data'!$G$138</f>
        <v>% relative to RCP8.5</v>
      </c>
    </row>
    <row r="84" spans="1:13" s="2" customFormat="1" ht="15.5" thickTop="1" x14ac:dyDescent="0.4">
      <c r="A84" s="2" t="s">
        <v>105</v>
      </c>
      <c r="B84" s="2" t="s">
        <v>106</v>
      </c>
    </row>
    <row r="85" spans="1:13" s="6" customFormat="1" x14ac:dyDescent="0.25">
      <c r="A85" s="4" t="str">
        <f t="array" ref="A85:A92">R_CODE&amp;" "&amp;'Base data'!$B$12</f>
        <v>EU CO2</v>
      </c>
      <c r="B85" s="12">
        <f ca="1">'Preventative costs A'!B85-'Preventative costs B'!B85</f>
        <v>0</v>
      </c>
      <c r="C85" s="12">
        <f ca="1">'Preventative costs A'!C85-'Preventative costs B'!C85</f>
        <v>0</v>
      </c>
      <c r="D85" s="12">
        <f ca="1">'Preventative costs A'!D85-'Preventative costs B'!D85</f>
        <v>0</v>
      </c>
      <c r="E85" s="12">
        <f ca="1">'Preventative costs A'!E85-'Preventative costs B'!E85</f>
        <v>0</v>
      </c>
      <c r="F85" s="12">
        <f ca="1">'Preventative costs A'!F85-'Preventative costs B'!F85</f>
        <v>0</v>
      </c>
      <c r="G85" s="12">
        <f ca="1">'Preventative costs A'!G85-'Preventative costs B'!G85</f>
        <v>0</v>
      </c>
      <c r="H85" s="12">
        <f ca="1">'Preventative costs A'!H85-'Preventative costs B'!H85</f>
        <v>0</v>
      </c>
      <c r="I85" s="12">
        <f ca="1">'Preventative costs A'!I85-'Preventative costs B'!I85</f>
        <v>0</v>
      </c>
      <c r="J85" s="12">
        <f ca="1">'Preventative costs A'!J85-'Preventative costs B'!J85</f>
        <v>0</v>
      </c>
      <c r="K85" s="12">
        <f ca="1">'Preventative costs A'!K85-'Preventative costs B'!K85</f>
        <v>0</v>
      </c>
      <c r="M85" s="4" t="str">
        <f>'Library data'!$G$138</f>
        <v>% relative to RCP8.5</v>
      </c>
    </row>
    <row r="86" spans="1:13" s="6" customFormat="1" x14ac:dyDescent="0.25">
      <c r="A86" s="4" t="str">
        <v>US CO2</v>
      </c>
      <c r="B86" s="14">
        <f ca="1">'Preventative costs A'!B86-'Preventative costs B'!B86</f>
        <v>0</v>
      </c>
      <c r="C86" s="14">
        <f ca="1">'Preventative costs A'!C86-'Preventative costs B'!C86</f>
        <v>0</v>
      </c>
      <c r="D86" s="14">
        <f ca="1">'Preventative costs A'!D86-'Preventative costs B'!D86</f>
        <v>0</v>
      </c>
      <c r="E86" s="14">
        <f ca="1">'Preventative costs A'!E86-'Preventative costs B'!E86</f>
        <v>0</v>
      </c>
      <c r="F86" s="14">
        <f ca="1">'Preventative costs A'!F86-'Preventative costs B'!F86</f>
        <v>0</v>
      </c>
      <c r="G86" s="14">
        <f ca="1">'Preventative costs A'!G86-'Preventative costs B'!G86</f>
        <v>0</v>
      </c>
      <c r="H86" s="14">
        <f ca="1">'Preventative costs A'!H86-'Preventative costs B'!H86</f>
        <v>0</v>
      </c>
      <c r="I86" s="14">
        <f ca="1">'Preventative costs A'!I86-'Preventative costs B'!I86</f>
        <v>0</v>
      </c>
      <c r="J86" s="14">
        <f ca="1">'Preventative costs A'!J86-'Preventative costs B'!J86</f>
        <v>0</v>
      </c>
      <c r="K86" s="14">
        <f ca="1">'Preventative costs A'!K86-'Preventative costs B'!K86</f>
        <v>0</v>
      </c>
      <c r="M86" s="4" t="str">
        <f>'Library data'!$G$138</f>
        <v>% relative to RCP8.5</v>
      </c>
    </row>
    <row r="87" spans="1:13" s="6" customFormat="1" x14ac:dyDescent="0.25">
      <c r="A87" s="4" t="str">
        <v>OT CO2</v>
      </c>
      <c r="B87" s="14">
        <f ca="1">'Preventative costs A'!B87-'Preventative costs B'!B87</f>
        <v>0</v>
      </c>
      <c r="C87" s="14">
        <f ca="1">'Preventative costs A'!C87-'Preventative costs B'!C87</f>
        <v>0</v>
      </c>
      <c r="D87" s="14">
        <f ca="1">'Preventative costs A'!D87-'Preventative costs B'!D87</f>
        <v>0</v>
      </c>
      <c r="E87" s="14">
        <f ca="1">'Preventative costs A'!E87-'Preventative costs B'!E87</f>
        <v>0</v>
      </c>
      <c r="F87" s="14">
        <f ca="1">'Preventative costs A'!F87-'Preventative costs B'!F87</f>
        <v>0</v>
      </c>
      <c r="G87" s="14">
        <f ca="1">'Preventative costs A'!G87-'Preventative costs B'!G87</f>
        <v>0</v>
      </c>
      <c r="H87" s="14">
        <f ca="1">'Preventative costs A'!H87-'Preventative costs B'!H87</f>
        <v>0</v>
      </c>
      <c r="I87" s="14">
        <f ca="1">'Preventative costs A'!I87-'Preventative costs B'!I87</f>
        <v>0</v>
      </c>
      <c r="J87" s="14">
        <f ca="1">'Preventative costs A'!J87-'Preventative costs B'!J87</f>
        <v>0</v>
      </c>
      <c r="K87" s="14">
        <f ca="1">'Preventative costs A'!K87-'Preventative costs B'!K87</f>
        <v>0</v>
      </c>
      <c r="M87" s="4" t="str">
        <f>'Library data'!$G$138</f>
        <v>% relative to RCP8.5</v>
      </c>
    </row>
    <row r="88" spans="1:13" s="6" customFormat="1" x14ac:dyDescent="0.25">
      <c r="A88" s="4" t="str">
        <v>EE CO2</v>
      </c>
      <c r="B88" s="14">
        <f ca="1">'Preventative costs A'!B88-'Preventative costs B'!B88</f>
        <v>0</v>
      </c>
      <c r="C88" s="14">
        <f ca="1">'Preventative costs A'!C88-'Preventative costs B'!C88</f>
        <v>0</v>
      </c>
      <c r="D88" s="14">
        <f ca="1">'Preventative costs A'!D88-'Preventative costs B'!D88</f>
        <v>0</v>
      </c>
      <c r="E88" s="14">
        <f ca="1">'Preventative costs A'!E88-'Preventative costs B'!E88</f>
        <v>0</v>
      </c>
      <c r="F88" s="14">
        <f ca="1">'Preventative costs A'!F88-'Preventative costs B'!F88</f>
        <v>0</v>
      </c>
      <c r="G88" s="14">
        <f ca="1">'Preventative costs A'!G88-'Preventative costs B'!G88</f>
        <v>0</v>
      </c>
      <c r="H88" s="14">
        <f ca="1">'Preventative costs A'!H88-'Preventative costs B'!H88</f>
        <v>0</v>
      </c>
      <c r="I88" s="14">
        <f ca="1">'Preventative costs A'!I88-'Preventative costs B'!I88</f>
        <v>0</v>
      </c>
      <c r="J88" s="14">
        <f ca="1">'Preventative costs A'!J88-'Preventative costs B'!J88</f>
        <v>0</v>
      </c>
      <c r="K88" s="14">
        <f ca="1">'Preventative costs A'!K88-'Preventative costs B'!K88</f>
        <v>0</v>
      </c>
      <c r="M88" s="4" t="str">
        <f>'Library data'!$G$138</f>
        <v>% relative to RCP8.5</v>
      </c>
    </row>
    <row r="89" spans="1:13" s="6" customFormat="1" x14ac:dyDescent="0.25">
      <c r="A89" s="4" t="str">
        <v>CA CO2</v>
      </c>
      <c r="B89" s="14">
        <f ca="1">'Preventative costs A'!B89-'Preventative costs B'!B89</f>
        <v>0</v>
      </c>
      <c r="C89" s="14">
        <f ca="1">'Preventative costs A'!C89-'Preventative costs B'!C89</f>
        <v>0</v>
      </c>
      <c r="D89" s="14">
        <f ca="1">'Preventative costs A'!D89-'Preventative costs B'!D89</f>
        <v>0</v>
      </c>
      <c r="E89" s="14">
        <f ca="1">'Preventative costs A'!E89-'Preventative costs B'!E89</f>
        <v>0</v>
      </c>
      <c r="F89" s="14">
        <f ca="1">'Preventative costs A'!F89-'Preventative costs B'!F89</f>
        <v>0</v>
      </c>
      <c r="G89" s="14">
        <f ca="1">'Preventative costs A'!G89-'Preventative costs B'!G89</f>
        <v>0</v>
      </c>
      <c r="H89" s="14">
        <f ca="1">'Preventative costs A'!H89-'Preventative costs B'!H89</f>
        <v>0</v>
      </c>
      <c r="I89" s="14">
        <f ca="1">'Preventative costs A'!I89-'Preventative costs B'!I89</f>
        <v>0</v>
      </c>
      <c r="J89" s="14">
        <f ca="1">'Preventative costs A'!J89-'Preventative costs B'!J89</f>
        <v>0</v>
      </c>
      <c r="K89" s="14">
        <f ca="1">'Preventative costs A'!K89-'Preventative costs B'!K89</f>
        <v>0</v>
      </c>
      <c r="M89" s="4" t="str">
        <f>'Library data'!$G$138</f>
        <v>% relative to RCP8.5</v>
      </c>
    </row>
    <row r="90" spans="1:13" s="6" customFormat="1" x14ac:dyDescent="0.25">
      <c r="A90" s="4" t="str">
        <v>IA CO2</v>
      </c>
      <c r="B90" s="14">
        <f ca="1">'Preventative costs A'!B90-'Preventative costs B'!B90</f>
        <v>0</v>
      </c>
      <c r="C90" s="14">
        <f ca="1">'Preventative costs A'!C90-'Preventative costs B'!C90</f>
        <v>0</v>
      </c>
      <c r="D90" s="14">
        <f ca="1">'Preventative costs A'!D90-'Preventative costs B'!D90</f>
        <v>0</v>
      </c>
      <c r="E90" s="14">
        <f ca="1">'Preventative costs A'!E90-'Preventative costs B'!E90</f>
        <v>0</v>
      </c>
      <c r="F90" s="14">
        <f ca="1">'Preventative costs A'!F90-'Preventative costs B'!F90</f>
        <v>0</v>
      </c>
      <c r="G90" s="14">
        <f ca="1">'Preventative costs A'!G90-'Preventative costs B'!G90</f>
        <v>0</v>
      </c>
      <c r="H90" s="14">
        <f ca="1">'Preventative costs A'!H90-'Preventative costs B'!H90</f>
        <v>0</v>
      </c>
      <c r="I90" s="14">
        <f ca="1">'Preventative costs A'!I90-'Preventative costs B'!I90</f>
        <v>0</v>
      </c>
      <c r="J90" s="14">
        <f ca="1">'Preventative costs A'!J90-'Preventative costs B'!J90</f>
        <v>0</v>
      </c>
      <c r="K90" s="14">
        <f ca="1">'Preventative costs A'!K90-'Preventative costs B'!K90</f>
        <v>0</v>
      </c>
      <c r="M90" s="4" t="str">
        <f>'Library data'!$G$138</f>
        <v>% relative to RCP8.5</v>
      </c>
    </row>
    <row r="91" spans="1:13" s="6" customFormat="1" x14ac:dyDescent="0.25">
      <c r="A91" s="4" t="str">
        <v>AF CO2</v>
      </c>
      <c r="B91" s="14">
        <f ca="1">'Preventative costs A'!B91-'Preventative costs B'!B91</f>
        <v>0</v>
      </c>
      <c r="C91" s="14">
        <f ca="1">'Preventative costs A'!C91-'Preventative costs B'!C91</f>
        <v>0</v>
      </c>
      <c r="D91" s="14">
        <f ca="1">'Preventative costs A'!D91-'Preventative costs B'!D91</f>
        <v>0</v>
      </c>
      <c r="E91" s="14">
        <f ca="1">'Preventative costs A'!E91-'Preventative costs B'!E91</f>
        <v>0</v>
      </c>
      <c r="F91" s="14">
        <f ca="1">'Preventative costs A'!F91-'Preventative costs B'!F91</f>
        <v>0</v>
      </c>
      <c r="G91" s="14">
        <f ca="1">'Preventative costs A'!G91-'Preventative costs B'!G91</f>
        <v>0</v>
      </c>
      <c r="H91" s="14">
        <f ca="1">'Preventative costs A'!H91-'Preventative costs B'!H91</f>
        <v>0</v>
      </c>
      <c r="I91" s="14">
        <f ca="1">'Preventative costs A'!I91-'Preventative costs B'!I91</f>
        <v>0</v>
      </c>
      <c r="J91" s="14">
        <f ca="1">'Preventative costs A'!J91-'Preventative costs B'!J91</f>
        <v>0</v>
      </c>
      <c r="K91" s="14">
        <f ca="1">'Preventative costs A'!K91-'Preventative costs B'!K91</f>
        <v>0</v>
      </c>
      <c r="M91" s="4" t="str">
        <f>'Library data'!$G$138</f>
        <v>% relative to RCP8.5</v>
      </c>
    </row>
    <row r="92" spans="1:13" s="6" customFormat="1" ht="13" thickBot="1" x14ac:dyDescent="0.3">
      <c r="A92" s="4" t="str">
        <v>LA CO2</v>
      </c>
      <c r="B92" s="16">
        <f ca="1">'Preventative costs A'!B92-'Preventative costs B'!B92</f>
        <v>0</v>
      </c>
      <c r="C92" s="16">
        <f ca="1">'Preventative costs A'!C92-'Preventative costs B'!C92</f>
        <v>0</v>
      </c>
      <c r="D92" s="16">
        <f ca="1">'Preventative costs A'!D92-'Preventative costs B'!D92</f>
        <v>0</v>
      </c>
      <c r="E92" s="16">
        <f ca="1">'Preventative costs A'!E92-'Preventative costs B'!E92</f>
        <v>0</v>
      </c>
      <c r="F92" s="16">
        <f ca="1">'Preventative costs A'!F92-'Preventative costs B'!F92</f>
        <v>0</v>
      </c>
      <c r="G92" s="16">
        <f ca="1">'Preventative costs A'!G92-'Preventative costs B'!G92</f>
        <v>0</v>
      </c>
      <c r="H92" s="16">
        <f ca="1">'Preventative costs A'!H92-'Preventative costs B'!H92</f>
        <v>0</v>
      </c>
      <c r="I92" s="16">
        <f ca="1">'Preventative costs A'!I92-'Preventative costs B'!I92</f>
        <v>0</v>
      </c>
      <c r="J92" s="16">
        <f ca="1">'Preventative costs A'!J92-'Preventative costs B'!J92</f>
        <v>0</v>
      </c>
      <c r="K92" s="16">
        <f ca="1">'Preventative costs A'!K92-'Preventative costs B'!K92</f>
        <v>0</v>
      </c>
      <c r="M92" s="4" t="str">
        <f>'Library data'!$G$138</f>
        <v>% relative to RCP8.5</v>
      </c>
    </row>
    <row r="93" spans="1:13" s="8" customFormat="1" ht="15.5" thickTop="1" x14ac:dyDescent="0.4">
      <c r="A93" s="8" t="s">
        <v>105</v>
      </c>
      <c r="B93" s="8" t="s">
        <v>107</v>
      </c>
    </row>
    <row r="94" spans="1:13" s="7" customFormat="1" x14ac:dyDescent="0.25">
      <c r="A94" s="4" t="str">
        <f t="array" ref="A94:A101">R_CODE&amp;" "&amp;'Base data'!$C$12</f>
        <v>EU CH4</v>
      </c>
      <c r="B94" s="12">
        <f ca="1">'Preventative costs A'!B94-'Preventative costs B'!B94</f>
        <v>0</v>
      </c>
      <c r="C94" s="12">
        <f ca="1">'Preventative costs A'!C94-'Preventative costs B'!C94</f>
        <v>0</v>
      </c>
      <c r="D94" s="12">
        <f ca="1">'Preventative costs A'!D94-'Preventative costs B'!D94</f>
        <v>0</v>
      </c>
      <c r="E94" s="12">
        <f ca="1">'Preventative costs A'!E94-'Preventative costs B'!E94</f>
        <v>0</v>
      </c>
      <c r="F94" s="12">
        <f ca="1">'Preventative costs A'!F94-'Preventative costs B'!F94</f>
        <v>0</v>
      </c>
      <c r="G94" s="12">
        <f ca="1">'Preventative costs A'!G94-'Preventative costs B'!G94</f>
        <v>0</v>
      </c>
      <c r="H94" s="12">
        <f ca="1">'Preventative costs A'!H94-'Preventative costs B'!H94</f>
        <v>0</v>
      </c>
      <c r="I94" s="12">
        <f ca="1">'Preventative costs A'!I94-'Preventative costs B'!I94</f>
        <v>0</v>
      </c>
      <c r="J94" s="12">
        <f ca="1">'Preventative costs A'!J94-'Preventative costs B'!J94</f>
        <v>0</v>
      </c>
      <c r="K94" s="12">
        <f ca="1">'Preventative costs A'!K94-'Preventative costs B'!K94</f>
        <v>0</v>
      </c>
      <c r="M94" s="4" t="str">
        <f>'Library data'!$G$138</f>
        <v>% relative to RCP8.5</v>
      </c>
    </row>
    <row r="95" spans="1:13" s="7" customFormat="1" x14ac:dyDescent="0.25">
      <c r="A95" s="4" t="str">
        <v>US CH4</v>
      </c>
      <c r="B95" s="14">
        <f ca="1">'Preventative costs A'!B95-'Preventative costs B'!B95</f>
        <v>0</v>
      </c>
      <c r="C95" s="14">
        <f ca="1">'Preventative costs A'!C95-'Preventative costs B'!C95</f>
        <v>0</v>
      </c>
      <c r="D95" s="14">
        <f ca="1">'Preventative costs A'!D95-'Preventative costs B'!D95</f>
        <v>0</v>
      </c>
      <c r="E95" s="14">
        <f ca="1">'Preventative costs A'!E95-'Preventative costs B'!E95</f>
        <v>0</v>
      </c>
      <c r="F95" s="14">
        <f ca="1">'Preventative costs A'!F95-'Preventative costs B'!F95</f>
        <v>0</v>
      </c>
      <c r="G95" s="14">
        <f ca="1">'Preventative costs A'!G95-'Preventative costs B'!G95</f>
        <v>0</v>
      </c>
      <c r="H95" s="14">
        <f ca="1">'Preventative costs A'!H95-'Preventative costs B'!H95</f>
        <v>0</v>
      </c>
      <c r="I95" s="14">
        <f ca="1">'Preventative costs A'!I95-'Preventative costs B'!I95</f>
        <v>0</v>
      </c>
      <c r="J95" s="14">
        <f ca="1">'Preventative costs A'!J95-'Preventative costs B'!J95</f>
        <v>0</v>
      </c>
      <c r="K95" s="14">
        <f ca="1">'Preventative costs A'!K95-'Preventative costs B'!K95</f>
        <v>0</v>
      </c>
      <c r="M95" s="4" t="str">
        <f>'Library data'!$G$138</f>
        <v>% relative to RCP8.5</v>
      </c>
    </row>
    <row r="96" spans="1:13" s="7" customFormat="1" x14ac:dyDescent="0.25">
      <c r="A96" s="4" t="str">
        <v>OT CH4</v>
      </c>
      <c r="B96" s="14">
        <f ca="1">'Preventative costs A'!B96-'Preventative costs B'!B96</f>
        <v>0</v>
      </c>
      <c r="C96" s="14">
        <f ca="1">'Preventative costs A'!C96-'Preventative costs B'!C96</f>
        <v>0</v>
      </c>
      <c r="D96" s="14">
        <f ca="1">'Preventative costs A'!D96-'Preventative costs B'!D96</f>
        <v>0</v>
      </c>
      <c r="E96" s="14">
        <f ca="1">'Preventative costs A'!E96-'Preventative costs B'!E96</f>
        <v>0</v>
      </c>
      <c r="F96" s="14">
        <f ca="1">'Preventative costs A'!F96-'Preventative costs B'!F96</f>
        <v>0</v>
      </c>
      <c r="G96" s="14">
        <f ca="1">'Preventative costs A'!G96-'Preventative costs B'!G96</f>
        <v>0</v>
      </c>
      <c r="H96" s="14">
        <f ca="1">'Preventative costs A'!H96-'Preventative costs B'!H96</f>
        <v>0</v>
      </c>
      <c r="I96" s="14">
        <f ca="1">'Preventative costs A'!I96-'Preventative costs B'!I96</f>
        <v>0</v>
      </c>
      <c r="J96" s="14">
        <f ca="1">'Preventative costs A'!J96-'Preventative costs B'!J96</f>
        <v>0</v>
      </c>
      <c r="K96" s="14">
        <f ca="1">'Preventative costs A'!K96-'Preventative costs B'!K96</f>
        <v>0</v>
      </c>
      <c r="M96" s="4" t="str">
        <f>'Library data'!$G$138</f>
        <v>% relative to RCP8.5</v>
      </c>
    </row>
    <row r="97" spans="1:13" s="7" customFormat="1" x14ac:dyDescent="0.25">
      <c r="A97" s="4" t="str">
        <v>EE CH4</v>
      </c>
      <c r="B97" s="14">
        <f ca="1">'Preventative costs A'!B97-'Preventative costs B'!B97</f>
        <v>0</v>
      </c>
      <c r="C97" s="14">
        <f ca="1">'Preventative costs A'!C97-'Preventative costs B'!C97</f>
        <v>0</v>
      </c>
      <c r="D97" s="14">
        <f ca="1">'Preventative costs A'!D97-'Preventative costs B'!D97</f>
        <v>0</v>
      </c>
      <c r="E97" s="14">
        <f ca="1">'Preventative costs A'!E97-'Preventative costs B'!E97</f>
        <v>0</v>
      </c>
      <c r="F97" s="14">
        <f ca="1">'Preventative costs A'!F97-'Preventative costs B'!F97</f>
        <v>0</v>
      </c>
      <c r="G97" s="14">
        <f ca="1">'Preventative costs A'!G97-'Preventative costs B'!G97</f>
        <v>0</v>
      </c>
      <c r="H97" s="14">
        <f ca="1">'Preventative costs A'!H97-'Preventative costs B'!H97</f>
        <v>0</v>
      </c>
      <c r="I97" s="14">
        <f ca="1">'Preventative costs A'!I97-'Preventative costs B'!I97</f>
        <v>0</v>
      </c>
      <c r="J97" s="14">
        <f ca="1">'Preventative costs A'!J97-'Preventative costs B'!J97</f>
        <v>0</v>
      </c>
      <c r="K97" s="14">
        <f ca="1">'Preventative costs A'!K97-'Preventative costs B'!K97</f>
        <v>0</v>
      </c>
      <c r="M97" s="4" t="str">
        <f>'Library data'!$G$138</f>
        <v>% relative to RCP8.5</v>
      </c>
    </row>
    <row r="98" spans="1:13" s="7" customFormat="1" x14ac:dyDescent="0.25">
      <c r="A98" s="4" t="str">
        <v>CA CH4</v>
      </c>
      <c r="B98" s="14">
        <f ca="1">'Preventative costs A'!B98-'Preventative costs B'!B98</f>
        <v>0</v>
      </c>
      <c r="C98" s="14">
        <f ca="1">'Preventative costs A'!C98-'Preventative costs B'!C98</f>
        <v>0</v>
      </c>
      <c r="D98" s="14">
        <f ca="1">'Preventative costs A'!D98-'Preventative costs B'!D98</f>
        <v>0</v>
      </c>
      <c r="E98" s="14">
        <f ca="1">'Preventative costs A'!E98-'Preventative costs B'!E98</f>
        <v>0</v>
      </c>
      <c r="F98" s="14">
        <f ca="1">'Preventative costs A'!F98-'Preventative costs B'!F98</f>
        <v>0</v>
      </c>
      <c r="G98" s="14">
        <f ca="1">'Preventative costs A'!G98-'Preventative costs B'!G98</f>
        <v>0</v>
      </c>
      <c r="H98" s="14">
        <f ca="1">'Preventative costs A'!H98-'Preventative costs B'!H98</f>
        <v>0</v>
      </c>
      <c r="I98" s="14">
        <f ca="1">'Preventative costs A'!I98-'Preventative costs B'!I98</f>
        <v>0</v>
      </c>
      <c r="J98" s="14">
        <f ca="1">'Preventative costs A'!J98-'Preventative costs B'!J98</f>
        <v>0</v>
      </c>
      <c r="K98" s="14">
        <f ca="1">'Preventative costs A'!K98-'Preventative costs B'!K98</f>
        <v>0</v>
      </c>
      <c r="M98" s="4" t="str">
        <f>'Library data'!$G$138</f>
        <v>% relative to RCP8.5</v>
      </c>
    </row>
    <row r="99" spans="1:13" s="7" customFormat="1" x14ac:dyDescent="0.25">
      <c r="A99" s="4" t="str">
        <v>IA CH4</v>
      </c>
      <c r="B99" s="14">
        <f ca="1">'Preventative costs A'!B99-'Preventative costs B'!B99</f>
        <v>0</v>
      </c>
      <c r="C99" s="14">
        <f ca="1">'Preventative costs A'!C99-'Preventative costs B'!C99</f>
        <v>0</v>
      </c>
      <c r="D99" s="14">
        <f ca="1">'Preventative costs A'!D99-'Preventative costs B'!D99</f>
        <v>0</v>
      </c>
      <c r="E99" s="14">
        <f ca="1">'Preventative costs A'!E99-'Preventative costs B'!E99</f>
        <v>0</v>
      </c>
      <c r="F99" s="14">
        <f ca="1">'Preventative costs A'!F99-'Preventative costs B'!F99</f>
        <v>0</v>
      </c>
      <c r="G99" s="14">
        <f ca="1">'Preventative costs A'!G99-'Preventative costs B'!G99</f>
        <v>0</v>
      </c>
      <c r="H99" s="14">
        <f ca="1">'Preventative costs A'!H99-'Preventative costs B'!H99</f>
        <v>0</v>
      </c>
      <c r="I99" s="14">
        <f ca="1">'Preventative costs A'!I99-'Preventative costs B'!I99</f>
        <v>0</v>
      </c>
      <c r="J99" s="14">
        <f ca="1">'Preventative costs A'!J99-'Preventative costs B'!J99</f>
        <v>0</v>
      </c>
      <c r="K99" s="14">
        <f ca="1">'Preventative costs A'!K99-'Preventative costs B'!K99</f>
        <v>0</v>
      </c>
      <c r="M99" s="4" t="str">
        <f>'Library data'!$G$138</f>
        <v>% relative to RCP8.5</v>
      </c>
    </row>
    <row r="100" spans="1:13" s="7" customFormat="1" x14ac:dyDescent="0.25">
      <c r="A100" s="4" t="str">
        <v>AF CH4</v>
      </c>
      <c r="B100" s="14">
        <f ca="1">'Preventative costs A'!B100-'Preventative costs B'!B100</f>
        <v>0</v>
      </c>
      <c r="C100" s="14">
        <f ca="1">'Preventative costs A'!C100-'Preventative costs B'!C100</f>
        <v>0</v>
      </c>
      <c r="D100" s="14">
        <f ca="1">'Preventative costs A'!D100-'Preventative costs B'!D100</f>
        <v>0</v>
      </c>
      <c r="E100" s="14">
        <f ca="1">'Preventative costs A'!E100-'Preventative costs B'!E100</f>
        <v>0</v>
      </c>
      <c r="F100" s="14">
        <f ca="1">'Preventative costs A'!F100-'Preventative costs B'!F100</f>
        <v>0</v>
      </c>
      <c r="G100" s="14">
        <f ca="1">'Preventative costs A'!G100-'Preventative costs B'!G100</f>
        <v>0</v>
      </c>
      <c r="H100" s="14">
        <f ca="1">'Preventative costs A'!H100-'Preventative costs B'!H100</f>
        <v>0</v>
      </c>
      <c r="I100" s="14">
        <f ca="1">'Preventative costs A'!I100-'Preventative costs B'!I100</f>
        <v>0</v>
      </c>
      <c r="J100" s="14">
        <f ca="1">'Preventative costs A'!J100-'Preventative costs B'!J100</f>
        <v>0</v>
      </c>
      <c r="K100" s="14">
        <f ca="1">'Preventative costs A'!K100-'Preventative costs B'!K100</f>
        <v>0</v>
      </c>
      <c r="M100" s="4" t="str">
        <f>'Library data'!$G$138</f>
        <v>% relative to RCP8.5</v>
      </c>
    </row>
    <row r="101" spans="1:13" s="7" customFormat="1" ht="13" thickBot="1" x14ac:dyDescent="0.3">
      <c r="A101" s="4" t="str">
        <v>LA CH4</v>
      </c>
      <c r="B101" s="16">
        <f ca="1">'Preventative costs A'!B101-'Preventative costs B'!B101</f>
        <v>0</v>
      </c>
      <c r="C101" s="16">
        <f ca="1">'Preventative costs A'!C101-'Preventative costs B'!C101</f>
        <v>0</v>
      </c>
      <c r="D101" s="16">
        <f ca="1">'Preventative costs A'!D101-'Preventative costs B'!D101</f>
        <v>0</v>
      </c>
      <c r="E101" s="16">
        <f ca="1">'Preventative costs A'!E101-'Preventative costs B'!E101</f>
        <v>0</v>
      </c>
      <c r="F101" s="16">
        <f ca="1">'Preventative costs A'!F101-'Preventative costs B'!F101</f>
        <v>0</v>
      </c>
      <c r="G101" s="16">
        <f ca="1">'Preventative costs A'!G101-'Preventative costs B'!G101</f>
        <v>0</v>
      </c>
      <c r="H101" s="16">
        <f ca="1">'Preventative costs A'!H101-'Preventative costs B'!H101</f>
        <v>0</v>
      </c>
      <c r="I101" s="16">
        <f ca="1">'Preventative costs A'!I101-'Preventative costs B'!I101</f>
        <v>0</v>
      </c>
      <c r="J101" s="16">
        <f ca="1">'Preventative costs A'!J101-'Preventative costs B'!J101</f>
        <v>0</v>
      </c>
      <c r="K101" s="16">
        <f ca="1">'Preventative costs A'!K101-'Preventative costs B'!K101</f>
        <v>0</v>
      </c>
      <c r="M101" s="4" t="str">
        <f>'Library data'!$G$138</f>
        <v>% relative to RCP8.5</v>
      </c>
    </row>
    <row r="102" spans="1:13" s="8" customFormat="1" ht="15.5" thickTop="1" x14ac:dyDescent="0.4">
      <c r="A102" s="8" t="s">
        <v>105</v>
      </c>
      <c r="B102" s="8" t="s">
        <v>128</v>
      </c>
    </row>
    <row r="103" spans="1:13" s="7" customFormat="1" x14ac:dyDescent="0.25">
      <c r="A103" s="4" t="str">
        <f t="array" ref="A103:A110">R_CODE&amp;" "&amp;'Base data'!$D$12</f>
        <v>EU N2O</v>
      </c>
      <c r="B103" s="12">
        <f ca="1">'Preventative costs A'!B103-'Preventative costs B'!B103</f>
        <v>0</v>
      </c>
      <c r="C103" s="12">
        <f ca="1">'Preventative costs A'!C103-'Preventative costs B'!C103</f>
        <v>0</v>
      </c>
      <c r="D103" s="12">
        <f ca="1">'Preventative costs A'!D103-'Preventative costs B'!D103</f>
        <v>0</v>
      </c>
      <c r="E103" s="12">
        <f ca="1">'Preventative costs A'!E103-'Preventative costs B'!E103</f>
        <v>0</v>
      </c>
      <c r="F103" s="12">
        <f ca="1">'Preventative costs A'!F103-'Preventative costs B'!F103</f>
        <v>0</v>
      </c>
      <c r="G103" s="12">
        <f ca="1">'Preventative costs A'!G103-'Preventative costs B'!G103</f>
        <v>0</v>
      </c>
      <c r="H103" s="12">
        <f ca="1">'Preventative costs A'!H103-'Preventative costs B'!H103</f>
        <v>0</v>
      </c>
      <c r="I103" s="12">
        <f ca="1">'Preventative costs A'!I103-'Preventative costs B'!I103</f>
        <v>0</v>
      </c>
      <c r="J103" s="12">
        <f ca="1">'Preventative costs A'!J103-'Preventative costs B'!J103</f>
        <v>0</v>
      </c>
      <c r="K103" s="12">
        <f ca="1">'Preventative costs A'!K103-'Preventative costs B'!K103</f>
        <v>0</v>
      </c>
      <c r="M103" s="4" t="str">
        <f>'Library data'!$G$138</f>
        <v>% relative to RCP8.5</v>
      </c>
    </row>
    <row r="104" spans="1:13" s="7" customFormat="1" x14ac:dyDescent="0.25">
      <c r="A104" s="4" t="str">
        <v>US N2O</v>
      </c>
      <c r="B104" s="14">
        <f ca="1">'Preventative costs A'!B104-'Preventative costs B'!B104</f>
        <v>0</v>
      </c>
      <c r="C104" s="14">
        <f ca="1">'Preventative costs A'!C104-'Preventative costs B'!C104</f>
        <v>0</v>
      </c>
      <c r="D104" s="14">
        <f ca="1">'Preventative costs A'!D104-'Preventative costs B'!D104</f>
        <v>0</v>
      </c>
      <c r="E104" s="14">
        <f ca="1">'Preventative costs A'!E104-'Preventative costs B'!E104</f>
        <v>0</v>
      </c>
      <c r="F104" s="14">
        <f ca="1">'Preventative costs A'!F104-'Preventative costs B'!F104</f>
        <v>0</v>
      </c>
      <c r="G104" s="14">
        <f ca="1">'Preventative costs A'!G104-'Preventative costs B'!G104</f>
        <v>0</v>
      </c>
      <c r="H104" s="14">
        <f ca="1">'Preventative costs A'!H104-'Preventative costs B'!H104</f>
        <v>0</v>
      </c>
      <c r="I104" s="14">
        <f ca="1">'Preventative costs A'!I104-'Preventative costs B'!I104</f>
        <v>0</v>
      </c>
      <c r="J104" s="14">
        <f ca="1">'Preventative costs A'!J104-'Preventative costs B'!J104</f>
        <v>0</v>
      </c>
      <c r="K104" s="14">
        <f ca="1">'Preventative costs A'!K104-'Preventative costs B'!K104</f>
        <v>0</v>
      </c>
      <c r="M104" s="4" t="str">
        <f>'Library data'!$G$138</f>
        <v>% relative to RCP8.5</v>
      </c>
    </row>
    <row r="105" spans="1:13" s="7" customFormat="1" x14ac:dyDescent="0.25">
      <c r="A105" s="4" t="str">
        <v>OT N2O</v>
      </c>
      <c r="B105" s="14">
        <f ca="1">'Preventative costs A'!B105-'Preventative costs B'!B105</f>
        <v>0</v>
      </c>
      <c r="C105" s="14">
        <f ca="1">'Preventative costs A'!C105-'Preventative costs B'!C105</f>
        <v>0</v>
      </c>
      <c r="D105" s="14">
        <f ca="1">'Preventative costs A'!D105-'Preventative costs B'!D105</f>
        <v>0</v>
      </c>
      <c r="E105" s="14">
        <f ca="1">'Preventative costs A'!E105-'Preventative costs B'!E105</f>
        <v>0</v>
      </c>
      <c r="F105" s="14">
        <f ca="1">'Preventative costs A'!F105-'Preventative costs B'!F105</f>
        <v>0</v>
      </c>
      <c r="G105" s="14">
        <f ca="1">'Preventative costs A'!G105-'Preventative costs B'!G105</f>
        <v>0</v>
      </c>
      <c r="H105" s="14">
        <f ca="1">'Preventative costs A'!H105-'Preventative costs B'!H105</f>
        <v>0</v>
      </c>
      <c r="I105" s="14">
        <f ca="1">'Preventative costs A'!I105-'Preventative costs B'!I105</f>
        <v>0</v>
      </c>
      <c r="J105" s="14">
        <f ca="1">'Preventative costs A'!J105-'Preventative costs B'!J105</f>
        <v>0</v>
      </c>
      <c r="K105" s="14">
        <f ca="1">'Preventative costs A'!K105-'Preventative costs B'!K105</f>
        <v>0</v>
      </c>
      <c r="M105" s="4" t="str">
        <f>'Library data'!$G$138</f>
        <v>% relative to RCP8.5</v>
      </c>
    </row>
    <row r="106" spans="1:13" s="7" customFormat="1" x14ac:dyDescent="0.25">
      <c r="A106" s="4" t="str">
        <v>EE N2O</v>
      </c>
      <c r="B106" s="14">
        <f ca="1">'Preventative costs A'!B106-'Preventative costs B'!B106</f>
        <v>0</v>
      </c>
      <c r="C106" s="14">
        <f ca="1">'Preventative costs A'!C106-'Preventative costs B'!C106</f>
        <v>0</v>
      </c>
      <c r="D106" s="14">
        <f ca="1">'Preventative costs A'!D106-'Preventative costs B'!D106</f>
        <v>0</v>
      </c>
      <c r="E106" s="14">
        <f ca="1">'Preventative costs A'!E106-'Preventative costs B'!E106</f>
        <v>0</v>
      </c>
      <c r="F106" s="14">
        <f ca="1">'Preventative costs A'!F106-'Preventative costs B'!F106</f>
        <v>0</v>
      </c>
      <c r="G106" s="14">
        <f ca="1">'Preventative costs A'!G106-'Preventative costs B'!G106</f>
        <v>0</v>
      </c>
      <c r="H106" s="14">
        <f ca="1">'Preventative costs A'!H106-'Preventative costs B'!H106</f>
        <v>0</v>
      </c>
      <c r="I106" s="14">
        <f ca="1">'Preventative costs A'!I106-'Preventative costs B'!I106</f>
        <v>0</v>
      </c>
      <c r="J106" s="14">
        <f ca="1">'Preventative costs A'!J106-'Preventative costs B'!J106</f>
        <v>0</v>
      </c>
      <c r="K106" s="14">
        <f ca="1">'Preventative costs A'!K106-'Preventative costs B'!K106</f>
        <v>0</v>
      </c>
      <c r="M106" s="4" t="str">
        <f>'Library data'!$G$138</f>
        <v>% relative to RCP8.5</v>
      </c>
    </row>
    <row r="107" spans="1:13" s="7" customFormat="1" x14ac:dyDescent="0.25">
      <c r="A107" s="4" t="str">
        <v>CA N2O</v>
      </c>
      <c r="B107" s="14">
        <f ca="1">'Preventative costs A'!B107-'Preventative costs B'!B107</f>
        <v>0</v>
      </c>
      <c r="C107" s="14">
        <f ca="1">'Preventative costs A'!C107-'Preventative costs B'!C107</f>
        <v>0</v>
      </c>
      <c r="D107" s="14">
        <f ca="1">'Preventative costs A'!D107-'Preventative costs B'!D107</f>
        <v>0</v>
      </c>
      <c r="E107" s="14">
        <f ca="1">'Preventative costs A'!E107-'Preventative costs B'!E107</f>
        <v>0</v>
      </c>
      <c r="F107" s="14">
        <f ca="1">'Preventative costs A'!F107-'Preventative costs B'!F107</f>
        <v>0</v>
      </c>
      <c r="G107" s="14">
        <f ca="1">'Preventative costs A'!G107-'Preventative costs B'!G107</f>
        <v>0</v>
      </c>
      <c r="H107" s="14">
        <f ca="1">'Preventative costs A'!H107-'Preventative costs B'!H107</f>
        <v>0</v>
      </c>
      <c r="I107" s="14">
        <f ca="1">'Preventative costs A'!I107-'Preventative costs B'!I107</f>
        <v>0</v>
      </c>
      <c r="J107" s="14">
        <f ca="1">'Preventative costs A'!J107-'Preventative costs B'!J107</f>
        <v>0</v>
      </c>
      <c r="K107" s="14">
        <f ca="1">'Preventative costs A'!K107-'Preventative costs B'!K107</f>
        <v>0</v>
      </c>
      <c r="M107" s="4" t="str">
        <f>'Library data'!$G$138</f>
        <v>% relative to RCP8.5</v>
      </c>
    </row>
    <row r="108" spans="1:13" s="7" customFormat="1" x14ac:dyDescent="0.25">
      <c r="A108" s="4" t="str">
        <v>IA N2O</v>
      </c>
      <c r="B108" s="14">
        <f ca="1">'Preventative costs A'!B108-'Preventative costs B'!B108</f>
        <v>0</v>
      </c>
      <c r="C108" s="14">
        <f ca="1">'Preventative costs A'!C108-'Preventative costs B'!C108</f>
        <v>0</v>
      </c>
      <c r="D108" s="14">
        <f ca="1">'Preventative costs A'!D108-'Preventative costs B'!D108</f>
        <v>0</v>
      </c>
      <c r="E108" s="14">
        <f ca="1">'Preventative costs A'!E108-'Preventative costs B'!E108</f>
        <v>0</v>
      </c>
      <c r="F108" s="14">
        <f ca="1">'Preventative costs A'!F108-'Preventative costs B'!F108</f>
        <v>0</v>
      </c>
      <c r="G108" s="14">
        <f ca="1">'Preventative costs A'!G108-'Preventative costs B'!G108</f>
        <v>0</v>
      </c>
      <c r="H108" s="14">
        <f ca="1">'Preventative costs A'!H108-'Preventative costs B'!H108</f>
        <v>0</v>
      </c>
      <c r="I108" s="14">
        <f ca="1">'Preventative costs A'!I108-'Preventative costs B'!I108</f>
        <v>0</v>
      </c>
      <c r="J108" s="14">
        <f ca="1">'Preventative costs A'!J108-'Preventative costs B'!J108</f>
        <v>0</v>
      </c>
      <c r="K108" s="14">
        <f ca="1">'Preventative costs A'!K108-'Preventative costs B'!K108</f>
        <v>0</v>
      </c>
      <c r="M108" s="4" t="str">
        <f>'Library data'!$G$138</f>
        <v>% relative to RCP8.5</v>
      </c>
    </row>
    <row r="109" spans="1:13" s="7" customFormat="1" x14ac:dyDescent="0.25">
      <c r="A109" s="4" t="str">
        <v>AF N2O</v>
      </c>
      <c r="B109" s="14">
        <f ca="1">'Preventative costs A'!B109-'Preventative costs B'!B109</f>
        <v>0</v>
      </c>
      <c r="C109" s="14">
        <f ca="1">'Preventative costs A'!C109-'Preventative costs B'!C109</f>
        <v>0</v>
      </c>
      <c r="D109" s="14">
        <f ca="1">'Preventative costs A'!D109-'Preventative costs B'!D109</f>
        <v>0</v>
      </c>
      <c r="E109" s="14">
        <f ca="1">'Preventative costs A'!E109-'Preventative costs B'!E109</f>
        <v>0</v>
      </c>
      <c r="F109" s="14">
        <f ca="1">'Preventative costs A'!F109-'Preventative costs B'!F109</f>
        <v>0</v>
      </c>
      <c r="G109" s="14">
        <f ca="1">'Preventative costs A'!G109-'Preventative costs B'!G109</f>
        <v>0</v>
      </c>
      <c r="H109" s="14">
        <f ca="1">'Preventative costs A'!H109-'Preventative costs B'!H109</f>
        <v>0</v>
      </c>
      <c r="I109" s="14">
        <f ca="1">'Preventative costs A'!I109-'Preventative costs B'!I109</f>
        <v>0</v>
      </c>
      <c r="J109" s="14">
        <f ca="1">'Preventative costs A'!J109-'Preventative costs B'!J109</f>
        <v>0</v>
      </c>
      <c r="K109" s="14">
        <f ca="1">'Preventative costs A'!K109-'Preventative costs B'!K109</f>
        <v>0</v>
      </c>
      <c r="M109" s="4" t="str">
        <f>'Library data'!$G$138</f>
        <v>% relative to RCP8.5</v>
      </c>
    </row>
    <row r="110" spans="1:13" s="7" customFormat="1" ht="13" thickBot="1" x14ac:dyDescent="0.3">
      <c r="A110" s="4" t="str">
        <v>LA N2O</v>
      </c>
      <c r="B110" s="16">
        <f ca="1">'Preventative costs A'!B110-'Preventative costs B'!B110</f>
        <v>0</v>
      </c>
      <c r="C110" s="16">
        <f ca="1">'Preventative costs A'!C110-'Preventative costs B'!C110</f>
        <v>0</v>
      </c>
      <c r="D110" s="16">
        <f ca="1">'Preventative costs A'!D110-'Preventative costs B'!D110</f>
        <v>0</v>
      </c>
      <c r="E110" s="16">
        <f ca="1">'Preventative costs A'!E110-'Preventative costs B'!E110</f>
        <v>0</v>
      </c>
      <c r="F110" s="16">
        <f ca="1">'Preventative costs A'!F110-'Preventative costs B'!F110</f>
        <v>0</v>
      </c>
      <c r="G110" s="16">
        <f ca="1">'Preventative costs A'!G110-'Preventative costs B'!G110</f>
        <v>0</v>
      </c>
      <c r="H110" s="16">
        <f ca="1">'Preventative costs A'!H110-'Preventative costs B'!H110</f>
        <v>0</v>
      </c>
      <c r="I110" s="16">
        <f ca="1">'Preventative costs A'!I110-'Preventative costs B'!I110</f>
        <v>0</v>
      </c>
      <c r="J110" s="16">
        <f ca="1">'Preventative costs A'!J110-'Preventative costs B'!J110</f>
        <v>0</v>
      </c>
      <c r="K110" s="16">
        <f ca="1">'Preventative costs A'!K110-'Preventative costs B'!K110</f>
        <v>0</v>
      </c>
      <c r="M110" s="4" t="str">
        <f>'Library data'!$G$138</f>
        <v>% relative to RCP8.5</v>
      </c>
    </row>
    <row r="111" spans="1:13" s="8" customFormat="1" ht="15.5" thickTop="1" x14ac:dyDescent="0.4">
      <c r="A111" s="8" t="s">
        <v>105</v>
      </c>
      <c r="B111" s="8" t="s">
        <v>263</v>
      </c>
    </row>
    <row r="112" spans="1:13" s="7" customFormat="1" x14ac:dyDescent="0.25">
      <c r="A112" s="4" t="str">
        <f t="array" ref="A112:A119">R_CODE&amp;" "&amp;GLIN_NAME</f>
        <v>EU Lin</v>
      </c>
      <c r="B112" s="12">
        <f ca="1">'Preventative costs A'!B112-'Preventative costs B'!B112</f>
        <v>0</v>
      </c>
      <c r="C112" s="12">
        <f ca="1">'Preventative costs A'!C112-'Preventative costs B'!C112</f>
        <v>0</v>
      </c>
      <c r="D112" s="12">
        <f ca="1">'Preventative costs A'!D112-'Preventative costs B'!D112</f>
        <v>0</v>
      </c>
      <c r="E112" s="12">
        <f ca="1">'Preventative costs A'!E112-'Preventative costs B'!E112</f>
        <v>0</v>
      </c>
      <c r="F112" s="12">
        <f ca="1">'Preventative costs A'!F112-'Preventative costs B'!F112</f>
        <v>0</v>
      </c>
      <c r="G112" s="12">
        <f ca="1">'Preventative costs A'!G112-'Preventative costs B'!G112</f>
        <v>0</v>
      </c>
      <c r="H112" s="12">
        <f ca="1">'Preventative costs A'!H112-'Preventative costs B'!H112</f>
        <v>0</v>
      </c>
      <c r="I112" s="12">
        <f ca="1">'Preventative costs A'!I112-'Preventative costs B'!I112</f>
        <v>0</v>
      </c>
      <c r="J112" s="12">
        <f ca="1">'Preventative costs A'!J112-'Preventative costs B'!J112</f>
        <v>0</v>
      </c>
      <c r="K112" s="12">
        <f ca="1">'Preventative costs A'!K112-'Preventative costs B'!K112</f>
        <v>0</v>
      </c>
      <c r="M112" s="4" t="str">
        <f>'Library data'!$G$138</f>
        <v>% relative to RCP8.5</v>
      </c>
    </row>
    <row r="113" spans="1:13" s="7" customFormat="1" x14ac:dyDescent="0.25">
      <c r="A113" s="4" t="str">
        <v>US Lin</v>
      </c>
      <c r="B113" s="14">
        <f ca="1">'Preventative costs A'!B113-'Preventative costs B'!B113</f>
        <v>0</v>
      </c>
      <c r="C113" s="14">
        <f ca="1">'Preventative costs A'!C113-'Preventative costs B'!C113</f>
        <v>0</v>
      </c>
      <c r="D113" s="14">
        <f ca="1">'Preventative costs A'!D113-'Preventative costs B'!D113</f>
        <v>0</v>
      </c>
      <c r="E113" s="14">
        <f ca="1">'Preventative costs A'!E113-'Preventative costs B'!E113</f>
        <v>0</v>
      </c>
      <c r="F113" s="14">
        <f ca="1">'Preventative costs A'!F113-'Preventative costs B'!F113</f>
        <v>0</v>
      </c>
      <c r="G113" s="14">
        <f ca="1">'Preventative costs A'!G113-'Preventative costs B'!G113</f>
        <v>0</v>
      </c>
      <c r="H113" s="14">
        <f ca="1">'Preventative costs A'!H113-'Preventative costs B'!H113</f>
        <v>0</v>
      </c>
      <c r="I113" s="14">
        <f ca="1">'Preventative costs A'!I113-'Preventative costs B'!I113</f>
        <v>0</v>
      </c>
      <c r="J113" s="14">
        <f ca="1">'Preventative costs A'!J113-'Preventative costs B'!J113</f>
        <v>0</v>
      </c>
      <c r="K113" s="14">
        <f ca="1">'Preventative costs A'!K113-'Preventative costs B'!K113</f>
        <v>0</v>
      </c>
      <c r="M113" s="4" t="str">
        <f>'Library data'!$G$138</f>
        <v>% relative to RCP8.5</v>
      </c>
    </row>
    <row r="114" spans="1:13" s="7" customFormat="1" x14ac:dyDescent="0.25">
      <c r="A114" s="4" t="str">
        <v>OT Lin</v>
      </c>
      <c r="B114" s="14">
        <f ca="1">'Preventative costs A'!B114-'Preventative costs B'!B114</f>
        <v>0</v>
      </c>
      <c r="C114" s="14">
        <f ca="1">'Preventative costs A'!C114-'Preventative costs B'!C114</f>
        <v>0</v>
      </c>
      <c r="D114" s="14">
        <f ca="1">'Preventative costs A'!D114-'Preventative costs B'!D114</f>
        <v>0</v>
      </c>
      <c r="E114" s="14">
        <f ca="1">'Preventative costs A'!E114-'Preventative costs B'!E114</f>
        <v>0</v>
      </c>
      <c r="F114" s="14">
        <f ca="1">'Preventative costs A'!F114-'Preventative costs B'!F114</f>
        <v>0</v>
      </c>
      <c r="G114" s="14">
        <f ca="1">'Preventative costs A'!G114-'Preventative costs B'!G114</f>
        <v>0</v>
      </c>
      <c r="H114" s="14">
        <f ca="1">'Preventative costs A'!H114-'Preventative costs B'!H114</f>
        <v>0</v>
      </c>
      <c r="I114" s="14">
        <f ca="1">'Preventative costs A'!I114-'Preventative costs B'!I114</f>
        <v>0</v>
      </c>
      <c r="J114" s="14">
        <f ca="1">'Preventative costs A'!J114-'Preventative costs B'!J114</f>
        <v>0</v>
      </c>
      <c r="K114" s="14">
        <f ca="1">'Preventative costs A'!K114-'Preventative costs B'!K114</f>
        <v>0</v>
      </c>
      <c r="M114" s="4" t="str">
        <f>'Library data'!$G$138</f>
        <v>% relative to RCP8.5</v>
      </c>
    </row>
    <row r="115" spans="1:13" s="7" customFormat="1" x14ac:dyDescent="0.25">
      <c r="A115" s="4" t="str">
        <v>EE Lin</v>
      </c>
      <c r="B115" s="14">
        <f ca="1">'Preventative costs A'!B115-'Preventative costs B'!B115</f>
        <v>0</v>
      </c>
      <c r="C115" s="14">
        <f ca="1">'Preventative costs A'!C115-'Preventative costs B'!C115</f>
        <v>0</v>
      </c>
      <c r="D115" s="14">
        <f ca="1">'Preventative costs A'!D115-'Preventative costs B'!D115</f>
        <v>0</v>
      </c>
      <c r="E115" s="14">
        <f ca="1">'Preventative costs A'!E115-'Preventative costs B'!E115</f>
        <v>0</v>
      </c>
      <c r="F115" s="14">
        <f ca="1">'Preventative costs A'!F115-'Preventative costs B'!F115</f>
        <v>0</v>
      </c>
      <c r="G115" s="14">
        <f ca="1">'Preventative costs A'!G115-'Preventative costs B'!G115</f>
        <v>0</v>
      </c>
      <c r="H115" s="14">
        <f ca="1">'Preventative costs A'!H115-'Preventative costs B'!H115</f>
        <v>0</v>
      </c>
      <c r="I115" s="14">
        <f ca="1">'Preventative costs A'!I115-'Preventative costs B'!I115</f>
        <v>0</v>
      </c>
      <c r="J115" s="14">
        <f ca="1">'Preventative costs A'!J115-'Preventative costs B'!J115</f>
        <v>0</v>
      </c>
      <c r="K115" s="14">
        <f ca="1">'Preventative costs A'!K115-'Preventative costs B'!K115</f>
        <v>0</v>
      </c>
      <c r="M115" s="4" t="str">
        <f>'Library data'!$G$138</f>
        <v>% relative to RCP8.5</v>
      </c>
    </row>
    <row r="116" spans="1:13" s="7" customFormat="1" x14ac:dyDescent="0.25">
      <c r="A116" s="4" t="str">
        <v>CA Lin</v>
      </c>
      <c r="B116" s="14">
        <f ca="1">'Preventative costs A'!B116-'Preventative costs B'!B116</f>
        <v>0</v>
      </c>
      <c r="C116" s="14">
        <f ca="1">'Preventative costs A'!C116-'Preventative costs B'!C116</f>
        <v>0</v>
      </c>
      <c r="D116" s="14">
        <f ca="1">'Preventative costs A'!D116-'Preventative costs B'!D116</f>
        <v>0</v>
      </c>
      <c r="E116" s="14">
        <f ca="1">'Preventative costs A'!E116-'Preventative costs B'!E116</f>
        <v>0</v>
      </c>
      <c r="F116" s="14">
        <f ca="1">'Preventative costs A'!F116-'Preventative costs B'!F116</f>
        <v>0</v>
      </c>
      <c r="G116" s="14">
        <f ca="1">'Preventative costs A'!G116-'Preventative costs B'!G116</f>
        <v>0</v>
      </c>
      <c r="H116" s="14">
        <f ca="1">'Preventative costs A'!H116-'Preventative costs B'!H116</f>
        <v>0</v>
      </c>
      <c r="I116" s="14">
        <f ca="1">'Preventative costs A'!I116-'Preventative costs B'!I116</f>
        <v>0</v>
      </c>
      <c r="J116" s="14">
        <f ca="1">'Preventative costs A'!J116-'Preventative costs B'!J116</f>
        <v>0</v>
      </c>
      <c r="K116" s="14">
        <f ca="1">'Preventative costs A'!K116-'Preventative costs B'!K116</f>
        <v>0</v>
      </c>
      <c r="M116" s="4" t="str">
        <f>'Library data'!$G$138</f>
        <v>% relative to RCP8.5</v>
      </c>
    </row>
    <row r="117" spans="1:13" s="7" customFormat="1" x14ac:dyDescent="0.25">
      <c r="A117" s="4" t="str">
        <v>IA Lin</v>
      </c>
      <c r="B117" s="14">
        <f ca="1">'Preventative costs A'!B117-'Preventative costs B'!B117</f>
        <v>0</v>
      </c>
      <c r="C117" s="14">
        <f ca="1">'Preventative costs A'!C117-'Preventative costs B'!C117</f>
        <v>0</v>
      </c>
      <c r="D117" s="14">
        <f ca="1">'Preventative costs A'!D117-'Preventative costs B'!D117</f>
        <v>0</v>
      </c>
      <c r="E117" s="14">
        <f ca="1">'Preventative costs A'!E117-'Preventative costs B'!E117</f>
        <v>0</v>
      </c>
      <c r="F117" s="14">
        <f ca="1">'Preventative costs A'!F117-'Preventative costs B'!F117</f>
        <v>0</v>
      </c>
      <c r="G117" s="14">
        <f ca="1">'Preventative costs A'!G117-'Preventative costs B'!G117</f>
        <v>0</v>
      </c>
      <c r="H117" s="14">
        <f ca="1">'Preventative costs A'!H117-'Preventative costs B'!H117</f>
        <v>0</v>
      </c>
      <c r="I117" s="14">
        <f ca="1">'Preventative costs A'!I117-'Preventative costs B'!I117</f>
        <v>0</v>
      </c>
      <c r="J117" s="14">
        <f ca="1">'Preventative costs A'!J117-'Preventative costs B'!J117</f>
        <v>0</v>
      </c>
      <c r="K117" s="14">
        <f ca="1">'Preventative costs A'!K117-'Preventative costs B'!K117</f>
        <v>0</v>
      </c>
      <c r="M117" s="4" t="str">
        <f>'Library data'!$G$138</f>
        <v>% relative to RCP8.5</v>
      </c>
    </row>
    <row r="118" spans="1:13" s="7" customFormat="1" x14ac:dyDescent="0.25">
      <c r="A118" s="4" t="str">
        <v>AF Lin</v>
      </c>
      <c r="B118" s="14">
        <f ca="1">'Preventative costs A'!B118-'Preventative costs B'!B118</f>
        <v>0</v>
      </c>
      <c r="C118" s="14">
        <f ca="1">'Preventative costs A'!C118-'Preventative costs B'!C118</f>
        <v>0</v>
      </c>
      <c r="D118" s="14">
        <f ca="1">'Preventative costs A'!D118-'Preventative costs B'!D118</f>
        <v>0</v>
      </c>
      <c r="E118" s="14">
        <f ca="1">'Preventative costs A'!E118-'Preventative costs B'!E118</f>
        <v>0</v>
      </c>
      <c r="F118" s="14">
        <f ca="1">'Preventative costs A'!F118-'Preventative costs B'!F118</f>
        <v>0</v>
      </c>
      <c r="G118" s="14">
        <f ca="1">'Preventative costs A'!G118-'Preventative costs B'!G118</f>
        <v>0</v>
      </c>
      <c r="H118" s="14">
        <f ca="1">'Preventative costs A'!H118-'Preventative costs B'!H118</f>
        <v>0</v>
      </c>
      <c r="I118" s="14">
        <f ca="1">'Preventative costs A'!I118-'Preventative costs B'!I118</f>
        <v>0</v>
      </c>
      <c r="J118" s="14">
        <f ca="1">'Preventative costs A'!J118-'Preventative costs B'!J118</f>
        <v>0</v>
      </c>
      <c r="K118" s="14">
        <f ca="1">'Preventative costs A'!K118-'Preventative costs B'!K118</f>
        <v>0</v>
      </c>
      <c r="M118" s="4" t="str">
        <f>'Library data'!$G$138</f>
        <v>% relative to RCP8.5</v>
      </c>
    </row>
    <row r="119" spans="1:13" s="7" customFormat="1" ht="13" thickBot="1" x14ac:dyDescent="0.3">
      <c r="A119" s="4" t="str">
        <v>LA Lin</v>
      </c>
      <c r="B119" s="16">
        <f ca="1">'Preventative costs A'!B119-'Preventative costs B'!B119</f>
        <v>0</v>
      </c>
      <c r="C119" s="16">
        <f ca="1">'Preventative costs A'!C119-'Preventative costs B'!C119</f>
        <v>0</v>
      </c>
      <c r="D119" s="16">
        <f ca="1">'Preventative costs A'!D119-'Preventative costs B'!D119</f>
        <v>0</v>
      </c>
      <c r="E119" s="16">
        <f ca="1">'Preventative costs A'!E119-'Preventative costs B'!E119</f>
        <v>0</v>
      </c>
      <c r="F119" s="16">
        <f ca="1">'Preventative costs A'!F119-'Preventative costs B'!F119</f>
        <v>0</v>
      </c>
      <c r="G119" s="16">
        <f ca="1">'Preventative costs A'!G119-'Preventative costs B'!G119</f>
        <v>0</v>
      </c>
      <c r="H119" s="16">
        <f ca="1">'Preventative costs A'!H119-'Preventative costs B'!H119</f>
        <v>0</v>
      </c>
      <c r="I119" s="16">
        <f ca="1">'Preventative costs A'!I119-'Preventative costs B'!I119</f>
        <v>0</v>
      </c>
      <c r="J119" s="16">
        <f ca="1">'Preventative costs A'!J119-'Preventative costs B'!J119</f>
        <v>0</v>
      </c>
      <c r="K119" s="16">
        <f ca="1">'Preventative costs A'!K119-'Preventative costs B'!K119</f>
        <v>0</v>
      </c>
      <c r="M119" s="4" t="str">
        <f>'Library data'!$G$138</f>
        <v>% relative to RCP8.5</v>
      </c>
    </row>
    <row r="120" spans="1:13" s="2" customFormat="1" ht="15.5" thickTop="1" x14ac:dyDescent="0.4">
      <c r="A120" s="2" t="s">
        <v>105</v>
      </c>
      <c r="B120" s="2" t="s">
        <v>286</v>
      </c>
    </row>
    <row r="121" spans="1:13" s="6" customFormat="1" x14ac:dyDescent="0.25">
      <c r="A121" s="4" t="str">
        <f t="array" ref="A121:A128">R_CODE&amp;" "&amp;'Base data'!$B$12</f>
        <v>EU CO2</v>
      </c>
      <c r="B121" s="12">
        <f ca="1">'Preventative costs A'!B121-'Preventative costs B'!B121</f>
        <v>0</v>
      </c>
      <c r="C121" s="12">
        <f ca="1">'Preventative costs A'!C121-'Preventative costs B'!C121</f>
        <v>0</v>
      </c>
      <c r="D121" s="12">
        <f ca="1">'Preventative costs A'!D121-'Preventative costs B'!D121</f>
        <v>0</v>
      </c>
      <c r="E121" s="12">
        <f ca="1">'Preventative costs A'!E121-'Preventative costs B'!E121</f>
        <v>0</v>
      </c>
      <c r="F121" s="12">
        <f ca="1">'Preventative costs A'!F121-'Preventative costs B'!F121</f>
        <v>0</v>
      </c>
      <c r="G121" s="12">
        <f ca="1">'Preventative costs A'!G121-'Preventative costs B'!G121</f>
        <v>0</v>
      </c>
      <c r="H121" s="12">
        <f ca="1">'Preventative costs A'!H121-'Preventative costs B'!H121</f>
        <v>0</v>
      </c>
      <c r="I121" s="12">
        <f ca="1">'Preventative costs A'!I121-'Preventative costs B'!I121</f>
        <v>0</v>
      </c>
      <c r="J121" s="12">
        <f ca="1">'Preventative costs A'!J121-'Preventative costs B'!J121</f>
        <v>0</v>
      </c>
      <c r="K121" s="12">
        <f ca="1">'Preventative costs A'!K121-'Preventative costs B'!K121</f>
        <v>0</v>
      </c>
      <c r="M121" s="4" t="str">
        <f t="shared" ref="M121:M128" si="0">EMIT_NAME</f>
        <v>Mtonne</v>
      </c>
    </row>
    <row r="122" spans="1:13" s="6" customFormat="1" x14ac:dyDescent="0.25">
      <c r="A122" s="4" t="str">
        <v>US CO2</v>
      </c>
      <c r="B122" s="14">
        <f ca="1">'Preventative costs A'!B122-'Preventative costs B'!B122</f>
        <v>0</v>
      </c>
      <c r="C122" s="14">
        <f ca="1">'Preventative costs A'!C122-'Preventative costs B'!C122</f>
        <v>0</v>
      </c>
      <c r="D122" s="14">
        <f ca="1">'Preventative costs A'!D122-'Preventative costs B'!D122</f>
        <v>0</v>
      </c>
      <c r="E122" s="14">
        <f ca="1">'Preventative costs A'!E122-'Preventative costs B'!E122</f>
        <v>0</v>
      </c>
      <c r="F122" s="14">
        <f ca="1">'Preventative costs A'!F122-'Preventative costs B'!F122</f>
        <v>0</v>
      </c>
      <c r="G122" s="14">
        <f ca="1">'Preventative costs A'!G122-'Preventative costs B'!G122</f>
        <v>0</v>
      </c>
      <c r="H122" s="14">
        <f ca="1">'Preventative costs A'!H122-'Preventative costs B'!H122</f>
        <v>0</v>
      </c>
      <c r="I122" s="14">
        <f ca="1">'Preventative costs A'!I122-'Preventative costs B'!I122</f>
        <v>0</v>
      </c>
      <c r="J122" s="14">
        <f ca="1">'Preventative costs A'!J122-'Preventative costs B'!J122</f>
        <v>0</v>
      </c>
      <c r="K122" s="14">
        <f ca="1">'Preventative costs A'!K122-'Preventative costs B'!K122</f>
        <v>0</v>
      </c>
      <c r="M122" s="4" t="str">
        <f t="shared" si="0"/>
        <v>Mtonne</v>
      </c>
    </row>
    <row r="123" spans="1:13" s="6" customFormat="1" x14ac:dyDescent="0.25">
      <c r="A123" s="4" t="str">
        <v>OT CO2</v>
      </c>
      <c r="B123" s="14">
        <f ca="1">'Preventative costs A'!B123-'Preventative costs B'!B123</f>
        <v>0</v>
      </c>
      <c r="C123" s="14">
        <f ca="1">'Preventative costs A'!C123-'Preventative costs B'!C123</f>
        <v>0</v>
      </c>
      <c r="D123" s="14">
        <f ca="1">'Preventative costs A'!D123-'Preventative costs B'!D123</f>
        <v>0</v>
      </c>
      <c r="E123" s="14">
        <f ca="1">'Preventative costs A'!E123-'Preventative costs B'!E123</f>
        <v>0</v>
      </c>
      <c r="F123" s="14">
        <f ca="1">'Preventative costs A'!F123-'Preventative costs B'!F123</f>
        <v>0</v>
      </c>
      <c r="G123" s="14">
        <f ca="1">'Preventative costs A'!G123-'Preventative costs B'!G123</f>
        <v>0</v>
      </c>
      <c r="H123" s="14">
        <f ca="1">'Preventative costs A'!H123-'Preventative costs B'!H123</f>
        <v>0</v>
      </c>
      <c r="I123" s="14">
        <f ca="1">'Preventative costs A'!I123-'Preventative costs B'!I123</f>
        <v>0</v>
      </c>
      <c r="J123" s="14">
        <f ca="1">'Preventative costs A'!J123-'Preventative costs B'!J123</f>
        <v>0</v>
      </c>
      <c r="K123" s="14">
        <f ca="1">'Preventative costs A'!K123-'Preventative costs B'!K123</f>
        <v>0</v>
      </c>
      <c r="M123" s="4" t="str">
        <f t="shared" si="0"/>
        <v>Mtonne</v>
      </c>
    </row>
    <row r="124" spans="1:13" s="6" customFormat="1" x14ac:dyDescent="0.25">
      <c r="A124" s="4" t="str">
        <v>EE CO2</v>
      </c>
      <c r="B124" s="14">
        <f ca="1">'Preventative costs A'!B124-'Preventative costs B'!B124</f>
        <v>0</v>
      </c>
      <c r="C124" s="14">
        <f ca="1">'Preventative costs A'!C124-'Preventative costs B'!C124</f>
        <v>0</v>
      </c>
      <c r="D124" s="14">
        <f ca="1">'Preventative costs A'!D124-'Preventative costs B'!D124</f>
        <v>0</v>
      </c>
      <c r="E124" s="14">
        <f ca="1">'Preventative costs A'!E124-'Preventative costs B'!E124</f>
        <v>0</v>
      </c>
      <c r="F124" s="14">
        <f ca="1">'Preventative costs A'!F124-'Preventative costs B'!F124</f>
        <v>0</v>
      </c>
      <c r="G124" s="14">
        <f ca="1">'Preventative costs A'!G124-'Preventative costs B'!G124</f>
        <v>0</v>
      </c>
      <c r="H124" s="14">
        <f ca="1">'Preventative costs A'!H124-'Preventative costs B'!H124</f>
        <v>0</v>
      </c>
      <c r="I124" s="14">
        <f ca="1">'Preventative costs A'!I124-'Preventative costs B'!I124</f>
        <v>0</v>
      </c>
      <c r="J124" s="14">
        <f ca="1">'Preventative costs A'!J124-'Preventative costs B'!J124</f>
        <v>0</v>
      </c>
      <c r="K124" s="14">
        <f ca="1">'Preventative costs A'!K124-'Preventative costs B'!K124</f>
        <v>0</v>
      </c>
      <c r="M124" s="4" t="str">
        <f t="shared" si="0"/>
        <v>Mtonne</v>
      </c>
    </row>
    <row r="125" spans="1:13" s="6" customFormat="1" x14ac:dyDescent="0.25">
      <c r="A125" s="4" t="str">
        <v>CA CO2</v>
      </c>
      <c r="B125" s="14">
        <f ca="1">'Preventative costs A'!B125-'Preventative costs B'!B125</f>
        <v>0</v>
      </c>
      <c r="C125" s="14">
        <f ca="1">'Preventative costs A'!C125-'Preventative costs B'!C125</f>
        <v>0</v>
      </c>
      <c r="D125" s="14">
        <f ca="1">'Preventative costs A'!D125-'Preventative costs B'!D125</f>
        <v>0</v>
      </c>
      <c r="E125" s="14">
        <f ca="1">'Preventative costs A'!E125-'Preventative costs B'!E125</f>
        <v>0</v>
      </c>
      <c r="F125" s="14">
        <f ca="1">'Preventative costs A'!F125-'Preventative costs B'!F125</f>
        <v>0</v>
      </c>
      <c r="G125" s="14">
        <f ca="1">'Preventative costs A'!G125-'Preventative costs B'!G125</f>
        <v>0</v>
      </c>
      <c r="H125" s="14">
        <f ca="1">'Preventative costs A'!H125-'Preventative costs B'!H125</f>
        <v>0</v>
      </c>
      <c r="I125" s="14">
        <f ca="1">'Preventative costs A'!I125-'Preventative costs B'!I125</f>
        <v>0</v>
      </c>
      <c r="J125" s="14">
        <f ca="1">'Preventative costs A'!J125-'Preventative costs B'!J125</f>
        <v>0</v>
      </c>
      <c r="K125" s="14">
        <f ca="1">'Preventative costs A'!K125-'Preventative costs B'!K125</f>
        <v>0</v>
      </c>
      <c r="M125" s="4" t="str">
        <f t="shared" si="0"/>
        <v>Mtonne</v>
      </c>
    </row>
    <row r="126" spans="1:13" s="6" customFormat="1" x14ac:dyDescent="0.25">
      <c r="A126" s="4" t="str">
        <v>IA CO2</v>
      </c>
      <c r="B126" s="14">
        <f ca="1">'Preventative costs A'!B126-'Preventative costs B'!B126</f>
        <v>0</v>
      </c>
      <c r="C126" s="14">
        <f ca="1">'Preventative costs A'!C126-'Preventative costs B'!C126</f>
        <v>0</v>
      </c>
      <c r="D126" s="14">
        <f ca="1">'Preventative costs A'!D126-'Preventative costs B'!D126</f>
        <v>0</v>
      </c>
      <c r="E126" s="14">
        <f ca="1">'Preventative costs A'!E126-'Preventative costs B'!E126</f>
        <v>0</v>
      </c>
      <c r="F126" s="14">
        <f ca="1">'Preventative costs A'!F126-'Preventative costs B'!F126</f>
        <v>0</v>
      </c>
      <c r="G126" s="14">
        <f ca="1">'Preventative costs A'!G126-'Preventative costs B'!G126</f>
        <v>0</v>
      </c>
      <c r="H126" s="14">
        <f ca="1">'Preventative costs A'!H126-'Preventative costs B'!H126</f>
        <v>0</v>
      </c>
      <c r="I126" s="14">
        <f ca="1">'Preventative costs A'!I126-'Preventative costs B'!I126</f>
        <v>0</v>
      </c>
      <c r="J126" s="14">
        <f ca="1">'Preventative costs A'!J126-'Preventative costs B'!J126</f>
        <v>0</v>
      </c>
      <c r="K126" s="14">
        <f ca="1">'Preventative costs A'!K126-'Preventative costs B'!K126</f>
        <v>0</v>
      </c>
      <c r="M126" s="4" t="str">
        <f t="shared" si="0"/>
        <v>Mtonne</v>
      </c>
    </row>
    <row r="127" spans="1:13" s="6" customFormat="1" x14ac:dyDescent="0.25">
      <c r="A127" s="4" t="str">
        <v>AF CO2</v>
      </c>
      <c r="B127" s="14">
        <f ca="1">'Preventative costs A'!B127-'Preventative costs B'!B127</f>
        <v>0</v>
      </c>
      <c r="C127" s="14">
        <f ca="1">'Preventative costs A'!C127-'Preventative costs B'!C127</f>
        <v>0</v>
      </c>
      <c r="D127" s="14">
        <f ca="1">'Preventative costs A'!D127-'Preventative costs B'!D127</f>
        <v>0</v>
      </c>
      <c r="E127" s="14">
        <f ca="1">'Preventative costs A'!E127-'Preventative costs B'!E127</f>
        <v>0</v>
      </c>
      <c r="F127" s="14">
        <f ca="1">'Preventative costs A'!F127-'Preventative costs B'!F127</f>
        <v>0</v>
      </c>
      <c r="G127" s="14">
        <f ca="1">'Preventative costs A'!G127-'Preventative costs B'!G127</f>
        <v>0</v>
      </c>
      <c r="H127" s="14">
        <f ca="1">'Preventative costs A'!H127-'Preventative costs B'!H127</f>
        <v>0</v>
      </c>
      <c r="I127" s="14">
        <f ca="1">'Preventative costs A'!I127-'Preventative costs B'!I127</f>
        <v>0</v>
      </c>
      <c r="J127" s="14">
        <f ca="1">'Preventative costs A'!J127-'Preventative costs B'!J127</f>
        <v>0</v>
      </c>
      <c r="K127" s="14">
        <f ca="1">'Preventative costs A'!K127-'Preventative costs B'!K127</f>
        <v>0</v>
      </c>
      <c r="M127" s="4" t="str">
        <f t="shared" si="0"/>
        <v>Mtonne</v>
      </c>
    </row>
    <row r="128" spans="1:13" s="6" customFormat="1" ht="13" thickBot="1" x14ac:dyDescent="0.3">
      <c r="A128" s="4" t="str">
        <v>LA CO2</v>
      </c>
      <c r="B128" s="16">
        <f ca="1">'Preventative costs A'!B128-'Preventative costs B'!B128</f>
        <v>0</v>
      </c>
      <c r="C128" s="16">
        <f ca="1">'Preventative costs A'!C128-'Preventative costs B'!C128</f>
        <v>0</v>
      </c>
      <c r="D128" s="16">
        <f ca="1">'Preventative costs A'!D128-'Preventative costs B'!D128</f>
        <v>0</v>
      </c>
      <c r="E128" s="16">
        <f ca="1">'Preventative costs A'!E128-'Preventative costs B'!E128</f>
        <v>0</v>
      </c>
      <c r="F128" s="16">
        <f ca="1">'Preventative costs A'!F128-'Preventative costs B'!F128</f>
        <v>0</v>
      </c>
      <c r="G128" s="16">
        <f ca="1">'Preventative costs A'!G128-'Preventative costs B'!G128</f>
        <v>0</v>
      </c>
      <c r="H128" s="16">
        <f ca="1">'Preventative costs A'!H128-'Preventative costs B'!H128</f>
        <v>0</v>
      </c>
      <c r="I128" s="16">
        <f ca="1">'Preventative costs A'!I128-'Preventative costs B'!I128</f>
        <v>0</v>
      </c>
      <c r="J128" s="16">
        <f ca="1">'Preventative costs A'!J128-'Preventative costs B'!J128</f>
        <v>0</v>
      </c>
      <c r="K128" s="16">
        <f ca="1">'Preventative costs A'!K128-'Preventative costs B'!K128</f>
        <v>0</v>
      </c>
      <c r="M128" s="4" t="str">
        <f t="shared" si="0"/>
        <v>Mtonne</v>
      </c>
    </row>
    <row r="129" spans="1:13" s="8" customFormat="1" ht="15.5" thickTop="1" x14ac:dyDescent="0.4">
      <c r="A129" s="8" t="s">
        <v>105</v>
      </c>
      <c r="B129" s="2" t="s">
        <v>287</v>
      </c>
      <c r="C129" s="2"/>
      <c r="D129" s="2"/>
      <c r="E129" s="2"/>
      <c r="F129" s="2"/>
      <c r="G129" s="2"/>
      <c r="H129" s="2"/>
      <c r="I129" s="2"/>
      <c r="J129" s="2"/>
      <c r="K129" s="2"/>
    </row>
    <row r="130" spans="1:13" s="7" customFormat="1" x14ac:dyDescent="0.25">
      <c r="A130" s="4" t="str">
        <f t="array" ref="A130:A137">R_CODE&amp;" "&amp;'Base data'!$C$12</f>
        <v>EU CH4</v>
      </c>
      <c r="B130" s="12">
        <f ca="1">'Preventative costs A'!B130-'Preventative costs B'!B130</f>
        <v>0</v>
      </c>
      <c r="C130" s="12">
        <f ca="1">'Preventative costs A'!C130-'Preventative costs B'!C130</f>
        <v>0</v>
      </c>
      <c r="D130" s="12">
        <f ca="1">'Preventative costs A'!D130-'Preventative costs B'!D130</f>
        <v>0</v>
      </c>
      <c r="E130" s="12">
        <f ca="1">'Preventative costs A'!E130-'Preventative costs B'!E130</f>
        <v>0</v>
      </c>
      <c r="F130" s="12">
        <f ca="1">'Preventative costs A'!F130-'Preventative costs B'!F130</f>
        <v>0</v>
      </c>
      <c r="G130" s="12">
        <f ca="1">'Preventative costs A'!G130-'Preventative costs B'!G130</f>
        <v>0</v>
      </c>
      <c r="H130" s="12">
        <f ca="1">'Preventative costs A'!H130-'Preventative costs B'!H130</f>
        <v>0</v>
      </c>
      <c r="I130" s="12">
        <f ca="1">'Preventative costs A'!I130-'Preventative costs B'!I130</f>
        <v>0</v>
      </c>
      <c r="J130" s="12">
        <f ca="1">'Preventative costs A'!J130-'Preventative costs B'!J130</f>
        <v>0</v>
      </c>
      <c r="K130" s="12">
        <f ca="1">'Preventative costs A'!K130-'Preventative costs B'!K130</f>
        <v>0</v>
      </c>
      <c r="M130" s="4" t="str">
        <f t="shared" ref="M130:M137" si="1">EMIT_NAME</f>
        <v>Mtonne</v>
      </c>
    </row>
    <row r="131" spans="1:13" s="7" customFormat="1" x14ac:dyDescent="0.25">
      <c r="A131" s="4" t="str">
        <v>US CH4</v>
      </c>
      <c r="B131" s="14">
        <f ca="1">'Preventative costs A'!B131-'Preventative costs B'!B131</f>
        <v>0</v>
      </c>
      <c r="C131" s="14">
        <f ca="1">'Preventative costs A'!C131-'Preventative costs B'!C131</f>
        <v>0</v>
      </c>
      <c r="D131" s="14">
        <f ca="1">'Preventative costs A'!D131-'Preventative costs B'!D131</f>
        <v>0</v>
      </c>
      <c r="E131" s="14">
        <f ca="1">'Preventative costs A'!E131-'Preventative costs B'!E131</f>
        <v>0</v>
      </c>
      <c r="F131" s="14">
        <f ca="1">'Preventative costs A'!F131-'Preventative costs B'!F131</f>
        <v>0</v>
      </c>
      <c r="G131" s="14">
        <f ca="1">'Preventative costs A'!G131-'Preventative costs B'!G131</f>
        <v>0</v>
      </c>
      <c r="H131" s="14">
        <f ca="1">'Preventative costs A'!H131-'Preventative costs B'!H131</f>
        <v>0</v>
      </c>
      <c r="I131" s="14">
        <f ca="1">'Preventative costs A'!I131-'Preventative costs B'!I131</f>
        <v>0</v>
      </c>
      <c r="J131" s="14">
        <f ca="1">'Preventative costs A'!J131-'Preventative costs B'!J131</f>
        <v>0</v>
      </c>
      <c r="K131" s="14">
        <f ca="1">'Preventative costs A'!K131-'Preventative costs B'!K131</f>
        <v>0</v>
      </c>
      <c r="M131" s="4" t="str">
        <f t="shared" si="1"/>
        <v>Mtonne</v>
      </c>
    </row>
    <row r="132" spans="1:13" s="7" customFormat="1" x14ac:dyDescent="0.25">
      <c r="A132" s="4" t="str">
        <v>OT CH4</v>
      </c>
      <c r="B132" s="14">
        <f ca="1">'Preventative costs A'!B132-'Preventative costs B'!B132</f>
        <v>0</v>
      </c>
      <c r="C132" s="14">
        <f ca="1">'Preventative costs A'!C132-'Preventative costs B'!C132</f>
        <v>0</v>
      </c>
      <c r="D132" s="14">
        <f ca="1">'Preventative costs A'!D132-'Preventative costs B'!D132</f>
        <v>0</v>
      </c>
      <c r="E132" s="14">
        <f ca="1">'Preventative costs A'!E132-'Preventative costs B'!E132</f>
        <v>0</v>
      </c>
      <c r="F132" s="14">
        <f ca="1">'Preventative costs A'!F132-'Preventative costs B'!F132</f>
        <v>0</v>
      </c>
      <c r="G132" s="14">
        <f ca="1">'Preventative costs A'!G132-'Preventative costs B'!G132</f>
        <v>0</v>
      </c>
      <c r="H132" s="14">
        <f ca="1">'Preventative costs A'!H132-'Preventative costs B'!H132</f>
        <v>0</v>
      </c>
      <c r="I132" s="14">
        <f ca="1">'Preventative costs A'!I132-'Preventative costs B'!I132</f>
        <v>0</v>
      </c>
      <c r="J132" s="14">
        <f ca="1">'Preventative costs A'!J132-'Preventative costs B'!J132</f>
        <v>0</v>
      </c>
      <c r="K132" s="14">
        <f ca="1">'Preventative costs A'!K132-'Preventative costs B'!K132</f>
        <v>0</v>
      </c>
      <c r="M132" s="4" t="str">
        <f t="shared" si="1"/>
        <v>Mtonne</v>
      </c>
    </row>
    <row r="133" spans="1:13" s="7" customFormat="1" x14ac:dyDescent="0.25">
      <c r="A133" s="4" t="str">
        <v>EE CH4</v>
      </c>
      <c r="B133" s="14">
        <f ca="1">'Preventative costs A'!B133-'Preventative costs B'!B133</f>
        <v>0</v>
      </c>
      <c r="C133" s="14">
        <f ca="1">'Preventative costs A'!C133-'Preventative costs B'!C133</f>
        <v>0</v>
      </c>
      <c r="D133" s="14">
        <f ca="1">'Preventative costs A'!D133-'Preventative costs B'!D133</f>
        <v>0</v>
      </c>
      <c r="E133" s="14">
        <f ca="1">'Preventative costs A'!E133-'Preventative costs B'!E133</f>
        <v>0</v>
      </c>
      <c r="F133" s="14">
        <f ca="1">'Preventative costs A'!F133-'Preventative costs B'!F133</f>
        <v>0</v>
      </c>
      <c r="G133" s="14">
        <f ca="1">'Preventative costs A'!G133-'Preventative costs B'!G133</f>
        <v>0</v>
      </c>
      <c r="H133" s="14">
        <f ca="1">'Preventative costs A'!H133-'Preventative costs B'!H133</f>
        <v>0</v>
      </c>
      <c r="I133" s="14">
        <f ca="1">'Preventative costs A'!I133-'Preventative costs B'!I133</f>
        <v>0</v>
      </c>
      <c r="J133" s="14">
        <f ca="1">'Preventative costs A'!J133-'Preventative costs B'!J133</f>
        <v>0</v>
      </c>
      <c r="K133" s="14">
        <f ca="1">'Preventative costs A'!K133-'Preventative costs B'!K133</f>
        <v>0</v>
      </c>
      <c r="M133" s="4" t="str">
        <f t="shared" si="1"/>
        <v>Mtonne</v>
      </c>
    </row>
    <row r="134" spans="1:13" s="7" customFormat="1" x14ac:dyDescent="0.25">
      <c r="A134" s="4" t="str">
        <v>CA CH4</v>
      </c>
      <c r="B134" s="14">
        <f ca="1">'Preventative costs A'!B134-'Preventative costs B'!B134</f>
        <v>0</v>
      </c>
      <c r="C134" s="14">
        <f ca="1">'Preventative costs A'!C134-'Preventative costs B'!C134</f>
        <v>0</v>
      </c>
      <c r="D134" s="14">
        <f ca="1">'Preventative costs A'!D134-'Preventative costs B'!D134</f>
        <v>0</v>
      </c>
      <c r="E134" s="14">
        <f ca="1">'Preventative costs A'!E134-'Preventative costs B'!E134</f>
        <v>0</v>
      </c>
      <c r="F134" s="14">
        <f ca="1">'Preventative costs A'!F134-'Preventative costs B'!F134</f>
        <v>0</v>
      </c>
      <c r="G134" s="14">
        <f ca="1">'Preventative costs A'!G134-'Preventative costs B'!G134</f>
        <v>0</v>
      </c>
      <c r="H134" s="14">
        <f ca="1">'Preventative costs A'!H134-'Preventative costs B'!H134</f>
        <v>0</v>
      </c>
      <c r="I134" s="14">
        <f ca="1">'Preventative costs A'!I134-'Preventative costs B'!I134</f>
        <v>0</v>
      </c>
      <c r="J134" s="14">
        <f ca="1">'Preventative costs A'!J134-'Preventative costs B'!J134</f>
        <v>0</v>
      </c>
      <c r="K134" s="14">
        <f ca="1">'Preventative costs A'!K134-'Preventative costs B'!K134</f>
        <v>0</v>
      </c>
      <c r="M134" s="4" t="str">
        <f t="shared" si="1"/>
        <v>Mtonne</v>
      </c>
    </row>
    <row r="135" spans="1:13" s="7" customFormat="1" x14ac:dyDescent="0.25">
      <c r="A135" s="4" t="str">
        <v>IA CH4</v>
      </c>
      <c r="B135" s="14">
        <f ca="1">'Preventative costs A'!B135-'Preventative costs B'!B135</f>
        <v>0</v>
      </c>
      <c r="C135" s="14">
        <f ca="1">'Preventative costs A'!C135-'Preventative costs B'!C135</f>
        <v>0</v>
      </c>
      <c r="D135" s="14">
        <f ca="1">'Preventative costs A'!D135-'Preventative costs B'!D135</f>
        <v>0</v>
      </c>
      <c r="E135" s="14">
        <f ca="1">'Preventative costs A'!E135-'Preventative costs B'!E135</f>
        <v>0</v>
      </c>
      <c r="F135" s="14">
        <f ca="1">'Preventative costs A'!F135-'Preventative costs B'!F135</f>
        <v>0</v>
      </c>
      <c r="G135" s="14">
        <f ca="1">'Preventative costs A'!G135-'Preventative costs B'!G135</f>
        <v>0</v>
      </c>
      <c r="H135" s="14">
        <f ca="1">'Preventative costs A'!H135-'Preventative costs B'!H135</f>
        <v>0</v>
      </c>
      <c r="I135" s="14">
        <f ca="1">'Preventative costs A'!I135-'Preventative costs B'!I135</f>
        <v>0</v>
      </c>
      <c r="J135" s="14">
        <f ca="1">'Preventative costs A'!J135-'Preventative costs B'!J135</f>
        <v>0</v>
      </c>
      <c r="K135" s="14">
        <f ca="1">'Preventative costs A'!K135-'Preventative costs B'!K135</f>
        <v>0</v>
      </c>
      <c r="M135" s="4" t="str">
        <f t="shared" si="1"/>
        <v>Mtonne</v>
      </c>
    </row>
    <row r="136" spans="1:13" s="7" customFormat="1" x14ac:dyDescent="0.25">
      <c r="A136" s="4" t="str">
        <v>AF CH4</v>
      </c>
      <c r="B136" s="14">
        <f ca="1">'Preventative costs A'!B136-'Preventative costs B'!B136</f>
        <v>0</v>
      </c>
      <c r="C136" s="14">
        <f ca="1">'Preventative costs A'!C136-'Preventative costs B'!C136</f>
        <v>0</v>
      </c>
      <c r="D136" s="14">
        <f ca="1">'Preventative costs A'!D136-'Preventative costs B'!D136</f>
        <v>0</v>
      </c>
      <c r="E136" s="14">
        <f ca="1">'Preventative costs A'!E136-'Preventative costs B'!E136</f>
        <v>0</v>
      </c>
      <c r="F136" s="14">
        <f ca="1">'Preventative costs A'!F136-'Preventative costs B'!F136</f>
        <v>0</v>
      </c>
      <c r="G136" s="14">
        <f ca="1">'Preventative costs A'!G136-'Preventative costs B'!G136</f>
        <v>0</v>
      </c>
      <c r="H136" s="14">
        <f ca="1">'Preventative costs A'!H136-'Preventative costs B'!H136</f>
        <v>0</v>
      </c>
      <c r="I136" s="14">
        <f ca="1">'Preventative costs A'!I136-'Preventative costs B'!I136</f>
        <v>0</v>
      </c>
      <c r="J136" s="14">
        <f ca="1">'Preventative costs A'!J136-'Preventative costs B'!J136</f>
        <v>0</v>
      </c>
      <c r="K136" s="14">
        <f ca="1">'Preventative costs A'!K136-'Preventative costs B'!K136</f>
        <v>0</v>
      </c>
      <c r="M136" s="4" t="str">
        <f t="shared" si="1"/>
        <v>Mtonne</v>
      </c>
    </row>
    <row r="137" spans="1:13" s="7" customFormat="1" ht="13" thickBot="1" x14ac:dyDescent="0.3">
      <c r="A137" s="4" t="str">
        <v>LA CH4</v>
      </c>
      <c r="B137" s="16">
        <f ca="1">'Preventative costs A'!B137-'Preventative costs B'!B137</f>
        <v>0</v>
      </c>
      <c r="C137" s="16">
        <f ca="1">'Preventative costs A'!C137-'Preventative costs B'!C137</f>
        <v>0</v>
      </c>
      <c r="D137" s="16">
        <f ca="1">'Preventative costs A'!D137-'Preventative costs B'!D137</f>
        <v>0</v>
      </c>
      <c r="E137" s="16">
        <f ca="1">'Preventative costs A'!E137-'Preventative costs B'!E137</f>
        <v>0</v>
      </c>
      <c r="F137" s="16">
        <f ca="1">'Preventative costs A'!F137-'Preventative costs B'!F137</f>
        <v>0</v>
      </c>
      <c r="G137" s="16">
        <f ca="1">'Preventative costs A'!G137-'Preventative costs B'!G137</f>
        <v>0</v>
      </c>
      <c r="H137" s="16">
        <f ca="1">'Preventative costs A'!H137-'Preventative costs B'!H137</f>
        <v>0</v>
      </c>
      <c r="I137" s="16">
        <f ca="1">'Preventative costs A'!I137-'Preventative costs B'!I137</f>
        <v>0</v>
      </c>
      <c r="J137" s="16">
        <f ca="1">'Preventative costs A'!J137-'Preventative costs B'!J137</f>
        <v>0</v>
      </c>
      <c r="K137" s="16">
        <f ca="1">'Preventative costs A'!K137-'Preventative costs B'!K137</f>
        <v>0</v>
      </c>
      <c r="M137" s="4" t="str">
        <f t="shared" si="1"/>
        <v>Mtonne</v>
      </c>
    </row>
    <row r="138" spans="1:13" s="8" customFormat="1" ht="15.5" thickTop="1" x14ac:dyDescent="0.4">
      <c r="A138" s="8" t="s">
        <v>105</v>
      </c>
      <c r="B138" s="8" t="s">
        <v>288</v>
      </c>
    </row>
    <row r="139" spans="1:13" s="7" customFormat="1" x14ac:dyDescent="0.25">
      <c r="A139" s="4" t="str">
        <f t="array" ref="A139:A146">R_CODE&amp;" "&amp;'Base data'!$D$12</f>
        <v>EU N2O</v>
      </c>
      <c r="B139" s="12">
        <f ca="1">'Preventative costs A'!B139-'Preventative costs B'!B139</f>
        <v>0</v>
      </c>
      <c r="C139" s="12">
        <f ca="1">'Preventative costs A'!C139-'Preventative costs B'!C139</f>
        <v>0</v>
      </c>
      <c r="D139" s="12">
        <f ca="1">'Preventative costs A'!D139-'Preventative costs B'!D139</f>
        <v>0</v>
      </c>
      <c r="E139" s="12">
        <f ca="1">'Preventative costs A'!E139-'Preventative costs B'!E139</f>
        <v>0</v>
      </c>
      <c r="F139" s="12">
        <f ca="1">'Preventative costs A'!F139-'Preventative costs B'!F139</f>
        <v>0</v>
      </c>
      <c r="G139" s="12">
        <f ca="1">'Preventative costs A'!G139-'Preventative costs B'!G139</f>
        <v>0</v>
      </c>
      <c r="H139" s="12">
        <f ca="1">'Preventative costs A'!H139-'Preventative costs B'!H139</f>
        <v>0</v>
      </c>
      <c r="I139" s="12">
        <f ca="1">'Preventative costs A'!I139-'Preventative costs B'!I139</f>
        <v>0</v>
      </c>
      <c r="J139" s="12">
        <f ca="1">'Preventative costs A'!J139-'Preventative costs B'!J139</f>
        <v>0</v>
      </c>
      <c r="K139" s="12">
        <f ca="1">'Preventative costs A'!K139-'Preventative costs B'!K139</f>
        <v>0</v>
      </c>
      <c r="M139" s="4" t="str">
        <f t="shared" ref="M139:M146" si="2">EMIT_NAME</f>
        <v>Mtonne</v>
      </c>
    </row>
    <row r="140" spans="1:13" s="7" customFormat="1" x14ac:dyDescent="0.25">
      <c r="A140" s="4" t="str">
        <v>US N2O</v>
      </c>
      <c r="B140" s="14">
        <f ca="1">'Preventative costs A'!B140-'Preventative costs B'!B140</f>
        <v>0</v>
      </c>
      <c r="C140" s="14">
        <f ca="1">'Preventative costs A'!C140-'Preventative costs B'!C140</f>
        <v>0</v>
      </c>
      <c r="D140" s="14">
        <f ca="1">'Preventative costs A'!D140-'Preventative costs B'!D140</f>
        <v>0</v>
      </c>
      <c r="E140" s="14">
        <f ca="1">'Preventative costs A'!E140-'Preventative costs B'!E140</f>
        <v>0</v>
      </c>
      <c r="F140" s="14">
        <f ca="1">'Preventative costs A'!F140-'Preventative costs B'!F140</f>
        <v>0</v>
      </c>
      <c r="G140" s="14">
        <f ca="1">'Preventative costs A'!G140-'Preventative costs B'!G140</f>
        <v>0</v>
      </c>
      <c r="H140" s="14">
        <f ca="1">'Preventative costs A'!H140-'Preventative costs B'!H140</f>
        <v>0</v>
      </c>
      <c r="I140" s="14">
        <f ca="1">'Preventative costs A'!I140-'Preventative costs B'!I140</f>
        <v>0</v>
      </c>
      <c r="J140" s="14">
        <f ca="1">'Preventative costs A'!J140-'Preventative costs B'!J140</f>
        <v>0</v>
      </c>
      <c r="K140" s="14">
        <f ca="1">'Preventative costs A'!K140-'Preventative costs B'!K140</f>
        <v>0</v>
      </c>
      <c r="M140" s="4" t="str">
        <f t="shared" si="2"/>
        <v>Mtonne</v>
      </c>
    </row>
    <row r="141" spans="1:13" s="7" customFormat="1" x14ac:dyDescent="0.25">
      <c r="A141" s="4" t="str">
        <v>OT N2O</v>
      </c>
      <c r="B141" s="14">
        <f ca="1">'Preventative costs A'!B141-'Preventative costs B'!B141</f>
        <v>0</v>
      </c>
      <c r="C141" s="14">
        <f ca="1">'Preventative costs A'!C141-'Preventative costs B'!C141</f>
        <v>0</v>
      </c>
      <c r="D141" s="14">
        <f ca="1">'Preventative costs A'!D141-'Preventative costs B'!D141</f>
        <v>0</v>
      </c>
      <c r="E141" s="14">
        <f ca="1">'Preventative costs A'!E141-'Preventative costs B'!E141</f>
        <v>0</v>
      </c>
      <c r="F141" s="14">
        <f ca="1">'Preventative costs A'!F141-'Preventative costs B'!F141</f>
        <v>0</v>
      </c>
      <c r="G141" s="14">
        <f ca="1">'Preventative costs A'!G141-'Preventative costs B'!G141</f>
        <v>0</v>
      </c>
      <c r="H141" s="14">
        <f ca="1">'Preventative costs A'!H141-'Preventative costs B'!H141</f>
        <v>0</v>
      </c>
      <c r="I141" s="14">
        <f ca="1">'Preventative costs A'!I141-'Preventative costs B'!I141</f>
        <v>0</v>
      </c>
      <c r="J141" s="14">
        <f ca="1">'Preventative costs A'!J141-'Preventative costs B'!J141</f>
        <v>0</v>
      </c>
      <c r="K141" s="14">
        <f ca="1">'Preventative costs A'!K141-'Preventative costs B'!K141</f>
        <v>0</v>
      </c>
      <c r="M141" s="4" t="str">
        <f t="shared" si="2"/>
        <v>Mtonne</v>
      </c>
    </row>
    <row r="142" spans="1:13" s="7" customFormat="1" x14ac:dyDescent="0.25">
      <c r="A142" s="4" t="str">
        <v>EE N2O</v>
      </c>
      <c r="B142" s="14">
        <f ca="1">'Preventative costs A'!B142-'Preventative costs B'!B142</f>
        <v>0</v>
      </c>
      <c r="C142" s="14">
        <f ca="1">'Preventative costs A'!C142-'Preventative costs B'!C142</f>
        <v>0</v>
      </c>
      <c r="D142" s="14">
        <f ca="1">'Preventative costs A'!D142-'Preventative costs B'!D142</f>
        <v>0</v>
      </c>
      <c r="E142" s="14">
        <f ca="1">'Preventative costs A'!E142-'Preventative costs B'!E142</f>
        <v>0</v>
      </c>
      <c r="F142" s="14">
        <f ca="1">'Preventative costs A'!F142-'Preventative costs B'!F142</f>
        <v>0</v>
      </c>
      <c r="G142" s="14">
        <f ca="1">'Preventative costs A'!G142-'Preventative costs B'!G142</f>
        <v>0</v>
      </c>
      <c r="H142" s="14">
        <f ca="1">'Preventative costs A'!H142-'Preventative costs B'!H142</f>
        <v>0</v>
      </c>
      <c r="I142" s="14">
        <f ca="1">'Preventative costs A'!I142-'Preventative costs B'!I142</f>
        <v>0</v>
      </c>
      <c r="J142" s="14">
        <f ca="1">'Preventative costs A'!J142-'Preventative costs B'!J142</f>
        <v>0</v>
      </c>
      <c r="K142" s="14">
        <f ca="1">'Preventative costs A'!K142-'Preventative costs B'!K142</f>
        <v>0</v>
      </c>
      <c r="M142" s="4" t="str">
        <f t="shared" si="2"/>
        <v>Mtonne</v>
      </c>
    </row>
    <row r="143" spans="1:13" s="7" customFormat="1" x14ac:dyDescent="0.25">
      <c r="A143" s="4" t="str">
        <v>CA N2O</v>
      </c>
      <c r="B143" s="14">
        <f ca="1">'Preventative costs A'!B143-'Preventative costs B'!B143</f>
        <v>0</v>
      </c>
      <c r="C143" s="14">
        <f ca="1">'Preventative costs A'!C143-'Preventative costs B'!C143</f>
        <v>0</v>
      </c>
      <c r="D143" s="14">
        <f ca="1">'Preventative costs A'!D143-'Preventative costs B'!D143</f>
        <v>0</v>
      </c>
      <c r="E143" s="14">
        <f ca="1">'Preventative costs A'!E143-'Preventative costs B'!E143</f>
        <v>0</v>
      </c>
      <c r="F143" s="14">
        <f ca="1">'Preventative costs A'!F143-'Preventative costs B'!F143</f>
        <v>0</v>
      </c>
      <c r="G143" s="14">
        <f ca="1">'Preventative costs A'!G143-'Preventative costs B'!G143</f>
        <v>0</v>
      </c>
      <c r="H143" s="14">
        <f ca="1">'Preventative costs A'!H143-'Preventative costs B'!H143</f>
        <v>0</v>
      </c>
      <c r="I143" s="14">
        <f ca="1">'Preventative costs A'!I143-'Preventative costs B'!I143</f>
        <v>0</v>
      </c>
      <c r="J143" s="14">
        <f ca="1">'Preventative costs A'!J143-'Preventative costs B'!J143</f>
        <v>0</v>
      </c>
      <c r="K143" s="14">
        <f ca="1">'Preventative costs A'!K143-'Preventative costs B'!K143</f>
        <v>0</v>
      </c>
      <c r="M143" s="4" t="str">
        <f t="shared" si="2"/>
        <v>Mtonne</v>
      </c>
    </row>
    <row r="144" spans="1:13" s="7" customFormat="1" x14ac:dyDescent="0.25">
      <c r="A144" s="4" t="str">
        <v>IA N2O</v>
      </c>
      <c r="B144" s="14">
        <f ca="1">'Preventative costs A'!B144-'Preventative costs B'!B144</f>
        <v>0</v>
      </c>
      <c r="C144" s="14">
        <f ca="1">'Preventative costs A'!C144-'Preventative costs B'!C144</f>
        <v>0</v>
      </c>
      <c r="D144" s="14">
        <f ca="1">'Preventative costs A'!D144-'Preventative costs B'!D144</f>
        <v>0</v>
      </c>
      <c r="E144" s="14">
        <f ca="1">'Preventative costs A'!E144-'Preventative costs B'!E144</f>
        <v>0</v>
      </c>
      <c r="F144" s="14">
        <f ca="1">'Preventative costs A'!F144-'Preventative costs B'!F144</f>
        <v>0</v>
      </c>
      <c r="G144" s="14">
        <f ca="1">'Preventative costs A'!G144-'Preventative costs B'!G144</f>
        <v>0</v>
      </c>
      <c r="H144" s="14">
        <f ca="1">'Preventative costs A'!H144-'Preventative costs B'!H144</f>
        <v>0</v>
      </c>
      <c r="I144" s="14">
        <f ca="1">'Preventative costs A'!I144-'Preventative costs B'!I144</f>
        <v>0</v>
      </c>
      <c r="J144" s="14">
        <f ca="1">'Preventative costs A'!J144-'Preventative costs B'!J144</f>
        <v>0</v>
      </c>
      <c r="K144" s="14">
        <f ca="1">'Preventative costs A'!K144-'Preventative costs B'!K144</f>
        <v>0</v>
      </c>
      <c r="M144" s="4" t="str">
        <f t="shared" si="2"/>
        <v>Mtonne</v>
      </c>
    </row>
    <row r="145" spans="1:13" s="7" customFormat="1" x14ac:dyDescent="0.25">
      <c r="A145" s="4" t="str">
        <v>AF N2O</v>
      </c>
      <c r="B145" s="14">
        <f ca="1">'Preventative costs A'!B145-'Preventative costs B'!B145</f>
        <v>0</v>
      </c>
      <c r="C145" s="14">
        <f ca="1">'Preventative costs A'!C145-'Preventative costs B'!C145</f>
        <v>0</v>
      </c>
      <c r="D145" s="14">
        <f ca="1">'Preventative costs A'!D145-'Preventative costs B'!D145</f>
        <v>0</v>
      </c>
      <c r="E145" s="14">
        <f ca="1">'Preventative costs A'!E145-'Preventative costs B'!E145</f>
        <v>0</v>
      </c>
      <c r="F145" s="14">
        <f ca="1">'Preventative costs A'!F145-'Preventative costs B'!F145</f>
        <v>0</v>
      </c>
      <c r="G145" s="14">
        <f ca="1">'Preventative costs A'!G145-'Preventative costs B'!G145</f>
        <v>0</v>
      </c>
      <c r="H145" s="14">
        <f ca="1">'Preventative costs A'!H145-'Preventative costs B'!H145</f>
        <v>0</v>
      </c>
      <c r="I145" s="14">
        <f ca="1">'Preventative costs A'!I145-'Preventative costs B'!I145</f>
        <v>0</v>
      </c>
      <c r="J145" s="14">
        <f ca="1">'Preventative costs A'!J145-'Preventative costs B'!J145</f>
        <v>0</v>
      </c>
      <c r="K145" s="14">
        <f ca="1">'Preventative costs A'!K145-'Preventative costs B'!K145</f>
        <v>0</v>
      </c>
      <c r="M145" s="4" t="str">
        <f t="shared" si="2"/>
        <v>Mtonne</v>
      </c>
    </row>
    <row r="146" spans="1:13" s="7" customFormat="1" ht="13" thickBot="1" x14ac:dyDescent="0.3">
      <c r="A146" s="4" t="str">
        <v>LA N2O</v>
      </c>
      <c r="B146" s="16">
        <f ca="1">'Preventative costs A'!B146-'Preventative costs B'!B146</f>
        <v>0</v>
      </c>
      <c r="C146" s="16">
        <f ca="1">'Preventative costs A'!C146-'Preventative costs B'!C146</f>
        <v>0</v>
      </c>
      <c r="D146" s="16">
        <f ca="1">'Preventative costs A'!D146-'Preventative costs B'!D146</f>
        <v>0</v>
      </c>
      <c r="E146" s="16">
        <f ca="1">'Preventative costs A'!E146-'Preventative costs B'!E146</f>
        <v>0</v>
      </c>
      <c r="F146" s="16">
        <f ca="1">'Preventative costs A'!F146-'Preventative costs B'!F146</f>
        <v>0</v>
      </c>
      <c r="G146" s="16">
        <f ca="1">'Preventative costs A'!G146-'Preventative costs B'!G146</f>
        <v>0</v>
      </c>
      <c r="H146" s="16">
        <f ca="1">'Preventative costs A'!H146-'Preventative costs B'!H146</f>
        <v>0</v>
      </c>
      <c r="I146" s="16">
        <f ca="1">'Preventative costs A'!I146-'Preventative costs B'!I146</f>
        <v>0</v>
      </c>
      <c r="J146" s="16">
        <f ca="1">'Preventative costs A'!J146-'Preventative costs B'!J146</f>
        <v>0</v>
      </c>
      <c r="K146" s="16">
        <f ca="1">'Preventative costs A'!K146-'Preventative costs B'!K146</f>
        <v>0</v>
      </c>
      <c r="M146" s="4" t="str">
        <f t="shared" si="2"/>
        <v>Mtonne</v>
      </c>
    </row>
    <row r="147" spans="1:13" s="8" customFormat="1" ht="15.5" thickTop="1" x14ac:dyDescent="0.4">
      <c r="A147" s="8" t="s">
        <v>105</v>
      </c>
      <c r="B147" s="8" t="s">
        <v>289</v>
      </c>
    </row>
    <row r="148" spans="1:13" s="7" customFormat="1" x14ac:dyDescent="0.25">
      <c r="A148" s="4" t="str">
        <f t="array" ref="A148:A155">R_CODE&amp;" "&amp;GLIN_NAME</f>
        <v>EU Lin</v>
      </c>
      <c r="B148" s="12">
        <f ca="1">'Preventative costs A'!B148-'Preventative costs B'!B148</f>
        <v>0</v>
      </c>
      <c r="C148" s="12">
        <f ca="1">'Preventative costs A'!C148-'Preventative costs B'!C148</f>
        <v>0</v>
      </c>
      <c r="D148" s="12">
        <f ca="1">'Preventative costs A'!D148-'Preventative costs B'!D148</f>
        <v>0</v>
      </c>
      <c r="E148" s="12">
        <f ca="1">'Preventative costs A'!E148-'Preventative costs B'!E148</f>
        <v>0</v>
      </c>
      <c r="F148" s="12">
        <f ca="1">'Preventative costs A'!F148-'Preventative costs B'!F148</f>
        <v>0</v>
      </c>
      <c r="G148" s="12">
        <f ca="1">'Preventative costs A'!G148-'Preventative costs B'!G148</f>
        <v>0</v>
      </c>
      <c r="H148" s="12">
        <f ca="1">'Preventative costs A'!H148-'Preventative costs B'!H148</f>
        <v>0</v>
      </c>
      <c r="I148" s="12">
        <f ca="1">'Preventative costs A'!I148-'Preventative costs B'!I148</f>
        <v>0</v>
      </c>
      <c r="J148" s="12">
        <f ca="1">'Preventative costs A'!J148-'Preventative costs B'!J148</f>
        <v>0</v>
      </c>
      <c r="K148" s="12">
        <f ca="1">'Preventative costs A'!K148-'Preventative costs B'!K148</f>
        <v>0</v>
      </c>
      <c r="M148" s="4" t="str">
        <f t="shared" ref="M148:M155" si="3">EMIT_NAME</f>
        <v>Mtonne</v>
      </c>
    </row>
    <row r="149" spans="1:13" s="7" customFormat="1" x14ac:dyDescent="0.25">
      <c r="A149" s="4" t="str">
        <v>US Lin</v>
      </c>
      <c r="B149" s="14">
        <f ca="1">'Preventative costs A'!B149-'Preventative costs B'!B149</f>
        <v>0</v>
      </c>
      <c r="C149" s="14">
        <f ca="1">'Preventative costs A'!C149-'Preventative costs B'!C149</f>
        <v>0</v>
      </c>
      <c r="D149" s="14">
        <f ca="1">'Preventative costs A'!D149-'Preventative costs B'!D149</f>
        <v>0</v>
      </c>
      <c r="E149" s="14">
        <f ca="1">'Preventative costs A'!E149-'Preventative costs B'!E149</f>
        <v>0</v>
      </c>
      <c r="F149" s="14">
        <f ca="1">'Preventative costs A'!F149-'Preventative costs B'!F149</f>
        <v>0</v>
      </c>
      <c r="G149" s="14">
        <f ca="1">'Preventative costs A'!G149-'Preventative costs B'!G149</f>
        <v>0</v>
      </c>
      <c r="H149" s="14">
        <f ca="1">'Preventative costs A'!H149-'Preventative costs B'!H149</f>
        <v>0</v>
      </c>
      <c r="I149" s="14">
        <f ca="1">'Preventative costs A'!I149-'Preventative costs B'!I149</f>
        <v>0</v>
      </c>
      <c r="J149" s="14">
        <f ca="1">'Preventative costs A'!J149-'Preventative costs B'!J149</f>
        <v>0</v>
      </c>
      <c r="K149" s="14">
        <f ca="1">'Preventative costs A'!K149-'Preventative costs B'!K149</f>
        <v>0</v>
      </c>
      <c r="M149" s="4" t="str">
        <f t="shared" si="3"/>
        <v>Mtonne</v>
      </c>
    </row>
    <row r="150" spans="1:13" s="7" customFormat="1" x14ac:dyDescent="0.25">
      <c r="A150" s="4" t="str">
        <v>OT Lin</v>
      </c>
      <c r="B150" s="14">
        <f ca="1">'Preventative costs A'!B150-'Preventative costs B'!B150</f>
        <v>0</v>
      </c>
      <c r="C150" s="14">
        <f ca="1">'Preventative costs A'!C150-'Preventative costs B'!C150</f>
        <v>0</v>
      </c>
      <c r="D150" s="14">
        <f ca="1">'Preventative costs A'!D150-'Preventative costs B'!D150</f>
        <v>0</v>
      </c>
      <c r="E150" s="14">
        <f ca="1">'Preventative costs A'!E150-'Preventative costs B'!E150</f>
        <v>0</v>
      </c>
      <c r="F150" s="14">
        <f ca="1">'Preventative costs A'!F150-'Preventative costs B'!F150</f>
        <v>0</v>
      </c>
      <c r="G150" s="14">
        <f ca="1">'Preventative costs A'!G150-'Preventative costs B'!G150</f>
        <v>0</v>
      </c>
      <c r="H150" s="14">
        <f ca="1">'Preventative costs A'!H150-'Preventative costs B'!H150</f>
        <v>0</v>
      </c>
      <c r="I150" s="14">
        <f ca="1">'Preventative costs A'!I150-'Preventative costs B'!I150</f>
        <v>0</v>
      </c>
      <c r="J150" s="14">
        <f ca="1">'Preventative costs A'!J150-'Preventative costs B'!J150</f>
        <v>0</v>
      </c>
      <c r="K150" s="14">
        <f ca="1">'Preventative costs A'!K150-'Preventative costs B'!K150</f>
        <v>0</v>
      </c>
      <c r="M150" s="4" t="str">
        <f t="shared" si="3"/>
        <v>Mtonne</v>
      </c>
    </row>
    <row r="151" spans="1:13" s="7" customFormat="1" x14ac:dyDescent="0.25">
      <c r="A151" s="4" t="str">
        <v>EE Lin</v>
      </c>
      <c r="B151" s="14">
        <f ca="1">'Preventative costs A'!B151-'Preventative costs B'!B151</f>
        <v>0</v>
      </c>
      <c r="C151" s="14">
        <f ca="1">'Preventative costs A'!C151-'Preventative costs B'!C151</f>
        <v>0</v>
      </c>
      <c r="D151" s="14">
        <f ca="1">'Preventative costs A'!D151-'Preventative costs B'!D151</f>
        <v>0</v>
      </c>
      <c r="E151" s="14">
        <f ca="1">'Preventative costs A'!E151-'Preventative costs B'!E151</f>
        <v>0</v>
      </c>
      <c r="F151" s="14">
        <f ca="1">'Preventative costs A'!F151-'Preventative costs B'!F151</f>
        <v>0</v>
      </c>
      <c r="G151" s="14">
        <f ca="1">'Preventative costs A'!G151-'Preventative costs B'!G151</f>
        <v>0</v>
      </c>
      <c r="H151" s="14">
        <f ca="1">'Preventative costs A'!H151-'Preventative costs B'!H151</f>
        <v>0</v>
      </c>
      <c r="I151" s="14">
        <f ca="1">'Preventative costs A'!I151-'Preventative costs B'!I151</f>
        <v>0</v>
      </c>
      <c r="J151" s="14">
        <f ca="1">'Preventative costs A'!J151-'Preventative costs B'!J151</f>
        <v>0</v>
      </c>
      <c r="K151" s="14">
        <f ca="1">'Preventative costs A'!K151-'Preventative costs B'!K151</f>
        <v>0</v>
      </c>
      <c r="M151" s="4" t="str">
        <f t="shared" si="3"/>
        <v>Mtonne</v>
      </c>
    </row>
    <row r="152" spans="1:13" s="7" customFormat="1" x14ac:dyDescent="0.25">
      <c r="A152" s="4" t="str">
        <v>CA Lin</v>
      </c>
      <c r="B152" s="14">
        <f ca="1">'Preventative costs A'!B152-'Preventative costs B'!B152</f>
        <v>0</v>
      </c>
      <c r="C152" s="14">
        <f ca="1">'Preventative costs A'!C152-'Preventative costs B'!C152</f>
        <v>0</v>
      </c>
      <c r="D152" s="14">
        <f ca="1">'Preventative costs A'!D152-'Preventative costs B'!D152</f>
        <v>0</v>
      </c>
      <c r="E152" s="14">
        <f ca="1">'Preventative costs A'!E152-'Preventative costs B'!E152</f>
        <v>0</v>
      </c>
      <c r="F152" s="14">
        <f ca="1">'Preventative costs A'!F152-'Preventative costs B'!F152</f>
        <v>0</v>
      </c>
      <c r="G152" s="14">
        <f ca="1">'Preventative costs A'!G152-'Preventative costs B'!G152</f>
        <v>0</v>
      </c>
      <c r="H152" s="14">
        <f ca="1">'Preventative costs A'!H152-'Preventative costs B'!H152</f>
        <v>0</v>
      </c>
      <c r="I152" s="14">
        <f ca="1">'Preventative costs A'!I152-'Preventative costs B'!I152</f>
        <v>0</v>
      </c>
      <c r="J152" s="14">
        <f ca="1">'Preventative costs A'!J152-'Preventative costs B'!J152</f>
        <v>0</v>
      </c>
      <c r="K152" s="14">
        <f ca="1">'Preventative costs A'!K152-'Preventative costs B'!K152</f>
        <v>0</v>
      </c>
      <c r="M152" s="4" t="str">
        <f t="shared" si="3"/>
        <v>Mtonne</v>
      </c>
    </row>
    <row r="153" spans="1:13" s="7" customFormat="1" x14ac:dyDescent="0.25">
      <c r="A153" s="4" t="str">
        <v>IA Lin</v>
      </c>
      <c r="B153" s="14">
        <f ca="1">'Preventative costs A'!B153-'Preventative costs B'!B153</f>
        <v>0</v>
      </c>
      <c r="C153" s="14">
        <f ca="1">'Preventative costs A'!C153-'Preventative costs B'!C153</f>
        <v>0</v>
      </c>
      <c r="D153" s="14">
        <f ca="1">'Preventative costs A'!D153-'Preventative costs B'!D153</f>
        <v>0</v>
      </c>
      <c r="E153" s="14">
        <f ca="1">'Preventative costs A'!E153-'Preventative costs B'!E153</f>
        <v>0</v>
      </c>
      <c r="F153" s="14">
        <f ca="1">'Preventative costs A'!F153-'Preventative costs B'!F153</f>
        <v>0</v>
      </c>
      <c r="G153" s="14">
        <f ca="1">'Preventative costs A'!G153-'Preventative costs B'!G153</f>
        <v>0</v>
      </c>
      <c r="H153" s="14">
        <f ca="1">'Preventative costs A'!H153-'Preventative costs B'!H153</f>
        <v>0</v>
      </c>
      <c r="I153" s="14">
        <f ca="1">'Preventative costs A'!I153-'Preventative costs B'!I153</f>
        <v>0</v>
      </c>
      <c r="J153" s="14">
        <f ca="1">'Preventative costs A'!J153-'Preventative costs B'!J153</f>
        <v>0</v>
      </c>
      <c r="K153" s="14">
        <f ca="1">'Preventative costs A'!K153-'Preventative costs B'!K153</f>
        <v>0</v>
      </c>
      <c r="M153" s="4" t="str">
        <f t="shared" si="3"/>
        <v>Mtonne</v>
      </c>
    </row>
    <row r="154" spans="1:13" s="7" customFormat="1" x14ac:dyDescent="0.25">
      <c r="A154" s="4" t="str">
        <v>AF Lin</v>
      </c>
      <c r="B154" s="14">
        <f ca="1">'Preventative costs A'!B154-'Preventative costs B'!B154</f>
        <v>0</v>
      </c>
      <c r="C154" s="14">
        <f ca="1">'Preventative costs A'!C154-'Preventative costs B'!C154</f>
        <v>0</v>
      </c>
      <c r="D154" s="14">
        <f ca="1">'Preventative costs A'!D154-'Preventative costs B'!D154</f>
        <v>0</v>
      </c>
      <c r="E154" s="14">
        <f ca="1">'Preventative costs A'!E154-'Preventative costs B'!E154</f>
        <v>0</v>
      </c>
      <c r="F154" s="14">
        <f ca="1">'Preventative costs A'!F154-'Preventative costs B'!F154</f>
        <v>0</v>
      </c>
      <c r="G154" s="14">
        <f ca="1">'Preventative costs A'!G154-'Preventative costs B'!G154</f>
        <v>0</v>
      </c>
      <c r="H154" s="14">
        <f ca="1">'Preventative costs A'!H154-'Preventative costs B'!H154</f>
        <v>0</v>
      </c>
      <c r="I154" s="14">
        <f ca="1">'Preventative costs A'!I154-'Preventative costs B'!I154</f>
        <v>0</v>
      </c>
      <c r="J154" s="14">
        <f ca="1">'Preventative costs A'!J154-'Preventative costs B'!J154</f>
        <v>0</v>
      </c>
      <c r="K154" s="14">
        <f ca="1">'Preventative costs A'!K154-'Preventative costs B'!K154</f>
        <v>0</v>
      </c>
      <c r="M154" s="4" t="str">
        <f t="shared" si="3"/>
        <v>Mtonne</v>
      </c>
    </row>
    <row r="155" spans="1:13" s="7" customFormat="1" ht="13" thickBot="1" x14ac:dyDescent="0.3">
      <c r="A155" s="4" t="str">
        <v>LA Lin</v>
      </c>
      <c r="B155" s="16">
        <f ca="1">'Preventative costs A'!B155-'Preventative costs B'!B155</f>
        <v>0</v>
      </c>
      <c r="C155" s="16">
        <f ca="1">'Preventative costs A'!C155-'Preventative costs B'!C155</f>
        <v>0</v>
      </c>
      <c r="D155" s="16">
        <f ca="1">'Preventative costs A'!D155-'Preventative costs B'!D155</f>
        <v>0</v>
      </c>
      <c r="E155" s="16">
        <f ca="1">'Preventative costs A'!E155-'Preventative costs B'!E155</f>
        <v>0</v>
      </c>
      <c r="F155" s="16">
        <f ca="1">'Preventative costs A'!F155-'Preventative costs B'!F155</f>
        <v>0</v>
      </c>
      <c r="G155" s="16">
        <f ca="1">'Preventative costs A'!G155-'Preventative costs B'!G155</f>
        <v>0</v>
      </c>
      <c r="H155" s="16">
        <f ca="1">'Preventative costs A'!H155-'Preventative costs B'!H155</f>
        <v>0</v>
      </c>
      <c r="I155" s="16">
        <f ca="1">'Preventative costs A'!I155-'Preventative costs B'!I155</f>
        <v>0</v>
      </c>
      <c r="J155" s="16">
        <f ca="1">'Preventative costs A'!J155-'Preventative costs B'!J155</f>
        <v>0</v>
      </c>
      <c r="K155" s="16">
        <f ca="1">'Preventative costs A'!K155-'Preventative costs B'!K155</f>
        <v>0</v>
      </c>
      <c r="M155" s="4" t="str">
        <f t="shared" si="3"/>
        <v>Mtonne</v>
      </c>
    </row>
    <row r="156" spans="1:13" s="2" customFormat="1" ht="15.5" thickTop="1" x14ac:dyDescent="0.4">
      <c r="A156" s="2" t="s">
        <v>285</v>
      </c>
      <c r="B156" s="2" t="s">
        <v>290</v>
      </c>
    </row>
    <row r="157" spans="1:13" s="6" customFormat="1" x14ac:dyDescent="0.25">
      <c r="A157" s="4" t="str">
        <f t="array" ref="A157:A164">R_CODE&amp;" "&amp;'Base data'!$B$12</f>
        <v>EU CO2</v>
      </c>
      <c r="B157" s="27">
        <f>'Preventative costs A'!B157-'Preventative costs B'!B157</f>
        <v>0</v>
      </c>
      <c r="C157" s="27">
        <f ca="1">'Preventative costs A'!C157-'Preventative costs B'!C157</f>
        <v>0</v>
      </c>
      <c r="D157" s="27">
        <f ca="1">'Preventative costs A'!D157-'Preventative costs B'!D157</f>
        <v>0</v>
      </c>
      <c r="E157" s="27">
        <f ca="1">'Preventative costs A'!E157-'Preventative costs B'!E157</f>
        <v>0</v>
      </c>
      <c r="F157" s="27">
        <f ca="1">'Preventative costs A'!F157-'Preventative costs B'!F157</f>
        <v>0</v>
      </c>
      <c r="G157" s="27">
        <f ca="1">'Preventative costs A'!G157-'Preventative costs B'!G157</f>
        <v>0</v>
      </c>
      <c r="H157" s="27">
        <f ca="1">'Preventative costs A'!H157-'Preventative costs B'!H157</f>
        <v>0</v>
      </c>
      <c r="I157" s="27">
        <f ca="1">'Preventative costs A'!I157-'Preventative costs B'!I157</f>
        <v>0</v>
      </c>
      <c r="J157" s="27">
        <f ca="1">'Preventative costs A'!J157-'Preventative costs B'!J157</f>
        <v>0</v>
      </c>
      <c r="K157" s="27">
        <f ca="1">'Preventative costs A'!K157-'Preventative costs B'!K157</f>
        <v>0</v>
      </c>
      <c r="M157" s="4" t="str">
        <f t="shared" ref="M157:M165" si="4">EMIT_NAME</f>
        <v>Mtonne</v>
      </c>
    </row>
    <row r="158" spans="1:13" s="6" customFormat="1" x14ac:dyDescent="0.25">
      <c r="A158" s="4" t="str">
        <v>US CO2</v>
      </c>
      <c r="B158" s="28">
        <f>'Preventative costs A'!B158-'Preventative costs B'!B158</f>
        <v>0</v>
      </c>
      <c r="C158" s="28">
        <f ca="1">'Preventative costs A'!C158-'Preventative costs B'!C158</f>
        <v>0</v>
      </c>
      <c r="D158" s="28">
        <f ca="1">'Preventative costs A'!D158-'Preventative costs B'!D158</f>
        <v>0</v>
      </c>
      <c r="E158" s="28">
        <f ca="1">'Preventative costs A'!E158-'Preventative costs B'!E158</f>
        <v>0</v>
      </c>
      <c r="F158" s="28">
        <f ca="1">'Preventative costs A'!F158-'Preventative costs B'!F158</f>
        <v>0</v>
      </c>
      <c r="G158" s="28">
        <f ca="1">'Preventative costs A'!G158-'Preventative costs B'!G158</f>
        <v>0</v>
      </c>
      <c r="H158" s="28">
        <f ca="1">'Preventative costs A'!H158-'Preventative costs B'!H158</f>
        <v>0</v>
      </c>
      <c r="I158" s="28">
        <f ca="1">'Preventative costs A'!I158-'Preventative costs B'!I158</f>
        <v>0</v>
      </c>
      <c r="J158" s="28">
        <f ca="1">'Preventative costs A'!J158-'Preventative costs B'!J158</f>
        <v>0</v>
      </c>
      <c r="K158" s="28">
        <f ca="1">'Preventative costs A'!K158-'Preventative costs B'!K158</f>
        <v>0</v>
      </c>
      <c r="M158" s="4" t="str">
        <f t="shared" si="4"/>
        <v>Mtonne</v>
      </c>
    </row>
    <row r="159" spans="1:13" s="6" customFormat="1" x14ac:dyDescent="0.25">
      <c r="A159" s="4" t="str">
        <v>OT CO2</v>
      </c>
      <c r="B159" s="28">
        <f>'Preventative costs A'!B159-'Preventative costs B'!B159</f>
        <v>0</v>
      </c>
      <c r="C159" s="28">
        <f ca="1">'Preventative costs A'!C159-'Preventative costs B'!C159</f>
        <v>0</v>
      </c>
      <c r="D159" s="28">
        <f ca="1">'Preventative costs A'!D159-'Preventative costs B'!D159</f>
        <v>0</v>
      </c>
      <c r="E159" s="28">
        <f ca="1">'Preventative costs A'!E159-'Preventative costs B'!E159</f>
        <v>0</v>
      </c>
      <c r="F159" s="28">
        <f ca="1">'Preventative costs A'!F159-'Preventative costs B'!F159</f>
        <v>0</v>
      </c>
      <c r="G159" s="28">
        <f ca="1">'Preventative costs A'!G159-'Preventative costs B'!G159</f>
        <v>0</v>
      </c>
      <c r="H159" s="28">
        <f ca="1">'Preventative costs A'!H159-'Preventative costs B'!H159</f>
        <v>0</v>
      </c>
      <c r="I159" s="28">
        <f ca="1">'Preventative costs A'!I159-'Preventative costs B'!I159</f>
        <v>0</v>
      </c>
      <c r="J159" s="28">
        <f ca="1">'Preventative costs A'!J159-'Preventative costs B'!J159</f>
        <v>0</v>
      </c>
      <c r="K159" s="28">
        <f ca="1">'Preventative costs A'!K159-'Preventative costs B'!K159</f>
        <v>0</v>
      </c>
      <c r="M159" s="4" t="str">
        <f t="shared" si="4"/>
        <v>Mtonne</v>
      </c>
    </row>
    <row r="160" spans="1:13" s="6" customFormat="1" x14ac:dyDescent="0.25">
      <c r="A160" s="4" t="str">
        <v>EE CO2</v>
      </c>
      <c r="B160" s="28">
        <f>'Preventative costs A'!B160-'Preventative costs B'!B160</f>
        <v>0</v>
      </c>
      <c r="C160" s="28">
        <f ca="1">'Preventative costs A'!C160-'Preventative costs B'!C160</f>
        <v>0</v>
      </c>
      <c r="D160" s="28">
        <f ca="1">'Preventative costs A'!D160-'Preventative costs B'!D160</f>
        <v>0</v>
      </c>
      <c r="E160" s="28">
        <f ca="1">'Preventative costs A'!E160-'Preventative costs B'!E160</f>
        <v>0</v>
      </c>
      <c r="F160" s="28">
        <f ca="1">'Preventative costs A'!F160-'Preventative costs B'!F160</f>
        <v>0</v>
      </c>
      <c r="G160" s="28">
        <f ca="1">'Preventative costs A'!G160-'Preventative costs B'!G160</f>
        <v>0</v>
      </c>
      <c r="H160" s="28">
        <f ca="1">'Preventative costs A'!H160-'Preventative costs B'!H160</f>
        <v>0</v>
      </c>
      <c r="I160" s="28">
        <f ca="1">'Preventative costs A'!I160-'Preventative costs B'!I160</f>
        <v>0</v>
      </c>
      <c r="J160" s="28">
        <f ca="1">'Preventative costs A'!J160-'Preventative costs B'!J160</f>
        <v>0</v>
      </c>
      <c r="K160" s="28">
        <f ca="1">'Preventative costs A'!K160-'Preventative costs B'!K160</f>
        <v>0</v>
      </c>
      <c r="M160" s="4" t="str">
        <f t="shared" si="4"/>
        <v>Mtonne</v>
      </c>
    </row>
    <row r="161" spans="1:13" s="6" customFormat="1" x14ac:dyDescent="0.25">
      <c r="A161" s="4" t="str">
        <v>CA CO2</v>
      </c>
      <c r="B161" s="28">
        <f>'Preventative costs A'!B161-'Preventative costs B'!B161</f>
        <v>0</v>
      </c>
      <c r="C161" s="28">
        <f ca="1">'Preventative costs A'!C161-'Preventative costs B'!C161</f>
        <v>0</v>
      </c>
      <c r="D161" s="28">
        <f ca="1">'Preventative costs A'!D161-'Preventative costs B'!D161</f>
        <v>0</v>
      </c>
      <c r="E161" s="28">
        <f ca="1">'Preventative costs A'!E161-'Preventative costs B'!E161</f>
        <v>0</v>
      </c>
      <c r="F161" s="28">
        <f ca="1">'Preventative costs A'!F161-'Preventative costs B'!F161</f>
        <v>0</v>
      </c>
      <c r="G161" s="28">
        <f ca="1">'Preventative costs A'!G161-'Preventative costs B'!G161</f>
        <v>0</v>
      </c>
      <c r="H161" s="28">
        <f ca="1">'Preventative costs A'!H161-'Preventative costs B'!H161</f>
        <v>0</v>
      </c>
      <c r="I161" s="28">
        <f ca="1">'Preventative costs A'!I161-'Preventative costs B'!I161</f>
        <v>0</v>
      </c>
      <c r="J161" s="28">
        <f ca="1">'Preventative costs A'!J161-'Preventative costs B'!J161</f>
        <v>0</v>
      </c>
      <c r="K161" s="28">
        <f ca="1">'Preventative costs A'!K161-'Preventative costs B'!K161</f>
        <v>0</v>
      </c>
      <c r="M161" s="4" t="str">
        <f t="shared" si="4"/>
        <v>Mtonne</v>
      </c>
    </row>
    <row r="162" spans="1:13" s="6" customFormat="1" x14ac:dyDescent="0.25">
      <c r="A162" s="4" t="str">
        <v>IA CO2</v>
      </c>
      <c r="B162" s="28">
        <f>'Preventative costs A'!B162-'Preventative costs B'!B162</f>
        <v>0</v>
      </c>
      <c r="C162" s="28">
        <f ca="1">'Preventative costs A'!C162-'Preventative costs B'!C162</f>
        <v>0</v>
      </c>
      <c r="D162" s="28">
        <f ca="1">'Preventative costs A'!D162-'Preventative costs B'!D162</f>
        <v>0</v>
      </c>
      <c r="E162" s="28">
        <f ca="1">'Preventative costs A'!E162-'Preventative costs B'!E162</f>
        <v>0</v>
      </c>
      <c r="F162" s="28">
        <f ca="1">'Preventative costs A'!F162-'Preventative costs B'!F162</f>
        <v>0</v>
      </c>
      <c r="G162" s="28">
        <f ca="1">'Preventative costs A'!G162-'Preventative costs B'!G162</f>
        <v>0</v>
      </c>
      <c r="H162" s="28">
        <f ca="1">'Preventative costs A'!H162-'Preventative costs B'!H162</f>
        <v>0</v>
      </c>
      <c r="I162" s="28">
        <f ca="1">'Preventative costs A'!I162-'Preventative costs B'!I162</f>
        <v>0</v>
      </c>
      <c r="J162" s="28">
        <f ca="1">'Preventative costs A'!J162-'Preventative costs B'!J162</f>
        <v>0</v>
      </c>
      <c r="K162" s="28">
        <f ca="1">'Preventative costs A'!K162-'Preventative costs B'!K162</f>
        <v>0</v>
      </c>
      <c r="M162" s="4" t="str">
        <f t="shared" si="4"/>
        <v>Mtonne</v>
      </c>
    </row>
    <row r="163" spans="1:13" s="6" customFormat="1" x14ac:dyDescent="0.25">
      <c r="A163" s="4" t="str">
        <v>AF CO2</v>
      </c>
      <c r="B163" s="28">
        <f>'Preventative costs A'!B163-'Preventative costs B'!B163</f>
        <v>0</v>
      </c>
      <c r="C163" s="28">
        <f ca="1">'Preventative costs A'!C163-'Preventative costs B'!C163</f>
        <v>0</v>
      </c>
      <c r="D163" s="28">
        <f ca="1">'Preventative costs A'!D163-'Preventative costs B'!D163</f>
        <v>0</v>
      </c>
      <c r="E163" s="28">
        <f ca="1">'Preventative costs A'!E163-'Preventative costs B'!E163</f>
        <v>0</v>
      </c>
      <c r="F163" s="28">
        <f ca="1">'Preventative costs A'!F163-'Preventative costs B'!F163</f>
        <v>0</v>
      </c>
      <c r="G163" s="28">
        <f ca="1">'Preventative costs A'!G163-'Preventative costs B'!G163</f>
        <v>0</v>
      </c>
      <c r="H163" s="28">
        <f ca="1">'Preventative costs A'!H163-'Preventative costs B'!H163</f>
        <v>0</v>
      </c>
      <c r="I163" s="28">
        <f ca="1">'Preventative costs A'!I163-'Preventative costs B'!I163</f>
        <v>0</v>
      </c>
      <c r="J163" s="28">
        <f ca="1">'Preventative costs A'!J163-'Preventative costs B'!J163</f>
        <v>0</v>
      </c>
      <c r="K163" s="28">
        <f ca="1">'Preventative costs A'!K163-'Preventative costs B'!K163</f>
        <v>0</v>
      </c>
      <c r="M163" s="4" t="str">
        <f t="shared" si="4"/>
        <v>Mtonne</v>
      </c>
    </row>
    <row r="164" spans="1:13" s="6" customFormat="1" ht="13" thickBot="1" x14ac:dyDescent="0.3">
      <c r="A164" s="4" t="str">
        <v>LA CO2</v>
      </c>
      <c r="B164" s="36">
        <f>'Preventative costs A'!B164-'Preventative costs B'!B164</f>
        <v>0</v>
      </c>
      <c r="C164" s="36">
        <f ca="1">'Preventative costs A'!C164-'Preventative costs B'!C164</f>
        <v>0</v>
      </c>
      <c r="D164" s="36">
        <f ca="1">'Preventative costs A'!D164-'Preventative costs B'!D164</f>
        <v>0</v>
      </c>
      <c r="E164" s="36">
        <f ca="1">'Preventative costs A'!E164-'Preventative costs B'!E164</f>
        <v>0</v>
      </c>
      <c r="F164" s="36">
        <f ca="1">'Preventative costs A'!F164-'Preventative costs B'!F164</f>
        <v>0</v>
      </c>
      <c r="G164" s="36">
        <f ca="1">'Preventative costs A'!G164-'Preventative costs B'!G164</f>
        <v>0</v>
      </c>
      <c r="H164" s="36">
        <f ca="1">'Preventative costs A'!H164-'Preventative costs B'!H164</f>
        <v>0</v>
      </c>
      <c r="I164" s="36">
        <f ca="1">'Preventative costs A'!I164-'Preventative costs B'!I164</f>
        <v>0</v>
      </c>
      <c r="J164" s="36">
        <f ca="1">'Preventative costs A'!J164-'Preventative costs B'!J164</f>
        <v>0</v>
      </c>
      <c r="K164" s="36">
        <f ca="1">'Preventative costs A'!K164-'Preventative costs B'!K164</f>
        <v>0</v>
      </c>
      <c r="M164" s="4" t="str">
        <f t="shared" si="4"/>
        <v>Mtonne</v>
      </c>
    </row>
    <row r="165" spans="1:13" s="6" customFormat="1" ht="13" thickTop="1" x14ac:dyDescent="0.25">
      <c r="A165" s="58" t="s">
        <v>206</v>
      </c>
      <c r="B165" s="28">
        <f>'Preventative costs A'!B165-'Preventative costs B'!B165</f>
        <v>0</v>
      </c>
      <c r="C165" s="28">
        <f ca="1">'Preventative costs A'!C165-'Preventative costs B'!C165</f>
        <v>0</v>
      </c>
      <c r="D165" s="28">
        <f ca="1">'Preventative costs A'!D165-'Preventative costs B'!D165</f>
        <v>0</v>
      </c>
      <c r="E165" s="28">
        <f ca="1">'Preventative costs A'!E165-'Preventative costs B'!E165</f>
        <v>0</v>
      </c>
      <c r="F165" s="28">
        <f ca="1">'Preventative costs A'!F165-'Preventative costs B'!F165</f>
        <v>0</v>
      </c>
      <c r="G165" s="28">
        <f ca="1">'Preventative costs A'!G165-'Preventative costs B'!G165</f>
        <v>0</v>
      </c>
      <c r="H165" s="28">
        <f ca="1">'Preventative costs A'!H165-'Preventative costs B'!H165</f>
        <v>0</v>
      </c>
      <c r="I165" s="28">
        <f ca="1">'Preventative costs A'!I165-'Preventative costs B'!I165</f>
        <v>0</v>
      </c>
      <c r="J165" s="28">
        <f ca="1">'Preventative costs A'!J165-'Preventative costs B'!J165</f>
        <v>0</v>
      </c>
      <c r="K165" s="28">
        <f ca="1">'Preventative costs A'!K165-'Preventative costs B'!K165</f>
        <v>0</v>
      </c>
      <c r="M165" s="4" t="str">
        <f t="shared" si="4"/>
        <v>Mtonne</v>
      </c>
    </row>
    <row r="166" spans="1:13" s="8" customFormat="1" ht="15" x14ac:dyDescent="0.4">
      <c r="A166" s="2" t="s">
        <v>285</v>
      </c>
      <c r="B166" s="2" t="s">
        <v>291</v>
      </c>
      <c r="C166" s="2"/>
      <c r="D166" s="2"/>
      <c r="E166" s="2"/>
      <c r="F166" s="2"/>
      <c r="G166" s="2"/>
      <c r="H166" s="2"/>
      <c r="I166" s="2"/>
      <c r="J166" s="2"/>
      <c r="K166" s="2"/>
    </row>
    <row r="167" spans="1:13" s="7" customFormat="1" x14ac:dyDescent="0.25">
      <c r="A167" s="4" t="str">
        <f t="array" ref="A167:A174">R_CODE&amp;" "&amp;'Base data'!$C$12</f>
        <v>EU CH4</v>
      </c>
      <c r="B167" s="27">
        <f>'Preventative costs A'!B167-'Preventative costs B'!B167</f>
        <v>0</v>
      </c>
      <c r="C167" s="27">
        <f ca="1">'Preventative costs A'!C167-'Preventative costs B'!C167</f>
        <v>0</v>
      </c>
      <c r="D167" s="27">
        <f ca="1">'Preventative costs A'!D167-'Preventative costs B'!D167</f>
        <v>0</v>
      </c>
      <c r="E167" s="27">
        <f ca="1">'Preventative costs A'!E167-'Preventative costs B'!E167</f>
        <v>0</v>
      </c>
      <c r="F167" s="27">
        <f ca="1">'Preventative costs A'!F167-'Preventative costs B'!F167</f>
        <v>0</v>
      </c>
      <c r="G167" s="27">
        <f ca="1">'Preventative costs A'!G167-'Preventative costs B'!G167</f>
        <v>0</v>
      </c>
      <c r="H167" s="27">
        <f ca="1">'Preventative costs A'!H167-'Preventative costs B'!H167</f>
        <v>0</v>
      </c>
      <c r="I167" s="27">
        <f ca="1">'Preventative costs A'!I167-'Preventative costs B'!I167</f>
        <v>0</v>
      </c>
      <c r="J167" s="27">
        <f ca="1">'Preventative costs A'!J167-'Preventative costs B'!J167</f>
        <v>0</v>
      </c>
      <c r="K167" s="27">
        <f ca="1">'Preventative costs A'!K167-'Preventative costs B'!K167</f>
        <v>0</v>
      </c>
      <c r="M167" s="4" t="str">
        <f t="shared" ref="M167:M175" si="5">EMIT_NAME</f>
        <v>Mtonne</v>
      </c>
    </row>
    <row r="168" spans="1:13" s="7" customFormat="1" x14ac:dyDescent="0.25">
      <c r="A168" s="4" t="str">
        <v>US CH4</v>
      </c>
      <c r="B168" s="28">
        <f>'Preventative costs A'!B168-'Preventative costs B'!B168</f>
        <v>0</v>
      </c>
      <c r="C168" s="28">
        <f ca="1">'Preventative costs A'!C168-'Preventative costs B'!C168</f>
        <v>0</v>
      </c>
      <c r="D168" s="28">
        <f ca="1">'Preventative costs A'!D168-'Preventative costs B'!D168</f>
        <v>0</v>
      </c>
      <c r="E168" s="28">
        <f ca="1">'Preventative costs A'!E168-'Preventative costs B'!E168</f>
        <v>0</v>
      </c>
      <c r="F168" s="28">
        <f ca="1">'Preventative costs A'!F168-'Preventative costs B'!F168</f>
        <v>0</v>
      </c>
      <c r="G168" s="28">
        <f ca="1">'Preventative costs A'!G168-'Preventative costs B'!G168</f>
        <v>0</v>
      </c>
      <c r="H168" s="28">
        <f ca="1">'Preventative costs A'!H168-'Preventative costs B'!H168</f>
        <v>0</v>
      </c>
      <c r="I168" s="28">
        <f ca="1">'Preventative costs A'!I168-'Preventative costs B'!I168</f>
        <v>0</v>
      </c>
      <c r="J168" s="28">
        <f ca="1">'Preventative costs A'!J168-'Preventative costs B'!J168</f>
        <v>0</v>
      </c>
      <c r="K168" s="28">
        <f ca="1">'Preventative costs A'!K168-'Preventative costs B'!K168</f>
        <v>0</v>
      </c>
      <c r="M168" s="4" t="str">
        <f t="shared" si="5"/>
        <v>Mtonne</v>
      </c>
    </row>
    <row r="169" spans="1:13" s="7" customFormat="1" x14ac:dyDescent="0.25">
      <c r="A169" s="4" t="str">
        <v>OT CH4</v>
      </c>
      <c r="B169" s="28">
        <f>'Preventative costs A'!B169-'Preventative costs B'!B169</f>
        <v>0</v>
      </c>
      <c r="C169" s="28">
        <f ca="1">'Preventative costs A'!C169-'Preventative costs B'!C169</f>
        <v>0</v>
      </c>
      <c r="D169" s="28">
        <f ca="1">'Preventative costs A'!D169-'Preventative costs B'!D169</f>
        <v>0</v>
      </c>
      <c r="E169" s="28">
        <f ca="1">'Preventative costs A'!E169-'Preventative costs B'!E169</f>
        <v>0</v>
      </c>
      <c r="F169" s="28">
        <f ca="1">'Preventative costs A'!F169-'Preventative costs B'!F169</f>
        <v>0</v>
      </c>
      <c r="G169" s="28">
        <f ca="1">'Preventative costs A'!G169-'Preventative costs B'!G169</f>
        <v>0</v>
      </c>
      <c r="H169" s="28">
        <f ca="1">'Preventative costs A'!H169-'Preventative costs B'!H169</f>
        <v>0</v>
      </c>
      <c r="I169" s="28">
        <f ca="1">'Preventative costs A'!I169-'Preventative costs B'!I169</f>
        <v>0</v>
      </c>
      <c r="J169" s="28">
        <f ca="1">'Preventative costs A'!J169-'Preventative costs B'!J169</f>
        <v>0</v>
      </c>
      <c r="K169" s="28">
        <f ca="1">'Preventative costs A'!K169-'Preventative costs B'!K169</f>
        <v>0</v>
      </c>
      <c r="M169" s="4" t="str">
        <f t="shared" si="5"/>
        <v>Mtonne</v>
      </c>
    </row>
    <row r="170" spans="1:13" s="7" customFormat="1" x14ac:dyDescent="0.25">
      <c r="A170" s="4" t="str">
        <v>EE CH4</v>
      </c>
      <c r="B170" s="28">
        <f>'Preventative costs A'!B170-'Preventative costs B'!B170</f>
        <v>0</v>
      </c>
      <c r="C170" s="28">
        <f ca="1">'Preventative costs A'!C170-'Preventative costs B'!C170</f>
        <v>0</v>
      </c>
      <c r="D170" s="28">
        <f ca="1">'Preventative costs A'!D170-'Preventative costs B'!D170</f>
        <v>0</v>
      </c>
      <c r="E170" s="28">
        <f ca="1">'Preventative costs A'!E170-'Preventative costs B'!E170</f>
        <v>0</v>
      </c>
      <c r="F170" s="28">
        <f ca="1">'Preventative costs A'!F170-'Preventative costs B'!F170</f>
        <v>0</v>
      </c>
      <c r="G170" s="28">
        <f ca="1">'Preventative costs A'!G170-'Preventative costs B'!G170</f>
        <v>0</v>
      </c>
      <c r="H170" s="28">
        <f ca="1">'Preventative costs A'!H170-'Preventative costs B'!H170</f>
        <v>0</v>
      </c>
      <c r="I170" s="28">
        <f ca="1">'Preventative costs A'!I170-'Preventative costs B'!I170</f>
        <v>0</v>
      </c>
      <c r="J170" s="28">
        <f ca="1">'Preventative costs A'!J170-'Preventative costs B'!J170</f>
        <v>0</v>
      </c>
      <c r="K170" s="28">
        <f ca="1">'Preventative costs A'!K170-'Preventative costs B'!K170</f>
        <v>0</v>
      </c>
      <c r="M170" s="4" t="str">
        <f t="shared" si="5"/>
        <v>Mtonne</v>
      </c>
    </row>
    <row r="171" spans="1:13" s="7" customFormat="1" x14ac:dyDescent="0.25">
      <c r="A171" s="4" t="str">
        <v>CA CH4</v>
      </c>
      <c r="B171" s="28">
        <f>'Preventative costs A'!B171-'Preventative costs B'!B171</f>
        <v>0</v>
      </c>
      <c r="C171" s="28">
        <f ca="1">'Preventative costs A'!C171-'Preventative costs B'!C171</f>
        <v>0</v>
      </c>
      <c r="D171" s="28">
        <f ca="1">'Preventative costs A'!D171-'Preventative costs B'!D171</f>
        <v>0</v>
      </c>
      <c r="E171" s="28">
        <f ca="1">'Preventative costs A'!E171-'Preventative costs B'!E171</f>
        <v>0</v>
      </c>
      <c r="F171" s="28">
        <f ca="1">'Preventative costs A'!F171-'Preventative costs B'!F171</f>
        <v>0</v>
      </c>
      <c r="G171" s="28">
        <f ca="1">'Preventative costs A'!G171-'Preventative costs B'!G171</f>
        <v>0</v>
      </c>
      <c r="H171" s="28">
        <f ca="1">'Preventative costs A'!H171-'Preventative costs B'!H171</f>
        <v>0</v>
      </c>
      <c r="I171" s="28">
        <f ca="1">'Preventative costs A'!I171-'Preventative costs B'!I171</f>
        <v>0</v>
      </c>
      <c r="J171" s="28">
        <f ca="1">'Preventative costs A'!J171-'Preventative costs B'!J171</f>
        <v>0</v>
      </c>
      <c r="K171" s="28">
        <f ca="1">'Preventative costs A'!K171-'Preventative costs B'!K171</f>
        <v>0</v>
      </c>
      <c r="M171" s="4" t="str">
        <f t="shared" si="5"/>
        <v>Mtonne</v>
      </c>
    </row>
    <row r="172" spans="1:13" s="7" customFormat="1" x14ac:dyDescent="0.25">
      <c r="A172" s="4" t="str">
        <v>IA CH4</v>
      </c>
      <c r="B172" s="28">
        <f>'Preventative costs A'!B172-'Preventative costs B'!B172</f>
        <v>0</v>
      </c>
      <c r="C172" s="28">
        <f ca="1">'Preventative costs A'!C172-'Preventative costs B'!C172</f>
        <v>0</v>
      </c>
      <c r="D172" s="28">
        <f ca="1">'Preventative costs A'!D172-'Preventative costs B'!D172</f>
        <v>0</v>
      </c>
      <c r="E172" s="28">
        <f ca="1">'Preventative costs A'!E172-'Preventative costs B'!E172</f>
        <v>0</v>
      </c>
      <c r="F172" s="28">
        <f ca="1">'Preventative costs A'!F172-'Preventative costs B'!F172</f>
        <v>0</v>
      </c>
      <c r="G172" s="28">
        <f ca="1">'Preventative costs A'!G172-'Preventative costs B'!G172</f>
        <v>0</v>
      </c>
      <c r="H172" s="28">
        <f ca="1">'Preventative costs A'!H172-'Preventative costs B'!H172</f>
        <v>0</v>
      </c>
      <c r="I172" s="28">
        <f ca="1">'Preventative costs A'!I172-'Preventative costs B'!I172</f>
        <v>0</v>
      </c>
      <c r="J172" s="28">
        <f ca="1">'Preventative costs A'!J172-'Preventative costs B'!J172</f>
        <v>0</v>
      </c>
      <c r="K172" s="28">
        <f ca="1">'Preventative costs A'!K172-'Preventative costs B'!K172</f>
        <v>0</v>
      </c>
      <c r="M172" s="4" t="str">
        <f t="shared" si="5"/>
        <v>Mtonne</v>
      </c>
    </row>
    <row r="173" spans="1:13" s="7" customFormat="1" x14ac:dyDescent="0.25">
      <c r="A173" s="4" t="str">
        <v>AF CH4</v>
      </c>
      <c r="B173" s="28">
        <f>'Preventative costs A'!B173-'Preventative costs B'!B173</f>
        <v>0</v>
      </c>
      <c r="C173" s="28">
        <f ca="1">'Preventative costs A'!C173-'Preventative costs B'!C173</f>
        <v>0</v>
      </c>
      <c r="D173" s="28">
        <f ca="1">'Preventative costs A'!D173-'Preventative costs B'!D173</f>
        <v>0</v>
      </c>
      <c r="E173" s="28">
        <f ca="1">'Preventative costs A'!E173-'Preventative costs B'!E173</f>
        <v>0</v>
      </c>
      <c r="F173" s="28">
        <f ca="1">'Preventative costs A'!F173-'Preventative costs B'!F173</f>
        <v>0</v>
      </c>
      <c r="G173" s="28">
        <f ca="1">'Preventative costs A'!G173-'Preventative costs B'!G173</f>
        <v>0</v>
      </c>
      <c r="H173" s="28">
        <f ca="1">'Preventative costs A'!H173-'Preventative costs B'!H173</f>
        <v>0</v>
      </c>
      <c r="I173" s="28">
        <f ca="1">'Preventative costs A'!I173-'Preventative costs B'!I173</f>
        <v>0</v>
      </c>
      <c r="J173" s="28">
        <f ca="1">'Preventative costs A'!J173-'Preventative costs B'!J173</f>
        <v>0</v>
      </c>
      <c r="K173" s="28">
        <f ca="1">'Preventative costs A'!K173-'Preventative costs B'!K173</f>
        <v>0</v>
      </c>
      <c r="M173" s="4" t="str">
        <f t="shared" si="5"/>
        <v>Mtonne</v>
      </c>
    </row>
    <row r="174" spans="1:13" s="7" customFormat="1" ht="13" thickBot="1" x14ac:dyDescent="0.3">
      <c r="A174" s="4" t="str">
        <v>LA CH4</v>
      </c>
      <c r="B174" s="36">
        <f>'Preventative costs A'!B174-'Preventative costs B'!B174</f>
        <v>0</v>
      </c>
      <c r="C174" s="36">
        <f ca="1">'Preventative costs A'!C174-'Preventative costs B'!C174</f>
        <v>0</v>
      </c>
      <c r="D174" s="36">
        <f ca="1">'Preventative costs A'!D174-'Preventative costs B'!D174</f>
        <v>0</v>
      </c>
      <c r="E174" s="36">
        <f ca="1">'Preventative costs A'!E174-'Preventative costs B'!E174</f>
        <v>0</v>
      </c>
      <c r="F174" s="36">
        <f ca="1">'Preventative costs A'!F174-'Preventative costs B'!F174</f>
        <v>0</v>
      </c>
      <c r="G174" s="36">
        <f ca="1">'Preventative costs A'!G174-'Preventative costs B'!G174</f>
        <v>0</v>
      </c>
      <c r="H174" s="36">
        <f ca="1">'Preventative costs A'!H174-'Preventative costs B'!H174</f>
        <v>0</v>
      </c>
      <c r="I174" s="36">
        <f ca="1">'Preventative costs A'!I174-'Preventative costs B'!I174</f>
        <v>0</v>
      </c>
      <c r="J174" s="36">
        <f ca="1">'Preventative costs A'!J174-'Preventative costs B'!J174</f>
        <v>0</v>
      </c>
      <c r="K174" s="36">
        <f ca="1">'Preventative costs A'!K174-'Preventative costs B'!K174</f>
        <v>0</v>
      </c>
      <c r="M174" s="4" t="str">
        <f t="shared" si="5"/>
        <v>Mtonne</v>
      </c>
    </row>
    <row r="175" spans="1:13" s="6" customFormat="1" ht="13" thickTop="1" x14ac:dyDescent="0.25">
      <c r="A175" s="58" t="s">
        <v>206</v>
      </c>
      <c r="B175" s="28">
        <f>'Preventative costs A'!B175-'Preventative costs B'!B175</f>
        <v>0</v>
      </c>
      <c r="C175" s="28">
        <f ca="1">'Preventative costs A'!C175-'Preventative costs B'!C175</f>
        <v>0</v>
      </c>
      <c r="D175" s="28">
        <f ca="1">'Preventative costs A'!D175-'Preventative costs B'!D175</f>
        <v>0</v>
      </c>
      <c r="E175" s="28">
        <f ca="1">'Preventative costs A'!E175-'Preventative costs B'!E175</f>
        <v>0</v>
      </c>
      <c r="F175" s="28">
        <f ca="1">'Preventative costs A'!F175-'Preventative costs B'!F175</f>
        <v>0</v>
      </c>
      <c r="G175" s="28">
        <f ca="1">'Preventative costs A'!G175-'Preventative costs B'!G175</f>
        <v>0</v>
      </c>
      <c r="H175" s="28">
        <f ca="1">'Preventative costs A'!H175-'Preventative costs B'!H175</f>
        <v>0</v>
      </c>
      <c r="I175" s="28">
        <f ca="1">'Preventative costs A'!I175-'Preventative costs B'!I175</f>
        <v>0</v>
      </c>
      <c r="J175" s="28">
        <f ca="1">'Preventative costs A'!J175-'Preventative costs B'!J175</f>
        <v>0</v>
      </c>
      <c r="K175" s="28">
        <f ca="1">'Preventative costs A'!K175-'Preventative costs B'!K175</f>
        <v>0</v>
      </c>
      <c r="M175" s="4" t="str">
        <f t="shared" si="5"/>
        <v>Mtonne</v>
      </c>
    </row>
    <row r="176" spans="1:13" s="8" customFormat="1" ht="15" x14ac:dyDescent="0.4">
      <c r="A176" s="2" t="s">
        <v>285</v>
      </c>
      <c r="B176" s="8" t="s">
        <v>292</v>
      </c>
    </row>
    <row r="177" spans="1:13" s="7" customFormat="1" x14ac:dyDescent="0.25">
      <c r="A177" s="4" t="str">
        <f t="array" ref="A177:A184">R_CODE&amp;" "&amp;'Base data'!$D$12</f>
        <v>EU N2O</v>
      </c>
      <c r="B177" s="27">
        <f>'Preventative costs A'!B177-'Preventative costs B'!B177</f>
        <v>0</v>
      </c>
      <c r="C177" s="27">
        <f ca="1">'Preventative costs A'!C177-'Preventative costs B'!C177</f>
        <v>0</v>
      </c>
      <c r="D177" s="27">
        <f ca="1">'Preventative costs A'!D177-'Preventative costs B'!D177</f>
        <v>0</v>
      </c>
      <c r="E177" s="27">
        <f ca="1">'Preventative costs A'!E177-'Preventative costs B'!E177</f>
        <v>0</v>
      </c>
      <c r="F177" s="27">
        <f ca="1">'Preventative costs A'!F177-'Preventative costs B'!F177</f>
        <v>0</v>
      </c>
      <c r="G177" s="27">
        <f ca="1">'Preventative costs A'!G177-'Preventative costs B'!G177</f>
        <v>0</v>
      </c>
      <c r="H177" s="27">
        <f ca="1">'Preventative costs A'!H177-'Preventative costs B'!H177</f>
        <v>0</v>
      </c>
      <c r="I177" s="27">
        <f ca="1">'Preventative costs A'!I177-'Preventative costs B'!I177</f>
        <v>0</v>
      </c>
      <c r="J177" s="27">
        <f ca="1">'Preventative costs A'!J177-'Preventative costs B'!J177</f>
        <v>0</v>
      </c>
      <c r="K177" s="27">
        <f ca="1">'Preventative costs A'!K177-'Preventative costs B'!K177</f>
        <v>0</v>
      </c>
      <c r="M177" s="4" t="str">
        <f t="shared" ref="M177:M185" si="6">EMIT_NAME</f>
        <v>Mtonne</v>
      </c>
    </row>
    <row r="178" spans="1:13" s="7" customFormat="1" x14ac:dyDescent="0.25">
      <c r="A178" s="4" t="str">
        <v>US N2O</v>
      </c>
      <c r="B178" s="28">
        <f>'Preventative costs A'!B178-'Preventative costs B'!B178</f>
        <v>0</v>
      </c>
      <c r="C178" s="28">
        <f ca="1">'Preventative costs A'!C178-'Preventative costs B'!C178</f>
        <v>0</v>
      </c>
      <c r="D178" s="28">
        <f ca="1">'Preventative costs A'!D178-'Preventative costs B'!D178</f>
        <v>0</v>
      </c>
      <c r="E178" s="28">
        <f ca="1">'Preventative costs A'!E178-'Preventative costs B'!E178</f>
        <v>0</v>
      </c>
      <c r="F178" s="28">
        <f ca="1">'Preventative costs A'!F178-'Preventative costs B'!F178</f>
        <v>0</v>
      </c>
      <c r="G178" s="28">
        <f ca="1">'Preventative costs A'!G178-'Preventative costs B'!G178</f>
        <v>0</v>
      </c>
      <c r="H178" s="28">
        <f ca="1">'Preventative costs A'!H178-'Preventative costs B'!H178</f>
        <v>0</v>
      </c>
      <c r="I178" s="28">
        <f ca="1">'Preventative costs A'!I178-'Preventative costs B'!I178</f>
        <v>0</v>
      </c>
      <c r="J178" s="28">
        <f ca="1">'Preventative costs A'!J178-'Preventative costs B'!J178</f>
        <v>0</v>
      </c>
      <c r="K178" s="28">
        <f ca="1">'Preventative costs A'!K178-'Preventative costs B'!K178</f>
        <v>0</v>
      </c>
      <c r="M178" s="4" t="str">
        <f t="shared" si="6"/>
        <v>Mtonne</v>
      </c>
    </row>
    <row r="179" spans="1:13" s="7" customFormat="1" x14ac:dyDescent="0.25">
      <c r="A179" s="4" t="str">
        <v>OT N2O</v>
      </c>
      <c r="B179" s="28">
        <f>'Preventative costs A'!B179-'Preventative costs B'!B179</f>
        <v>0</v>
      </c>
      <c r="C179" s="28">
        <f ca="1">'Preventative costs A'!C179-'Preventative costs B'!C179</f>
        <v>0</v>
      </c>
      <c r="D179" s="28">
        <f ca="1">'Preventative costs A'!D179-'Preventative costs B'!D179</f>
        <v>0</v>
      </c>
      <c r="E179" s="28">
        <f ca="1">'Preventative costs A'!E179-'Preventative costs B'!E179</f>
        <v>0</v>
      </c>
      <c r="F179" s="28">
        <f ca="1">'Preventative costs A'!F179-'Preventative costs B'!F179</f>
        <v>0</v>
      </c>
      <c r="G179" s="28">
        <f ca="1">'Preventative costs A'!G179-'Preventative costs B'!G179</f>
        <v>0</v>
      </c>
      <c r="H179" s="28">
        <f ca="1">'Preventative costs A'!H179-'Preventative costs B'!H179</f>
        <v>0</v>
      </c>
      <c r="I179" s="28">
        <f ca="1">'Preventative costs A'!I179-'Preventative costs B'!I179</f>
        <v>0</v>
      </c>
      <c r="J179" s="28">
        <f ca="1">'Preventative costs A'!J179-'Preventative costs B'!J179</f>
        <v>0</v>
      </c>
      <c r="K179" s="28">
        <f ca="1">'Preventative costs A'!K179-'Preventative costs B'!K179</f>
        <v>0</v>
      </c>
      <c r="M179" s="4" t="str">
        <f t="shared" si="6"/>
        <v>Mtonne</v>
      </c>
    </row>
    <row r="180" spans="1:13" s="7" customFormat="1" x14ac:dyDescent="0.25">
      <c r="A180" s="4" t="str">
        <v>EE N2O</v>
      </c>
      <c r="B180" s="28">
        <f>'Preventative costs A'!B180-'Preventative costs B'!B180</f>
        <v>0</v>
      </c>
      <c r="C180" s="28">
        <f ca="1">'Preventative costs A'!C180-'Preventative costs B'!C180</f>
        <v>0</v>
      </c>
      <c r="D180" s="28">
        <f ca="1">'Preventative costs A'!D180-'Preventative costs B'!D180</f>
        <v>0</v>
      </c>
      <c r="E180" s="28">
        <f ca="1">'Preventative costs A'!E180-'Preventative costs B'!E180</f>
        <v>0</v>
      </c>
      <c r="F180" s="28">
        <f ca="1">'Preventative costs A'!F180-'Preventative costs B'!F180</f>
        <v>0</v>
      </c>
      <c r="G180" s="28">
        <f ca="1">'Preventative costs A'!G180-'Preventative costs B'!G180</f>
        <v>0</v>
      </c>
      <c r="H180" s="28">
        <f ca="1">'Preventative costs A'!H180-'Preventative costs B'!H180</f>
        <v>0</v>
      </c>
      <c r="I180" s="28">
        <f ca="1">'Preventative costs A'!I180-'Preventative costs B'!I180</f>
        <v>0</v>
      </c>
      <c r="J180" s="28">
        <f ca="1">'Preventative costs A'!J180-'Preventative costs B'!J180</f>
        <v>0</v>
      </c>
      <c r="K180" s="28">
        <f ca="1">'Preventative costs A'!K180-'Preventative costs B'!K180</f>
        <v>0</v>
      </c>
      <c r="M180" s="4" t="str">
        <f t="shared" si="6"/>
        <v>Mtonne</v>
      </c>
    </row>
    <row r="181" spans="1:13" s="7" customFormat="1" x14ac:dyDescent="0.25">
      <c r="A181" s="4" t="str">
        <v>CA N2O</v>
      </c>
      <c r="B181" s="28">
        <f>'Preventative costs A'!B181-'Preventative costs B'!B181</f>
        <v>0</v>
      </c>
      <c r="C181" s="28">
        <f ca="1">'Preventative costs A'!C181-'Preventative costs B'!C181</f>
        <v>0</v>
      </c>
      <c r="D181" s="28">
        <f ca="1">'Preventative costs A'!D181-'Preventative costs B'!D181</f>
        <v>0</v>
      </c>
      <c r="E181" s="28">
        <f ca="1">'Preventative costs A'!E181-'Preventative costs B'!E181</f>
        <v>0</v>
      </c>
      <c r="F181" s="28">
        <f ca="1">'Preventative costs A'!F181-'Preventative costs B'!F181</f>
        <v>0</v>
      </c>
      <c r="G181" s="28">
        <f ca="1">'Preventative costs A'!G181-'Preventative costs B'!G181</f>
        <v>0</v>
      </c>
      <c r="H181" s="28">
        <f ca="1">'Preventative costs A'!H181-'Preventative costs B'!H181</f>
        <v>0</v>
      </c>
      <c r="I181" s="28">
        <f ca="1">'Preventative costs A'!I181-'Preventative costs B'!I181</f>
        <v>0</v>
      </c>
      <c r="J181" s="28">
        <f ca="1">'Preventative costs A'!J181-'Preventative costs B'!J181</f>
        <v>0</v>
      </c>
      <c r="K181" s="28">
        <f ca="1">'Preventative costs A'!K181-'Preventative costs B'!K181</f>
        <v>0</v>
      </c>
      <c r="M181" s="4" t="str">
        <f t="shared" si="6"/>
        <v>Mtonne</v>
      </c>
    </row>
    <row r="182" spans="1:13" s="7" customFormat="1" x14ac:dyDescent="0.25">
      <c r="A182" s="4" t="str">
        <v>IA N2O</v>
      </c>
      <c r="B182" s="28">
        <f>'Preventative costs A'!B182-'Preventative costs B'!B182</f>
        <v>0</v>
      </c>
      <c r="C182" s="28">
        <f ca="1">'Preventative costs A'!C182-'Preventative costs B'!C182</f>
        <v>0</v>
      </c>
      <c r="D182" s="28">
        <f ca="1">'Preventative costs A'!D182-'Preventative costs B'!D182</f>
        <v>0</v>
      </c>
      <c r="E182" s="28">
        <f ca="1">'Preventative costs A'!E182-'Preventative costs B'!E182</f>
        <v>0</v>
      </c>
      <c r="F182" s="28">
        <f ca="1">'Preventative costs A'!F182-'Preventative costs B'!F182</f>
        <v>0</v>
      </c>
      <c r="G182" s="28">
        <f ca="1">'Preventative costs A'!G182-'Preventative costs B'!G182</f>
        <v>0</v>
      </c>
      <c r="H182" s="28">
        <f ca="1">'Preventative costs A'!H182-'Preventative costs B'!H182</f>
        <v>0</v>
      </c>
      <c r="I182" s="28">
        <f ca="1">'Preventative costs A'!I182-'Preventative costs B'!I182</f>
        <v>0</v>
      </c>
      <c r="J182" s="28">
        <f ca="1">'Preventative costs A'!J182-'Preventative costs B'!J182</f>
        <v>0</v>
      </c>
      <c r="K182" s="28">
        <f ca="1">'Preventative costs A'!K182-'Preventative costs B'!K182</f>
        <v>0</v>
      </c>
      <c r="M182" s="4" t="str">
        <f t="shared" si="6"/>
        <v>Mtonne</v>
      </c>
    </row>
    <row r="183" spans="1:13" s="7" customFormat="1" x14ac:dyDescent="0.25">
      <c r="A183" s="4" t="str">
        <v>AF N2O</v>
      </c>
      <c r="B183" s="28">
        <f>'Preventative costs A'!B183-'Preventative costs B'!B183</f>
        <v>0</v>
      </c>
      <c r="C183" s="28">
        <f ca="1">'Preventative costs A'!C183-'Preventative costs B'!C183</f>
        <v>0</v>
      </c>
      <c r="D183" s="28">
        <f ca="1">'Preventative costs A'!D183-'Preventative costs B'!D183</f>
        <v>0</v>
      </c>
      <c r="E183" s="28">
        <f ca="1">'Preventative costs A'!E183-'Preventative costs B'!E183</f>
        <v>0</v>
      </c>
      <c r="F183" s="28">
        <f ca="1">'Preventative costs A'!F183-'Preventative costs B'!F183</f>
        <v>0</v>
      </c>
      <c r="G183" s="28">
        <f ca="1">'Preventative costs A'!G183-'Preventative costs B'!G183</f>
        <v>0</v>
      </c>
      <c r="H183" s="28">
        <f ca="1">'Preventative costs A'!H183-'Preventative costs B'!H183</f>
        <v>0</v>
      </c>
      <c r="I183" s="28">
        <f ca="1">'Preventative costs A'!I183-'Preventative costs B'!I183</f>
        <v>0</v>
      </c>
      <c r="J183" s="28">
        <f ca="1">'Preventative costs A'!J183-'Preventative costs B'!J183</f>
        <v>0</v>
      </c>
      <c r="K183" s="28">
        <f ca="1">'Preventative costs A'!K183-'Preventative costs B'!K183</f>
        <v>0</v>
      </c>
      <c r="M183" s="4" t="str">
        <f t="shared" si="6"/>
        <v>Mtonne</v>
      </c>
    </row>
    <row r="184" spans="1:13" s="7" customFormat="1" ht="13" thickBot="1" x14ac:dyDescent="0.3">
      <c r="A184" s="4" t="str">
        <v>LA N2O</v>
      </c>
      <c r="B184" s="36">
        <f>'Preventative costs A'!B184-'Preventative costs B'!B184</f>
        <v>0</v>
      </c>
      <c r="C184" s="36">
        <f ca="1">'Preventative costs A'!C184-'Preventative costs B'!C184</f>
        <v>0</v>
      </c>
      <c r="D184" s="36">
        <f ca="1">'Preventative costs A'!D184-'Preventative costs B'!D184</f>
        <v>0</v>
      </c>
      <c r="E184" s="36">
        <f ca="1">'Preventative costs A'!E184-'Preventative costs B'!E184</f>
        <v>0</v>
      </c>
      <c r="F184" s="36">
        <f ca="1">'Preventative costs A'!F184-'Preventative costs B'!F184</f>
        <v>0</v>
      </c>
      <c r="G184" s="36">
        <f ca="1">'Preventative costs A'!G184-'Preventative costs B'!G184</f>
        <v>0</v>
      </c>
      <c r="H184" s="36">
        <f ca="1">'Preventative costs A'!H184-'Preventative costs B'!H184</f>
        <v>0</v>
      </c>
      <c r="I184" s="36">
        <f ca="1">'Preventative costs A'!I184-'Preventative costs B'!I184</f>
        <v>0</v>
      </c>
      <c r="J184" s="36">
        <f ca="1">'Preventative costs A'!J184-'Preventative costs B'!J184</f>
        <v>0</v>
      </c>
      <c r="K184" s="36">
        <f ca="1">'Preventative costs A'!K184-'Preventative costs B'!K184</f>
        <v>0</v>
      </c>
      <c r="M184" s="4" t="str">
        <f t="shared" si="6"/>
        <v>Mtonne</v>
      </c>
    </row>
    <row r="185" spans="1:13" s="6" customFormat="1" ht="13" thickTop="1" x14ac:dyDescent="0.25">
      <c r="A185" s="58" t="s">
        <v>206</v>
      </c>
      <c r="B185" s="28">
        <f>'Preventative costs A'!B185-'Preventative costs B'!B185</f>
        <v>0</v>
      </c>
      <c r="C185" s="28">
        <f ca="1">'Preventative costs A'!C185-'Preventative costs B'!C185</f>
        <v>0</v>
      </c>
      <c r="D185" s="28">
        <f ca="1">'Preventative costs A'!D185-'Preventative costs B'!D185</f>
        <v>0</v>
      </c>
      <c r="E185" s="28">
        <f ca="1">'Preventative costs A'!E185-'Preventative costs B'!E185</f>
        <v>0</v>
      </c>
      <c r="F185" s="28">
        <f ca="1">'Preventative costs A'!F185-'Preventative costs B'!F185</f>
        <v>0</v>
      </c>
      <c r="G185" s="28">
        <f ca="1">'Preventative costs A'!G185-'Preventative costs B'!G185</f>
        <v>0</v>
      </c>
      <c r="H185" s="28">
        <f ca="1">'Preventative costs A'!H185-'Preventative costs B'!H185</f>
        <v>0</v>
      </c>
      <c r="I185" s="28">
        <f ca="1">'Preventative costs A'!I185-'Preventative costs B'!I185</f>
        <v>0</v>
      </c>
      <c r="J185" s="28">
        <f ca="1">'Preventative costs A'!J185-'Preventative costs B'!J185</f>
        <v>0</v>
      </c>
      <c r="K185" s="28">
        <f ca="1">'Preventative costs A'!K185-'Preventative costs B'!K185</f>
        <v>0</v>
      </c>
      <c r="M185" s="4" t="str">
        <f t="shared" si="6"/>
        <v>Mtonne</v>
      </c>
    </row>
    <row r="186" spans="1:13" s="8" customFormat="1" ht="15" x14ac:dyDescent="0.4">
      <c r="A186" s="2" t="s">
        <v>285</v>
      </c>
      <c r="B186" s="8" t="s">
        <v>293</v>
      </c>
    </row>
    <row r="187" spans="1:13" s="7" customFormat="1" x14ac:dyDescent="0.25">
      <c r="A187" s="4" t="str">
        <f t="array" ref="A187:A194">R_CODE&amp;" "&amp;GLIN_NAME</f>
        <v>EU Lin</v>
      </c>
      <c r="B187" s="27">
        <f>'Preventative costs A'!B187-'Preventative costs B'!B187</f>
        <v>0</v>
      </c>
      <c r="C187" s="27">
        <f ca="1">'Preventative costs A'!C187-'Preventative costs B'!C187</f>
        <v>0</v>
      </c>
      <c r="D187" s="27">
        <f ca="1">'Preventative costs A'!D187-'Preventative costs B'!D187</f>
        <v>0</v>
      </c>
      <c r="E187" s="27">
        <f ca="1">'Preventative costs A'!E187-'Preventative costs B'!E187</f>
        <v>0</v>
      </c>
      <c r="F187" s="27">
        <f ca="1">'Preventative costs A'!F187-'Preventative costs B'!F187</f>
        <v>0</v>
      </c>
      <c r="G187" s="27">
        <f ca="1">'Preventative costs A'!G187-'Preventative costs B'!G187</f>
        <v>0</v>
      </c>
      <c r="H187" s="27">
        <f ca="1">'Preventative costs A'!H187-'Preventative costs B'!H187</f>
        <v>0</v>
      </c>
      <c r="I187" s="27">
        <f ca="1">'Preventative costs A'!I187-'Preventative costs B'!I187</f>
        <v>0</v>
      </c>
      <c r="J187" s="27">
        <f ca="1">'Preventative costs A'!J187-'Preventative costs B'!J187</f>
        <v>0</v>
      </c>
      <c r="K187" s="27">
        <f ca="1">'Preventative costs A'!K187-'Preventative costs B'!K187</f>
        <v>0</v>
      </c>
      <c r="M187" s="4" t="str">
        <f t="shared" ref="M187:M195" si="7">EMIT_NAME</f>
        <v>Mtonne</v>
      </c>
    </row>
    <row r="188" spans="1:13" s="7" customFormat="1" x14ac:dyDescent="0.25">
      <c r="A188" s="4" t="str">
        <v>US Lin</v>
      </c>
      <c r="B188" s="28">
        <f>'Preventative costs A'!B188-'Preventative costs B'!B188</f>
        <v>0</v>
      </c>
      <c r="C188" s="28">
        <f ca="1">'Preventative costs A'!C188-'Preventative costs B'!C188</f>
        <v>0</v>
      </c>
      <c r="D188" s="28">
        <f ca="1">'Preventative costs A'!D188-'Preventative costs B'!D188</f>
        <v>0</v>
      </c>
      <c r="E188" s="28">
        <f ca="1">'Preventative costs A'!E188-'Preventative costs B'!E188</f>
        <v>0</v>
      </c>
      <c r="F188" s="28">
        <f ca="1">'Preventative costs A'!F188-'Preventative costs B'!F188</f>
        <v>0</v>
      </c>
      <c r="G188" s="28">
        <f ca="1">'Preventative costs A'!G188-'Preventative costs B'!G188</f>
        <v>0</v>
      </c>
      <c r="H188" s="28">
        <f ca="1">'Preventative costs A'!H188-'Preventative costs B'!H188</f>
        <v>0</v>
      </c>
      <c r="I188" s="28">
        <f ca="1">'Preventative costs A'!I188-'Preventative costs B'!I188</f>
        <v>0</v>
      </c>
      <c r="J188" s="28">
        <f ca="1">'Preventative costs A'!J188-'Preventative costs B'!J188</f>
        <v>0</v>
      </c>
      <c r="K188" s="28">
        <f ca="1">'Preventative costs A'!K188-'Preventative costs B'!K188</f>
        <v>0</v>
      </c>
      <c r="M188" s="4" t="str">
        <f t="shared" si="7"/>
        <v>Mtonne</v>
      </c>
    </row>
    <row r="189" spans="1:13" s="7" customFormat="1" x14ac:dyDescent="0.25">
      <c r="A189" s="4" t="str">
        <v>OT Lin</v>
      </c>
      <c r="B189" s="28">
        <f>'Preventative costs A'!B189-'Preventative costs B'!B189</f>
        <v>0</v>
      </c>
      <c r="C189" s="28">
        <f ca="1">'Preventative costs A'!C189-'Preventative costs B'!C189</f>
        <v>0</v>
      </c>
      <c r="D189" s="28">
        <f ca="1">'Preventative costs A'!D189-'Preventative costs B'!D189</f>
        <v>0</v>
      </c>
      <c r="E189" s="28">
        <f ca="1">'Preventative costs A'!E189-'Preventative costs B'!E189</f>
        <v>0</v>
      </c>
      <c r="F189" s="28">
        <f ca="1">'Preventative costs A'!F189-'Preventative costs B'!F189</f>
        <v>0</v>
      </c>
      <c r="G189" s="28">
        <f ca="1">'Preventative costs A'!G189-'Preventative costs B'!G189</f>
        <v>0</v>
      </c>
      <c r="H189" s="28">
        <f ca="1">'Preventative costs A'!H189-'Preventative costs B'!H189</f>
        <v>0</v>
      </c>
      <c r="I189" s="28">
        <f ca="1">'Preventative costs A'!I189-'Preventative costs B'!I189</f>
        <v>0</v>
      </c>
      <c r="J189" s="28">
        <f ca="1">'Preventative costs A'!J189-'Preventative costs B'!J189</f>
        <v>0</v>
      </c>
      <c r="K189" s="28">
        <f ca="1">'Preventative costs A'!K189-'Preventative costs B'!K189</f>
        <v>0</v>
      </c>
      <c r="M189" s="4" t="str">
        <f t="shared" si="7"/>
        <v>Mtonne</v>
      </c>
    </row>
    <row r="190" spans="1:13" s="7" customFormat="1" x14ac:dyDescent="0.25">
      <c r="A190" s="4" t="str">
        <v>EE Lin</v>
      </c>
      <c r="B190" s="28">
        <f>'Preventative costs A'!B190-'Preventative costs B'!B190</f>
        <v>0</v>
      </c>
      <c r="C190" s="28">
        <f ca="1">'Preventative costs A'!C190-'Preventative costs B'!C190</f>
        <v>0</v>
      </c>
      <c r="D190" s="28">
        <f ca="1">'Preventative costs A'!D190-'Preventative costs B'!D190</f>
        <v>0</v>
      </c>
      <c r="E190" s="28">
        <f ca="1">'Preventative costs A'!E190-'Preventative costs B'!E190</f>
        <v>0</v>
      </c>
      <c r="F190" s="28">
        <f ca="1">'Preventative costs A'!F190-'Preventative costs B'!F190</f>
        <v>0</v>
      </c>
      <c r="G190" s="28">
        <f ca="1">'Preventative costs A'!G190-'Preventative costs B'!G190</f>
        <v>0</v>
      </c>
      <c r="H190" s="28">
        <f ca="1">'Preventative costs A'!H190-'Preventative costs B'!H190</f>
        <v>0</v>
      </c>
      <c r="I190" s="28">
        <f ca="1">'Preventative costs A'!I190-'Preventative costs B'!I190</f>
        <v>0</v>
      </c>
      <c r="J190" s="28">
        <f ca="1">'Preventative costs A'!J190-'Preventative costs B'!J190</f>
        <v>0</v>
      </c>
      <c r="K190" s="28">
        <f ca="1">'Preventative costs A'!K190-'Preventative costs B'!K190</f>
        <v>0</v>
      </c>
      <c r="M190" s="4" t="str">
        <f t="shared" si="7"/>
        <v>Mtonne</v>
      </c>
    </row>
    <row r="191" spans="1:13" s="7" customFormat="1" x14ac:dyDescent="0.25">
      <c r="A191" s="4" t="str">
        <v>CA Lin</v>
      </c>
      <c r="B191" s="28">
        <f>'Preventative costs A'!B191-'Preventative costs B'!B191</f>
        <v>0</v>
      </c>
      <c r="C191" s="28">
        <f ca="1">'Preventative costs A'!C191-'Preventative costs B'!C191</f>
        <v>0</v>
      </c>
      <c r="D191" s="28">
        <f ca="1">'Preventative costs A'!D191-'Preventative costs B'!D191</f>
        <v>0</v>
      </c>
      <c r="E191" s="28">
        <f ca="1">'Preventative costs A'!E191-'Preventative costs B'!E191</f>
        <v>0</v>
      </c>
      <c r="F191" s="28">
        <f ca="1">'Preventative costs A'!F191-'Preventative costs B'!F191</f>
        <v>0</v>
      </c>
      <c r="G191" s="28">
        <f ca="1">'Preventative costs A'!G191-'Preventative costs B'!G191</f>
        <v>0</v>
      </c>
      <c r="H191" s="28">
        <f ca="1">'Preventative costs A'!H191-'Preventative costs B'!H191</f>
        <v>0</v>
      </c>
      <c r="I191" s="28">
        <f ca="1">'Preventative costs A'!I191-'Preventative costs B'!I191</f>
        <v>0</v>
      </c>
      <c r="J191" s="28">
        <f ca="1">'Preventative costs A'!J191-'Preventative costs B'!J191</f>
        <v>0</v>
      </c>
      <c r="K191" s="28">
        <f ca="1">'Preventative costs A'!K191-'Preventative costs B'!K191</f>
        <v>0</v>
      </c>
      <c r="M191" s="4" t="str">
        <f t="shared" si="7"/>
        <v>Mtonne</v>
      </c>
    </row>
    <row r="192" spans="1:13" s="7" customFormat="1" x14ac:dyDescent="0.25">
      <c r="A192" s="4" t="str">
        <v>IA Lin</v>
      </c>
      <c r="B192" s="28">
        <f>'Preventative costs A'!B192-'Preventative costs B'!B192</f>
        <v>0</v>
      </c>
      <c r="C192" s="28">
        <f ca="1">'Preventative costs A'!C192-'Preventative costs B'!C192</f>
        <v>0</v>
      </c>
      <c r="D192" s="28">
        <f ca="1">'Preventative costs A'!D192-'Preventative costs B'!D192</f>
        <v>0</v>
      </c>
      <c r="E192" s="28">
        <f ca="1">'Preventative costs A'!E192-'Preventative costs B'!E192</f>
        <v>0</v>
      </c>
      <c r="F192" s="28">
        <f ca="1">'Preventative costs A'!F192-'Preventative costs B'!F192</f>
        <v>0</v>
      </c>
      <c r="G192" s="28">
        <f ca="1">'Preventative costs A'!G192-'Preventative costs B'!G192</f>
        <v>0</v>
      </c>
      <c r="H192" s="28">
        <f ca="1">'Preventative costs A'!H192-'Preventative costs B'!H192</f>
        <v>0</v>
      </c>
      <c r="I192" s="28">
        <f ca="1">'Preventative costs A'!I192-'Preventative costs B'!I192</f>
        <v>0</v>
      </c>
      <c r="J192" s="28">
        <f ca="1">'Preventative costs A'!J192-'Preventative costs B'!J192</f>
        <v>0</v>
      </c>
      <c r="K192" s="28">
        <f ca="1">'Preventative costs A'!K192-'Preventative costs B'!K192</f>
        <v>0</v>
      </c>
      <c r="M192" s="4" t="str">
        <f t="shared" si="7"/>
        <v>Mtonne</v>
      </c>
    </row>
    <row r="193" spans="1:13" s="7" customFormat="1" x14ac:dyDescent="0.25">
      <c r="A193" s="4" t="str">
        <v>AF Lin</v>
      </c>
      <c r="B193" s="28">
        <f>'Preventative costs A'!B193-'Preventative costs B'!B193</f>
        <v>0</v>
      </c>
      <c r="C193" s="28">
        <f ca="1">'Preventative costs A'!C193-'Preventative costs B'!C193</f>
        <v>0</v>
      </c>
      <c r="D193" s="28">
        <f ca="1">'Preventative costs A'!D193-'Preventative costs B'!D193</f>
        <v>0</v>
      </c>
      <c r="E193" s="28">
        <f ca="1">'Preventative costs A'!E193-'Preventative costs B'!E193</f>
        <v>0</v>
      </c>
      <c r="F193" s="28">
        <f ca="1">'Preventative costs A'!F193-'Preventative costs B'!F193</f>
        <v>0</v>
      </c>
      <c r="G193" s="28">
        <f ca="1">'Preventative costs A'!G193-'Preventative costs B'!G193</f>
        <v>0</v>
      </c>
      <c r="H193" s="28">
        <f ca="1">'Preventative costs A'!H193-'Preventative costs B'!H193</f>
        <v>0</v>
      </c>
      <c r="I193" s="28">
        <f ca="1">'Preventative costs A'!I193-'Preventative costs B'!I193</f>
        <v>0</v>
      </c>
      <c r="J193" s="28">
        <f ca="1">'Preventative costs A'!J193-'Preventative costs B'!J193</f>
        <v>0</v>
      </c>
      <c r="K193" s="28">
        <f ca="1">'Preventative costs A'!K193-'Preventative costs B'!K193</f>
        <v>0</v>
      </c>
      <c r="M193" s="4" t="str">
        <f t="shared" si="7"/>
        <v>Mtonne</v>
      </c>
    </row>
    <row r="194" spans="1:13" s="7" customFormat="1" ht="13" thickBot="1" x14ac:dyDescent="0.3">
      <c r="A194" s="4" t="str">
        <v>LA Lin</v>
      </c>
      <c r="B194" s="36">
        <f>'Preventative costs A'!B194-'Preventative costs B'!B194</f>
        <v>0</v>
      </c>
      <c r="C194" s="36">
        <f ca="1">'Preventative costs A'!C194-'Preventative costs B'!C194</f>
        <v>0</v>
      </c>
      <c r="D194" s="36">
        <f ca="1">'Preventative costs A'!D194-'Preventative costs B'!D194</f>
        <v>0</v>
      </c>
      <c r="E194" s="36">
        <f ca="1">'Preventative costs A'!E194-'Preventative costs B'!E194</f>
        <v>0</v>
      </c>
      <c r="F194" s="36">
        <f ca="1">'Preventative costs A'!F194-'Preventative costs B'!F194</f>
        <v>0</v>
      </c>
      <c r="G194" s="36">
        <f ca="1">'Preventative costs A'!G194-'Preventative costs B'!G194</f>
        <v>0</v>
      </c>
      <c r="H194" s="36">
        <f ca="1">'Preventative costs A'!H194-'Preventative costs B'!H194</f>
        <v>0</v>
      </c>
      <c r="I194" s="36">
        <f ca="1">'Preventative costs A'!I194-'Preventative costs B'!I194</f>
        <v>0</v>
      </c>
      <c r="J194" s="36">
        <f ca="1">'Preventative costs A'!J194-'Preventative costs B'!J194</f>
        <v>0</v>
      </c>
      <c r="K194" s="36">
        <f ca="1">'Preventative costs A'!K194-'Preventative costs B'!K194</f>
        <v>0</v>
      </c>
      <c r="M194" s="4" t="str">
        <f t="shared" si="7"/>
        <v>Mtonne</v>
      </c>
    </row>
    <row r="195" spans="1:13" s="6" customFormat="1" ht="13" thickTop="1" x14ac:dyDescent="0.25">
      <c r="A195" s="58" t="s">
        <v>206</v>
      </c>
      <c r="B195" s="28">
        <f>'Preventative costs A'!B195-'Preventative costs B'!B195</f>
        <v>0</v>
      </c>
      <c r="C195" s="28">
        <f ca="1">'Preventative costs A'!C195-'Preventative costs B'!C195</f>
        <v>0</v>
      </c>
      <c r="D195" s="28">
        <f ca="1">'Preventative costs A'!D195-'Preventative costs B'!D195</f>
        <v>0</v>
      </c>
      <c r="E195" s="28">
        <f ca="1">'Preventative costs A'!E195-'Preventative costs B'!E195</f>
        <v>0</v>
      </c>
      <c r="F195" s="28">
        <f ca="1">'Preventative costs A'!F195-'Preventative costs B'!F195</f>
        <v>0</v>
      </c>
      <c r="G195" s="28">
        <f ca="1">'Preventative costs A'!G195-'Preventative costs B'!G195</f>
        <v>0</v>
      </c>
      <c r="H195" s="28">
        <f ca="1">'Preventative costs A'!H195-'Preventative costs B'!H195</f>
        <v>0</v>
      </c>
      <c r="I195" s="28">
        <f ca="1">'Preventative costs A'!I195-'Preventative costs B'!I195</f>
        <v>0</v>
      </c>
      <c r="J195" s="28">
        <f ca="1">'Preventative costs A'!J195-'Preventative costs B'!J195</f>
        <v>0</v>
      </c>
      <c r="K195" s="28">
        <f ca="1">'Preventative costs A'!K195-'Preventative costs B'!K195</f>
        <v>0</v>
      </c>
      <c r="M195" s="4" t="str">
        <f t="shared" si="7"/>
        <v>Mtonne</v>
      </c>
    </row>
    <row r="196" spans="1:13" s="2" customFormat="1" ht="15" x14ac:dyDescent="0.4">
      <c r="A196" s="2" t="s">
        <v>294</v>
      </c>
      <c r="B196" s="2" t="s">
        <v>295</v>
      </c>
    </row>
    <row r="197" spans="1:13" s="6" customFormat="1" x14ac:dyDescent="0.25">
      <c r="A197" s="4" t="str">
        <f t="array" ref="A197:A204">R_CODE&amp;" "&amp;'Base data'!$B$12</f>
        <v>EU CO2</v>
      </c>
      <c r="B197" s="29">
        <f ca="1">'Preventative costs A'!B197-'Preventative costs B'!B197</f>
        <v>0</v>
      </c>
      <c r="C197" s="29">
        <f ca="1">'Preventative costs A'!C197-'Preventative costs B'!C197</f>
        <v>0</v>
      </c>
      <c r="D197" s="29">
        <f ca="1">'Preventative costs A'!D197-'Preventative costs B'!D197</f>
        <v>0</v>
      </c>
      <c r="E197" s="29">
        <f ca="1">'Preventative costs A'!E197-'Preventative costs B'!E197</f>
        <v>0</v>
      </c>
      <c r="F197" s="29">
        <f ca="1">'Preventative costs A'!F197-'Preventative costs B'!F197</f>
        <v>0</v>
      </c>
      <c r="G197" s="29">
        <f ca="1">'Preventative costs A'!G197-'Preventative costs B'!G197</f>
        <v>0</v>
      </c>
      <c r="H197" s="29">
        <f ca="1">'Preventative costs A'!H197-'Preventative costs B'!H197</f>
        <v>0</v>
      </c>
      <c r="I197" s="29">
        <f ca="1">'Preventative costs A'!I197-'Preventative costs B'!I197</f>
        <v>0</v>
      </c>
      <c r="J197" s="29">
        <f ca="1">'Preventative costs A'!J197-'Preventative costs B'!J197</f>
        <v>0</v>
      </c>
      <c r="K197" s="29">
        <f ca="1">'Preventative costs A'!K197-'Preventative costs B'!K197</f>
        <v>0</v>
      </c>
      <c r="M197" s="4"/>
    </row>
    <row r="198" spans="1:13" s="6" customFormat="1" x14ac:dyDescent="0.25">
      <c r="A198" s="4" t="str">
        <v>US CO2</v>
      </c>
      <c r="B198" s="26">
        <f ca="1">'Preventative costs A'!B198-'Preventative costs B'!B198</f>
        <v>0</v>
      </c>
      <c r="C198" s="26">
        <f ca="1">'Preventative costs A'!C198-'Preventative costs B'!C198</f>
        <v>0</v>
      </c>
      <c r="D198" s="26">
        <f ca="1">'Preventative costs A'!D198-'Preventative costs B'!D198</f>
        <v>0</v>
      </c>
      <c r="E198" s="26">
        <f ca="1">'Preventative costs A'!E198-'Preventative costs B'!E198</f>
        <v>0</v>
      </c>
      <c r="F198" s="26">
        <f ca="1">'Preventative costs A'!F198-'Preventative costs B'!F198</f>
        <v>0</v>
      </c>
      <c r="G198" s="26">
        <f ca="1">'Preventative costs A'!G198-'Preventative costs B'!G198</f>
        <v>0</v>
      </c>
      <c r="H198" s="26">
        <f ca="1">'Preventative costs A'!H198-'Preventative costs B'!H198</f>
        <v>0</v>
      </c>
      <c r="I198" s="26">
        <f ca="1">'Preventative costs A'!I198-'Preventative costs B'!I198</f>
        <v>0</v>
      </c>
      <c r="J198" s="26">
        <f ca="1">'Preventative costs A'!J198-'Preventative costs B'!J198</f>
        <v>0</v>
      </c>
      <c r="K198" s="26">
        <f ca="1">'Preventative costs A'!K198-'Preventative costs B'!K198</f>
        <v>0</v>
      </c>
      <c r="M198" s="4"/>
    </row>
    <row r="199" spans="1:13" s="6" customFormat="1" x14ac:dyDescent="0.25">
      <c r="A199" s="4" t="str">
        <v>OT CO2</v>
      </c>
      <c r="B199" s="26">
        <f ca="1">'Preventative costs A'!B199-'Preventative costs B'!B199</f>
        <v>0</v>
      </c>
      <c r="C199" s="26">
        <f ca="1">'Preventative costs A'!C199-'Preventative costs B'!C199</f>
        <v>0</v>
      </c>
      <c r="D199" s="26">
        <f ca="1">'Preventative costs A'!D199-'Preventative costs B'!D199</f>
        <v>0</v>
      </c>
      <c r="E199" s="26">
        <f ca="1">'Preventative costs A'!E199-'Preventative costs B'!E199</f>
        <v>0</v>
      </c>
      <c r="F199" s="26">
        <f ca="1">'Preventative costs A'!F199-'Preventative costs B'!F199</f>
        <v>0</v>
      </c>
      <c r="G199" s="26">
        <f ca="1">'Preventative costs A'!G199-'Preventative costs B'!G199</f>
        <v>0</v>
      </c>
      <c r="H199" s="26">
        <f ca="1">'Preventative costs A'!H199-'Preventative costs B'!H199</f>
        <v>0</v>
      </c>
      <c r="I199" s="26">
        <f ca="1">'Preventative costs A'!I199-'Preventative costs B'!I199</f>
        <v>0</v>
      </c>
      <c r="J199" s="26">
        <f ca="1">'Preventative costs A'!J199-'Preventative costs B'!J199</f>
        <v>0</v>
      </c>
      <c r="K199" s="26">
        <f ca="1">'Preventative costs A'!K199-'Preventative costs B'!K199</f>
        <v>0</v>
      </c>
      <c r="M199" s="4"/>
    </row>
    <row r="200" spans="1:13" s="6" customFormat="1" x14ac:dyDescent="0.25">
      <c r="A200" s="4" t="str">
        <v>EE CO2</v>
      </c>
      <c r="B200" s="26">
        <f ca="1">'Preventative costs A'!B200-'Preventative costs B'!B200</f>
        <v>0</v>
      </c>
      <c r="C200" s="26">
        <f ca="1">'Preventative costs A'!C200-'Preventative costs B'!C200</f>
        <v>0</v>
      </c>
      <c r="D200" s="26">
        <f ca="1">'Preventative costs A'!D200-'Preventative costs B'!D200</f>
        <v>0</v>
      </c>
      <c r="E200" s="26">
        <f ca="1">'Preventative costs A'!E200-'Preventative costs B'!E200</f>
        <v>0</v>
      </c>
      <c r="F200" s="26">
        <f ca="1">'Preventative costs A'!F200-'Preventative costs B'!F200</f>
        <v>0</v>
      </c>
      <c r="G200" s="26">
        <f ca="1">'Preventative costs A'!G200-'Preventative costs B'!G200</f>
        <v>0</v>
      </c>
      <c r="H200" s="26">
        <f ca="1">'Preventative costs A'!H200-'Preventative costs B'!H200</f>
        <v>0</v>
      </c>
      <c r="I200" s="26">
        <f ca="1">'Preventative costs A'!I200-'Preventative costs B'!I200</f>
        <v>0</v>
      </c>
      <c r="J200" s="26">
        <f ca="1">'Preventative costs A'!J200-'Preventative costs B'!J200</f>
        <v>0</v>
      </c>
      <c r="K200" s="26">
        <f ca="1">'Preventative costs A'!K200-'Preventative costs B'!K200</f>
        <v>0</v>
      </c>
      <c r="M200" s="4"/>
    </row>
    <row r="201" spans="1:13" s="6" customFormat="1" x14ac:dyDescent="0.25">
      <c r="A201" s="4" t="str">
        <v>CA CO2</v>
      </c>
      <c r="B201" s="26">
        <f ca="1">'Preventative costs A'!B201-'Preventative costs B'!B201</f>
        <v>0</v>
      </c>
      <c r="C201" s="26">
        <f ca="1">'Preventative costs A'!C201-'Preventative costs B'!C201</f>
        <v>0</v>
      </c>
      <c r="D201" s="26">
        <f ca="1">'Preventative costs A'!D201-'Preventative costs B'!D201</f>
        <v>0</v>
      </c>
      <c r="E201" s="26">
        <f ca="1">'Preventative costs A'!E201-'Preventative costs B'!E201</f>
        <v>0</v>
      </c>
      <c r="F201" s="26">
        <f ca="1">'Preventative costs A'!F201-'Preventative costs B'!F201</f>
        <v>0</v>
      </c>
      <c r="G201" s="26">
        <f ca="1">'Preventative costs A'!G201-'Preventative costs B'!G201</f>
        <v>0</v>
      </c>
      <c r="H201" s="26">
        <f ca="1">'Preventative costs A'!H201-'Preventative costs B'!H201</f>
        <v>0</v>
      </c>
      <c r="I201" s="26">
        <f ca="1">'Preventative costs A'!I201-'Preventative costs B'!I201</f>
        <v>0</v>
      </c>
      <c r="J201" s="26">
        <f ca="1">'Preventative costs A'!J201-'Preventative costs B'!J201</f>
        <v>0</v>
      </c>
      <c r="K201" s="26">
        <f ca="1">'Preventative costs A'!K201-'Preventative costs B'!K201</f>
        <v>0</v>
      </c>
      <c r="M201" s="4"/>
    </row>
    <row r="202" spans="1:13" s="6" customFormat="1" x14ac:dyDescent="0.25">
      <c r="A202" s="4" t="str">
        <v>IA CO2</v>
      </c>
      <c r="B202" s="26">
        <f ca="1">'Preventative costs A'!B202-'Preventative costs B'!B202</f>
        <v>0</v>
      </c>
      <c r="C202" s="26">
        <f ca="1">'Preventative costs A'!C202-'Preventative costs B'!C202</f>
        <v>0</v>
      </c>
      <c r="D202" s="26">
        <f ca="1">'Preventative costs A'!D202-'Preventative costs B'!D202</f>
        <v>0</v>
      </c>
      <c r="E202" s="26">
        <f ca="1">'Preventative costs A'!E202-'Preventative costs B'!E202</f>
        <v>0</v>
      </c>
      <c r="F202" s="26">
        <f ca="1">'Preventative costs A'!F202-'Preventative costs B'!F202</f>
        <v>0</v>
      </c>
      <c r="G202" s="26">
        <f ca="1">'Preventative costs A'!G202-'Preventative costs B'!G202</f>
        <v>0</v>
      </c>
      <c r="H202" s="26">
        <f ca="1">'Preventative costs A'!H202-'Preventative costs B'!H202</f>
        <v>0</v>
      </c>
      <c r="I202" s="26">
        <f ca="1">'Preventative costs A'!I202-'Preventative costs B'!I202</f>
        <v>0</v>
      </c>
      <c r="J202" s="26">
        <f ca="1">'Preventative costs A'!J202-'Preventative costs B'!J202</f>
        <v>0</v>
      </c>
      <c r="K202" s="26">
        <f ca="1">'Preventative costs A'!K202-'Preventative costs B'!K202</f>
        <v>0</v>
      </c>
      <c r="M202" s="4"/>
    </row>
    <row r="203" spans="1:13" s="6" customFormat="1" x14ac:dyDescent="0.25">
      <c r="A203" s="4" t="str">
        <v>AF CO2</v>
      </c>
      <c r="B203" s="26">
        <f ca="1">'Preventative costs A'!B203-'Preventative costs B'!B203</f>
        <v>0</v>
      </c>
      <c r="C203" s="26">
        <f ca="1">'Preventative costs A'!C203-'Preventative costs B'!C203</f>
        <v>0</v>
      </c>
      <c r="D203" s="26">
        <f ca="1">'Preventative costs A'!D203-'Preventative costs B'!D203</f>
        <v>0</v>
      </c>
      <c r="E203" s="26">
        <f ca="1">'Preventative costs A'!E203-'Preventative costs B'!E203</f>
        <v>0</v>
      </c>
      <c r="F203" s="26">
        <f ca="1">'Preventative costs A'!F203-'Preventative costs B'!F203</f>
        <v>0</v>
      </c>
      <c r="G203" s="26">
        <f ca="1">'Preventative costs A'!G203-'Preventative costs B'!G203</f>
        <v>0</v>
      </c>
      <c r="H203" s="26">
        <f ca="1">'Preventative costs A'!H203-'Preventative costs B'!H203</f>
        <v>0</v>
      </c>
      <c r="I203" s="26">
        <f ca="1">'Preventative costs A'!I203-'Preventative costs B'!I203</f>
        <v>0</v>
      </c>
      <c r="J203" s="26">
        <f ca="1">'Preventative costs A'!J203-'Preventative costs B'!J203</f>
        <v>0</v>
      </c>
      <c r="K203" s="26">
        <f ca="1">'Preventative costs A'!K203-'Preventative costs B'!K203</f>
        <v>0</v>
      </c>
      <c r="M203" s="4"/>
    </row>
    <row r="204" spans="1:13" s="6" customFormat="1" ht="13" thickBot="1" x14ac:dyDescent="0.3">
      <c r="A204" s="4" t="str">
        <v>LA CO2</v>
      </c>
      <c r="B204" s="35">
        <f ca="1">'Preventative costs A'!B204-'Preventative costs B'!B204</f>
        <v>0</v>
      </c>
      <c r="C204" s="35">
        <f ca="1">'Preventative costs A'!C204-'Preventative costs B'!C204</f>
        <v>0</v>
      </c>
      <c r="D204" s="35">
        <f ca="1">'Preventative costs A'!D204-'Preventative costs B'!D204</f>
        <v>0</v>
      </c>
      <c r="E204" s="35">
        <f ca="1">'Preventative costs A'!E204-'Preventative costs B'!E204</f>
        <v>0</v>
      </c>
      <c r="F204" s="35">
        <f ca="1">'Preventative costs A'!F204-'Preventative costs B'!F204</f>
        <v>0</v>
      </c>
      <c r="G204" s="35">
        <f ca="1">'Preventative costs A'!G204-'Preventative costs B'!G204</f>
        <v>0</v>
      </c>
      <c r="H204" s="35">
        <f ca="1">'Preventative costs A'!H204-'Preventative costs B'!H204</f>
        <v>0</v>
      </c>
      <c r="I204" s="35">
        <f ca="1">'Preventative costs A'!I204-'Preventative costs B'!I204</f>
        <v>0</v>
      </c>
      <c r="J204" s="35">
        <f ca="1">'Preventative costs A'!J204-'Preventative costs B'!J204</f>
        <v>0</v>
      </c>
      <c r="K204" s="35">
        <f ca="1">'Preventative costs A'!K204-'Preventative costs B'!K204</f>
        <v>0</v>
      </c>
      <c r="M204" s="4"/>
    </row>
    <row r="205" spans="1:13" s="2" customFormat="1" ht="15.5" thickTop="1" x14ac:dyDescent="0.4">
      <c r="A205" s="2" t="s">
        <v>294</v>
      </c>
      <c r="B205" s="2" t="s">
        <v>296</v>
      </c>
    </row>
    <row r="206" spans="1:13" s="7" customFormat="1" x14ac:dyDescent="0.25">
      <c r="A206" s="4" t="str">
        <f t="array" ref="A206:A213">R_CODE&amp;" "&amp;'Base data'!$C$12</f>
        <v>EU CH4</v>
      </c>
      <c r="B206" s="29">
        <f ca="1">'Preventative costs A'!B206-'Preventative costs B'!B206</f>
        <v>0</v>
      </c>
      <c r="C206" s="29">
        <f ca="1">'Preventative costs A'!C206-'Preventative costs B'!C206</f>
        <v>0</v>
      </c>
      <c r="D206" s="29">
        <f ca="1">'Preventative costs A'!D206-'Preventative costs B'!D206</f>
        <v>0</v>
      </c>
      <c r="E206" s="29">
        <f ca="1">'Preventative costs A'!E206-'Preventative costs B'!E206</f>
        <v>0</v>
      </c>
      <c r="F206" s="29">
        <f ca="1">'Preventative costs A'!F206-'Preventative costs B'!F206</f>
        <v>0</v>
      </c>
      <c r="G206" s="29">
        <f ca="1">'Preventative costs A'!G206-'Preventative costs B'!G206</f>
        <v>0</v>
      </c>
      <c r="H206" s="29">
        <f ca="1">'Preventative costs A'!H206-'Preventative costs B'!H206</f>
        <v>0</v>
      </c>
      <c r="I206" s="29">
        <f ca="1">'Preventative costs A'!I206-'Preventative costs B'!I206</f>
        <v>0</v>
      </c>
      <c r="J206" s="29">
        <f ca="1">'Preventative costs A'!J206-'Preventative costs B'!J206</f>
        <v>0</v>
      </c>
      <c r="K206" s="29">
        <f ca="1">'Preventative costs A'!K206-'Preventative costs B'!K206</f>
        <v>0</v>
      </c>
      <c r="M206" s="4"/>
    </row>
    <row r="207" spans="1:13" s="7" customFormat="1" x14ac:dyDescent="0.25">
      <c r="A207" s="4" t="str">
        <v>US CH4</v>
      </c>
      <c r="B207" s="26">
        <f ca="1">'Preventative costs A'!B207-'Preventative costs B'!B207</f>
        <v>0</v>
      </c>
      <c r="C207" s="26">
        <f ca="1">'Preventative costs A'!C207-'Preventative costs B'!C207</f>
        <v>0</v>
      </c>
      <c r="D207" s="26">
        <f ca="1">'Preventative costs A'!D207-'Preventative costs B'!D207</f>
        <v>0</v>
      </c>
      <c r="E207" s="26">
        <f ca="1">'Preventative costs A'!E207-'Preventative costs B'!E207</f>
        <v>0</v>
      </c>
      <c r="F207" s="26">
        <f ca="1">'Preventative costs A'!F207-'Preventative costs B'!F207</f>
        <v>0</v>
      </c>
      <c r="G207" s="26">
        <f ca="1">'Preventative costs A'!G207-'Preventative costs B'!G207</f>
        <v>0</v>
      </c>
      <c r="H207" s="26">
        <f ca="1">'Preventative costs A'!H207-'Preventative costs B'!H207</f>
        <v>0</v>
      </c>
      <c r="I207" s="26">
        <f ca="1">'Preventative costs A'!I207-'Preventative costs B'!I207</f>
        <v>0</v>
      </c>
      <c r="J207" s="26">
        <f ca="1">'Preventative costs A'!J207-'Preventative costs B'!J207</f>
        <v>0</v>
      </c>
      <c r="K207" s="26">
        <f ca="1">'Preventative costs A'!K207-'Preventative costs B'!K207</f>
        <v>0</v>
      </c>
      <c r="M207" s="4"/>
    </row>
    <row r="208" spans="1:13" s="7" customFormat="1" x14ac:dyDescent="0.25">
      <c r="A208" s="4" t="str">
        <v>OT CH4</v>
      </c>
      <c r="B208" s="26">
        <f ca="1">'Preventative costs A'!B208-'Preventative costs B'!B208</f>
        <v>0</v>
      </c>
      <c r="C208" s="26">
        <f ca="1">'Preventative costs A'!C208-'Preventative costs B'!C208</f>
        <v>0</v>
      </c>
      <c r="D208" s="26">
        <f ca="1">'Preventative costs A'!D208-'Preventative costs B'!D208</f>
        <v>0</v>
      </c>
      <c r="E208" s="26">
        <f ca="1">'Preventative costs A'!E208-'Preventative costs B'!E208</f>
        <v>0</v>
      </c>
      <c r="F208" s="26">
        <f ca="1">'Preventative costs A'!F208-'Preventative costs B'!F208</f>
        <v>0</v>
      </c>
      <c r="G208" s="26">
        <f ca="1">'Preventative costs A'!G208-'Preventative costs B'!G208</f>
        <v>0</v>
      </c>
      <c r="H208" s="26">
        <f ca="1">'Preventative costs A'!H208-'Preventative costs B'!H208</f>
        <v>0</v>
      </c>
      <c r="I208" s="26">
        <f ca="1">'Preventative costs A'!I208-'Preventative costs B'!I208</f>
        <v>0</v>
      </c>
      <c r="J208" s="26">
        <f ca="1">'Preventative costs A'!J208-'Preventative costs B'!J208</f>
        <v>0</v>
      </c>
      <c r="K208" s="26">
        <f ca="1">'Preventative costs A'!K208-'Preventative costs B'!K208</f>
        <v>0</v>
      </c>
      <c r="M208" s="4"/>
    </row>
    <row r="209" spans="1:13" s="7" customFormat="1" x14ac:dyDescent="0.25">
      <c r="A209" s="4" t="str">
        <v>EE CH4</v>
      </c>
      <c r="B209" s="26">
        <f ca="1">'Preventative costs A'!B209-'Preventative costs B'!B209</f>
        <v>0</v>
      </c>
      <c r="C209" s="26">
        <f ca="1">'Preventative costs A'!C209-'Preventative costs B'!C209</f>
        <v>0</v>
      </c>
      <c r="D209" s="26">
        <f ca="1">'Preventative costs A'!D209-'Preventative costs B'!D209</f>
        <v>0</v>
      </c>
      <c r="E209" s="26">
        <f ca="1">'Preventative costs A'!E209-'Preventative costs B'!E209</f>
        <v>0</v>
      </c>
      <c r="F209" s="26">
        <f ca="1">'Preventative costs A'!F209-'Preventative costs B'!F209</f>
        <v>0</v>
      </c>
      <c r="G209" s="26">
        <f ca="1">'Preventative costs A'!G209-'Preventative costs B'!G209</f>
        <v>0</v>
      </c>
      <c r="H209" s="26">
        <f ca="1">'Preventative costs A'!H209-'Preventative costs B'!H209</f>
        <v>0</v>
      </c>
      <c r="I209" s="26">
        <f ca="1">'Preventative costs A'!I209-'Preventative costs B'!I209</f>
        <v>0</v>
      </c>
      <c r="J209" s="26">
        <f ca="1">'Preventative costs A'!J209-'Preventative costs B'!J209</f>
        <v>0</v>
      </c>
      <c r="K209" s="26">
        <f ca="1">'Preventative costs A'!K209-'Preventative costs B'!K209</f>
        <v>0</v>
      </c>
      <c r="M209" s="4"/>
    </row>
    <row r="210" spans="1:13" s="7" customFormat="1" x14ac:dyDescent="0.25">
      <c r="A210" s="4" t="str">
        <v>CA CH4</v>
      </c>
      <c r="B210" s="26">
        <f ca="1">'Preventative costs A'!B210-'Preventative costs B'!B210</f>
        <v>0</v>
      </c>
      <c r="C210" s="26">
        <f ca="1">'Preventative costs A'!C210-'Preventative costs B'!C210</f>
        <v>0</v>
      </c>
      <c r="D210" s="26">
        <f ca="1">'Preventative costs A'!D210-'Preventative costs B'!D210</f>
        <v>0</v>
      </c>
      <c r="E210" s="26">
        <f ca="1">'Preventative costs A'!E210-'Preventative costs B'!E210</f>
        <v>0</v>
      </c>
      <c r="F210" s="26">
        <f ca="1">'Preventative costs A'!F210-'Preventative costs B'!F210</f>
        <v>0</v>
      </c>
      <c r="G210" s="26">
        <f ca="1">'Preventative costs A'!G210-'Preventative costs B'!G210</f>
        <v>0</v>
      </c>
      <c r="H210" s="26">
        <f ca="1">'Preventative costs A'!H210-'Preventative costs B'!H210</f>
        <v>0</v>
      </c>
      <c r="I210" s="26">
        <f ca="1">'Preventative costs A'!I210-'Preventative costs B'!I210</f>
        <v>0</v>
      </c>
      <c r="J210" s="26">
        <f ca="1">'Preventative costs A'!J210-'Preventative costs B'!J210</f>
        <v>0</v>
      </c>
      <c r="K210" s="26">
        <f ca="1">'Preventative costs A'!K210-'Preventative costs B'!K210</f>
        <v>0</v>
      </c>
      <c r="M210" s="4"/>
    </row>
    <row r="211" spans="1:13" s="7" customFormat="1" x14ac:dyDescent="0.25">
      <c r="A211" s="4" t="str">
        <v>IA CH4</v>
      </c>
      <c r="B211" s="26">
        <f ca="1">'Preventative costs A'!B211-'Preventative costs B'!B211</f>
        <v>0</v>
      </c>
      <c r="C211" s="26">
        <f ca="1">'Preventative costs A'!C211-'Preventative costs B'!C211</f>
        <v>0</v>
      </c>
      <c r="D211" s="26">
        <f ca="1">'Preventative costs A'!D211-'Preventative costs B'!D211</f>
        <v>0</v>
      </c>
      <c r="E211" s="26">
        <f ca="1">'Preventative costs A'!E211-'Preventative costs B'!E211</f>
        <v>0</v>
      </c>
      <c r="F211" s="26">
        <f ca="1">'Preventative costs A'!F211-'Preventative costs B'!F211</f>
        <v>0</v>
      </c>
      <c r="G211" s="26">
        <f ca="1">'Preventative costs A'!G211-'Preventative costs B'!G211</f>
        <v>0</v>
      </c>
      <c r="H211" s="26">
        <f ca="1">'Preventative costs A'!H211-'Preventative costs B'!H211</f>
        <v>0</v>
      </c>
      <c r="I211" s="26">
        <f ca="1">'Preventative costs A'!I211-'Preventative costs B'!I211</f>
        <v>0</v>
      </c>
      <c r="J211" s="26">
        <f ca="1">'Preventative costs A'!J211-'Preventative costs B'!J211</f>
        <v>0</v>
      </c>
      <c r="K211" s="26">
        <f ca="1">'Preventative costs A'!K211-'Preventative costs B'!K211</f>
        <v>0</v>
      </c>
      <c r="M211" s="4"/>
    </row>
    <row r="212" spans="1:13" s="7" customFormat="1" x14ac:dyDescent="0.25">
      <c r="A212" s="4" t="str">
        <v>AF CH4</v>
      </c>
      <c r="B212" s="26">
        <f ca="1">'Preventative costs A'!B212-'Preventative costs B'!B212</f>
        <v>0</v>
      </c>
      <c r="C212" s="26">
        <f ca="1">'Preventative costs A'!C212-'Preventative costs B'!C212</f>
        <v>0</v>
      </c>
      <c r="D212" s="26">
        <f ca="1">'Preventative costs A'!D212-'Preventative costs B'!D212</f>
        <v>0</v>
      </c>
      <c r="E212" s="26">
        <f ca="1">'Preventative costs A'!E212-'Preventative costs B'!E212</f>
        <v>0</v>
      </c>
      <c r="F212" s="26">
        <f ca="1">'Preventative costs A'!F212-'Preventative costs B'!F212</f>
        <v>0</v>
      </c>
      <c r="G212" s="26">
        <f ca="1">'Preventative costs A'!G212-'Preventative costs B'!G212</f>
        <v>0</v>
      </c>
      <c r="H212" s="26">
        <f ca="1">'Preventative costs A'!H212-'Preventative costs B'!H212</f>
        <v>0</v>
      </c>
      <c r="I212" s="26">
        <f ca="1">'Preventative costs A'!I212-'Preventative costs B'!I212</f>
        <v>0</v>
      </c>
      <c r="J212" s="26">
        <f ca="1">'Preventative costs A'!J212-'Preventative costs B'!J212</f>
        <v>0</v>
      </c>
      <c r="K212" s="26">
        <f ca="1">'Preventative costs A'!K212-'Preventative costs B'!K212</f>
        <v>0</v>
      </c>
      <c r="M212" s="4"/>
    </row>
    <row r="213" spans="1:13" s="7" customFormat="1" ht="13" thickBot="1" x14ac:dyDescent="0.3">
      <c r="A213" s="4" t="str">
        <v>LA CH4</v>
      </c>
      <c r="B213" s="35">
        <f ca="1">'Preventative costs A'!B213-'Preventative costs B'!B213</f>
        <v>0</v>
      </c>
      <c r="C213" s="35">
        <f ca="1">'Preventative costs A'!C213-'Preventative costs B'!C213</f>
        <v>0</v>
      </c>
      <c r="D213" s="35">
        <f ca="1">'Preventative costs A'!D213-'Preventative costs B'!D213</f>
        <v>0</v>
      </c>
      <c r="E213" s="35">
        <f ca="1">'Preventative costs A'!E213-'Preventative costs B'!E213</f>
        <v>0</v>
      </c>
      <c r="F213" s="35">
        <f ca="1">'Preventative costs A'!F213-'Preventative costs B'!F213</f>
        <v>0</v>
      </c>
      <c r="G213" s="35">
        <f ca="1">'Preventative costs A'!G213-'Preventative costs B'!G213</f>
        <v>0</v>
      </c>
      <c r="H213" s="35">
        <f ca="1">'Preventative costs A'!H213-'Preventative costs B'!H213</f>
        <v>0</v>
      </c>
      <c r="I213" s="35">
        <f ca="1">'Preventative costs A'!I213-'Preventative costs B'!I213</f>
        <v>0</v>
      </c>
      <c r="J213" s="35">
        <f ca="1">'Preventative costs A'!J213-'Preventative costs B'!J213</f>
        <v>0</v>
      </c>
      <c r="K213" s="35">
        <f ca="1">'Preventative costs A'!K213-'Preventative costs B'!K213</f>
        <v>0</v>
      </c>
      <c r="M213" s="4"/>
    </row>
    <row r="214" spans="1:13" s="2" customFormat="1" ht="15.5" thickTop="1" x14ac:dyDescent="0.4">
      <c r="A214" s="2" t="s">
        <v>294</v>
      </c>
      <c r="B214" s="2" t="s">
        <v>297</v>
      </c>
    </row>
    <row r="215" spans="1:13" s="7" customFormat="1" x14ac:dyDescent="0.25">
      <c r="A215" s="4" t="str">
        <f t="array" ref="A215:A222">R_CODE&amp;" "&amp;'Base data'!$D$12</f>
        <v>EU N2O</v>
      </c>
      <c r="B215" s="29">
        <f ca="1">'Preventative costs A'!B215-'Preventative costs B'!B215</f>
        <v>0</v>
      </c>
      <c r="C215" s="29">
        <f ca="1">'Preventative costs A'!C215-'Preventative costs B'!C215</f>
        <v>0</v>
      </c>
      <c r="D215" s="29">
        <f ca="1">'Preventative costs A'!D215-'Preventative costs B'!D215</f>
        <v>0</v>
      </c>
      <c r="E215" s="29">
        <f ca="1">'Preventative costs A'!E215-'Preventative costs B'!E215</f>
        <v>0</v>
      </c>
      <c r="F215" s="29">
        <f ca="1">'Preventative costs A'!F215-'Preventative costs B'!F215</f>
        <v>0</v>
      </c>
      <c r="G215" s="29">
        <f ca="1">'Preventative costs A'!G215-'Preventative costs B'!G215</f>
        <v>0</v>
      </c>
      <c r="H215" s="29">
        <f ca="1">'Preventative costs A'!H215-'Preventative costs B'!H215</f>
        <v>0</v>
      </c>
      <c r="I215" s="29">
        <f ca="1">'Preventative costs A'!I215-'Preventative costs B'!I215</f>
        <v>0</v>
      </c>
      <c r="J215" s="29">
        <f ca="1">'Preventative costs A'!J215-'Preventative costs B'!J215</f>
        <v>0</v>
      </c>
      <c r="K215" s="29">
        <f ca="1">'Preventative costs A'!K215-'Preventative costs B'!K215</f>
        <v>0</v>
      </c>
      <c r="M215" s="4"/>
    </row>
    <row r="216" spans="1:13" s="7" customFormat="1" x14ac:dyDescent="0.25">
      <c r="A216" s="4" t="str">
        <v>US N2O</v>
      </c>
      <c r="B216" s="26">
        <f ca="1">'Preventative costs A'!B216-'Preventative costs B'!B216</f>
        <v>0</v>
      </c>
      <c r="C216" s="26">
        <f ca="1">'Preventative costs A'!C216-'Preventative costs B'!C216</f>
        <v>0</v>
      </c>
      <c r="D216" s="26">
        <f ca="1">'Preventative costs A'!D216-'Preventative costs B'!D216</f>
        <v>0</v>
      </c>
      <c r="E216" s="26">
        <f ca="1">'Preventative costs A'!E216-'Preventative costs B'!E216</f>
        <v>0</v>
      </c>
      <c r="F216" s="26">
        <f ca="1">'Preventative costs A'!F216-'Preventative costs B'!F216</f>
        <v>0</v>
      </c>
      <c r="G216" s="26">
        <f ca="1">'Preventative costs A'!G216-'Preventative costs B'!G216</f>
        <v>0</v>
      </c>
      <c r="H216" s="26">
        <f ca="1">'Preventative costs A'!H216-'Preventative costs B'!H216</f>
        <v>0</v>
      </c>
      <c r="I216" s="26">
        <f ca="1">'Preventative costs A'!I216-'Preventative costs B'!I216</f>
        <v>0</v>
      </c>
      <c r="J216" s="26">
        <f ca="1">'Preventative costs A'!J216-'Preventative costs B'!J216</f>
        <v>0</v>
      </c>
      <c r="K216" s="26">
        <f ca="1">'Preventative costs A'!K216-'Preventative costs B'!K216</f>
        <v>0</v>
      </c>
      <c r="M216" s="4"/>
    </row>
    <row r="217" spans="1:13" s="7" customFormat="1" x14ac:dyDescent="0.25">
      <c r="A217" s="4" t="str">
        <v>OT N2O</v>
      </c>
      <c r="B217" s="26">
        <f ca="1">'Preventative costs A'!B217-'Preventative costs B'!B217</f>
        <v>0</v>
      </c>
      <c r="C217" s="26">
        <f ca="1">'Preventative costs A'!C217-'Preventative costs B'!C217</f>
        <v>0</v>
      </c>
      <c r="D217" s="26">
        <f ca="1">'Preventative costs A'!D217-'Preventative costs B'!D217</f>
        <v>0</v>
      </c>
      <c r="E217" s="26">
        <f ca="1">'Preventative costs A'!E217-'Preventative costs B'!E217</f>
        <v>0</v>
      </c>
      <c r="F217" s="26">
        <f ca="1">'Preventative costs A'!F217-'Preventative costs B'!F217</f>
        <v>0</v>
      </c>
      <c r="G217" s="26">
        <f ca="1">'Preventative costs A'!G217-'Preventative costs B'!G217</f>
        <v>0</v>
      </c>
      <c r="H217" s="26">
        <f ca="1">'Preventative costs A'!H217-'Preventative costs B'!H217</f>
        <v>0</v>
      </c>
      <c r="I217" s="26">
        <f ca="1">'Preventative costs A'!I217-'Preventative costs B'!I217</f>
        <v>0</v>
      </c>
      <c r="J217" s="26">
        <f ca="1">'Preventative costs A'!J217-'Preventative costs B'!J217</f>
        <v>0</v>
      </c>
      <c r="K217" s="26">
        <f ca="1">'Preventative costs A'!K217-'Preventative costs B'!K217</f>
        <v>0</v>
      </c>
      <c r="M217" s="4"/>
    </row>
    <row r="218" spans="1:13" s="7" customFormat="1" x14ac:dyDescent="0.25">
      <c r="A218" s="4" t="str">
        <v>EE N2O</v>
      </c>
      <c r="B218" s="26">
        <f ca="1">'Preventative costs A'!B218-'Preventative costs B'!B218</f>
        <v>0</v>
      </c>
      <c r="C218" s="26">
        <f ca="1">'Preventative costs A'!C218-'Preventative costs B'!C218</f>
        <v>0</v>
      </c>
      <c r="D218" s="26">
        <f ca="1">'Preventative costs A'!D218-'Preventative costs B'!D218</f>
        <v>0</v>
      </c>
      <c r="E218" s="26">
        <f ca="1">'Preventative costs A'!E218-'Preventative costs B'!E218</f>
        <v>0</v>
      </c>
      <c r="F218" s="26">
        <f ca="1">'Preventative costs A'!F218-'Preventative costs B'!F218</f>
        <v>0</v>
      </c>
      <c r="G218" s="26">
        <f ca="1">'Preventative costs A'!G218-'Preventative costs B'!G218</f>
        <v>0</v>
      </c>
      <c r="H218" s="26">
        <f ca="1">'Preventative costs A'!H218-'Preventative costs B'!H218</f>
        <v>0</v>
      </c>
      <c r="I218" s="26">
        <f ca="1">'Preventative costs A'!I218-'Preventative costs B'!I218</f>
        <v>0</v>
      </c>
      <c r="J218" s="26">
        <f ca="1">'Preventative costs A'!J218-'Preventative costs B'!J218</f>
        <v>0</v>
      </c>
      <c r="K218" s="26">
        <f ca="1">'Preventative costs A'!K218-'Preventative costs B'!K218</f>
        <v>0</v>
      </c>
      <c r="M218" s="4"/>
    </row>
    <row r="219" spans="1:13" s="7" customFormat="1" x14ac:dyDescent="0.25">
      <c r="A219" s="4" t="str">
        <v>CA N2O</v>
      </c>
      <c r="B219" s="26">
        <f ca="1">'Preventative costs A'!B219-'Preventative costs B'!B219</f>
        <v>0</v>
      </c>
      <c r="C219" s="26">
        <f ca="1">'Preventative costs A'!C219-'Preventative costs B'!C219</f>
        <v>0</v>
      </c>
      <c r="D219" s="26">
        <f ca="1">'Preventative costs A'!D219-'Preventative costs B'!D219</f>
        <v>0</v>
      </c>
      <c r="E219" s="26">
        <f ca="1">'Preventative costs A'!E219-'Preventative costs B'!E219</f>
        <v>0</v>
      </c>
      <c r="F219" s="26">
        <f ca="1">'Preventative costs A'!F219-'Preventative costs B'!F219</f>
        <v>0</v>
      </c>
      <c r="G219" s="26">
        <f ca="1">'Preventative costs A'!G219-'Preventative costs B'!G219</f>
        <v>0</v>
      </c>
      <c r="H219" s="26">
        <f ca="1">'Preventative costs A'!H219-'Preventative costs B'!H219</f>
        <v>0</v>
      </c>
      <c r="I219" s="26">
        <f ca="1">'Preventative costs A'!I219-'Preventative costs B'!I219</f>
        <v>0</v>
      </c>
      <c r="J219" s="26">
        <f ca="1">'Preventative costs A'!J219-'Preventative costs B'!J219</f>
        <v>0</v>
      </c>
      <c r="K219" s="26">
        <f ca="1">'Preventative costs A'!K219-'Preventative costs B'!K219</f>
        <v>0</v>
      </c>
      <c r="M219" s="4"/>
    </row>
    <row r="220" spans="1:13" s="7" customFormat="1" x14ac:dyDescent="0.25">
      <c r="A220" s="4" t="str">
        <v>IA N2O</v>
      </c>
      <c r="B220" s="26">
        <f ca="1">'Preventative costs A'!B220-'Preventative costs B'!B220</f>
        <v>0</v>
      </c>
      <c r="C220" s="26">
        <f ca="1">'Preventative costs A'!C220-'Preventative costs B'!C220</f>
        <v>0</v>
      </c>
      <c r="D220" s="26">
        <f ca="1">'Preventative costs A'!D220-'Preventative costs B'!D220</f>
        <v>0</v>
      </c>
      <c r="E220" s="26">
        <f ca="1">'Preventative costs A'!E220-'Preventative costs B'!E220</f>
        <v>0</v>
      </c>
      <c r="F220" s="26">
        <f ca="1">'Preventative costs A'!F220-'Preventative costs B'!F220</f>
        <v>0</v>
      </c>
      <c r="G220" s="26">
        <f ca="1">'Preventative costs A'!G220-'Preventative costs B'!G220</f>
        <v>0</v>
      </c>
      <c r="H220" s="26">
        <f ca="1">'Preventative costs A'!H220-'Preventative costs B'!H220</f>
        <v>0</v>
      </c>
      <c r="I220" s="26">
        <f ca="1">'Preventative costs A'!I220-'Preventative costs B'!I220</f>
        <v>0</v>
      </c>
      <c r="J220" s="26">
        <f ca="1">'Preventative costs A'!J220-'Preventative costs B'!J220</f>
        <v>0</v>
      </c>
      <c r="K220" s="26">
        <f ca="1">'Preventative costs A'!K220-'Preventative costs B'!K220</f>
        <v>0</v>
      </c>
      <c r="M220" s="4"/>
    </row>
    <row r="221" spans="1:13" s="7" customFormat="1" x14ac:dyDescent="0.25">
      <c r="A221" s="4" t="str">
        <v>AF N2O</v>
      </c>
      <c r="B221" s="26">
        <f ca="1">'Preventative costs A'!B221-'Preventative costs B'!B221</f>
        <v>0</v>
      </c>
      <c r="C221" s="26">
        <f ca="1">'Preventative costs A'!C221-'Preventative costs B'!C221</f>
        <v>0</v>
      </c>
      <c r="D221" s="26">
        <f ca="1">'Preventative costs A'!D221-'Preventative costs B'!D221</f>
        <v>0</v>
      </c>
      <c r="E221" s="26">
        <f ca="1">'Preventative costs A'!E221-'Preventative costs B'!E221</f>
        <v>0</v>
      </c>
      <c r="F221" s="26">
        <f ca="1">'Preventative costs A'!F221-'Preventative costs B'!F221</f>
        <v>0</v>
      </c>
      <c r="G221" s="26">
        <f ca="1">'Preventative costs A'!G221-'Preventative costs B'!G221</f>
        <v>0</v>
      </c>
      <c r="H221" s="26">
        <f ca="1">'Preventative costs A'!H221-'Preventative costs B'!H221</f>
        <v>0</v>
      </c>
      <c r="I221" s="26">
        <f ca="1">'Preventative costs A'!I221-'Preventative costs B'!I221</f>
        <v>0</v>
      </c>
      <c r="J221" s="26">
        <f ca="1">'Preventative costs A'!J221-'Preventative costs B'!J221</f>
        <v>0</v>
      </c>
      <c r="K221" s="26">
        <f ca="1">'Preventative costs A'!K221-'Preventative costs B'!K221</f>
        <v>0</v>
      </c>
      <c r="M221" s="4"/>
    </row>
    <row r="222" spans="1:13" s="7" customFormat="1" ht="13" thickBot="1" x14ac:dyDescent="0.3">
      <c r="A222" s="4" t="str">
        <v>LA N2O</v>
      </c>
      <c r="B222" s="35">
        <f ca="1">'Preventative costs A'!B222-'Preventative costs B'!B222</f>
        <v>0</v>
      </c>
      <c r="C222" s="35">
        <f ca="1">'Preventative costs A'!C222-'Preventative costs B'!C222</f>
        <v>0</v>
      </c>
      <c r="D222" s="35">
        <f ca="1">'Preventative costs A'!D222-'Preventative costs B'!D222</f>
        <v>0</v>
      </c>
      <c r="E222" s="35">
        <f ca="1">'Preventative costs A'!E222-'Preventative costs B'!E222</f>
        <v>0</v>
      </c>
      <c r="F222" s="35">
        <f ca="1">'Preventative costs A'!F222-'Preventative costs B'!F222</f>
        <v>0</v>
      </c>
      <c r="G222" s="35">
        <f ca="1">'Preventative costs A'!G222-'Preventative costs B'!G222</f>
        <v>0</v>
      </c>
      <c r="H222" s="35">
        <f ca="1">'Preventative costs A'!H222-'Preventative costs B'!H222</f>
        <v>0</v>
      </c>
      <c r="I222" s="35">
        <f ca="1">'Preventative costs A'!I222-'Preventative costs B'!I222</f>
        <v>0</v>
      </c>
      <c r="J222" s="35">
        <f ca="1">'Preventative costs A'!J222-'Preventative costs B'!J222</f>
        <v>0</v>
      </c>
      <c r="K222" s="35">
        <f ca="1">'Preventative costs A'!K222-'Preventative costs B'!K222</f>
        <v>0</v>
      </c>
      <c r="M222" s="4"/>
    </row>
    <row r="223" spans="1:13" s="2" customFormat="1" ht="15.5" thickTop="1" x14ac:dyDescent="0.4">
      <c r="A223" s="2" t="s">
        <v>294</v>
      </c>
      <c r="B223" s="2" t="s">
        <v>298</v>
      </c>
    </row>
    <row r="224" spans="1:13" s="7" customFormat="1" x14ac:dyDescent="0.25">
      <c r="A224" s="4" t="str">
        <f t="array" ref="A224:A231">R_CODE&amp;" "&amp;GLIN_NAME</f>
        <v>EU Lin</v>
      </c>
      <c r="B224" s="29">
        <f ca="1">'Preventative costs A'!B224-'Preventative costs B'!B224</f>
        <v>0</v>
      </c>
      <c r="C224" s="29">
        <f ca="1">'Preventative costs A'!C224-'Preventative costs B'!C224</f>
        <v>0</v>
      </c>
      <c r="D224" s="29">
        <f ca="1">'Preventative costs A'!D224-'Preventative costs B'!D224</f>
        <v>0</v>
      </c>
      <c r="E224" s="29">
        <f ca="1">'Preventative costs A'!E224-'Preventative costs B'!E224</f>
        <v>0</v>
      </c>
      <c r="F224" s="29">
        <f ca="1">'Preventative costs A'!F224-'Preventative costs B'!F224</f>
        <v>0</v>
      </c>
      <c r="G224" s="29">
        <f ca="1">'Preventative costs A'!G224-'Preventative costs B'!G224</f>
        <v>0</v>
      </c>
      <c r="H224" s="29">
        <f ca="1">'Preventative costs A'!H224-'Preventative costs B'!H224</f>
        <v>0</v>
      </c>
      <c r="I224" s="29">
        <f ca="1">'Preventative costs A'!I224-'Preventative costs B'!I224</f>
        <v>0</v>
      </c>
      <c r="J224" s="29">
        <f ca="1">'Preventative costs A'!J224-'Preventative costs B'!J224</f>
        <v>0</v>
      </c>
      <c r="K224" s="29">
        <f ca="1">'Preventative costs A'!K224-'Preventative costs B'!K224</f>
        <v>0</v>
      </c>
      <c r="M224" s="4"/>
    </row>
    <row r="225" spans="1:13" s="7" customFormat="1" x14ac:dyDescent="0.25">
      <c r="A225" s="4" t="str">
        <v>US Lin</v>
      </c>
      <c r="B225" s="26">
        <f ca="1">'Preventative costs A'!B225-'Preventative costs B'!B225</f>
        <v>0</v>
      </c>
      <c r="C225" s="26">
        <f ca="1">'Preventative costs A'!C225-'Preventative costs B'!C225</f>
        <v>0</v>
      </c>
      <c r="D225" s="26">
        <f ca="1">'Preventative costs A'!D225-'Preventative costs B'!D225</f>
        <v>0</v>
      </c>
      <c r="E225" s="26">
        <f ca="1">'Preventative costs A'!E225-'Preventative costs B'!E225</f>
        <v>0</v>
      </c>
      <c r="F225" s="26">
        <f ca="1">'Preventative costs A'!F225-'Preventative costs B'!F225</f>
        <v>0</v>
      </c>
      <c r="G225" s="26">
        <f ca="1">'Preventative costs A'!G225-'Preventative costs B'!G225</f>
        <v>0</v>
      </c>
      <c r="H225" s="26">
        <f ca="1">'Preventative costs A'!H225-'Preventative costs B'!H225</f>
        <v>0</v>
      </c>
      <c r="I225" s="26">
        <f ca="1">'Preventative costs A'!I225-'Preventative costs B'!I225</f>
        <v>0</v>
      </c>
      <c r="J225" s="26">
        <f ca="1">'Preventative costs A'!J225-'Preventative costs B'!J225</f>
        <v>0</v>
      </c>
      <c r="K225" s="26">
        <f ca="1">'Preventative costs A'!K225-'Preventative costs B'!K225</f>
        <v>0</v>
      </c>
      <c r="M225" s="4"/>
    </row>
    <row r="226" spans="1:13" s="7" customFormat="1" x14ac:dyDescent="0.25">
      <c r="A226" s="4" t="str">
        <v>OT Lin</v>
      </c>
      <c r="B226" s="26">
        <f ca="1">'Preventative costs A'!B226-'Preventative costs B'!B226</f>
        <v>0</v>
      </c>
      <c r="C226" s="26">
        <f ca="1">'Preventative costs A'!C226-'Preventative costs B'!C226</f>
        <v>0</v>
      </c>
      <c r="D226" s="26">
        <f ca="1">'Preventative costs A'!D226-'Preventative costs B'!D226</f>
        <v>0</v>
      </c>
      <c r="E226" s="26">
        <f ca="1">'Preventative costs A'!E226-'Preventative costs B'!E226</f>
        <v>0</v>
      </c>
      <c r="F226" s="26">
        <f ca="1">'Preventative costs A'!F226-'Preventative costs B'!F226</f>
        <v>0</v>
      </c>
      <c r="G226" s="26">
        <f ca="1">'Preventative costs A'!G226-'Preventative costs B'!G226</f>
        <v>0</v>
      </c>
      <c r="H226" s="26">
        <f ca="1">'Preventative costs A'!H226-'Preventative costs B'!H226</f>
        <v>0</v>
      </c>
      <c r="I226" s="26">
        <f ca="1">'Preventative costs A'!I226-'Preventative costs B'!I226</f>
        <v>0</v>
      </c>
      <c r="J226" s="26">
        <f ca="1">'Preventative costs A'!J226-'Preventative costs B'!J226</f>
        <v>0</v>
      </c>
      <c r="K226" s="26">
        <f ca="1">'Preventative costs A'!K226-'Preventative costs B'!K226</f>
        <v>0</v>
      </c>
      <c r="M226" s="4"/>
    </row>
    <row r="227" spans="1:13" s="7" customFormat="1" x14ac:dyDescent="0.25">
      <c r="A227" s="4" t="str">
        <v>EE Lin</v>
      </c>
      <c r="B227" s="26">
        <f ca="1">'Preventative costs A'!B227-'Preventative costs B'!B227</f>
        <v>0</v>
      </c>
      <c r="C227" s="26">
        <f ca="1">'Preventative costs A'!C227-'Preventative costs B'!C227</f>
        <v>0</v>
      </c>
      <c r="D227" s="26">
        <f ca="1">'Preventative costs A'!D227-'Preventative costs B'!D227</f>
        <v>0</v>
      </c>
      <c r="E227" s="26">
        <f ca="1">'Preventative costs A'!E227-'Preventative costs B'!E227</f>
        <v>0</v>
      </c>
      <c r="F227" s="26">
        <f ca="1">'Preventative costs A'!F227-'Preventative costs B'!F227</f>
        <v>0</v>
      </c>
      <c r="G227" s="26">
        <f ca="1">'Preventative costs A'!G227-'Preventative costs B'!G227</f>
        <v>0</v>
      </c>
      <c r="H227" s="26">
        <f ca="1">'Preventative costs A'!H227-'Preventative costs B'!H227</f>
        <v>0</v>
      </c>
      <c r="I227" s="26">
        <f ca="1">'Preventative costs A'!I227-'Preventative costs B'!I227</f>
        <v>0</v>
      </c>
      <c r="J227" s="26">
        <f ca="1">'Preventative costs A'!J227-'Preventative costs B'!J227</f>
        <v>0</v>
      </c>
      <c r="K227" s="26">
        <f ca="1">'Preventative costs A'!K227-'Preventative costs B'!K227</f>
        <v>0</v>
      </c>
      <c r="M227" s="4"/>
    </row>
    <row r="228" spans="1:13" s="7" customFormat="1" x14ac:dyDescent="0.25">
      <c r="A228" s="4" t="str">
        <v>CA Lin</v>
      </c>
      <c r="B228" s="26">
        <f ca="1">'Preventative costs A'!B228-'Preventative costs B'!B228</f>
        <v>0</v>
      </c>
      <c r="C228" s="26">
        <f ca="1">'Preventative costs A'!C228-'Preventative costs B'!C228</f>
        <v>0</v>
      </c>
      <c r="D228" s="26">
        <f ca="1">'Preventative costs A'!D228-'Preventative costs B'!D228</f>
        <v>0</v>
      </c>
      <c r="E228" s="26">
        <f ca="1">'Preventative costs A'!E228-'Preventative costs B'!E228</f>
        <v>0</v>
      </c>
      <c r="F228" s="26">
        <f ca="1">'Preventative costs A'!F228-'Preventative costs B'!F228</f>
        <v>0</v>
      </c>
      <c r="G228" s="26">
        <f ca="1">'Preventative costs A'!G228-'Preventative costs B'!G228</f>
        <v>0</v>
      </c>
      <c r="H228" s="26">
        <f ca="1">'Preventative costs A'!H228-'Preventative costs B'!H228</f>
        <v>0</v>
      </c>
      <c r="I228" s="26">
        <f ca="1">'Preventative costs A'!I228-'Preventative costs B'!I228</f>
        <v>0</v>
      </c>
      <c r="J228" s="26">
        <f ca="1">'Preventative costs A'!J228-'Preventative costs B'!J228</f>
        <v>0</v>
      </c>
      <c r="K228" s="26">
        <f ca="1">'Preventative costs A'!K228-'Preventative costs B'!K228</f>
        <v>0</v>
      </c>
      <c r="M228" s="4"/>
    </row>
    <row r="229" spans="1:13" s="7" customFormat="1" x14ac:dyDescent="0.25">
      <c r="A229" s="4" t="str">
        <v>IA Lin</v>
      </c>
      <c r="B229" s="26">
        <f ca="1">'Preventative costs A'!B229-'Preventative costs B'!B229</f>
        <v>0</v>
      </c>
      <c r="C229" s="26">
        <f ca="1">'Preventative costs A'!C229-'Preventative costs B'!C229</f>
        <v>0</v>
      </c>
      <c r="D229" s="26">
        <f ca="1">'Preventative costs A'!D229-'Preventative costs B'!D229</f>
        <v>0</v>
      </c>
      <c r="E229" s="26">
        <f ca="1">'Preventative costs A'!E229-'Preventative costs B'!E229</f>
        <v>0</v>
      </c>
      <c r="F229" s="26">
        <f ca="1">'Preventative costs A'!F229-'Preventative costs B'!F229</f>
        <v>0</v>
      </c>
      <c r="G229" s="26">
        <f ca="1">'Preventative costs A'!G229-'Preventative costs B'!G229</f>
        <v>0</v>
      </c>
      <c r="H229" s="26">
        <f ca="1">'Preventative costs A'!H229-'Preventative costs B'!H229</f>
        <v>0</v>
      </c>
      <c r="I229" s="26">
        <f ca="1">'Preventative costs A'!I229-'Preventative costs B'!I229</f>
        <v>0</v>
      </c>
      <c r="J229" s="26">
        <f ca="1">'Preventative costs A'!J229-'Preventative costs B'!J229</f>
        <v>0</v>
      </c>
      <c r="K229" s="26">
        <f ca="1">'Preventative costs A'!K229-'Preventative costs B'!K229</f>
        <v>0</v>
      </c>
      <c r="M229" s="4"/>
    </row>
    <row r="230" spans="1:13" s="7" customFormat="1" x14ac:dyDescent="0.25">
      <c r="A230" s="4" t="str">
        <v>AF Lin</v>
      </c>
      <c r="B230" s="26">
        <f ca="1">'Preventative costs A'!B230-'Preventative costs B'!B230</f>
        <v>0</v>
      </c>
      <c r="C230" s="26">
        <f ca="1">'Preventative costs A'!C230-'Preventative costs B'!C230</f>
        <v>0</v>
      </c>
      <c r="D230" s="26">
        <f ca="1">'Preventative costs A'!D230-'Preventative costs B'!D230</f>
        <v>0</v>
      </c>
      <c r="E230" s="26">
        <f ca="1">'Preventative costs A'!E230-'Preventative costs B'!E230</f>
        <v>0</v>
      </c>
      <c r="F230" s="26">
        <f ca="1">'Preventative costs A'!F230-'Preventative costs B'!F230</f>
        <v>0</v>
      </c>
      <c r="G230" s="26">
        <f ca="1">'Preventative costs A'!G230-'Preventative costs B'!G230</f>
        <v>0</v>
      </c>
      <c r="H230" s="26">
        <f ca="1">'Preventative costs A'!H230-'Preventative costs B'!H230</f>
        <v>0</v>
      </c>
      <c r="I230" s="26">
        <f ca="1">'Preventative costs A'!I230-'Preventative costs B'!I230</f>
        <v>0</v>
      </c>
      <c r="J230" s="26">
        <f ca="1">'Preventative costs A'!J230-'Preventative costs B'!J230</f>
        <v>0</v>
      </c>
      <c r="K230" s="26">
        <f ca="1">'Preventative costs A'!K230-'Preventative costs B'!K230</f>
        <v>0</v>
      </c>
      <c r="M230" s="4"/>
    </row>
    <row r="231" spans="1:13" s="7" customFormat="1" ht="13" thickBot="1" x14ac:dyDescent="0.3">
      <c r="A231" s="4" t="str">
        <v>LA Lin</v>
      </c>
      <c r="B231" s="35">
        <f ca="1">'Preventative costs A'!B231-'Preventative costs B'!B231</f>
        <v>0</v>
      </c>
      <c r="C231" s="35">
        <f ca="1">'Preventative costs A'!C231-'Preventative costs B'!C231</f>
        <v>0</v>
      </c>
      <c r="D231" s="35">
        <f ca="1">'Preventative costs A'!D231-'Preventative costs B'!D231</f>
        <v>0</v>
      </c>
      <c r="E231" s="35">
        <f ca="1">'Preventative costs A'!E231-'Preventative costs B'!E231</f>
        <v>0</v>
      </c>
      <c r="F231" s="35">
        <f ca="1">'Preventative costs A'!F231-'Preventative costs B'!F231</f>
        <v>0</v>
      </c>
      <c r="G231" s="35">
        <f ca="1">'Preventative costs A'!G231-'Preventative costs B'!G231</f>
        <v>0</v>
      </c>
      <c r="H231" s="35">
        <f ca="1">'Preventative costs A'!H231-'Preventative costs B'!H231</f>
        <v>0</v>
      </c>
      <c r="I231" s="35">
        <f ca="1">'Preventative costs A'!I231-'Preventative costs B'!I231</f>
        <v>0</v>
      </c>
      <c r="J231" s="35">
        <f ca="1">'Preventative costs A'!J231-'Preventative costs B'!J231</f>
        <v>0</v>
      </c>
      <c r="K231" s="35">
        <f ca="1">'Preventative costs A'!K231-'Preventative costs B'!K231</f>
        <v>0</v>
      </c>
      <c r="M231" s="4"/>
    </row>
    <row r="232" spans="1:13" s="2" customFormat="1" ht="13.5" thickTop="1" x14ac:dyDescent="0.3">
      <c r="A232" s="2" t="s">
        <v>299</v>
      </c>
      <c r="B232" s="2" t="s">
        <v>300</v>
      </c>
    </row>
    <row r="233" spans="1:13" s="7" customFormat="1" ht="13" thickBot="1" x14ac:dyDescent="0.3">
      <c r="A233" s="4"/>
      <c r="B233" s="35">
        <f ca="1">'Preventative costs A'!B233-'Preventative costs B'!B233</f>
        <v>0</v>
      </c>
      <c r="C233" s="35">
        <f ca="1">'Preventative costs A'!C233-'Preventative costs B'!C233</f>
        <v>0</v>
      </c>
      <c r="D233" s="35">
        <f ca="1">'Preventative costs A'!D233-'Preventative costs B'!D233</f>
        <v>0</v>
      </c>
      <c r="E233" s="35">
        <f ca="1">'Preventative costs A'!E233-'Preventative costs B'!E233</f>
        <v>0</v>
      </c>
      <c r="F233" s="35">
        <f ca="1">'Preventative costs A'!F233-'Preventative costs B'!F233</f>
        <v>0</v>
      </c>
      <c r="G233" s="35">
        <f ca="1">'Preventative costs A'!G233-'Preventative costs B'!G233</f>
        <v>0</v>
      </c>
      <c r="H233" s="35">
        <f ca="1">'Preventative costs A'!H233-'Preventative costs B'!H233</f>
        <v>0</v>
      </c>
      <c r="I233" s="35">
        <f ca="1">'Preventative costs A'!I233-'Preventative costs B'!I233</f>
        <v>0</v>
      </c>
      <c r="J233" s="35">
        <f ca="1">'Preventative costs A'!J233-'Preventative costs B'!J233</f>
        <v>0</v>
      </c>
      <c r="K233" s="35">
        <f ca="1">'Preventative costs A'!K233-'Preventative costs B'!K233</f>
        <v>0</v>
      </c>
      <c r="M233" s="4"/>
    </row>
    <row r="234" spans="1:13" s="2" customFormat="1" ht="13.5" thickTop="1" x14ac:dyDescent="0.3">
      <c r="A234" s="2" t="s">
        <v>310</v>
      </c>
      <c r="B234" s="2" t="s">
        <v>311</v>
      </c>
    </row>
    <row r="235" spans="1:13" s="7" customFormat="1" x14ac:dyDescent="0.25">
      <c r="A235" s="58" t="s">
        <v>14</v>
      </c>
      <c r="B235" s="26">
        <f ca="1">'Preventative costs A'!B235-'Preventative costs B'!B235</f>
        <v>0</v>
      </c>
      <c r="C235" s="26">
        <f ca="1">'Preventative costs A'!C235-'Preventative costs B'!C235</f>
        <v>0</v>
      </c>
      <c r="D235" s="26">
        <f ca="1">'Preventative costs A'!D235-'Preventative costs B'!D235</f>
        <v>0</v>
      </c>
      <c r="E235" s="26">
        <f ca="1">'Preventative costs A'!E235-'Preventative costs B'!E235</f>
        <v>0</v>
      </c>
      <c r="F235" s="26">
        <f ca="1">'Preventative costs A'!F235-'Preventative costs B'!F235</f>
        <v>0</v>
      </c>
      <c r="G235" s="26">
        <f ca="1">'Preventative costs A'!G235-'Preventative costs B'!G235</f>
        <v>0</v>
      </c>
      <c r="H235" s="26">
        <f ca="1">'Preventative costs A'!H235-'Preventative costs B'!H235</f>
        <v>0</v>
      </c>
      <c r="I235" s="26">
        <f ca="1">'Preventative costs A'!I235-'Preventative costs B'!I235</f>
        <v>0</v>
      </c>
      <c r="J235" s="26">
        <f ca="1">'Preventative costs A'!J235-'Preventative costs B'!J235</f>
        <v>0</v>
      </c>
      <c r="K235" s="26">
        <f ca="1">'Preventative costs A'!K235-'Preventative costs B'!K235</f>
        <v>0</v>
      </c>
      <c r="M235" s="4" t="str">
        <f>CURRENCY_NAME&amp;" per "&amp;EMIT_NAME</f>
        <v>$M(2015) per Mtonne</v>
      </c>
    </row>
    <row r="236" spans="1:13" s="7" customFormat="1" x14ac:dyDescent="0.25">
      <c r="A236" s="58" t="s">
        <v>15</v>
      </c>
      <c r="B236" s="26">
        <f ca="1">'Preventative costs A'!B236-'Preventative costs B'!B236</f>
        <v>0</v>
      </c>
      <c r="C236" s="26">
        <f ca="1">'Preventative costs A'!C236-'Preventative costs B'!C236</f>
        <v>0</v>
      </c>
      <c r="D236" s="26">
        <f ca="1">'Preventative costs A'!D236-'Preventative costs B'!D236</f>
        <v>0</v>
      </c>
      <c r="E236" s="26">
        <f ca="1">'Preventative costs A'!E236-'Preventative costs B'!E236</f>
        <v>0</v>
      </c>
      <c r="F236" s="26">
        <f ca="1">'Preventative costs A'!F236-'Preventative costs B'!F236</f>
        <v>0</v>
      </c>
      <c r="G236" s="26">
        <f ca="1">'Preventative costs A'!G236-'Preventative costs B'!G236</f>
        <v>0</v>
      </c>
      <c r="H236" s="26">
        <f ca="1">'Preventative costs A'!H236-'Preventative costs B'!H236</f>
        <v>0</v>
      </c>
      <c r="I236" s="26">
        <f ca="1">'Preventative costs A'!I236-'Preventative costs B'!I236</f>
        <v>0</v>
      </c>
      <c r="J236" s="26">
        <f ca="1">'Preventative costs A'!J236-'Preventative costs B'!J236</f>
        <v>0</v>
      </c>
      <c r="K236" s="26">
        <f ca="1">'Preventative costs A'!K236-'Preventative costs B'!K236</f>
        <v>0</v>
      </c>
      <c r="M236" s="4" t="str">
        <f>CURRENCY_NAME&amp;" per "&amp;EMIT_NAME</f>
        <v>$M(2015) per Mtonne</v>
      </c>
    </row>
    <row r="237" spans="1:13" s="7" customFormat="1" x14ac:dyDescent="0.25">
      <c r="A237" s="58" t="s">
        <v>146</v>
      </c>
      <c r="B237" s="26">
        <f ca="1">'Preventative costs A'!B237-'Preventative costs B'!B237</f>
        <v>0</v>
      </c>
      <c r="C237" s="26">
        <f ca="1">'Preventative costs A'!C237-'Preventative costs B'!C237</f>
        <v>0</v>
      </c>
      <c r="D237" s="26">
        <f ca="1">'Preventative costs A'!D237-'Preventative costs B'!D237</f>
        <v>0</v>
      </c>
      <c r="E237" s="26">
        <f ca="1">'Preventative costs A'!E237-'Preventative costs B'!E237</f>
        <v>0</v>
      </c>
      <c r="F237" s="26">
        <f ca="1">'Preventative costs A'!F237-'Preventative costs B'!F237</f>
        <v>0</v>
      </c>
      <c r="G237" s="26">
        <f ca="1">'Preventative costs A'!G237-'Preventative costs B'!G237</f>
        <v>0</v>
      </c>
      <c r="H237" s="26">
        <f ca="1">'Preventative costs A'!H237-'Preventative costs B'!H237</f>
        <v>0</v>
      </c>
      <c r="I237" s="26">
        <f ca="1">'Preventative costs A'!I237-'Preventative costs B'!I237</f>
        <v>0</v>
      </c>
      <c r="J237" s="26">
        <f ca="1">'Preventative costs A'!J237-'Preventative costs B'!J237</f>
        <v>0</v>
      </c>
      <c r="K237" s="26">
        <f ca="1">'Preventative costs A'!K237-'Preventative costs B'!K237</f>
        <v>0</v>
      </c>
      <c r="M237" s="4" t="str">
        <f>CURRENCY_NAME&amp;" per "&amp;EMIT_NAME</f>
        <v>$M(2015) per Mtonne</v>
      </c>
    </row>
    <row r="238" spans="1:13" s="7" customFormat="1" x14ac:dyDescent="0.25">
      <c r="A238" s="4" t="str">
        <f>GLIN_NAME</f>
        <v>Lin</v>
      </c>
      <c r="B238" s="26">
        <f ca="1">'Preventative costs A'!B238-'Preventative costs B'!B238</f>
        <v>0</v>
      </c>
      <c r="C238" s="26">
        <f ca="1">'Preventative costs A'!C238-'Preventative costs B'!C238</f>
        <v>0</v>
      </c>
      <c r="D238" s="26">
        <f ca="1">'Preventative costs A'!D238-'Preventative costs B'!D238</f>
        <v>0</v>
      </c>
      <c r="E238" s="26">
        <f ca="1">'Preventative costs A'!E238-'Preventative costs B'!E238</f>
        <v>0</v>
      </c>
      <c r="F238" s="26">
        <f ca="1">'Preventative costs A'!F238-'Preventative costs B'!F238</f>
        <v>0</v>
      </c>
      <c r="G238" s="26">
        <f ca="1">'Preventative costs A'!G238-'Preventative costs B'!G238</f>
        <v>0</v>
      </c>
      <c r="H238" s="26">
        <f ca="1">'Preventative costs A'!H238-'Preventative costs B'!H238</f>
        <v>0</v>
      </c>
      <c r="I238" s="26">
        <f ca="1">'Preventative costs A'!I238-'Preventative costs B'!I238</f>
        <v>0</v>
      </c>
      <c r="J238" s="26">
        <f ca="1">'Preventative costs A'!J238-'Preventative costs B'!J238</f>
        <v>0</v>
      </c>
      <c r="K238" s="26">
        <f ca="1">'Preventative costs A'!K238-'Preventative costs B'!K238</f>
        <v>0</v>
      </c>
      <c r="M238" s="4" t="str">
        <f>CURRENCY_NAME&amp;" per "&amp;EMIT_NAME</f>
        <v>$M(2015) per Mtonne</v>
      </c>
    </row>
    <row r="239" spans="1:13" s="2" customFormat="1" ht="15" x14ac:dyDescent="0.4">
      <c r="A239" s="2" t="s">
        <v>312</v>
      </c>
      <c r="B239" s="2" t="s">
        <v>313</v>
      </c>
    </row>
    <row r="240" spans="1:13" s="7" customFormat="1" x14ac:dyDescent="0.25">
      <c r="A240" s="58" t="s">
        <v>14</v>
      </c>
      <c r="B240" s="29">
        <f ca="1">'Preventative costs A'!B240-'Preventative costs B'!B240</f>
        <v>0</v>
      </c>
      <c r="C240" s="29">
        <f ca="1">'Preventative costs A'!C240-'Preventative costs B'!C240</f>
        <v>0</v>
      </c>
      <c r="D240" s="29">
        <f ca="1">'Preventative costs A'!D240-'Preventative costs B'!D240</f>
        <v>0</v>
      </c>
      <c r="E240" s="29">
        <f ca="1">'Preventative costs A'!E240-'Preventative costs B'!E240</f>
        <v>0</v>
      </c>
      <c r="F240" s="29">
        <f ca="1">'Preventative costs A'!F240-'Preventative costs B'!F240</f>
        <v>0</v>
      </c>
      <c r="G240" s="29">
        <f ca="1">'Preventative costs A'!G240-'Preventative costs B'!G240</f>
        <v>0</v>
      </c>
      <c r="H240" s="29">
        <f ca="1">'Preventative costs A'!H240-'Preventative costs B'!H240</f>
        <v>0</v>
      </c>
      <c r="I240" s="29">
        <f ca="1">'Preventative costs A'!I240-'Preventative costs B'!I240</f>
        <v>0</v>
      </c>
      <c r="J240" s="29">
        <f ca="1">'Preventative costs A'!J240-'Preventative costs B'!J240</f>
        <v>0</v>
      </c>
      <c r="K240" s="29">
        <f ca="1">'Preventative costs A'!K240-'Preventative costs B'!K240</f>
        <v>0</v>
      </c>
      <c r="M240" s="4" t="str">
        <f>'Library data'!$G$138</f>
        <v>% relative to RCP8.5</v>
      </c>
    </row>
    <row r="241" spans="1:15" s="7" customFormat="1" x14ac:dyDescent="0.25">
      <c r="A241" s="58" t="s">
        <v>15</v>
      </c>
      <c r="B241" s="26">
        <f ca="1">'Preventative costs A'!B241-'Preventative costs B'!B241</f>
        <v>0</v>
      </c>
      <c r="C241" s="26">
        <f ca="1">'Preventative costs A'!C241-'Preventative costs B'!C241</f>
        <v>0</v>
      </c>
      <c r="D241" s="26">
        <f ca="1">'Preventative costs A'!D241-'Preventative costs B'!D241</f>
        <v>0</v>
      </c>
      <c r="E241" s="26">
        <f ca="1">'Preventative costs A'!E241-'Preventative costs B'!E241</f>
        <v>0</v>
      </c>
      <c r="F241" s="26">
        <f ca="1">'Preventative costs A'!F241-'Preventative costs B'!F241</f>
        <v>0</v>
      </c>
      <c r="G241" s="26">
        <f ca="1">'Preventative costs A'!G241-'Preventative costs B'!G241</f>
        <v>0</v>
      </c>
      <c r="H241" s="26">
        <f ca="1">'Preventative costs A'!H241-'Preventative costs B'!H241</f>
        <v>0</v>
      </c>
      <c r="I241" s="26">
        <f ca="1">'Preventative costs A'!I241-'Preventative costs B'!I241</f>
        <v>0</v>
      </c>
      <c r="J241" s="26">
        <f ca="1">'Preventative costs A'!J241-'Preventative costs B'!J241</f>
        <v>0</v>
      </c>
      <c r="K241" s="26">
        <f ca="1">'Preventative costs A'!K241-'Preventative costs B'!K241</f>
        <v>0</v>
      </c>
      <c r="M241" s="4" t="str">
        <f>'Library data'!$G$138</f>
        <v>% relative to RCP8.5</v>
      </c>
    </row>
    <row r="242" spans="1:15" s="7" customFormat="1" x14ac:dyDescent="0.25">
      <c r="A242" s="58" t="s">
        <v>146</v>
      </c>
      <c r="B242" s="26">
        <f ca="1">'Preventative costs A'!B242-'Preventative costs B'!B242</f>
        <v>0</v>
      </c>
      <c r="C242" s="26">
        <f ca="1">'Preventative costs A'!C242-'Preventative costs B'!C242</f>
        <v>0</v>
      </c>
      <c r="D242" s="26">
        <f ca="1">'Preventative costs A'!D242-'Preventative costs B'!D242</f>
        <v>0</v>
      </c>
      <c r="E242" s="26">
        <f ca="1">'Preventative costs A'!E242-'Preventative costs B'!E242</f>
        <v>0</v>
      </c>
      <c r="F242" s="26">
        <f ca="1">'Preventative costs A'!F242-'Preventative costs B'!F242</f>
        <v>0</v>
      </c>
      <c r="G242" s="26">
        <f ca="1">'Preventative costs A'!G242-'Preventative costs B'!G242</f>
        <v>0</v>
      </c>
      <c r="H242" s="26">
        <f ca="1">'Preventative costs A'!H242-'Preventative costs B'!H242</f>
        <v>0</v>
      </c>
      <c r="I242" s="26">
        <f ca="1">'Preventative costs A'!I242-'Preventative costs B'!I242</f>
        <v>0</v>
      </c>
      <c r="J242" s="26">
        <f ca="1">'Preventative costs A'!J242-'Preventative costs B'!J242</f>
        <v>0</v>
      </c>
      <c r="K242" s="26">
        <f ca="1">'Preventative costs A'!K242-'Preventative costs B'!K242</f>
        <v>0</v>
      </c>
      <c r="M242" s="4" t="str">
        <f>'Library data'!$G$138</f>
        <v>% relative to RCP8.5</v>
      </c>
    </row>
    <row r="243" spans="1:15" s="7" customFormat="1" x14ac:dyDescent="0.25">
      <c r="A243" s="4" t="str">
        <f>GLIN_NAME</f>
        <v>Lin</v>
      </c>
      <c r="B243" s="26">
        <f ca="1">'Preventative costs A'!B243-'Preventative costs B'!B243</f>
        <v>0</v>
      </c>
      <c r="C243" s="26">
        <f ca="1">'Preventative costs A'!C243-'Preventative costs B'!C243</f>
        <v>0</v>
      </c>
      <c r="D243" s="26">
        <f ca="1">'Preventative costs A'!D243-'Preventative costs B'!D243</f>
        <v>0</v>
      </c>
      <c r="E243" s="26">
        <f ca="1">'Preventative costs A'!E243-'Preventative costs B'!E243</f>
        <v>0</v>
      </c>
      <c r="F243" s="26">
        <f ca="1">'Preventative costs A'!F243-'Preventative costs B'!F243</f>
        <v>0</v>
      </c>
      <c r="G243" s="26">
        <f ca="1">'Preventative costs A'!G243-'Preventative costs B'!G243</f>
        <v>0</v>
      </c>
      <c r="H243" s="26">
        <f ca="1">'Preventative costs A'!H243-'Preventative costs B'!H243</f>
        <v>0</v>
      </c>
      <c r="I243" s="26">
        <f ca="1">'Preventative costs A'!I243-'Preventative costs B'!I243</f>
        <v>0</v>
      </c>
      <c r="J243" s="26">
        <f ca="1">'Preventative costs A'!J243-'Preventative costs B'!J243</f>
        <v>0</v>
      </c>
      <c r="K243" s="26">
        <f ca="1">'Preventative costs A'!K243-'Preventative costs B'!K243</f>
        <v>0</v>
      </c>
      <c r="M243" s="4" t="str">
        <f>'Library data'!$G$138</f>
        <v>% relative to RCP8.5</v>
      </c>
    </row>
    <row r="244" spans="1:15" s="2" customFormat="1" ht="15" x14ac:dyDescent="0.4">
      <c r="A244" s="2" t="s">
        <v>301</v>
      </c>
      <c r="B244" s="2" t="s">
        <v>302</v>
      </c>
    </row>
    <row r="245" spans="1:15" s="6" customFormat="1" x14ac:dyDescent="0.25">
      <c r="A245" s="4" t="str">
        <f t="array" ref="A245:A252">R_CODE&amp;" "&amp;'Base data'!$B$12</f>
        <v>EU CO2</v>
      </c>
      <c r="B245" s="29">
        <f ca="1">'Preventative costs A'!B245-'Preventative costs B'!B245</f>
        <v>0</v>
      </c>
      <c r="C245" s="29">
        <f ca="1">'Preventative costs A'!C245-'Preventative costs B'!C245</f>
        <v>0</v>
      </c>
      <c r="D245" s="29">
        <f ca="1">'Preventative costs A'!D245-'Preventative costs B'!D245</f>
        <v>0</v>
      </c>
      <c r="E245" s="29">
        <f ca="1">'Preventative costs A'!E245-'Preventative costs B'!E245</f>
        <v>0</v>
      </c>
      <c r="F245" s="29">
        <f ca="1">'Preventative costs A'!F245-'Preventative costs B'!F245</f>
        <v>0</v>
      </c>
      <c r="G245" s="29">
        <f ca="1">'Preventative costs A'!G245-'Preventative costs B'!G245</f>
        <v>0</v>
      </c>
      <c r="H245" s="29">
        <f ca="1">'Preventative costs A'!H245-'Preventative costs B'!H245</f>
        <v>0</v>
      </c>
      <c r="I245" s="29">
        <f ca="1">'Preventative costs A'!I245-'Preventative costs B'!I245</f>
        <v>0</v>
      </c>
      <c r="J245" s="29">
        <f ca="1">'Preventative costs A'!J245-'Preventative costs B'!J245</f>
        <v>0</v>
      </c>
      <c r="K245" s="29">
        <f ca="1">'Preventative costs A'!K245-'Preventative costs B'!K245</f>
        <v>0</v>
      </c>
      <c r="M245" s="4" t="str">
        <f>'Library data'!$G$138</f>
        <v>% relative to RCP8.5</v>
      </c>
    </row>
    <row r="246" spans="1:15" s="6" customFormat="1" x14ac:dyDescent="0.25">
      <c r="A246" s="4" t="str">
        <v>US CO2</v>
      </c>
      <c r="B246" s="26">
        <f ca="1">'Preventative costs A'!B246-'Preventative costs B'!B246</f>
        <v>0</v>
      </c>
      <c r="C246" s="26">
        <f ca="1">'Preventative costs A'!C246-'Preventative costs B'!C246</f>
        <v>0</v>
      </c>
      <c r="D246" s="26">
        <f ca="1">'Preventative costs A'!D246-'Preventative costs B'!D246</f>
        <v>0</v>
      </c>
      <c r="E246" s="26">
        <f ca="1">'Preventative costs A'!E246-'Preventative costs B'!E246</f>
        <v>0</v>
      </c>
      <c r="F246" s="26">
        <f ca="1">'Preventative costs A'!F246-'Preventative costs B'!F246</f>
        <v>0</v>
      </c>
      <c r="G246" s="26">
        <f ca="1">'Preventative costs A'!G246-'Preventative costs B'!G246</f>
        <v>0</v>
      </c>
      <c r="H246" s="26">
        <f ca="1">'Preventative costs A'!H246-'Preventative costs B'!H246</f>
        <v>0</v>
      </c>
      <c r="I246" s="26">
        <f ca="1">'Preventative costs A'!I246-'Preventative costs B'!I246</f>
        <v>0</v>
      </c>
      <c r="J246" s="26">
        <f ca="1">'Preventative costs A'!J246-'Preventative costs B'!J246</f>
        <v>0</v>
      </c>
      <c r="K246" s="26">
        <f ca="1">'Preventative costs A'!K246-'Preventative costs B'!K246</f>
        <v>0</v>
      </c>
      <c r="M246" s="4" t="str">
        <f>'Library data'!$G$138</f>
        <v>% relative to RCP8.5</v>
      </c>
    </row>
    <row r="247" spans="1:15" s="6" customFormat="1" x14ac:dyDescent="0.25">
      <c r="A247" s="4" t="str">
        <v>OT CO2</v>
      </c>
      <c r="B247" s="26">
        <f ca="1">'Preventative costs A'!B247-'Preventative costs B'!B247</f>
        <v>0</v>
      </c>
      <c r="C247" s="26">
        <f ca="1">'Preventative costs A'!C247-'Preventative costs B'!C247</f>
        <v>0</v>
      </c>
      <c r="D247" s="26">
        <f ca="1">'Preventative costs A'!D247-'Preventative costs B'!D247</f>
        <v>0</v>
      </c>
      <c r="E247" s="26">
        <f ca="1">'Preventative costs A'!E247-'Preventative costs B'!E247</f>
        <v>0</v>
      </c>
      <c r="F247" s="26">
        <f ca="1">'Preventative costs A'!F247-'Preventative costs B'!F247</f>
        <v>0</v>
      </c>
      <c r="G247" s="26">
        <f ca="1">'Preventative costs A'!G247-'Preventative costs B'!G247</f>
        <v>0</v>
      </c>
      <c r="H247" s="26">
        <f ca="1">'Preventative costs A'!H247-'Preventative costs B'!H247</f>
        <v>0</v>
      </c>
      <c r="I247" s="26">
        <f ca="1">'Preventative costs A'!I247-'Preventative costs B'!I247</f>
        <v>0</v>
      </c>
      <c r="J247" s="26">
        <f ca="1">'Preventative costs A'!J247-'Preventative costs B'!J247</f>
        <v>0</v>
      </c>
      <c r="K247" s="26">
        <f ca="1">'Preventative costs A'!K247-'Preventative costs B'!K247</f>
        <v>0</v>
      </c>
      <c r="M247" s="4" t="str">
        <f>'Library data'!$G$138</f>
        <v>% relative to RCP8.5</v>
      </c>
    </row>
    <row r="248" spans="1:15" s="6" customFormat="1" x14ac:dyDescent="0.25">
      <c r="A248" s="4" t="str">
        <v>EE CO2</v>
      </c>
      <c r="B248" s="26">
        <f ca="1">'Preventative costs A'!B248-'Preventative costs B'!B248</f>
        <v>0</v>
      </c>
      <c r="C248" s="26">
        <f ca="1">'Preventative costs A'!C248-'Preventative costs B'!C248</f>
        <v>0</v>
      </c>
      <c r="D248" s="26">
        <f ca="1">'Preventative costs A'!D248-'Preventative costs B'!D248</f>
        <v>0</v>
      </c>
      <c r="E248" s="26">
        <f ca="1">'Preventative costs A'!E248-'Preventative costs B'!E248</f>
        <v>0</v>
      </c>
      <c r="F248" s="26">
        <f ca="1">'Preventative costs A'!F248-'Preventative costs B'!F248</f>
        <v>0</v>
      </c>
      <c r="G248" s="26">
        <f ca="1">'Preventative costs A'!G248-'Preventative costs B'!G248</f>
        <v>0</v>
      </c>
      <c r="H248" s="26">
        <f ca="1">'Preventative costs A'!H248-'Preventative costs B'!H248</f>
        <v>0</v>
      </c>
      <c r="I248" s="26">
        <f ca="1">'Preventative costs A'!I248-'Preventative costs B'!I248</f>
        <v>0</v>
      </c>
      <c r="J248" s="26">
        <f ca="1">'Preventative costs A'!J248-'Preventative costs B'!J248</f>
        <v>0</v>
      </c>
      <c r="K248" s="26">
        <f ca="1">'Preventative costs A'!K248-'Preventative costs B'!K248</f>
        <v>0</v>
      </c>
      <c r="M248" s="4" t="str">
        <f>'Library data'!$G$138</f>
        <v>% relative to RCP8.5</v>
      </c>
    </row>
    <row r="249" spans="1:15" s="6" customFormat="1" x14ac:dyDescent="0.25">
      <c r="A249" s="4" t="str">
        <v>CA CO2</v>
      </c>
      <c r="B249" s="26">
        <f ca="1">'Preventative costs A'!B249-'Preventative costs B'!B249</f>
        <v>0</v>
      </c>
      <c r="C249" s="26">
        <f ca="1">'Preventative costs A'!C249-'Preventative costs B'!C249</f>
        <v>0</v>
      </c>
      <c r="D249" s="26">
        <f ca="1">'Preventative costs A'!D249-'Preventative costs B'!D249</f>
        <v>0</v>
      </c>
      <c r="E249" s="26">
        <f ca="1">'Preventative costs A'!E249-'Preventative costs B'!E249</f>
        <v>0</v>
      </c>
      <c r="F249" s="26">
        <f ca="1">'Preventative costs A'!F249-'Preventative costs B'!F249</f>
        <v>0</v>
      </c>
      <c r="G249" s="26">
        <f ca="1">'Preventative costs A'!G249-'Preventative costs B'!G249</f>
        <v>0</v>
      </c>
      <c r="H249" s="26">
        <f ca="1">'Preventative costs A'!H249-'Preventative costs B'!H249</f>
        <v>0</v>
      </c>
      <c r="I249" s="26">
        <f ca="1">'Preventative costs A'!I249-'Preventative costs B'!I249</f>
        <v>0</v>
      </c>
      <c r="J249" s="26">
        <f ca="1">'Preventative costs A'!J249-'Preventative costs B'!J249</f>
        <v>0</v>
      </c>
      <c r="K249" s="26">
        <f ca="1">'Preventative costs A'!K249-'Preventative costs B'!K249</f>
        <v>0</v>
      </c>
      <c r="M249" s="4" t="str">
        <f>'Library data'!$G$138</f>
        <v>% relative to RCP8.5</v>
      </c>
    </row>
    <row r="250" spans="1:15" s="6" customFormat="1" x14ac:dyDescent="0.25">
      <c r="A250" s="4" t="str">
        <v>IA CO2</v>
      </c>
      <c r="B250" s="26">
        <f ca="1">'Preventative costs A'!B250-'Preventative costs B'!B250</f>
        <v>0</v>
      </c>
      <c r="C250" s="26">
        <f ca="1">'Preventative costs A'!C250-'Preventative costs B'!C250</f>
        <v>0</v>
      </c>
      <c r="D250" s="26">
        <f ca="1">'Preventative costs A'!D250-'Preventative costs B'!D250</f>
        <v>0</v>
      </c>
      <c r="E250" s="26">
        <f ca="1">'Preventative costs A'!E250-'Preventative costs B'!E250</f>
        <v>0</v>
      </c>
      <c r="F250" s="26">
        <f ca="1">'Preventative costs A'!F250-'Preventative costs B'!F250</f>
        <v>0</v>
      </c>
      <c r="G250" s="26">
        <f ca="1">'Preventative costs A'!G250-'Preventative costs B'!G250</f>
        <v>0</v>
      </c>
      <c r="H250" s="26">
        <f ca="1">'Preventative costs A'!H250-'Preventative costs B'!H250</f>
        <v>0</v>
      </c>
      <c r="I250" s="26">
        <f ca="1">'Preventative costs A'!I250-'Preventative costs B'!I250</f>
        <v>0</v>
      </c>
      <c r="J250" s="26">
        <f ca="1">'Preventative costs A'!J250-'Preventative costs B'!J250</f>
        <v>0</v>
      </c>
      <c r="K250" s="26">
        <f ca="1">'Preventative costs A'!K250-'Preventative costs B'!K250</f>
        <v>0</v>
      </c>
      <c r="M250" s="4" t="str">
        <f>'Library data'!$G$138</f>
        <v>% relative to RCP8.5</v>
      </c>
    </row>
    <row r="251" spans="1:15" s="6" customFormat="1" x14ac:dyDescent="0.25">
      <c r="A251" s="4" t="str">
        <v>AF CO2</v>
      </c>
      <c r="B251" s="26">
        <f ca="1">'Preventative costs A'!B251-'Preventative costs B'!B251</f>
        <v>0</v>
      </c>
      <c r="C251" s="26">
        <f ca="1">'Preventative costs A'!C251-'Preventative costs B'!C251</f>
        <v>0</v>
      </c>
      <c r="D251" s="26">
        <f ca="1">'Preventative costs A'!D251-'Preventative costs B'!D251</f>
        <v>0</v>
      </c>
      <c r="E251" s="26">
        <f ca="1">'Preventative costs A'!E251-'Preventative costs B'!E251</f>
        <v>0</v>
      </c>
      <c r="F251" s="26">
        <f ca="1">'Preventative costs A'!F251-'Preventative costs B'!F251</f>
        <v>0</v>
      </c>
      <c r="G251" s="26">
        <f ca="1">'Preventative costs A'!G251-'Preventative costs B'!G251</f>
        <v>0</v>
      </c>
      <c r="H251" s="26">
        <f ca="1">'Preventative costs A'!H251-'Preventative costs B'!H251</f>
        <v>0</v>
      </c>
      <c r="I251" s="26">
        <f ca="1">'Preventative costs A'!I251-'Preventative costs B'!I251</f>
        <v>0</v>
      </c>
      <c r="J251" s="26">
        <f ca="1">'Preventative costs A'!J251-'Preventative costs B'!J251</f>
        <v>0</v>
      </c>
      <c r="K251" s="26">
        <f ca="1">'Preventative costs A'!K251-'Preventative costs B'!K251</f>
        <v>0</v>
      </c>
      <c r="M251" s="4" t="str">
        <f>'Library data'!$G$138</f>
        <v>% relative to RCP8.5</v>
      </c>
    </row>
    <row r="252" spans="1:15" s="6" customFormat="1" ht="13" thickBot="1" x14ac:dyDescent="0.3">
      <c r="A252" s="4" t="str">
        <v>LA CO2</v>
      </c>
      <c r="B252" s="35">
        <f ca="1">'Preventative costs A'!B252-'Preventative costs B'!B252</f>
        <v>0</v>
      </c>
      <c r="C252" s="35">
        <f ca="1">'Preventative costs A'!C252-'Preventative costs B'!C252</f>
        <v>0</v>
      </c>
      <c r="D252" s="35">
        <f ca="1">'Preventative costs A'!D252-'Preventative costs B'!D252</f>
        <v>0</v>
      </c>
      <c r="E252" s="35">
        <f ca="1">'Preventative costs A'!E252-'Preventative costs B'!E252</f>
        <v>0</v>
      </c>
      <c r="F252" s="35">
        <f ca="1">'Preventative costs A'!F252-'Preventative costs B'!F252</f>
        <v>0</v>
      </c>
      <c r="G252" s="35">
        <f ca="1">'Preventative costs A'!G252-'Preventative costs B'!G252</f>
        <v>0</v>
      </c>
      <c r="H252" s="35">
        <f ca="1">'Preventative costs A'!H252-'Preventative costs B'!H252</f>
        <v>0</v>
      </c>
      <c r="I252" s="35">
        <f ca="1">'Preventative costs A'!I252-'Preventative costs B'!I252</f>
        <v>0</v>
      </c>
      <c r="J252" s="35">
        <f ca="1">'Preventative costs A'!J252-'Preventative costs B'!J252</f>
        <v>0</v>
      </c>
      <c r="K252" s="35">
        <f ca="1">'Preventative costs A'!K252-'Preventative costs B'!K252</f>
        <v>0</v>
      </c>
      <c r="M252" s="4" t="str">
        <f>'Library data'!$G$138</f>
        <v>% relative to RCP8.5</v>
      </c>
      <c r="O252" s="7"/>
    </row>
    <row r="253" spans="1:15" s="8" customFormat="1" ht="15.5" thickTop="1" x14ac:dyDescent="0.4">
      <c r="A253" s="2" t="s">
        <v>301</v>
      </c>
      <c r="B253" s="2" t="s">
        <v>303</v>
      </c>
    </row>
    <row r="254" spans="1:15" s="7" customFormat="1" x14ac:dyDescent="0.25">
      <c r="A254" s="4" t="str">
        <f t="array" ref="A254:A261">R_CODE&amp;" "&amp;'Base data'!$C$12</f>
        <v>EU CH4</v>
      </c>
      <c r="B254" s="29">
        <f ca="1">'Preventative costs A'!B254-'Preventative costs B'!B254</f>
        <v>0</v>
      </c>
      <c r="C254" s="29">
        <f ca="1">'Preventative costs A'!C254-'Preventative costs B'!C254</f>
        <v>0</v>
      </c>
      <c r="D254" s="29">
        <f ca="1">'Preventative costs A'!D254-'Preventative costs B'!D254</f>
        <v>0</v>
      </c>
      <c r="E254" s="29">
        <f ca="1">'Preventative costs A'!E254-'Preventative costs B'!E254</f>
        <v>0</v>
      </c>
      <c r="F254" s="29">
        <f ca="1">'Preventative costs A'!F254-'Preventative costs B'!F254</f>
        <v>0</v>
      </c>
      <c r="G254" s="29">
        <f ca="1">'Preventative costs A'!G254-'Preventative costs B'!G254</f>
        <v>0</v>
      </c>
      <c r="H254" s="29">
        <f ca="1">'Preventative costs A'!H254-'Preventative costs B'!H254</f>
        <v>0</v>
      </c>
      <c r="I254" s="29">
        <f ca="1">'Preventative costs A'!I254-'Preventative costs B'!I254</f>
        <v>0</v>
      </c>
      <c r="J254" s="29">
        <f ca="1">'Preventative costs A'!J254-'Preventative costs B'!J254</f>
        <v>0</v>
      </c>
      <c r="K254" s="29">
        <f ca="1">'Preventative costs A'!K254-'Preventative costs B'!K254</f>
        <v>0</v>
      </c>
      <c r="M254" s="4" t="str">
        <f>'Library data'!$G$138</f>
        <v>% relative to RCP8.5</v>
      </c>
    </row>
    <row r="255" spans="1:15" s="7" customFormat="1" x14ac:dyDescent="0.25">
      <c r="A255" s="4" t="str">
        <v>US CH4</v>
      </c>
      <c r="B255" s="26">
        <f ca="1">'Preventative costs A'!B255-'Preventative costs B'!B255</f>
        <v>0</v>
      </c>
      <c r="C255" s="26">
        <f ca="1">'Preventative costs A'!C255-'Preventative costs B'!C255</f>
        <v>0</v>
      </c>
      <c r="D255" s="26">
        <f ca="1">'Preventative costs A'!D255-'Preventative costs B'!D255</f>
        <v>0</v>
      </c>
      <c r="E255" s="26">
        <f ca="1">'Preventative costs A'!E255-'Preventative costs B'!E255</f>
        <v>0</v>
      </c>
      <c r="F255" s="26">
        <f ca="1">'Preventative costs A'!F255-'Preventative costs B'!F255</f>
        <v>0</v>
      </c>
      <c r="G255" s="26">
        <f ca="1">'Preventative costs A'!G255-'Preventative costs B'!G255</f>
        <v>0</v>
      </c>
      <c r="H255" s="26">
        <f ca="1">'Preventative costs A'!H255-'Preventative costs B'!H255</f>
        <v>0</v>
      </c>
      <c r="I255" s="26">
        <f ca="1">'Preventative costs A'!I255-'Preventative costs B'!I255</f>
        <v>0</v>
      </c>
      <c r="J255" s="26">
        <f ca="1">'Preventative costs A'!J255-'Preventative costs B'!J255</f>
        <v>0</v>
      </c>
      <c r="K255" s="26">
        <f ca="1">'Preventative costs A'!K255-'Preventative costs B'!K255</f>
        <v>0</v>
      </c>
      <c r="M255" s="4" t="str">
        <f>'Library data'!$G$138</f>
        <v>% relative to RCP8.5</v>
      </c>
    </row>
    <row r="256" spans="1:15" s="7" customFormat="1" x14ac:dyDescent="0.25">
      <c r="A256" s="4" t="str">
        <v>OT CH4</v>
      </c>
      <c r="B256" s="26">
        <f ca="1">'Preventative costs A'!B256-'Preventative costs B'!B256</f>
        <v>0</v>
      </c>
      <c r="C256" s="26">
        <f ca="1">'Preventative costs A'!C256-'Preventative costs B'!C256</f>
        <v>0</v>
      </c>
      <c r="D256" s="26">
        <f ca="1">'Preventative costs A'!D256-'Preventative costs B'!D256</f>
        <v>0</v>
      </c>
      <c r="E256" s="26">
        <f ca="1">'Preventative costs A'!E256-'Preventative costs B'!E256</f>
        <v>0</v>
      </c>
      <c r="F256" s="26">
        <f ca="1">'Preventative costs A'!F256-'Preventative costs B'!F256</f>
        <v>0</v>
      </c>
      <c r="G256" s="26">
        <f ca="1">'Preventative costs A'!G256-'Preventative costs B'!G256</f>
        <v>0</v>
      </c>
      <c r="H256" s="26">
        <f ca="1">'Preventative costs A'!H256-'Preventative costs B'!H256</f>
        <v>0</v>
      </c>
      <c r="I256" s="26">
        <f ca="1">'Preventative costs A'!I256-'Preventative costs B'!I256</f>
        <v>0</v>
      </c>
      <c r="J256" s="26">
        <f ca="1">'Preventative costs A'!J256-'Preventative costs B'!J256</f>
        <v>0</v>
      </c>
      <c r="K256" s="26">
        <f ca="1">'Preventative costs A'!K256-'Preventative costs B'!K256</f>
        <v>0</v>
      </c>
      <c r="M256" s="4" t="str">
        <f>'Library data'!$G$138</f>
        <v>% relative to RCP8.5</v>
      </c>
    </row>
    <row r="257" spans="1:13" s="7" customFormat="1" x14ac:dyDescent="0.25">
      <c r="A257" s="4" t="str">
        <v>EE CH4</v>
      </c>
      <c r="B257" s="26">
        <f ca="1">'Preventative costs A'!B257-'Preventative costs B'!B257</f>
        <v>0</v>
      </c>
      <c r="C257" s="26">
        <f ca="1">'Preventative costs A'!C257-'Preventative costs B'!C257</f>
        <v>0</v>
      </c>
      <c r="D257" s="26">
        <f ca="1">'Preventative costs A'!D257-'Preventative costs B'!D257</f>
        <v>0</v>
      </c>
      <c r="E257" s="26">
        <f ca="1">'Preventative costs A'!E257-'Preventative costs B'!E257</f>
        <v>0</v>
      </c>
      <c r="F257" s="26">
        <f ca="1">'Preventative costs A'!F257-'Preventative costs B'!F257</f>
        <v>0</v>
      </c>
      <c r="G257" s="26">
        <f ca="1">'Preventative costs A'!G257-'Preventative costs B'!G257</f>
        <v>0</v>
      </c>
      <c r="H257" s="26">
        <f ca="1">'Preventative costs A'!H257-'Preventative costs B'!H257</f>
        <v>0</v>
      </c>
      <c r="I257" s="26">
        <f ca="1">'Preventative costs A'!I257-'Preventative costs B'!I257</f>
        <v>0</v>
      </c>
      <c r="J257" s="26">
        <f ca="1">'Preventative costs A'!J257-'Preventative costs B'!J257</f>
        <v>0</v>
      </c>
      <c r="K257" s="26">
        <f ca="1">'Preventative costs A'!K257-'Preventative costs B'!K257</f>
        <v>0</v>
      </c>
      <c r="M257" s="4" t="str">
        <f>'Library data'!$G$138</f>
        <v>% relative to RCP8.5</v>
      </c>
    </row>
    <row r="258" spans="1:13" s="7" customFormat="1" x14ac:dyDescent="0.25">
      <c r="A258" s="4" t="str">
        <v>CA CH4</v>
      </c>
      <c r="B258" s="26">
        <f ca="1">'Preventative costs A'!B258-'Preventative costs B'!B258</f>
        <v>0</v>
      </c>
      <c r="C258" s="26">
        <f ca="1">'Preventative costs A'!C258-'Preventative costs B'!C258</f>
        <v>0</v>
      </c>
      <c r="D258" s="26">
        <f ca="1">'Preventative costs A'!D258-'Preventative costs B'!D258</f>
        <v>0</v>
      </c>
      <c r="E258" s="26">
        <f ca="1">'Preventative costs A'!E258-'Preventative costs B'!E258</f>
        <v>0</v>
      </c>
      <c r="F258" s="26">
        <f ca="1">'Preventative costs A'!F258-'Preventative costs B'!F258</f>
        <v>0</v>
      </c>
      <c r="G258" s="26">
        <f ca="1">'Preventative costs A'!G258-'Preventative costs B'!G258</f>
        <v>0</v>
      </c>
      <c r="H258" s="26">
        <f ca="1">'Preventative costs A'!H258-'Preventative costs B'!H258</f>
        <v>0</v>
      </c>
      <c r="I258" s="26">
        <f ca="1">'Preventative costs A'!I258-'Preventative costs B'!I258</f>
        <v>0</v>
      </c>
      <c r="J258" s="26">
        <f ca="1">'Preventative costs A'!J258-'Preventative costs B'!J258</f>
        <v>0</v>
      </c>
      <c r="K258" s="26">
        <f ca="1">'Preventative costs A'!K258-'Preventative costs B'!K258</f>
        <v>0</v>
      </c>
      <c r="M258" s="4" t="str">
        <f>'Library data'!$G$138</f>
        <v>% relative to RCP8.5</v>
      </c>
    </row>
    <row r="259" spans="1:13" s="7" customFormat="1" x14ac:dyDescent="0.25">
      <c r="A259" s="4" t="str">
        <v>IA CH4</v>
      </c>
      <c r="B259" s="26">
        <f ca="1">'Preventative costs A'!B259-'Preventative costs B'!B259</f>
        <v>0</v>
      </c>
      <c r="C259" s="26">
        <f ca="1">'Preventative costs A'!C259-'Preventative costs B'!C259</f>
        <v>0</v>
      </c>
      <c r="D259" s="26">
        <f ca="1">'Preventative costs A'!D259-'Preventative costs B'!D259</f>
        <v>0</v>
      </c>
      <c r="E259" s="26">
        <f ca="1">'Preventative costs A'!E259-'Preventative costs B'!E259</f>
        <v>0</v>
      </c>
      <c r="F259" s="26">
        <f ca="1">'Preventative costs A'!F259-'Preventative costs B'!F259</f>
        <v>0</v>
      </c>
      <c r="G259" s="26">
        <f ca="1">'Preventative costs A'!G259-'Preventative costs B'!G259</f>
        <v>0</v>
      </c>
      <c r="H259" s="26">
        <f ca="1">'Preventative costs A'!H259-'Preventative costs B'!H259</f>
        <v>0</v>
      </c>
      <c r="I259" s="26">
        <f ca="1">'Preventative costs A'!I259-'Preventative costs B'!I259</f>
        <v>0</v>
      </c>
      <c r="J259" s="26">
        <f ca="1">'Preventative costs A'!J259-'Preventative costs B'!J259</f>
        <v>0</v>
      </c>
      <c r="K259" s="26">
        <f ca="1">'Preventative costs A'!K259-'Preventative costs B'!K259</f>
        <v>0</v>
      </c>
      <c r="M259" s="4" t="str">
        <f>'Library data'!$G$138</f>
        <v>% relative to RCP8.5</v>
      </c>
    </row>
    <row r="260" spans="1:13" s="7" customFormat="1" x14ac:dyDescent="0.25">
      <c r="A260" s="4" t="str">
        <v>AF CH4</v>
      </c>
      <c r="B260" s="26">
        <f ca="1">'Preventative costs A'!B260-'Preventative costs B'!B260</f>
        <v>0</v>
      </c>
      <c r="C260" s="26">
        <f ca="1">'Preventative costs A'!C260-'Preventative costs B'!C260</f>
        <v>0</v>
      </c>
      <c r="D260" s="26">
        <f ca="1">'Preventative costs A'!D260-'Preventative costs B'!D260</f>
        <v>0</v>
      </c>
      <c r="E260" s="26">
        <f ca="1">'Preventative costs A'!E260-'Preventative costs B'!E260</f>
        <v>0</v>
      </c>
      <c r="F260" s="26">
        <f ca="1">'Preventative costs A'!F260-'Preventative costs B'!F260</f>
        <v>0</v>
      </c>
      <c r="G260" s="26">
        <f ca="1">'Preventative costs A'!G260-'Preventative costs B'!G260</f>
        <v>0</v>
      </c>
      <c r="H260" s="26">
        <f ca="1">'Preventative costs A'!H260-'Preventative costs B'!H260</f>
        <v>0</v>
      </c>
      <c r="I260" s="26">
        <f ca="1">'Preventative costs A'!I260-'Preventative costs B'!I260</f>
        <v>0</v>
      </c>
      <c r="J260" s="26">
        <f ca="1">'Preventative costs A'!J260-'Preventative costs B'!J260</f>
        <v>0</v>
      </c>
      <c r="K260" s="26">
        <f ca="1">'Preventative costs A'!K260-'Preventative costs B'!K260</f>
        <v>0</v>
      </c>
      <c r="M260" s="4" t="str">
        <f>'Library data'!$G$138</f>
        <v>% relative to RCP8.5</v>
      </c>
    </row>
    <row r="261" spans="1:13" s="7" customFormat="1" ht="13" thickBot="1" x14ac:dyDescent="0.3">
      <c r="A261" s="4" t="str">
        <v>LA CH4</v>
      </c>
      <c r="B261" s="35">
        <f ca="1">'Preventative costs A'!B261-'Preventative costs B'!B261</f>
        <v>0</v>
      </c>
      <c r="C261" s="35">
        <f ca="1">'Preventative costs A'!C261-'Preventative costs B'!C261</f>
        <v>0</v>
      </c>
      <c r="D261" s="35">
        <f ca="1">'Preventative costs A'!D261-'Preventative costs B'!D261</f>
        <v>0</v>
      </c>
      <c r="E261" s="35">
        <f ca="1">'Preventative costs A'!E261-'Preventative costs B'!E261</f>
        <v>0</v>
      </c>
      <c r="F261" s="35">
        <f ca="1">'Preventative costs A'!F261-'Preventative costs B'!F261</f>
        <v>0</v>
      </c>
      <c r="G261" s="35">
        <f ca="1">'Preventative costs A'!G261-'Preventative costs B'!G261</f>
        <v>0</v>
      </c>
      <c r="H261" s="35">
        <f ca="1">'Preventative costs A'!H261-'Preventative costs B'!H261</f>
        <v>0</v>
      </c>
      <c r="I261" s="35">
        <f ca="1">'Preventative costs A'!I261-'Preventative costs B'!I261</f>
        <v>0</v>
      </c>
      <c r="J261" s="35">
        <f ca="1">'Preventative costs A'!J261-'Preventative costs B'!J261</f>
        <v>0</v>
      </c>
      <c r="K261" s="35">
        <f ca="1">'Preventative costs A'!K261-'Preventative costs B'!K261</f>
        <v>0</v>
      </c>
      <c r="M261" s="4" t="str">
        <f>'Library data'!$G$138</f>
        <v>% relative to RCP8.5</v>
      </c>
    </row>
    <row r="262" spans="1:13" s="8" customFormat="1" ht="15.5" thickTop="1" x14ac:dyDescent="0.4">
      <c r="A262" s="2" t="s">
        <v>301</v>
      </c>
      <c r="B262" s="2" t="s">
        <v>304</v>
      </c>
    </row>
    <row r="263" spans="1:13" s="7" customFormat="1" x14ac:dyDescent="0.25">
      <c r="A263" s="4" t="str">
        <f t="array" ref="A263:A270">R_CODE&amp;" "&amp;'Base data'!$D$12</f>
        <v>EU N2O</v>
      </c>
      <c r="B263" s="29">
        <f ca="1">'Preventative costs A'!B263-'Preventative costs B'!B263</f>
        <v>0</v>
      </c>
      <c r="C263" s="29">
        <f ca="1">'Preventative costs A'!C263-'Preventative costs B'!C263</f>
        <v>0</v>
      </c>
      <c r="D263" s="29">
        <f ca="1">'Preventative costs A'!D263-'Preventative costs B'!D263</f>
        <v>0</v>
      </c>
      <c r="E263" s="29">
        <f ca="1">'Preventative costs A'!E263-'Preventative costs B'!E263</f>
        <v>0</v>
      </c>
      <c r="F263" s="29">
        <f ca="1">'Preventative costs A'!F263-'Preventative costs B'!F263</f>
        <v>0</v>
      </c>
      <c r="G263" s="29">
        <f ca="1">'Preventative costs A'!G263-'Preventative costs B'!G263</f>
        <v>0</v>
      </c>
      <c r="H263" s="29">
        <f ca="1">'Preventative costs A'!H263-'Preventative costs B'!H263</f>
        <v>0</v>
      </c>
      <c r="I263" s="29">
        <f ca="1">'Preventative costs A'!I263-'Preventative costs B'!I263</f>
        <v>0</v>
      </c>
      <c r="J263" s="29">
        <f ca="1">'Preventative costs A'!J263-'Preventative costs B'!J263</f>
        <v>0</v>
      </c>
      <c r="K263" s="29">
        <f ca="1">'Preventative costs A'!K263-'Preventative costs B'!K263</f>
        <v>0</v>
      </c>
      <c r="M263" s="4" t="str">
        <f>'Library data'!$G$138</f>
        <v>% relative to RCP8.5</v>
      </c>
    </row>
    <row r="264" spans="1:13" s="7" customFormat="1" x14ac:dyDescent="0.25">
      <c r="A264" s="4" t="str">
        <v>US N2O</v>
      </c>
      <c r="B264" s="26">
        <f ca="1">'Preventative costs A'!B264-'Preventative costs B'!B264</f>
        <v>0</v>
      </c>
      <c r="C264" s="26">
        <f ca="1">'Preventative costs A'!C264-'Preventative costs B'!C264</f>
        <v>0</v>
      </c>
      <c r="D264" s="26">
        <f ca="1">'Preventative costs A'!D264-'Preventative costs B'!D264</f>
        <v>0</v>
      </c>
      <c r="E264" s="26">
        <f ca="1">'Preventative costs A'!E264-'Preventative costs B'!E264</f>
        <v>0</v>
      </c>
      <c r="F264" s="26">
        <f ca="1">'Preventative costs A'!F264-'Preventative costs B'!F264</f>
        <v>0</v>
      </c>
      <c r="G264" s="26">
        <f ca="1">'Preventative costs A'!G264-'Preventative costs B'!G264</f>
        <v>0</v>
      </c>
      <c r="H264" s="26">
        <f ca="1">'Preventative costs A'!H264-'Preventative costs B'!H264</f>
        <v>0</v>
      </c>
      <c r="I264" s="26">
        <f ca="1">'Preventative costs A'!I264-'Preventative costs B'!I264</f>
        <v>0</v>
      </c>
      <c r="J264" s="26">
        <f ca="1">'Preventative costs A'!J264-'Preventative costs B'!J264</f>
        <v>0</v>
      </c>
      <c r="K264" s="26">
        <f ca="1">'Preventative costs A'!K264-'Preventative costs B'!K264</f>
        <v>0</v>
      </c>
      <c r="M264" s="4" t="str">
        <f>'Library data'!$G$138</f>
        <v>% relative to RCP8.5</v>
      </c>
    </row>
    <row r="265" spans="1:13" s="7" customFormat="1" x14ac:dyDescent="0.25">
      <c r="A265" s="4" t="str">
        <v>OT N2O</v>
      </c>
      <c r="B265" s="26">
        <f ca="1">'Preventative costs A'!B265-'Preventative costs B'!B265</f>
        <v>0</v>
      </c>
      <c r="C265" s="26">
        <f ca="1">'Preventative costs A'!C265-'Preventative costs B'!C265</f>
        <v>0</v>
      </c>
      <c r="D265" s="26">
        <f ca="1">'Preventative costs A'!D265-'Preventative costs B'!D265</f>
        <v>0</v>
      </c>
      <c r="E265" s="26">
        <f ca="1">'Preventative costs A'!E265-'Preventative costs B'!E265</f>
        <v>0</v>
      </c>
      <c r="F265" s="26">
        <f ca="1">'Preventative costs A'!F265-'Preventative costs B'!F265</f>
        <v>0</v>
      </c>
      <c r="G265" s="26">
        <f ca="1">'Preventative costs A'!G265-'Preventative costs B'!G265</f>
        <v>0</v>
      </c>
      <c r="H265" s="26">
        <f ca="1">'Preventative costs A'!H265-'Preventative costs B'!H265</f>
        <v>0</v>
      </c>
      <c r="I265" s="26">
        <f ca="1">'Preventative costs A'!I265-'Preventative costs B'!I265</f>
        <v>0</v>
      </c>
      <c r="J265" s="26">
        <f ca="1">'Preventative costs A'!J265-'Preventative costs B'!J265</f>
        <v>0</v>
      </c>
      <c r="K265" s="26">
        <f ca="1">'Preventative costs A'!K265-'Preventative costs B'!K265</f>
        <v>0</v>
      </c>
      <c r="M265" s="4" t="str">
        <f>'Library data'!$G$138</f>
        <v>% relative to RCP8.5</v>
      </c>
    </row>
    <row r="266" spans="1:13" s="7" customFormat="1" x14ac:dyDescent="0.25">
      <c r="A266" s="4" t="str">
        <v>EE N2O</v>
      </c>
      <c r="B266" s="26">
        <f ca="1">'Preventative costs A'!B266-'Preventative costs B'!B266</f>
        <v>0</v>
      </c>
      <c r="C266" s="26">
        <f ca="1">'Preventative costs A'!C266-'Preventative costs B'!C266</f>
        <v>0</v>
      </c>
      <c r="D266" s="26">
        <f ca="1">'Preventative costs A'!D266-'Preventative costs B'!D266</f>
        <v>0</v>
      </c>
      <c r="E266" s="26">
        <f ca="1">'Preventative costs A'!E266-'Preventative costs B'!E266</f>
        <v>0</v>
      </c>
      <c r="F266" s="26">
        <f ca="1">'Preventative costs A'!F266-'Preventative costs B'!F266</f>
        <v>0</v>
      </c>
      <c r="G266" s="26">
        <f ca="1">'Preventative costs A'!G266-'Preventative costs B'!G266</f>
        <v>0</v>
      </c>
      <c r="H266" s="26">
        <f ca="1">'Preventative costs A'!H266-'Preventative costs B'!H266</f>
        <v>0</v>
      </c>
      <c r="I266" s="26">
        <f ca="1">'Preventative costs A'!I266-'Preventative costs B'!I266</f>
        <v>0</v>
      </c>
      <c r="J266" s="26">
        <f ca="1">'Preventative costs A'!J266-'Preventative costs B'!J266</f>
        <v>0</v>
      </c>
      <c r="K266" s="26">
        <f ca="1">'Preventative costs A'!K266-'Preventative costs B'!K266</f>
        <v>0</v>
      </c>
      <c r="M266" s="4" t="str">
        <f>'Library data'!$G$138</f>
        <v>% relative to RCP8.5</v>
      </c>
    </row>
    <row r="267" spans="1:13" s="7" customFormat="1" x14ac:dyDescent="0.25">
      <c r="A267" s="4" t="str">
        <v>CA N2O</v>
      </c>
      <c r="B267" s="26">
        <f ca="1">'Preventative costs A'!B267-'Preventative costs B'!B267</f>
        <v>0</v>
      </c>
      <c r="C267" s="26">
        <f ca="1">'Preventative costs A'!C267-'Preventative costs B'!C267</f>
        <v>0</v>
      </c>
      <c r="D267" s="26">
        <f ca="1">'Preventative costs A'!D267-'Preventative costs B'!D267</f>
        <v>0</v>
      </c>
      <c r="E267" s="26">
        <f ca="1">'Preventative costs A'!E267-'Preventative costs B'!E267</f>
        <v>0</v>
      </c>
      <c r="F267" s="26">
        <f ca="1">'Preventative costs A'!F267-'Preventative costs B'!F267</f>
        <v>0</v>
      </c>
      <c r="G267" s="26">
        <f ca="1">'Preventative costs A'!G267-'Preventative costs B'!G267</f>
        <v>0</v>
      </c>
      <c r="H267" s="26">
        <f ca="1">'Preventative costs A'!H267-'Preventative costs B'!H267</f>
        <v>0</v>
      </c>
      <c r="I267" s="26">
        <f ca="1">'Preventative costs A'!I267-'Preventative costs B'!I267</f>
        <v>0</v>
      </c>
      <c r="J267" s="26">
        <f ca="1">'Preventative costs A'!J267-'Preventative costs B'!J267</f>
        <v>0</v>
      </c>
      <c r="K267" s="26">
        <f ca="1">'Preventative costs A'!K267-'Preventative costs B'!K267</f>
        <v>0</v>
      </c>
      <c r="M267" s="4" t="str">
        <f>'Library data'!$G$138</f>
        <v>% relative to RCP8.5</v>
      </c>
    </row>
    <row r="268" spans="1:13" s="7" customFormat="1" x14ac:dyDescent="0.25">
      <c r="A268" s="4" t="str">
        <v>IA N2O</v>
      </c>
      <c r="B268" s="26">
        <f ca="1">'Preventative costs A'!B268-'Preventative costs B'!B268</f>
        <v>0</v>
      </c>
      <c r="C268" s="26">
        <f ca="1">'Preventative costs A'!C268-'Preventative costs B'!C268</f>
        <v>0</v>
      </c>
      <c r="D268" s="26">
        <f ca="1">'Preventative costs A'!D268-'Preventative costs B'!D268</f>
        <v>0</v>
      </c>
      <c r="E268" s="26">
        <f ca="1">'Preventative costs A'!E268-'Preventative costs B'!E268</f>
        <v>0</v>
      </c>
      <c r="F268" s="26">
        <f ca="1">'Preventative costs A'!F268-'Preventative costs B'!F268</f>
        <v>0</v>
      </c>
      <c r="G268" s="26">
        <f ca="1">'Preventative costs A'!G268-'Preventative costs B'!G268</f>
        <v>0</v>
      </c>
      <c r="H268" s="26">
        <f ca="1">'Preventative costs A'!H268-'Preventative costs B'!H268</f>
        <v>0</v>
      </c>
      <c r="I268" s="26">
        <f ca="1">'Preventative costs A'!I268-'Preventative costs B'!I268</f>
        <v>0</v>
      </c>
      <c r="J268" s="26">
        <f ca="1">'Preventative costs A'!J268-'Preventative costs B'!J268</f>
        <v>0</v>
      </c>
      <c r="K268" s="26">
        <f ca="1">'Preventative costs A'!K268-'Preventative costs B'!K268</f>
        <v>0</v>
      </c>
      <c r="M268" s="4" t="str">
        <f>'Library data'!$G$138</f>
        <v>% relative to RCP8.5</v>
      </c>
    </row>
    <row r="269" spans="1:13" s="7" customFormat="1" x14ac:dyDescent="0.25">
      <c r="A269" s="4" t="str">
        <v>AF N2O</v>
      </c>
      <c r="B269" s="26">
        <f ca="1">'Preventative costs A'!B269-'Preventative costs B'!B269</f>
        <v>0</v>
      </c>
      <c r="C269" s="26">
        <f ca="1">'Preventative costs A'!C269-'Preventative costs B'!C269</f>
        <v>0</v>
      </c>
      <c r="D269" s="26">
        <f ca="1">'Preventative costs A'!D269-'Preventative costs B'!D269</f>
        <v>0</v>
      </c>
      <c r="E269" s="26">
        <f ca="1">'Preventative costs A'!E269-'Preventative costs B'!E269</f>
        <v>0</v>
      </c>
      <c r="F269" s="26">
        <f ca="1">'Preventative costs A'!F269-'Preventative costs B'!F269</f>
        <v>0</v>
      </c>
      <c r="G269" s="26">
        <f ca="1">'Preventative costs A'!G269-'Preventative costs B'!G269</f>
        <v>0</v>
      </c>
      <c r="H269" s="26">
        <f ca="1">'Preventative costs A'!H269-'Preventative costs B'!H269</f>
        <v>0</v>
      </c>
      <c r="I269" s="26">
        <f ca="1">'Preventative costs A'!I269-'Preventative costs B'!I269</f>
        <v>0</v>
      </c>
      <c r="J269" s="26">
        <f ca="1">'Preventative costs A'!J269-'Preventative costs B'!J269</f>
        <v>0</v>
      </c>
      <c r="K269" s="26">
        <f ca="1">'Preventative costs A'!K269-'Preventative costs B'!K269</f>
        <v>0</v>
      </c>
      <c r="M269" s="4" t="str">
        <f>'Library data'!$G$138</f>
        <v>% relative to RCP8.5</v>
      </c>
    </row>
    <row r="270" spans="1:13" s="7" customFormat="1" ht="13" thickBot="1" x14ac:dyDescent="0.3">
      <c r="A270" s="4" t="str">
        <v>LA N2O</v>
      </c>
      <c r="B270" s="35">
        <f ca="1">'Preventative costs A'!B270-'Preventative costs B'!B270</f>
        <v>0</v>
      </c>
      <c r="C270" s="35">
        <f ca="1">'Preventative costs A'!C270-'Preventative costs B'!C270</f>
        <v>0</v>
      </c>
      <c r="D270" s="35">
        <f ca="1">'Preventative costs A'!D270-'Preventative costs B'!D270</f>
        <v>0</v>
      </c>
      <c r="E270" s="35">
        <f ca="1">'Preventative costs A'!E270-'Preventative costs B'!E270</f>
        <v>0</v>
      </c>
      <c r="F270" s="35">
        <f ca="1">'Preventative costs A'!F270-'Preventative costs B'!F270</f>
        <v>0</v>
      </c>
      <c r="G270" s="35">
        <f ca="1">'Preventative costs A'!G270-'Preventative costs B'!G270</f>
        <v>0</v>
      </c>
      <c r="H270" s="35">
        <f ca="1">'Preventative costs A'!H270-'Preventative costs B'!H270</f>
        <v>0</v>
      </c>
      <c r="I270" s="35">
        <f ca="1">'Preventative costs A'!I270-'Preventative costs B'!I270</f>
        <v>0</v>
      </c>
      <c r="J270" s="35">
        <f ca="1">'Preventative costs A'!J270-'Preventative costs B'!J270</f>
        <v>0</v>
      </c>
      <c r="K270" s="35">
        <f ca="1">'Preventative costs A'!K270-'Preventative costs B'!K270</f>
        <v>0</v>
      </c>
      <c r="M270" s="4" t="str">
        <f>'Library data'!$G$138</f>
        <v>% relative to RCP8.5</v>
      </c>
    </row>
    <row r="271" spans="1:13" s="8" customFormat="1" ht="15.5" thickTop="1" x14ac:dyDescent="0.4">
      <c r="A271" s="2" t="s">
        <v>301</v>
      </c>
      <c r="B271" s="2" t="s">
        <v>305</v>
      </c>
    </row>
    <row r="272" spans="1:13" s="7" customFormat="1" x14ac:dyDescent="0.25">
      <c r="A272" s="4" t="str">
        <f t="array" ref="A272:A279">R_CODE&amp;" "&amp;GLIN_NAME</f>
        <v>EU Lin</v>
      </c>
      <c r="B272" s="29">
        <f ca="1">'Preventative costs A'!B272-'Preventative costs B'!B272</f>
        <v>0</v>
      </c>
      <c r="C272" s="29">
        <f ca="1">'Preventative costs A'!C272-'Preventative costs B'!C272</f>
        <v>0</v>
      </c>
      <c r="D272" s="29">
        <f ca="1">'Preventative costs A'!D272-'Preventative costs B'!D272</f>
        <v>0</v>
      </c>
      <c r="E272" s="29">
        <f ca="1">'Preventative costs A'!E272-'Preventative costs B'!E272</f>
        <v>0</v>
      </c>
      <c r="F272" s="29">
        <f ca="1">'Preventative costs A'!F272-'Preventative costs B'!F272</f>
        <v>0</v>
      </c>
      <c r="G272" s="29">
        <f ca="1">'Preventative costs A'!G272-'Preventative costs B'!G272</f>
        <v>0</v>
      </c>
      <c r="H272" s="29">
        <f ca="1">'Preventative costs A'!H272-'Preventative costs B'!H272</f>
        <v>0</v>
      </c>
      <c r="I272" s="29">
        <f ca="1">'Preventative costs A'!I272-'Preventative costs B'!I272</f>
        <v>0</v>
      </c>
      <c r="J272" s="29">
        <f ca="1">'Preventative costs A'!J272-'Preventative costs B'!J272</f>
        <v>0</v>
      </c>
      <c r="K272" s="29">
        <f ca="1">'Preventative costs A'!K272-'Preventative costs B'!K272</f>
        <v>0</v>
      </c>
      <c r="M272" s="4" t="str">
        <f>'Library data'!$G$138</f>
        <v>% relative to RCP8.5</v>
      </c>
    </row>
    <row r="273" spans="1:13" s="7" customFormat="1" x14ac:dyDescent="0.25">
      <c r="A273" s="4" t="str">
        <v>US Lin</v>
      </c>
      <c r="B273" s="26">
        <f ca="1">'Preventative costs A'!B273-'Preventative costs B'!B273</f>
        <v>0</v>
      </c>
      <c r="C273" s="26">
        <f ca="1">'Preventative costs A'!C273-'Preventative costs B'!C273</f>
        <v>0</v>
      </c>
      <c r="D273" s="26">
        <f ca="1">'Preventative costs A'!D273-'Preventative costs B'!D273</f>
        <v>0</v>
      </c>
      <c r="E273" s="26">
        <f ca="1">'Preventative costs A'!E273-'Preventative costs B'!E273</f>
        <v>0</v>
      </c>
      <c r="F273" s="26">
        <f ca="1">'Preventative costs A'!F273-'Preventative costs B'!F273</f>
        <v>0</v>
      </c>
      <c r="G273" s="26">
        <f ca="1">'Preventative costs A'!G273-'Preventative costs B'!G273</f>
        <v>0</v>
      </c>
      <c r="H273" s="26">
        <f ca="1">'Preventative costs A'!H273-'Preventative costs B'!H273</f>
        <v>0</v>
      </c>
      <c r="I273" s="26">
        <f ca="1">'Preventative costs A'!I273-'Preventative costs B'!I273</f>
        <v>0</v>
      </c>
      <c r="J273" s="26">
        <f ca="1">'Preventative costs A'!J273-'Preventative costs B'!J273</f>
        <v>0</v>
      </c>
      <c r="K273" s="26">
        <f ca="1">'Preventative costs A'!K273-'Preventative costs B'!K273</f>
        <v>0</v>
      </c>
      <c r="M273" s="4" t="str">
        <f>'Library data'!$G$138</f>
        <v>% relative to RCP8.5</v>
      </c>
    </row>
    <row r="274" spans="1:13" s="7" customFormat="1" x14ac:dyDescent="0.25">
      <c r="A274" s="4" t="str">
        <v>OT Lin</v>
      </c>
      <c r="B274" s="26">
        <f ca="1">'Preventative costs A'!B274-'Preventative costs B'!B274</f>
        <v>0</v>
      </c>
      <c r="C274" s="26">
        <f ca="1">'Preventative costs A'!C274-'Preventative costs B'!C274</f>
        <v>0</v>
      </c>
      <c r="D274" s="26">
        <f ca="1">'Preventative costs A'!D274-'Preventative costs B'!D274</f>
        <v>0</v>
      </c>
      <c r="E274" s="26">
        <f ca="1">'Preventative costs A'!E274-'Preventative costs B'!E274</f>
        <v>0</v>
      </c>
      <c r="F274" s="26">
        <f ca="1">'Preventative costs A'!F274-'Preventative costs B'!F274</f>
        <v>0</v>
      </c>
      <c r="G274" s="26">
        <f ca="1">'Preventative costs A'!G274-'Preventative costs B'!G274</f>
        <v>0</v>
      </c>
      <c r="H274" s="26">
        <f ca="1">'Preventative costs A'!H274-'Preventative costs B'!H274</f>
        <v>0</v>
      </c>
      <c r="I274" s="26">
        <f ca="1">'Preventative costs A'!I274-'Preventative costs B'!I274</f>
        <v>0</v>
      </c>
      <c r="J274" s="26">
        <f ca="1">'Preventative costs A'!J274-'Preventative costs B'!J274</f>
        <v>0</v>
      </c>
      <c r="K274" s="26">
        <f ca="1">'Preventative costs A'!K274-'Preventative costs B'!K274</f>
        <v>0</v>
      </c>
      <c r="M274" s="4" t="str">
        <f>'Library data'!$G$138</f>
        <v>% relative to RCP8.5</v>
      </c>
    </row>
    <row r="275" spans="1:13" s="7" customFormat="1" x14ac:dyDescent="0.25">
      <c r="A275" s="4" t="str">
        <v>EE Lin</v>
      </c>
      <c r="B275" s="26">
        <f ca="1">'Preventative costs A'!B275-'Preventative costs B'!B275</f>
        <v>0</v>
      </c>
      <c r="C275" s="26">
        <f ca="1">'Preventative costs A'!C275-'Preventative costs B'!C275</f>
        <v>0</v>
      </c>
      <c r="D275" s="26">
        <f ca="1">'Preventative costs A'!D275-'Preventative costs B'!D275</f>
        <v>0</v>
      </c>
      <c r="E275" s="26">
        <f ca="1">'Preventative costs A'!E275-'Preventative costs B'!E275</f>
        <v>0</v>
      </c>
      <c r="F275" s="26">
        <f ca="1">'Preventative costs A'!F275-'Preventative costs B'!F275</f>
        <v>0</v>
      </c>
      <c r="G275" s="26">
        <f ca="1">'Preventative costs A'!G275-'Preventative costs B'!G275</f>
        <v>0</v>
      </c>
      <c r="H275" s="26">
        <f ca="1">'Preventative costs A'!H275-'Preventative costs B'!H275</f>
        <v>0</v>
      </c>
      <c r="I275" s="26">
        <f ca="1">'Preventative costs A'!I275-'Preventative costs B'!I275</f>
        <v>0</v>
      </c>
      <c r="J275" s="26">
        <f ca="1">'Preventative costs A'!J275-'Preventative costs B'!J275</f>
        <v>0</v>
      </c>
      <c r="K275" s="26">
        <f ca="1">'Preventative costs A'!K275-'Preventative costs B'!K275</f>
        <v>0</v>
      </c>
      <c r="M275" s="4" t="str">
        <f>'Library data'!$G$138</f>
        <v>% relative to RCP8.5</v>
      </c>
    </row>
    <row r="276" spans="1:13" s="7" customFormat="1" x14ac:dyDescent="0.25">
      <c r="A276" s="4" t="str">
        <v>CA Lin</v>
      </c>
      <c r="B276" s="26">
        <f ca="1">'Preventative costs A'!B276-'Preventative costs B'!B276</f>
        <v>0</v>
      </c>
      <c r="C276" s="26">
        <f ca="1">'Preventative costs A'!C276-'Preventative costs B'!C276</f>
        <v>0</v>
      </c>
      <c r="D276" s="26">
        <f ca="1">'Preventative costs A'!D276-'Preventative costs B'!D276</f>
        <v>0</v>
      </c>
      <c r="E276" s="26">
        <f ca="1">'Preventative costs A'!E276-'Preventative costs B'!E276</f>
        <v>0</v>
      </c>
      <c r="F276" s="26">
        <f ca="1">'Preventative costs A'!F276-'Preventative costs B'!F276</f>
        <v>0</v>
      </c>
      <c r="G276" s="26">
        <f ca="1">'Preventative costs A'!G276-'Preventative costs B'!G276</f>
        <v>0</v>
      </c>
      <c r="H276" s="26">
        <f ca="1">'Preventative costs A'!H276-'Preventative costs B'!H276</f>
        <v>0</v>
      </c>
      <c r="I276" s="26">
        <f ca="1">'Preventative costs A'!I276-'Preventative costs B'!I276</f>
        <v>0</v>
      </c>
      <c r="J276" s="26">
        <f ca="1">'Preventative costs A'!J276-'Preventative costs B'!J276</f>
        <v>0</v>
      </c>
      <c r="K276" s="26">
        <f ca="1">'Preventative costs A'!K276-'Preventative costs B'!K276</f>
        <v>0</v>
      </c>
      <c r="M276" s="4" t="str">
        <f>'Library data'!$G$138</f>
        <v>% relative to RCP8.5</v>
      </c>
    </row>
    <row r="277" spans="1:13" s="7" customFormat="1" x14ac:dyDescent="0.25">
      <c r="A277" s="4" t="str">
        <v>IA Lin</v>
      </c>
      <c r="B277" s="26">
        <f ca="1">'Preventative costs A'!B277-'Preventative costs B'!B277</f>
        <v>0</v>
      </c>
      <c r="C277" s="26">
        <f ca="1">'Preventative costs A'!C277-'Preventative costs B'!C277</f>
        <v>0</v>
      </c>
      <c r="D277" s="26">
        <f ca="1">'Preventative costs A'!D277-'Preventative costs B'!D277</f>
        <v>0</v>
      </c>
      <c r="E277" s="26">
        <f ca="1">'Preventative costs A'!E277-'Preventative costs B'!E277</f>
        <v>0</v>
      </c>
      <c r="F277" s="26">
        <f ca="1">'Preventative costs A'!F277-'Preventative costs B'!F277</f>
        <v>0</v>
      </c>
      <c r="G277" s="26">
        <f ca="1">'Preventative costs A'!G277-'Preventative costs B'!G277</f>
        <v>0</v>
      </c>
      <c r="H277" s="26">
        <f ca="1">'Preventative costs A'!H277-'Preventative costs B'!H277</f>
        <v>0</v>
      </c>
      <c r="I277" s="26">
        <f ca="1">'Preventative costs A'!I277-'Preventative costs B'!I277</f>
        <v>0</v>
      </c>
      <c r="J277" s="26">
        <f ca="1">'Preventative costs A'!J277-'Preventative costs B'!J277</f>
        <v>0</v>
      </c>
      <c r="K277" s="26">
        <f ca="1">'Preventative costs A'!K277-'Preventative costs B'!K277</f>
        <v>0</v>
      </c>
      <c r="M277" s="4" t="str">
        <f>'Library data'!$G$138</f>
        <v>% relative to RCP8.5</v>
      </c>
    </row>
    <row r="278" spans="1:13" s="7" customFormat="1" x14ac:dyDescent="0.25">
      <c r="A278" s="4" t="str">
        <v>AF Lin</v>
      </c>
      <c r="B278" s="26">
        <f ca="1">'Preventative costs A'!B278-'Preventative costs B'!B278</f>
        <v>0</v>
      </c>
      <c r="C278" s="26">
        <f ca="1">'Preventative costs A'!C278-'Preventative costs B'!C278</f>
        <v>0</v>
      </c>
      <c r="D278" s="26">
        <f ca="1">'Preventative costs A'!D278-'Preventative costs B'!D278</f>
        <v>0</v>
      </c>
      <c r="E278" s="26">
        <f ca="1">'Preventative costs A'!E278-'Preventative costs B'!E278</f>
        <v>0</v>
      </c>
      <c r="F278" s="26">
        <f ca="1">'Preventative costs A'!F278-'Preventative costs B'!F278</f>
        <v>0</v>
      </c>
      <c r="G278" s="26">
        <f ca="1">'Preventative costs A'!G278-'Preventative costs B'!G278</f>
        <v>0</v>
      </c>
      <c r="H278" s="26">
        <f ca="1">'Preventative costs A'!H278-'Preventative costs B'!H278</f>
        <v>0</v>
      </c>
      <c r="I278" s="26">
        <f ca="1">'Preventative costs A'!I278-'Preventative costs B'!I278</f>
        <v>0</v>
      </c>
      <c r="J278" s="26">
        <f ca="1">'Preventative costs A'!J278-'Preventative costs B'!J278</f>
        <v>0</v>
      </c>
      <c r="K278" s="26">
        <f ca="1">'Preventative costs A'!K278-'Preventative costs B'!K278</f>
        <v>0</v>
      </c>
      <c r="M278" s="4" t="str">
        <f>'Library data'!$G$138</f>
        <v>% relative to RCP8.5</v>
      </c>
    </row>
    <row r="279" spans="1:13" s="7" customFormat="1" ht="13" thickBot="1" x14ac:dyDescent="0.3">
      <c r="A279" s="4" t="str">
        <v>LA Lin</v>
      </c>
      <c r="B279" s="35">
        <f ca="1">'Preventative costs A'!B279-'Preventative costs B'!B279</f>
        <v>0</v>
      </c>
      <c r="C279" s="35">
        <f ca="1">'Preventative costs A'!C279-'Preventative costs B'!C279</f>
        <v>0</v>
      </c>
      <c r="D279" s="35">
        <f ca="1">'Preventative costs A'!D279-'Preventative costs B'!D279</f>
        <v>0</v>
      </c>
      <c r="E279" s="35">
        <f ca="1">'Preventative costs A'!E279-'Preventative costs B'!E279</f>
        <v>0</v>
      </c>
      <c r="F279" s="35">
        <f ca="1">'Preventative costs A'!F279-'Preventative costs B'!F279</f>
        <v>0</v>
      </c>
      <c r="G279" s="35">
        <f ca="1">'Preventative costs A'!G279-'Preventative costs B'!G279</f>
        <v>0</v>
      </c>
      <c r="H279" s="35">
        <f ca="1">'Preventative costs A'!H279-'Preventative costs B'!H279</f>
        <v>0</v>
      </c>
      <c r="I279" s="35">
        <f ca="1">'Preventative costs A'!I279-'Preventative costs B'!I279</f>
        <v>0</v>
      </c>
      <c r="J279" s="35">
        <f ca="1">'Preventative costs A'!J279-'Preventative costs B'!J279</f>
        <v>0</v>
      </c>
      <c r="K279" s="35">
        <f ca="1">'Preventative costs A'!K279-'Preventative costs B'!K279</f>
        <v>0</v>
      </c>
      <c r="M279" s="4" t="str">
        <f>'Library data'!$G$138</f>
        <v>% relative to RCP8.5</v>
      </c>
    </row>
    <row r="280" spans="1:13" s="2" customFormat="1" ht="15.5" thickTop="1" x14ac:dyDescent="0.4">
      <c r="A280" s="2" t="s">
        <v>301</v>
      </c>
      <c r="B280" s="2" t="s">
        <v>306</v>
      </c>
    </row>
    <row r="281" spans="1:13" s="6" customFormat="1" x14ac:dyDescent="0.25">
      <c r="A281" s="4" t="str">
        <f t="array" ref="A281:A288">R_CODE&amp;" "&amp;'Base data'!$B$12</f>
        <v>EU CO2</v>
      </c>
      <c r="B281" s="29">
        <f ca="1">'Preventative costs A'!B281-'Preventative costs B'!B281</f>
        <v>0</v>
      </c>
      <c r="C281" s="29">
        <f ca="1">'Preventative costs A'!C281-'Preventative costs B'!C281</f>
        <v>0</v>
      </c>
      <c r="D281" s="29">
        <f ca="1">'Preventative costs A'!D281-'Preventative costs B'!D281</f>
        <v>0</v>
      </c>
      <c r="E281" s="29">
        <f ca="1">'Preventative costs A'!E281-'Preventative costs B'!E281</f>
        <v>0</v>
      </c>
      <c r="F281" s="29">
        <f ca="1">'Preventative costs A'!F281-'Preventative costs B'!F281</f>
        <v>0</v>
      </c>
      <c r="G281" s="29">
        <f ca="1">'Preventative costs A'!G281-'Preventative costs B'!G281</f>
        <v>0</v>
      </c>
      <c r="H281" s="29">
        <f ca="1">'Preventative costs A'!H281-'Preventative costs B'!H281</f>
        <v>0</v>
      </c>
      <c r="I281" s="29">
        <f ca="1">'Preventative costs A'!I281-'Preventative costs B'!I281</f>
        <v>0</v>
      </c>
      <c r="J281" s="29">
        <f ca="1">'Preventative costs A'!J281-'Preventative costs B'!J281</f>
        <v>0</v>
      </c>
      <c r="K281" s="29">
        <f ca="1">'Preventative costs A'!K281-'Preventative costs B'!K281</f>
        <v>0</v>
      </c>
      <c r="M281" s="4" t="str">
        <f t="shared" ref="M281:M288" si="8">EMIT_NAME</f>
        <v>Mtonne</v>
      </c>
    </row>
    <row r="282" spans="1:13" s="6" customFormat="1" x14ac:dyDescent="0.25">
      <c r="A282" s="4" t="str">
        <v>US CO2</v>
      </c>
      <c r="B282" s="26">
        <f ca="1">'Preventative costs A'!B282-'Preventative costs B'!B282</f>
        <v>0</v>
      </c>
      <c r="C282" s="26">
        <f ca="1">'Preventative costs A'!C282-'Preventative costs B'!C282</f>
        <v>0</v>
      </c>
      <c r="D282" s="26">
        <f ca="1">'Preventative costs A'!D282-'Preventative costs B'!D282</f>
        <v>0</v>
      </c>
      <c r="E282" s="26">
        <f ca="1">'Preventative costs A'!E282-'Preventative costs B'!E282</f>
        <v>0</v>
      </c>
      <c r="F282" s="26">
        <f ca="1">'Preventative costs A'!F282-'Preventative costs B'!F282</f>
        <v>0</v>
      </c>
      <c r="G282" s="26">
        <f ca="1">'Preventative costs A'!G282-'Preventative costs B'!G282</f>
        <v>0</v>
      </c>
      <c r="H282" s="26">
        <f ca="1">'Preventative costs A'!H282-'Preventative costs B'!H282</f>
        <v>0</v>
      </c>
      <c r="I282" s="26">
        <f ca="1">'Preventative costs A'!I282-'Preventative costs B'!I282</f>
        <v>0</v>
      </c>
      <c r="J282" s="26">
        <f ca="1">'Preventative costs A'!J282-'Preventative costs B'!J282</f>
        <v>0</v>
      </c>
      <c r="K282" s="26">
        <f ca="1">'Preventative costs A'!K282-'Preventative costs B'!K282</f>
        <v>0</v>
      </c>
      <c r="M282" s="4" t="str">
        <f t="shared" si="8"/>
        <v>Mtonne</v>
      </c>
    </row>
    <row r="283" spans="1:13" s="6" customFormat="1" x14ac:dyDescent="0.25">
      <c r="A283" s="4" t="str">
        <v>OT CO2</v>
      </c>
      <c r="B283" s="26">
        <f ca="1">'Preventative costs A'!B283-'Preventative costs B'!B283</f>
        <v>0</v>
      </c>
      <c r="C283" s="26">
        <f ca="1">'Preventative costs A'!C283-'Preventative costs B'!C283</f>
        <v>0</v>
      </c>
      <c r="D283" s="26">
        <f ca="1">'Preventative costs A'!D283-'Preventative costs B'!D283</f>
        <v>0</v>
      </c>
      <c r="E283" s="26">
        <f ca="1">'Preventative costs A'!E283-'Preventative costs B'!E283</f>
        <v>0</v>
      </c>
      <c r="F283" s="26">
        <f ca="1">'Preventative costs A'!F283-'Preventative costs B'!F283</f>
        <v>0</v>
      </c>
      <c r="G283" s="26">
        <f ca="1">'Preventative costs A'!G283-'Preventative costs B'!G283</f>
        <v>0</v>
      </c>
      <c r="H283" s="26">
        <f ca="1">'Preventative costs A'!H283-'Preventative costs B'!H283</f>
        <v>0</v>
      </c>
      <c r="I283" s="26">
        <f ca="1">'Preventative costs A'!I283-'Preventative costs B'!I283</f>
        <v>0</v>
      </c>
      <c r="J283" s="26">
        <f ca="1">'Preventative costs A'!J283-'Preventative costs B'!J283</f>
        <v>0</v>
      </c>
      <c r="K283" s="26">
        <f ca="1">'Preventative costs A'!K283-'Preventative costs B'!K283</f>
        <v>0</v>
      </c>
      <c r="M283" s="4" t="str">
        <f t="shared" si="8"/>
        <v>Mtonne</v>
      </c>
    </row>
    <row r="284" spans="1:13" s="6" customFormat="1" x14ac:dyDescent="0.25">
      <c r="A284" s="4" t="str">
        <v>EE CO2</v>
      </c>
      <c r="B284" s="26">
        <f ca="1">'Preventative costs A'!B284-'Preventative costs B'!B284</f>
        <v>0</v>
      </c>
      <c r="C284" s="26">
        <f ca="1">'Preventative costs A'!C284-'Preventative costs B'!C284</f>
        <v>0</v>
      </c>
      <c r="D284" s="26">
        <f ca="1">'Preventative costs A'!D284-'Preventative costs B'!D284</f>
        <v>0</v>
      </c>
      <c r="E284" s="26">
        <f ca="1">'Preventative costs A'!E284-'Preventative costs B'!E284</f>
        <v>0</v>
      </c>
      <c r="F284" s="26">
        <f ca="1">'Preventative costs A'!F284-'Preventative costs B'!F284</f>
        <v>0</v>
      </c>
      <c r="G284" s="26">
        <f ca="1">'Preventative costs A'!G284-'Preventative costs B'!G284</f>
        <v>0</v>
      </c>
      <c r="H284" s="26">
        <f ca="1">'Preventative costs A'!H284-'Preventative costs B'!H284</f>
        <v>0</v>
      </c>
      <c r="I284" s="26">
        <f ca="1">'Preventative costs A'!I284-'Preventative costs B'!I284</f>
        <v>0</v>
      </c>
      <c r="J284" s="26">
        <f ca="1">'Preventative costs A'!J284-'Preventative costs B'!J284</f>
        <v>0</v>
      </c>
      <c r="K284" s="26">
        <f ca="1">'Preventative costs A'!K284-'Preventative costs B'!K284</f>
        <v>0</v>
      </c>
      <c r="M284" s="4" t="str">
        <f t="shared" si="8"/>
        <v>Mtonne</v>
      </c>
    </row>
    <row r="285" spans="1:13" s="6" customFormat="1" x14ac:dyDescent="0.25">
      <c r="A285" s="4" t="str">
        <v>CA CO2</v>
      </c>
      <c r="B285" s="26">
        <f ca="1">'Preventative costs A'!B285-'Preventative costs B'!B285</f>
        <v>0</v>
      </c>
      <c r="C285" s="26">
        <f ca="1">'Preventative costs A'!C285-'Preventative costs B'!C285</f>
        <v>0</v>
      </c>
      <c r="D285" s="26">
        <f ca="1">'Preventative costs A'!D285-'Preventative costs B'!D285</f>
        <v>0</v>
      </c>
      <c r="E285" s="26">
        <f ca="1">'Preventative costs A'!E285-'Preventative costs B'!E285</f>
        <v>0</v>
      </c>
      <c r="F285" s="26">
        <f ca="1">'Preventative costs A'!F285-'Preventative costs B'!F285</f>
        <v>0</v>
      </c>
      <c r="G285" s="26">
        <f ca="1">'Preventative costs A'!G285-'Preventative costs B'!G285</f>
        <v>0</v>
      </c>
      <c r="H285" s="26">
        <f ca="1">'Preventative costs A'!H285-'Preventative costs B'!H285</f>
        <v>0</v>
      </c>
      <c r="I285" s="26">
        <f ca="1">'Preventative costs A'!I285-'Preventative costs B'!I285</f>
        <v>0</v>
      </c>
      <c r="J285" s="26">
        <f ca="1">'Preventative costs A'!J285-'Preventative costs B'!J285</f>
        <v>0</v>
      </c>
      <c r="K285" s="26">
        <f ca="1">'Preventative costs A'!K285-'Preventative costs B'!K285</f>
        <v>0</v>
      </c>
      <c r="M285" s="4" t="str">
        <f t="shared" si="8"/>
        <v>Mtonne</v>
      </c>
    </row>
    <row r="286" spans="1:13" s="6" customFormat="1" x14ac:dyDescent="0.25">
      <c r="A286" s="4" t="str">
        <v>IA CO2</v>
      </c>
      <c r="B286" s="26">
        <f ca="1">'Preventative costs A'!B286-'Preventative costs B'!B286</f>
        <v>0</v>
      </c>
      <c r="C286" s="26">
        <f ca="1">'Preventative costs A'!C286-'Preventative costs B'!C286</f>
        <v>0</v>
      </c>
      <c r="D286" s="26">
        <f ca="1">'Preventative costs A'!D286-'Preventative costs B'!D286</f>
        <v>0</v>
      </c>
      <c r="E286" s="26">
        <f ca="1">'Preventative costs A'!E286-'Preventative costs B'!E286</f>
        <v>0</v>
      </c>
      <c r="F286" s="26">
        <f ca="1">'Preventative costs A'!F286-'Preventative costs B'!F286</f>
        <v>0</v>
      </c>
      <c r="G286" s="26">
        <f ca="1">'Preventative costs A'!G286-'Preventative costs B'!G286</f>
        <v>0</v>
      </c>
      <c r="H286" s="26">
        <f ca="1">'Preventative costs A'!H286-'Preventative costs B'!H286</f>
        <v>0</v>
      </c>
      <c r="I286" s="26">
        <f ca="1">'Preventative costs A'!I286-'Preventative costs B'!I286</f>
        <v>0</v>
      </c>
      <c r="J286" s="26">
        <f ca="1">'Preventative costs A'!J286-'Preventative costs B'!J286</f>
        <v>0</v>
      </c>
      <c r="K286" s="26">
        <f ca="1">'Preventative costs A'!K286-'Preventative costs B'!K286</f>
        <v>0</v>
      </c>
      <c r="M286" s="4" t="str">
        <f t="shared" si="8"/>
        <v>Mtonne</v>
      </c>
    </row>
    <row r="287" spans="1:13" s="6" customFormat="1" x14ac:dyDescent="0.25">
      <c r="A287" s="4" t="str">
        <v>AF CO2</v>
      </c>
      <c r="B287" s="26">
        <f ca="1">'Preventative costs A'!B287-'Preventative costs B'!B287</f>
        <v>0</v>
      </c>
      <c r="C287" s="26">
        <f ca="1">'Preventative costs A'!C287-'Preventative costs B'!C287</f>
        <v>0</v>
      </c>
      <c r="D287" s="26">
        <f ca="1">'Preventative costs A'!D287-'Preventative costs B'!D287</f>
        <v>0</v>
      </c>
      <c r="E287" s="26">
        <f ca="1">'Preventative costs A'!E287-'Preventative costs B'!E287</f>
        <v>0</v>
      </c>
      <c r="F287" s="26">
        <f ca="1">'Preventative costs A'!F287-'Preventative costs B'!F287</f>
        <v>0</v>
      </c>
      <c r="G287" s="26">
        <f ca="1">'Preventative costs A'!G287-'Preventative costs B'!G287</f>
        <v>0</v>
      </c>
      <c r="H287" s="26">
        <f ca="1">'Preventative costs A'!H287-'Preventative costs B'!H287</f>
        <v>0</v>
      </c>
      <c r="I287" s="26">
        <f ca="1">'Preventative costs A'!I287-'Preventative costs B'!I287</f>
        <v>0</v>
      </c>
      <c r="J287" s="26">
        <f ca="1">'Preventative costs A'!J287-'Preventative costs B'!J287</f>
        <v>0</v>
      </c>
      <c r="K287" s="26">
        <f ca="1">'Preventative costs A'!K287-'Preventative costs B'!K287</f>
        <v>0</v>
      </c>
      <c r="M287" s="4" t="str">
        <f t="shared" si="8"/>
        <v>Mtonne</v>
      </c>
    </row>
    <row r="288" spans="1:13" s="6" customFormat="1" ht="13" thickBot="1" x14ac:dyDescent="0.3">
      <c r="A288" s="4" t="str">
        <v>LA CO2</v>
      </c>
      <c r="B288" s="35">
        <f ca="1">'Preventative costs A'!B288-'Preventative costs B'!B288</f>
        <v>0</v>
      </c>
      <c r="C288" s="35">
        <f ca="1">'Preventative costs A'!C288-'Preventative costs B'!C288</f>
        <v>0</v>
      </c>
      <c r="D288" s="35">
        <f ca="1">'Preventative costs A'!D288-'Preventative costs B'!D288</f>
        <v>0</v>
      </c>
      <c r="E288" s="35">
        <f ca="1">'Preventative costs A'!E288-'Preventative costs B'!E288</f>
        <v>0</v>
      </c>
      <c r="F288" s="35">
        <f ca="1">'Preventative costs A'!F288-'Preventative costs B'!F288</f>
        <v>0</v>
      </c>
      <c r="G288" s="35">
        <f ca="1">'Preventative costs A'!G288-'Preventative costs B'!G288</f>
        <v>0</v>
      </c>
      <c r="H288" s="35">
        <f ca="1">'Preventative costs A'!H288-'Preventative costs B'!H288</f>
        <v>0</v>
      </c>
      <c r="I288" s="35">
        <f ca="1">'Preventative costs A'!I288-'Preventative costs B'!I288</f>
        <v>0</v>
      </c>
      <c r="J288" s="35">
        <f ca="1">'Preventative costs A'!J288-'Preventative costs B'!J288</f>
        <v>0</v>
      </c>
      <c r="K288" s="35">
        <f ca="1">'Preventative costs A'!K288-'Preventative costs B'!K288</f>
        <v>0</v>
      </c>
      <c r="M288" s="4" t="str">
        <f t="shared" si="8"/>
        <v>Mtonne</v>
      </c>
    </row>
    <row r="289" spans="1:13" s="8" customFormat="1" ht="15.5" thickTop="1" x14ac:dyDescent="0.4">
      <c r="A289" s="2" t="s">
        <v>301</v>
      </c>
      <c r="B289" s="2" t="s">
        <v>307</v>
      </c>
    </row>
    <row r="290" spans="1:13" s="7" customFormat="1" x14ac:dyDescent="0.25">
      <c r="A290" s="4" t="str">
        <f t="array" ref="A290:A297">R_CODE&amp;" "&amp;'Base data'!$C$12</f>
        <v>EU CH4</v>
      </c>
      <c r="B290" s="29">
        <f ca="1">'Preventative costs A'!B290-'Preventative costs B'!B290</f>
        <v>0</v>
      </c>
      <c r="C290" s="29">
        <f ca="1">'Preventative costs A'!C290-'Preventative costs B'!C290</f>
        <v>0</v>
      </c>
      <c r="D290" s="29">
        <f ca="1">'Preventative costs A'!D290-'Preventative costs B'!D290</f>
        <v>0</v>
      </c>
      <c r="E290" s="29">
        <f ca="1">'Preventative costs A'!E290-'Preventative costs B'!E290</f>
        <v>0</v>
      </c>
      <c r="F290" s="29">
        <f ca="1">'Preventative costs A'!F290-'Preventative costs B'!F290</f>
        <v>0</v>
      </c>
      <c r="G290" s="29">
        <f ca="1">'Preventative costs A'!G290-'Preventative costs B'!G290</f>
        <v>0</v>
      </c>
      <c r="H290" s="29">
        <f ca="1">'Preventative costs A'!H290-'Preventative costs B'!H290</f>
        <v>0</v>
      </c>
      <c r="I290" s="29">
        <f ca="1">'Preventative costs A'!I290-'Preventative costs B'!I290</f>
        <v>0</v>
      </c>
      <c r="J290" s="29">
        <f ca="1">'Preventative costs A'!J290-'Preventative costs B'!J290</f>
        <v>0</v>
      </c>
      <c r="K290" s="29">
        <f ca="1">'Preventative costs A'!K290-'Preventative costs B'!K290</f>
        <v>0</v>
      </c>
      <c r="M290" s="4" t="str">
        <f t="shared" ref="M290:M297" si="9">EMIT_NAME</f>
        <v>Mtonne</v>
      </c>
    </row>
    <row r="291" spans="1:13" s="7" customFormat="1" x14ac:dyDescent="0.25">
      <c r="A291" s="4" t="str">
        <v>US CH4</v>
      </c>
      <c r="B291" s="26">
        <f ca="1">'Preventative costs A'!B291-'Preventative costs B'!B291</f>
        <v>0</v>
      </c>
      <c r="C291" s="26">
        <f ca="1">'Preventative costs A'!C291-'Preventative costs B'!C291</f>
        <v>0</v>
      </c>
      <c r="D291" s="26">
        <f ca="1">'Preventative costs A'!D291-'Preventative costs B'!D291</f>
        <v>0</v>
      </c>
      <c r="E291" s="26">
        <f ca="1">'Preventative costs A'!E291-'Preventative costs B'!E291</f>
        <v>0</v>
      </c>
      <c r="F291" s="26">
        <f ca="1">'Preventative costs A'!F291-'Preventative costs B'!F291</f>
        <v>0</v>
      </c>
      <c r="G291" s="26">
        <f ca="1">'Preventative costs A'!G291-'Preventative costs B'!G291</f>
        <v>0</v>
      </c>
      <c r="H291" s="26">
        <f ca="1">'Preventative costs A'!H291-'Preventative costs B'!H291</f>
        <v>0</v>
      </c>
      <c r="I291" s="26">
        <f ca="1">'Preventative costs A'!I291-'Preventative costs B'!I291</f>
        <v>0</v>
      </c>
      <c r="J291" s="26">
        <f ca="1">'Preventative costs A'!J291-'Preventative costs B'!J291</f>
        <v>0</v>
      </c>
      <c r="K291" s="26">
        <f ca="1">'Preventative costs A'!K291-'Preventative costs B'!K291</f>
        <v>0</v>
      </c>
      <c r="M291" s="4" t="str">
        <f t="shared" si="9"/>
        <v>Mtonne</v>
      </c>
    </row>
    <row r="292" spans="1:13" s="7" customFormat="1" x14ac:dyDescent="0.25">
      <c r="A292" s="4" t="str">
        <v>OT CH4</v>
      </c>
      <c r="B292" s="26">
        <f ca="1">'Preventative costs A'!B292-'Preventative costs B'!B292</f>
        <v>0</v>
      </c>
      <c r="C292" s="26">
        <f ca="1">'Preventative costs A'!C292-'Preventative costs B'!C292</f>
        <v>0</v>
      </c>
      <c r="D292" s="26">
        <f ca="1">'Preventative costs A'!D292-'Preventative costs B'!D292</f>
        <v>0</v>
      </c>
      <c r="E292" s="26">
        <f ca="1">'Preventative costs A'!E292-'Preventative costs B'!E292</f>
        <v>0</v>
      </c>
      <c r="F292" s="26">
        <f ca="1">'Preventative costs A'!F292-'Preventative costs B'!F292</f>
        <v>0</v>
      </c>
      <c r="G292" s="26">
        <f ca="1">'Preventative costs A'!G292-'Preventative costs B'!G292</f>
        <v>0</v>
      </c>
      <c r="H292" s="26">
        <f ca="1">'Preventative costs A'!H292-'Preventative costs B'!H292</f>
        <v>0</v>
      </c>
      <c r="I292" s="26">
        <f ca="1">'Preventative costs A'!I292-'Preventative costs B'!I292</f>
        <v>0</v>
      </c>
      <c r="J292" s="26">
        <f ca="1">'Preventative costs A'!J292-'Preventative costs B'!J292</f>
        <v>0</v>
      </c>
      <c r="K292" s="26">
        <f ca="1">'Preventative costs A'!K292-'Preventative costs B'!K292</f>
        <v>0</v>
      </c>
      <c r="M292" s="4" t="str">
        <f t="shared" si="9"/>
        <v>Mtonne</v>
      </c>
    </row>
    <row r="293" spans="1:13" s="7" customFormat="1" x14ac:dyDescent="0.25">
      <c r="A293" s="4" t="str">
        <v>EE CH4</v>
      </c>
      <c r="B293" s="26">
        <f ca="1">'Preventative costs A'!B293-'Preventative costs B'!B293</f>
        <v>0</v>
      </c>
      <c r="C293" s="26">
        <f ca="1">'Preventative costs A'!C293-'Preventative costs B'!C293</f>
        <v>0</v>
      </c>
      <c r="D293" s="26">
        <f ca="1">'Preventative costs A'!D293-'Preventative costs B'!D293</f>
        <v>0</v>
      </c>
      <c r="E293" s="26">
        <f ca="1">'Preventative costs A'!E293-'Preventative costs B'!E293</f>
        <v>0</v>
      </c>
      <c r="F293" s="26">
        <f ca="1">'Preventative costs A'!F293-'Preventative costs B'!F293</f>
        <v>0</v>
      </c>
      <c r="G293" s="26">
        <f ca="1">'Preventative costs A'!G293-'Preventative costs B'!G293</f>
        <v>0</v>
      </c>
      <c r="H293" s="26">
        <f ca="1">'Preventative costs A'!H293-'Preventative costs B'!H293</f>
        <v>0</v>
      </c>
      <c r="I293" s="26">
        <f ca="1">'Preventative costs A'!I293-'Preventative costs B'!I293</f>
        <v>0</v>
      </c>
      <c r="J293" s="26">
        <f ca="1">'Preventative costs A'!J293-'Preventative costs B'!J293</f>
        <v>0</v>
      </c>
      <c r="K293" s="26">
        <f ca="1">'Preventative costs A'!K293-'Preventative costs B'!K293</f>
        <v>0</v>
      </c>
      <c r="M293" s="4" t="str">
        <f t="shared" si="9"/>
        <v>Mtonne</v>
      </c>
    </row>
    <row r="294" spans="1:13" s="7" customFormat="1" x14ac:dyDescent="0.25">
      <c r="A294" s="4" t="str">
        <v>CA CH4</v>
      </c>
      <c r="B294" s="26">
        <f ca="1">'Preventative costs A'!B294-'Preventative costs B'!B294</f>
        <v>0</v>
      </c>
      <c r="C294" s="26">
        <f ca="1">'Preventative costs A'!C294-'Preventative costs B'!C294</f>
        <v>0</v>
      </c>
      <c r="D294" s="26">
        <f ca="1">'Preventative costs A'!D294-'Preventative costs B'!D294</f>
        <v>0</v>
      </c>
      <c r="E294" s="26">
        <f ca="1">'Preventative costs A'!E294-'Preventative costs B'!E294</f>
        <v>0</v>
      </c>
      <c r="F294" s="26">
        <f ca="1">'Preventative costs A'!F294-'Preventative costs B'!F294</f>
        <v>0</v>
      </c>
      <c r="G294" s="26">
        <f ca="1">'Preventative costs A'!G294-'Preventative costs B'!G294</f>
        <v>0</v>
      </c>
      <c r="H294" s="26">
        <f ca="1">'Preventative costs A'!H294-'Preventative costs B'!H294</f>
        <v>0</v>
      </c>
      <c r="I294" s="26">
        <f ca="1">'Preventative costs A'!I294-'Preventative costs B'!I294</f>
        <v>0</v>
      </c>
      <c r="J294" s="26">
        <f ca="1">'Preventative costs A'!J294-'Preventative costs B'!J294</f>
        <v>0</v>
      </c>
      <c r="K294" s="26">
        <f ca="1">'Preventative costs A'!K294-'Preventative costs B'!K294</f>
        <v>0</v>
      </c>
      <c r="M294" s="4" t="str">
        <f t="shared" si="9"/>
        <v>Mtonne</v>
      </c>
    </row>
    <row r="295" spans="1:13" s="7" customFormat="1" x14ac:dyDescent="0.25">
      <c r="A295" s="4" t="str">
        <v>IA CH4</v>
      </c>
      <c r="B295" s="26">
        <f ca="1">'Preventative costs A'!B295-'Preventative costs B'!B295</f>
        <v>0</v>
      </c>
      <c r="C295" s="26">
        <f ca="1">'Preventative costs A'!C295-'Preventative costs B'!C295</f>
        <v>0</v>
      </c>
      <c r="D295" s="26">
        <f ca="1">'Preventative costs A'!D295-'Preventative costs B'!D295</f>
        <v>0</v>
      </c>
      <c r="E295" s="26">
        <f ca="1">'Preventative costs A'!E295-'Preventative costs B'!E295</f>
        <v>0</v>
      </c>
      <c r="F295" s="26">
        <f ca="1">'Preventative costs A'!F295-'Preventative costs B'!F295</f>
        <v>0</v>
      </c>
      <c r="G295" s="26">
        <f ca="1">'Preventative costs A'!G295-'Preventative costs B'!G295</f>
        <v>0</v>
      </c>
      <c r="H295" s="26">
        <f ca="1">'Preventative costs A'!H295-'Preventative costs B'!H295</f>
        <v>0</v>
      </c>
      <c r="I295" s="26">
        <f ca="1">'Preventative costs A'!I295-'Preventative costs B'!I295</f>
        <v>0</v>
      </c>
      <c r="J295" s="26">
        <f ca="1">'Preventative costs A'!J295-'Preventative costs B'!J295</f>
        <v>0</v>
      </c>
      <c r="K295" s="26">
        <f ca="1">'Preventative costs A'!K295-'Preventative costs B'!K295</f>
        <v>0</v>
      </c>
      <c r="M295" s="4" t="str">
        <f t="shared" si="9"/>
        <v>Mtonne</v>
      </c>
    </row>
    <row r="296" spans="1:13" s="7" customFormat="1" x14ac:dyDescent="0.25">
      <c r="A296" s="4" t="str">
        <v>AF CH4</v>
      </c>
      <c r="B296" s="26">
        <f ca="1">'Preventative costs A'!B296-'Preventative costs B'!B296</f>
        <v>0</v>
      </c>
      <c r="C296" s="26">
        <f ca="1">'Preventative costs A'!C296-'Preventative costs B'!C296</f>
        <v>0</v>
      </c>
      <c r="D296" s="26">
        <f ca="1">'Preventative costs A'!D296-'Preventative costs B'!D296</f>
        <v>0</v>
      </c>
      <c r="E296" s="26">
        <f ca="1">'Preventative costs A'!E296-'Preventative costs B'!E296</f>
        <v>0</v>
      </c>
      <c r="F296" s="26">
        <f ca="1">'Preventative costs A'!F296-'Preventative costs B'!F296</f>
        <v>0</v>
      </c>
      <c r="G296" s="26">
        <f ca="1">'Preventative costs A'!G296-'Preventative costs B'!G296</f>
        <v>0</v>
      </c>
      <c r="H296" s="26">
        <f ca="1">'Preventative costs A'!H296-'Preventative costs B'!H296</f>
        <v>0</v>
      </c>
      <c r="I296" s="26">
        <f ca="1">'Preventative costs A'!I296-'Preventative costs B'!I296</f>
        <v>0</v>
      </c>
      <c r="J296" s="26">
        <f ca="1">'Preventative costs A'!J296-'Preventative costs B'!J296</f>
        <v>0</v>
      </c>
      <c r="K296" s="26">
        <f ca="1">'Preventative costs A'!K296-'Preventative costs B'!K296</f>
        <v>0</v>
      </c>
      <c r="M296" s="4" t="str">
        <f t="shared" si="9"/>
        <v>Mtonne</v>
      </c>
    </row>
    <row r="297" spans="1:13" s="7" customFormat="1" ht="13" thickBot="1" x14ac:dyDescent="0.3">
      <c r="A297" s="4" t="str">
        <v>LA CH4</v>
      </c>
      <c r="B297" s="35">
        <f ca="1">'Preventative costs A'!B297-'Preventative costs B'!B297</f>
        <v>0</v>
      </c>
      <c r="C297" s="35">
        <f ca="1">'Preventative costs A'!C297-'Preventative costs B'!C297</f>
        <v>0</v>
      </c>
      <c r="D297" s="35">
        <f ca="1">'Preventative costs A'!D297-'Preventative costs B'!D297</f>
        <v>0</v>
      </c>
      <c r="E297" s="35">
        <f ca="1">'Preventative costs A'!E297-'Preventative costs B'!E297</f>
        <v>0</v>
      </c>
      <c r="F297" s="35">
        <f ca="1">'Preventative costs A'!F297-'Preventative costs B'!F297</f>
        <v>0</v>
      </c>
      <c r="G297" s="35">
        <f ca="1">'Preventative costs A'!G297-'Preventative costs B'!G297</f>
        <v>0</v>
      </c>
      <c r="H297" s="35">
        <f ca="1">'Preventative costs A'!H297-'Preventative costs B'!H297</f>
        <v>0</v>
      </c>
      <c r="I297" s="35">
        <f ca="1">'Preventative costs A'!I297-'Preventative costs B'!I297</f>
        <v>0</v>
      </c>
      <c r="J297" s="35">
        <f ca="1">'Preventative costs A'!J297-'Preventative costs B'!J297</f>
        <v>0</v>
      </c>
      <c r="K297" s="35">
        <f ca="1">'Preventative costs A'!K297-'Preventative costs B'!K297</f>
        <v>0</v>
      </c>
      <c r="M297" s="4" t="str">
        <f t="shared" si="9"/>
        <v>Mtonne</v>
      </c>
    </row>
    <row r="298" spans="1:13" s="8" customFormat="1" ht="15.5" thickTop="1" x14ac:dyDescent="0.4">
      <c r="A298" s="2" t="s">
        <v>301</v>
      </c>
      <c r="B298" s="2" t="s">
        <v>308</v>
      </c>
    </row>
    <row r="299" spans="1:13" s="7" customFormat="1" x14ac:dyDescent="0.25">
      <c r="A299" s="4" t="str">
        <f t="array" ref="A299:A306">R_CODE&amp;" "&amp;'Base data'!$D$12</f>
        <v>EU N2O</v>
      </c>
      <c r="B299" s="29">
        <f ca="1">'Preventative costs A'!B299-'Preventative costs B'!B299</f>
        <v>0</v>
      </c>
      <c r="C299" s="29">
        <f ca="1">'Preventative costs A'!C299-'Preventative costs B'!C299</f>
        <v>0</v>
      </c>
      <c r="D299" s="29">
        <f ca="1">'Preventative costs A'!D299-'Preventative costs B'!D299</f>
        <v>0</v>
      </c>
      <c r="E299" s="29">
        <f ca="1">'Preventative costs A'!E299-'Preventative costs B'!E299</f>
        <v>0</v>
      </c>
      <c r="F299" s="29">
        <f ca="1">'Preventative costs A'!F299-'Preventative costs B'!F299</f>
        <v>0</v>
      </c>
      <c r="G299" s="29">
        <f ca="1">'Preventative costs A'!G299-'Preventative costs B'!G299</f>
        <v>0</v>
      </c>
      <c r="H299" s="29">
        <f ca="1">'Preventative costs A'!H299-'Preventative costs B'!H299</f>
        <v>0</v>
      </c>
      <c r="I299" s="29">
        <f ca="1">'Preventative costs A'!I299-'Preventative costs B'!I299</f>
        <v>0</v>
      </c>
      <c r="J299" s="29">
        <f ca="1">'Preventative costs A'!J299-'Preventative costs B'!J299</f>
        <v>0</v>
      </c>
      <c r="K299" s="29">
        <f ca="1">'Preventative costs A'!K299-'Preventative costs B'!K299</f>
        <v>0</v>
      </c>
      <c r="M299" s="4" t="str">
        <f t="shared" ref="M299:M306" si="10">EMIT_NAME</f>
        <v>Mtonne</v>
      </c>
    </row>
    <row r="300" spans="1:13" s="7" customFormat="1" x14ac:dyDescent="0.25">
      <c r="A300" s="4" t="str">
        <v>US N2O</v>
      </c>
      <c r="B300" s="26">
        <f ca="1">'Preventative costs A'!B300-'Preventative costs B'!B300</f>
        <v>0</v>
      </c>
      <c r="C300" s="26">
        <f ca="1">'Preventative costs A'!C300-'Preventative costs B'!C300</f>
        <v>0</v>
      </c>
      <c r="D300" s="26">
        <f ca="1">'Preventative costs A'!D300-'Preventative costs B'!D300</f>
        <v>0</v>
      </c>
      <c r="E300" s="26">
        <f ca="1">'Preventative costs A'!E300-'Preventative costs B'!E300</f>
        <v>0</v>
      </c>
      <c r="F300" s="26">
        <f ca="1">'Preventative costs A'!F300-'Preventative costs B'!F300</f>
        <v>0</v>
      </c>
      <c r="G300" s="26">
        <f ca="1">'Preventative costs A'!G300-'Preventative costs B'!G300</f>
        <v>0</v>
      </c>
      <c r="H300" s="26">
        <f ca="1">'Preventative costs A'!H300-'Preventative costs B'!H300</f>
        <v>0</v>
      </c>
      <c r="I300" s="26">
        <f ca="1">'Preventative costs A'!I300-'Preventative costs B'!I300</f>
        <v>0</v>
      </c>
      <c r="J300" s="26">
        <f ca="1">'Preventative costs A'!J300-'Preventative costs B'!J300</f>
        <v>0</v>
      </c>
      <c r="K300" s="26">
        <f ca="1">'Preventative costs A'!K300-'Preventative costs B'!K300</f>
        <v>0</v>
      </c>
      <c r="M300" s="4" t="str">
        <f t="shared" si="10"/>
        <v>Mtonne</v>
      </c>
    </row>
    <row r="301" spans="1:13" s="7" customFormat="1" x14ac:dyDescent="0.25">
      <c r="A301" s="4" t="str">
        <v>OT N2O</v>
      </c>
      <c r="B301" s="26">
        <f ca="1">'Preventative costs A'!B301-'Preventative costs B'!B301</f>
        <v>0</v>
      </c>
      <c r="C301" s="26">
        <f ca="1">'Preventative costs A'!C301-'Preventative costs B'!C301</f>
        <v>0</v>
      </c>
      <c r="D301" s="26">
        <f ca="1">'Preventative costs A'!D301-'Preventative costs B'!D301</f>
        <v>0</v>
      </c>
      <c r="E301" s="26">
        <f ca="1">'Preventative costs A'!E301-'Preventative costs B'!E301</f>
        <v>0</v>
      </c>
      <c r="F301" s="26">
        <f ca="1">'Preventative costs A'!F301-'Preventative costs B'!F301</f>
        <v>0</v>
      </c>
      <c r="G301" s="26">
        <f ca="1">'Preventative costs A'!G301-'Preventative costs B'!G301</f>
        <v>0</v>
      </c>
      <c r="H301" s="26">
        <f ca="1">'Preventative costs A'!H301-'Preventative costs B'!H301</f>
        <v>0</v>
      </c>
      <c r="I301" s="26">
        <f ca="1">'Preventative costs A'!I301-'Preventative costs B'!I301</f>
        <v>0</v>
      </c>
      <c r="J301" s="26">
        <f ca="1">'Preventative costs A'!J301-'Preventative costs B'!J301</f>
        <v>0</v>
      </c>
      <c r="K301" s="26">
        <f ca="1">'Preventative costs A'!K301-'Preventative costs B'!K301</f>
        <v>0</v>
      </c>
      <c r="M301" s="4" t="str">
        <f t="shared" si="10"/>
        <v>Mtonne</v>
      </c>
    </row>
    <row r="302" spans="1:13" s="7" customFormat="1" x14ac:dyDescent="0.25">
      <c r="A302" s="4" t="str">
        <v>EE N2O</v>
      </c>
      <c r="B302" s="26">
        <f ca="1">'Preventative costs A'!B302-'Preventative costs B'!B302</f>
        <v>0</v>
      </c>
      <c r="C302" s="26">
        <f ca="1">'Preventative costs A'!C302-'Preventative costs B'!C302</f>
        <v>0</v>
      </c>
      <c r="D302" s="26">
        <f ca="1">'Preventative costs A'!D302-'Preventative costs B'!D302</f>
        <v>0</v>
      </c>
      <c r="E302" s="26">
        <f ca="1">'Preventative costs A'!E302-'Preventative costs B'!E302</f>
        <v>0</v>
      </c>
      <c r="F302" s="26">
        <f ca="1">'Preventative costs A'!F302-'Preventative costs B'!F302</f>
        <v>0</v>
      </c>
      <c r="G302" s="26">
        <f ca="1">'Preventative costs A'!G302-'Preventative costs B'!G302</f>
        <v>0</v>
      </c>
      <c r="H302" s="26">
        <f ca="1">'Preventative costs A'!H302-'Preventative costs B'!H302</f>
        <v>0</v>
      </c>
      <c r="I302" s="26">
        <f ca="1">'Preventative costs A'!I302-'Preventative costs B'!I302</f>
        <v>0</v>
      </c>
      <c r="J302" s="26">
        <f ca="1">'Preventative costs A'!J302-'Preventative costs B'!J302</f>
        <v>0</v>
      </c>
      <c r="K302" s="26">
        <f ca="1">'Preventative costs A'!K302-'Preventative costs B'!K302</f>
        <v>0</v>
      </c>
      <c r="M302" s="4" t="str">
        <f t="shared" si="10"/>
        <v>Mtonne</v>
      </c>
    </row>
    <row r="303" spans="1:13" s="7" customFormat="1" x14ac:dyDescent="0.25">
      <c r="A303" s="4" t="str">
        <v>CA N2O</v>
      </c>
      <c r="B303" s="26">
        <f ca="1">'Preventative costs A'!B303-'Preventative costs B'!B303</f>
        <v>0</v>
      </c>
      <c r="C303" s="26">
        <f ca="1">'Preventative costs A'!C303-'Preventative costs B'!C303</f>
        <v>0</v>
      </c>
      <c r="D303" s="26">
        <f ca="1">'Preventative costs A'!D303-'Preventative costs B'!D303</f>
        <v>0</v>
      </c>
      <c r="E303" s="26">
        <f ca="1">'Preventative costs A'!E303-'Preventative costs B'!E303</f>
        <v>0</v>
      </c>
      <c r="F303" s="26">
        <f ca="1">'Preventative costs A'!F303-'Preventative costs B'!F303</f>
        <v>0</v>
      </c>
      <c r="G303" s="26">
        <f ca="1">'Preventative costs A'!G303-'Preventative costs B'!G303</f>
        <v>0</v>
      </c>
      <c r="H303" s="26">
        <f ca="1">'Preventative costs A'!H303-'Preventative costs B'!H303</f>
        <v>0</v>
      </c>
      <c r="I303" s="26">
        <f ca="1">'Preventative costs A'!I303-'Preventative costs B'!I303</f>
        <v>0</v>
      </c>
      <c r="J303" s="26">
        <f ca="1">'Preventative costs A'!J303-'Preventative costs B'!J303</f>
        <v>0</v>
      </c>
      <c r="K303" s="26">
        <f ca="1">'Preventative costs A'!K303-'Preventative costs B'!K303</f>
        <v>0</v>
      </c>
      <c r="M303" s="4" t="str">
        <f t="shared" si="10"/>
        <v>Mtonne</v>
      </c>
    </row>
    <row r="304" spans="1:13" s="7" customFormat="1" x14ac:dyDescent="0.25">
      <c r="A304" s="4" t="str">
        <v>IA N2O</v>
      </c>
      <c r="B304" s="26">
        <f ca="1">'Preventative costs A'!B304-'Preventative costs B'!B304</f>
        <v>0</v>
      </c>
      <c r="C304" s="26">
        <f ca="1">'Preventative costs A'!C304-'Preventative costs B'!C304</f>
        <v>0</v>
      </c>
      <c r="D304" s="26">
        <f ca="1">'Preventative costs A'!D304-'Preventative costs B'!D304</f>
        <v>0</v>
      </c>
      <c r="E304" s="26">
        <f ca="1">'Preventative costs A'!E304-'Preventative costs B'!E304</f>
        <v>0</v>
      </c>
      <c r="F304" s="26">
        <f ca="1">'Preventative costs A'!F304-'Preventative costs B'!F304</f>
        <v>0</v>
      </c>
      <c r="G304" s="26">
        <f ca="1">'Preventative costs A'!G304-'Preventative costs B'!G304</f>
        <v>0</v>
      </c>
      <c r="H304" s="26">
        <f ca="1">'Preventative costs A'!H304-'Preventative costs B'!H304</f>
        <v>0</v>
      </c>
      <c r="I304" s="26">
        <f ca="1">'Preventative costs A'!I304-'Preventative costs B'!I304</f>
        <v>0</v>
      </c>
      <c r="J304" s="26">
        <f ca="1">'Preventative costs A'!J304-'Preventative costs B'!J304</f>
        <v>0</v>
      </c>
      <c r="K304" s="26">
        <f ca="1">'Preventative costs A'!K304-'Preventative costs B'!K304</f>
        <v>0</v>
      </c>
      <c r="M304" s="4" t="str">
        <f t="shared" si="10"/>
        <v>Mtonne</v>
      </c>
    </row>
    <row r="305" spans="1:13" s="7" customFormat="1" x14ac:dyDescent="0.25">
      <c r="A305" s="4" t="str">
        <v>AF N2O</v>
      </c>
      <c r="B305" s="26">
        <f ca="1">'Preventative costs A'!B305-'Preventative costs B'!B305</f>
        <v>0</v>
      </c>
      <c r="C305" s="26">
        <f ca="1">'Preventative costs A'!C305-'Preventative costs B'!C305</f>
        <v>0</v>
      </c>
      <c r="D305" s="26">
        <f ca="1">'Preventative costs A'!D305-'Preventative costs B'!D305</f>
        <v>0</v>
      </c>
      <c r="E305" s="26">
        <f ca="1">'Preventative costs A'!E305-'Preventative costs B'!E305</f>
        <v>0</v>
      </c>
      <c r="F305" s="26">
        <f ca="1">'Preventative costs A'!F305-'Preventative costs B'!F305</f>
        <v>0</v>
      </c>
      <c r="G305" s="26">
        <f ca="1">'Preventative costs A'!G305-'Preventative costs B'!G305</f>
        <v>0</v>
      </c>
      <c r="H305" s="26">
        <f ca="1">'Preventative costs A'!H305-'Preventative costs B'!H305</f>
        <v>0</v>
      </c>
      <c r="I305" s="26">
        <f ca="1">'Preventative costs A'!I305-'Preventative costs B'!I305</f>
        <v>0</v>
      </c>
      <c r="J305" s="26">
        <f ca="1">'Preventative costs A'!J305-'Preventative costs B'!J305</f>
        <v>0</v>
      </c>
      <c r="K305" s="26">
        <f ca="1">'Preventative costs A'!K305-'Preventative costs B'!K305</f>
        <v>0</v>
      </c>
      <c r="M305" s="4" t="str">
        <f t="shared" si="10"/>
        <v>Mtonne</v>
      </c>
    </row>
    <row r="306" spans="1:13" s="7" customFormat="1" ht="13" thickBot="1" x14ac:dyDescent="0.3">
      <c r="A306" s="4" t="str">
        <v>LA N2O</v>
      </c>
      <c r="B306" s="35">
        <f ca="1">'Preventative costs A'!B306-'Preventative costs B'!B306</f>
        <v>0</v>
      </c>
      <c r="C306" s="35">
        <f ca="1">'Preventative costs A'!C306-'Preventative costs B'!C306</f>
        <v>0</v>
      </c>
      <c r="D306" s="35">
        <f ca="1">'Preventative costs A'!D306-'Preventative costs B'!D306</f>
        <v>0</v>
      </c>
      <c r="E306" s="35">
        <f ca="1">'Preventative costs A'!E306-'Preventative costs B'!E306</f>
        <v>0</v>
      </c>
      <c r="F306" s="35">
        <f ca="1">'Preventative costs A'!F306-'Preventative costs B'!F306</f>
        <v>0</v>
      </c>
      <c r="G306" s="35">
        <f ca="1">'Preventative costs A'!G306-'Preventative costs B'!G306</f>
        <v>0</v>
      </c>
      <c r="H306" s="35">
        <f ca="1">'Preventative costs A'!H306-'Preventative costs B'!H306</f>
        <v>0</v>
      </c>
      <c r="I306" s="35">
        <f ca="1">'Preventative costs A'!I306-'Preventative costs B'!I306</f>
        <v>0</v>
      </c>
      <c r="J306" s="35">
        <f ca="1">'Preventative costs A'!J306-'Preventative costs B'!J306</f>
        <v>0</v>
      </c>
      <c r="K306" s="35">
        <f ca="1">'Preventative costs A'!K306-'Preventative costs B'!K306</f>
        <v>0</v>
      </c>
      <c r="M306" s="4" t="str">
        <f t="shared" si="10"/>
        <v>Mtonne</v>
      </c>
    </row>
    <row r="307" spans="1:13" s="8" customFormat="1" ht="15.5" thickTop="1" x14ac:dyDescent="0.4">
      <c r="A307" s="2" t="s">
        <v>301</v>
      </c>
      <c r="B307" s="2" t="s">
        <v>309</v>
      </c>
    </row>
    <row r="308" spans="1:13" s="7" customFormat="1" x14ac:dyDescent="0.25">
      <c r="A308" s="4" t="str">
        <f t="array" ref="A308:A315">R_CODE&amp;" "&amp;GLIN_NAME</f>
        <v>EU Lin</v>
      </c>
      <c r="B308" s="29">
        <f ca="1">'Preventative costs A'!B308-'Preventative costs B'!B308</f>
        <v>0</v>
      </c>
      <c r="C308" s="29">
        <f ca="1">'Preventative costs A'!C308-'Preventative costs B'!C308</f>
        <v>0</v>
      </c>
      <c r="D308" s="29">
        <f ca="1">'Preventative costs A'!D308-'Preventative costs B'!D308</f>
        <v>0</v>
      </c>
      <c r="E308" s="29">
        <f ca="1">'Preventative costs A'!E308-'Preventative costs B'!E308</f>
        <v>0</v>
      </c>
      <c r="F308" s="29">
        <f ca="1">'Preventative costs A'!F308-'Preventative costs B'!F308</f>
        <v>0</v>
      </c>
      <c r="G308" s="29">
        <f ca="1">'Preventative costs A'!G308-'Preventative costs B'!G308</f>
        <v>0</v>
      </c>
      <c r="H308" s="29">
        <f ca="1">'Preventative costs A'!H308-'Preventative costs B'!H308</f>
        <v>0</v>
      </c>
      <c r="I308" s="29">
        <f ca="1">'Preventative costs A'!I308-'Preventative costs B'!I308</f>
        <v>0</v>
      </c>
      <c r="J308" s="29">
        <f ca="1">'Preventative costs A'!J308-'Preventative costs B'!J308</f>
        <v>0</v>
      </c>
      <c r="K308" s="29">
        <f ca="1">'Preventative costs A'!K308-'Preventative costs B'!K308</f>
        <v>0</v>
      </c>
      <c r="M308" s="4" t="str">
        <f t="shared" ref="M308:M315" si="11">EMIT_NAME</f>
        <v>Mtonne</v>
      </c>
    </row>
    <row r="309" spans="1:13" s="7" customFormat="1" x14ac:dyDescent="0.25">
      <c r="A309" s="4" t="str">
        <v>US Lin</v>
      </c>
      <c r="B309" s="26">
        <f ca="1">'Preventative costs A'!B309-'Preventative costs B'!B309</f>
        <v>0</v>
      </c>
      <c r="C309" s="26">
        <f ca="1">'Preventative costs A'!C309-'Preventative costs B'!C309</f>
        <v>0</v>
      </c>
      <c r="D309" s="26">
        <f ca="1">'Preventative costs A'!D309-'Preventative costs B'!D309</f>
        <v>0</v>
      </c>
      <c r="E309" s="26">
        <f ca="1">'Preventative costs A'!E309-'Preventative costs B'!E309</f>
        <v>0</v>
      </c>
      <c r="F309" s="26">
        <f ca="1">'Preventative costs A'!F309-'Preventative costs B'!F309</f>
        <v>0</v>
      </c>
      <c r="G309" s="26">
        <f ca="1">'Preventative costs A'!G309-'Preventative costs B'!G309</f>
        <v>0</v>
      </c>
      <c r="H309" s="26">
        <f ca="1">'Preventative costs A'!H309-'Preventative costs B'!H309</f>
        <v>0</v>
      </c>
      <c r="I309" s="26">
        <f ca="1">'Preventative costs A'!I309-'Preventative costs B'!I309</f>
        <v>0</v>
      </c>
      <c r="J309" s="26">
        <f ca="1">'Preventative costs A'!J309-'Preventative costs B'!J309</f>
        <v>0</v>
      </c>
      <c r="K309" s="26">
        <f ca="1">'Preventative costs A'!K309-'Preventative costs B'!K309</f>
        <v>0</v>
      </c>
      <c r="M309" s="4" t="str">
        <f t="shared" si="11"/>
        <v>Mtonne</v>
      </c>
    </row>
    <row r="310" spans="1:13" s="7" customFormat="1" x14ac:dyDescent="0.25">
      <c r="A310" s="4" t="str">
        <v>OT Lin</v>
      </c>
      <c r="B310" s="26">
        <f ca="1">'Preventative costs A'!B310-'Preventative costs B'!B310</f>
        <v>0</v>
      </c>
      <c r="C310" s="26">
        <f ca="1">'Preventative costs A'!C310-'Preventative costs B'!C310</f>
        <v>0</v>
      </c>
      <c r="D310" s="26">
        <f ca="1">'Preventative costs A'!D310-'Preventative costs B'!D310</f>
        <v>0</v>
      </c>
      <c r="E310" s="26">
        <f ca="1">'Preventative costs A'!E310-'Preventative costs B'!E310</f>
        <v>0</v>
      </c>
      <c r="F310" s="26">
        <f ca="1">'Preventative costs A'!F310-'Preventative costs B'!F310</f>
        <v>0</v>
      </c>
      <c r="G310" s="26">
        <f ca="1">'Preventative costs A'!G310-'Preventative costs B'!G310</f>
        <v>0</v>
      </c>
      <c r="H310" s="26">
        <f ca="1">'Preventative costs A'!H310-'Preventative costs B'!H310</f>
        <v>0</v>
      </c>
      <c r="I310" s="26">
        <f ca="1">'Preventative costs A'!I310-'Preventative costs B'!I310</f>
        <v>0</v>
      </c>
      <c r="J310" s="26">
        <f ca="1">'Preventative costs A'!J310-'Preventative costs B'!J310</f>
        <v>0</v>
      </c>
      <c r="K310" s="26">
        <f ca="1">'Preventative costs A'!K310-'Preventative costs B'!K310</f>
        <v>0</v>
      </c>
      <c r="M310" s="4" t="str">
        <f t="shared" si="11"/>
        <v>Mtonne</v>
      </c>
    </row>
    <row r="311" spans="1:13" s="7" customFormat="1" x14ac:dyDescent="0.25">
      <c r="A311" s="4" t="str">
        <v>EE Lin</v>
      </c>
      <c r="B311" s="26">
        <f ca="1">'Preventative costs A'!B311-'Preventative costs B'!B311</f>
        <v>0</v>
      </c>
      <c r="C311" s="26">
        <f ca="1">'Preventative costs A'!C311-'Preventative costs B'!C311</f>
        <v>0</v>
      </c>
      <c r="D311" s="26">
        <f ca="1">'Preventative costs A'!D311-'Preventative costs B'!D311</f>
        <v>0</v>
      </c>
      <c r="E311" s="26">
        <f ca="1">'Preventative costs A'!E311-'Preventative costs B'!E311</f>
        <v>0</v>
      </c>
      <c r="F311" s="26">
        <f ca="1">'Preventative costs A'!F311-'Preventative costs B'!F311</f>
        <v>0</v>
      </c>
      <c r="G311" s="26">
        <f ca="1">'Preventative costs A'!G311-'Preventative costs B'!G311</f>
        <v>0</v>
      </c>
      <c r="H311" s="26">
        <f ca="1">'Preventative costs A'!H311-'Preventative costs B'!H311</f>
        <v>0</v>
      </c>
      <c r="I311" s="26">
        <f ca="1">'Preventative costs A'!I311-'Preventative costs B'!I311</f>
        <v>0</v>
      </c>
      <c r="J311" s="26">
        <f ca="1">'Preventative costs A'!J311-'Preventative costs B'!J311</f>
        <v>0</v>
      </c>
      <c r="K311" s="26">
        <f ca="1">'Preventative costs A'!K311-'Preventative costs B'!K311</f>
        <v>0</v>
      </c>
      <c r="M311" s="4" t="str">
        <f t="shared" si="11"/>
        <v>Mtonne</v>
      </c>
    </row>
    <row r="312" spans="1:13" s="7" customFormat="1" x14ac:dyDescent="0.25">
      <c r="A312" s="4" t="str">
        <v>CA Lin</v>
      </c>
      <c r="B312" s="26">
        <f ca="1">'Preventative costs A'!B312-'Preventative costs B'!B312</f>
        <v>0</v>
      </c>
      <c r="C312" s="26">
        <f ca="1">'Preventative costs A'!C312-'Preventative costs B'!C312</f>
        <v>0</v>
      </c>
      <c r="D312" s="26">
        <f ca="1">'Preventative costs A'!D312-'Preventative costs B'!D312</f>
        <v>0</v>
      </c>
      <c r="E312" s="26">
        <f ca="1">'Preventative costs A'!E312-'Preventative costs B'!E312</f>
        <v>0</v>
      </c>
      <c r="F312" s="26">
        <f ca="1">'Preventative costs A'!F312-'Preventative costs B'!F312</f>
        <v>0</v>
      </c>
      <c r="G312" s="26">
        <f ca="1">'Preventative costs A'!G312-'Preventative costs B'!G312</f>
        <v>0</v>
      </c>
      <c r="H312" s="26">
        <f ca="1">'Preventative costs A'!H312-'Preventative costs B'!H312</f>
        <v>0</v>
      </c>
      <c r="I312" s="26">
        <f ca="1">'Preventative costs A'!I312-'Preventative costs B'!I312</f>
        <v>0</v>
      </c>
      <c r="J312" s="26">
        <f ca="1">'Preventative costs A'!J312-'Preventative costs B'!J312</f>
        <v>0</v>
      </c>
      <c r="K312" s="26">
        <f ca="1">'Preventative costs A'!K312-'Preventative costs B'!K312</f>
        <v>0</v>
      </c>
      <c r="M312" s="4" t="str">
        <f t="shared" si="11"/>
        <v>Mtonne</v>
      </c>
    </row>
    <row r="313" spans="1:13" s="7" customFormat="1" x14ac:dyDescent="0.25">
      <c r="A313" s="4" t="str">
        <v>IA Lin</v>
      </c>
      <c r="B313" s="26">
        <f ca="1">'Preventative costs A'!B313-'Preventative costs B'!B313</f>
        <v>0</v>
      </c>
      <c r="C313" s="26">
        <f ca="1">'Preventative costs A'!C313-'Preventative costs B'!C313</f>
        <v>0</v>
      </c>
      <c r="D313" s="26">
        <f ca="1">'Preventative costs A'!D313-'Preventative costs B'!D313</f>
        <v>0</v>
      </c>
      <c r="E313" s="26">
        <f ca="1">'Preventative costs A'!E313-'Preventative costs B'!E313</f>
        <v>0</v>
      </c>
      <c r="F313" s="26">
        <f ca="1">'Preventative costs A'!F313-'Preventative costs B'!F313</f>
        <v>0</v>
      </c>
      <c r="G313" s="26">
        <f ca="1">'Preventative costs A'!G313-'Preventative costs B'!G313</f>
        <v>0</v>
      </c>
      <c r="H313" s="26">
        <f ca="1">'Preventative costs A'!H313-'Preventative costs B'!H313</f>
        <v>0</v>
      </c>
      <c r="I313" s="26">
        <f ca="1">'Preventative costs A'!I313-'Preventative costs B'!I313</f>
        <v>0</v>
      </c>
      <c r="J313" s="26">
        <f ca="1">'Preventative costs A'!J313-'Preventative costs B'!J313</f>
        <v>0</v>
      </c>
      <c r="K313" s="26">
        <f ca="1">'Preventative costs A'!K313-'Preventative costs B'!K313</f>
        <v>0</v>
      </c>
      <c r="M313" s="4" t="str">
        <f t="shared" si="11"/>
        <v>Mtonne</v>
      </c>
    </row>
    <row r="314" spans="1:13" s="7" customFormat="1" x14ac:dyDescent="0.25">
      <c r="A314" s="4" t="str">
        <v>AF Lin</v>
      </c>
      <c r="B314" s="26">
        <f ca="1">'Preventative costs A'!B314-'Preventative costs B'!B314</f>
        <v>0</v>
      </c>
      <c r="C314" s="26">
        <f ca="1">'Preventative costs A'!C314-'Preventative costs B'!C314</f>
        <v>0</v>
      </c>
      <c r="D314" s="26">
        <f ca="1">'Preventative costs A'!D314-'Preventative costs B'!D314</f>
        <v>0</v>
      </c>
      <c r="E314" s="26">
        <f ca="1">'Preventative costs A'!E314-'Preventative costs B'!E314</f>
        <v>0</v>
      </c>
      <c r="F314" s="26">
        <f ca="1">'Preventative costs A'!F314-'Preventative costs B'!F314</f>
        <v>0</v>
      </c>
      <c r="G314" s="26">
        <f ca="1">'Preventative costs A'!G314-'Preventative costs B'!G314</f>
        <v>0</v>
      </c>
      <c r="H314" s="26">
        <f ca="1">'Preventative costs A'!H314-'Preventative costs B'!H314</f>
        <v>0</v>
      </c>
      <c r="I314" s="26">
        <f ca="1">'Preventative costs A'!I314-'Preventative costs B'!I314</f>
        <v>0</v>
      </c>
      <c r="J314" s="26">
        <f ca="1">'Preventative costs A'!J314-'Preventative costs B'!J314</f>
        <v>0</v>
      </c>
      <c r="K314" s="26">
        <f ca="1">'Preventative costs A'!K314-'Preventative costs B'!K314</f>
        <v>0</v>
      </c>
      <c r="M314" s="4" t="str">
        <f t="shared" si="11"/>
        <v>Mtonne</v>
      </c>
    </row>
    <row r="315" spans="1:13" s="7" customFormat="1" ht="13" thickBot="1" x14ac:dyDescent="0.3">
      <c r="A315" s="4" t="str">
        <v>LA Lin</v>
      </c>
      <c r="B315" s="35">
        <f ca="1">'Preventative costs A'!B315-'Preventative costs B'!B315</f>
        <v>0</v>
      </c>
      <c r="C315" s="35">
        <f ca="1">'Preventative costs A'!C315-'Preventative costs B'!C315</f>
        <v>0</v>
      </c>
      <c r="D315" s="35">
        <f ca="1">'Preventative costs A'!D315-'Preventative costs B'!D315</f>
        <v>0</v>
      </c>
      <c r="E315" s="35">
        <f ca="1">'Preventative costs A'!E315-'Preventative costs B'!E315</f>
        <v>0</v>
      </c>
      <c r="F315" s="35">
        <f ca="1">'Preventative costs A'!F315-'Preventative costs B'!F315</f>
        <v>0</v>
      </c>
      <c r="G315" s="35">
        <f ca="1">'Preventative costs A'!G315-'Preventative costs B'!G315</f>
        <v>0</v>
      </c>
      <c r="H315" s="35">
        <f ca="1">'Preventative costs A'!H315-'Preventative costs B'!H315</f>
        <v>0</v>
      </c>
      <c r="I315" s="35">
        <f ca="1">'Preventative costs A'!I315-'Preventative costs B'!I315</f>
        <v>0</v>
      </c>
      <c r="J315" s="35">
        <f ca="1">'Preventative costs A'!J315-'Preventative costs B'!J315</f>
        <v>0</v>
      </c>
      <c r="K315" s="35">
        <f ca="1">'Preventative costs A'!K315-'Preventative costs B'!K315</f>
        <v>0</v>
      </c>
      <c r="M315" s="4" t="str">
        <f t="shared" si="11"/>
        <v>Mtonne</v>
      </c>
    </row>
    <row r="316" spans="1:13" s="2" customFormat="1" ht="15.5" thickTop="1" x14ac:dyDescent="0.4">
      <c r="A316" s="2" t="s">
        <v>314</v>
      </c>
      <c r="B316" s="2" t="s">
        <v>315</v>
      </c>
    </row>
    <row r="317" spans="1:13" s="6" customFormat="1" x14ac:dyDescent="0.25">
      <c r="A317" s="4" t="str">
        <f t="array" ref="A317:A324">R_CODE&amp;" "&amp;'Base data'!$B$12</f>
        <v>EU CO2</v>
      </c>
      <c r="B317" s="29">
        <f ca="1">'Preventative costs A'!B317-'Preventative costs B'!B317</f>
        <v>0</v>
      </c>
      <c r="C317" s="29">
        <f ca="1">'Preventative costs A'!C317-'Preventative costs B'!C317</f>
        <v>0</v>
      </c>
      <c r="D317" s="29">
        <f ca="1">'Preventative costs A'!D317-'Preventative costs B'!D317</f>
        <v>0</v>
      </c>
      <c r="E317" s="29">
        <f ca="1">'Preventative costs A'!E317-'Preventative costs B'!E317</f>
        <v>0</v>
      </c>
      <c r="F317" s="29">
        <f ca="1">'Preventative costs A'!F317-'Preventative costs B'!F317</f>
        <v>0</v>
      </c>
      <c r="G317" s="29">
        <f ca="1">'Preventative costs A'!G317-'Preventative costs B'!G317</f>
        <v>0</v>
      </c>
      <c r="H317" s="29">
        <f ca="1">'Preventative costs A'!H317-'Preventative costs B'!H317</f>
        <v>0</v>
      </c>
      <c r="I317" s="29">
        <f ca="1">'Preventative costs A'!I317-'Preventative costs B'!I317</f>
        <v>0</v>
      </c>
      <c r="J317" s="29">
        <f ca="1">'Preventative costs A'!J317-'Preventative costs B'!J317</f>
        <v>0</v>
      </c>
      <c r="K317" s="29">
        <f ca="1">'Preventative costs A'!K317-'Preventative costs B'!K317</f>
        <v>0</v>
      </c>
      <c r="M317" s="4" t="str">
        <f t="shared" ref="M317:M324" si="12">EMIT_NAME</f>
        <v>Mtonne</v>
      </c>
    </row>
    <row r="318" spans="1:13" s="6" customFormat="1" x14ac:dyDescent="0.25">
      <c r="A318" s="4" t="str">
        <v>US CO2</v>
      </c>
      <c r="B318" s="26">
        <f ca="1">'Preventative costs A'!B318-'Preventative costs B'!B318</f>
        <v>0</v>
      </c>
      <c r="C318" s="26">
        <f ca="1">'Preventative costs A'!C318-'Preventative costs B'!C318</f>
        <v>0</v>
      </c>
      <c r="D318" s="26">
        <f ca="1">'Preventative costs A'!D318-'Preventative costs B'!D318</f>
        <v>0</v>
      </c>
      <c r="E318" s="26">
        <f ca="1">'Preventative costs A'!E318-'Preventative costs B'!E318</f>
        <v>0</v>
      </c>
      <c r="F318" s="26">
        <f ca="1">'Preventative costs A'!F318-'Preventative costs B'!F318</f>
        <v>0</v>
      </c>
      <c r="G318" s="26">
        <f ca="1">'Preventative costs A'!G318-'Preventative costs B'!G318</f>
        <v>0</v>
      </c>
      <c r="H318" s="26">
        <f ca="1">'Preventative costs A'!H318-'Preventative costs B'!H318</f>
        <v>0</v>
      </c>
      <c r="I318" s="26">
        <f ca="1">'Preventative costs A'!I318-'Preventative costs B'!I318</f>
        <v>0</v>
      </c>
      <c r="J318" s="26">
        <f ca="1">'Preventative costs A'!J318-'Preventative costs B'!J318</f>
        <v>0</v>
      </c>
      <c r="K318" s="26">
        <f ca="1">'Preventative costs A'!K318-'Preventative costs B'!K318</f>
        <v>0</v>
      </c>
      <c r="M318" s="4" t="str">
        <f t="shared" si="12"/>
        <v>Mtonne</v>
      </c>
    </row>
    <row r="319" spans="1:13" s="6" customFormat="1" x14ac:dyDescent="0.25">
      <c r="A319" s="4" t="str">
        <v>OT CO2</v>
      </c>
      <c r="B319" s="26">
        <f ca="1">'Preventative costs A'!B319-'Preventative costs B'!B319</f>
        <v>0</v>
      </c>
      <c r="C319" s="26">
        <f ca="1">'Preventative costs A'!C319-'Preventative costs B'!C319</f>
        <v>0</v>
      </c>
      <c r="D319" s="26">
        <f ca="1">'Preventative costs A'!D319-'Preventative costs B'!D319</f>
        <v>0</v>
      </c>
      <c r="E319" s="26">
        <f ca="1">'Preventative costs A'!E319-'Preventative costs B'!E319</f>
        <v>0</v>
      </c>
      <c r="F319" s="26">
        <f ca="1">'Preventative costs A'!F319-'Preventative costs B'!F319</f>
        <v>0</v>
      </c>
      <c r="G319" s="26">
        <f ca="1">'Preventative costs A'!G319-'Preventative costs B'!G319</f>
        <v>0</v>
      </c>
      <c r="H319" s="26">
        <f ca="1">'Preventative costs A'!H319-'Preventative costs B'!H319</f>
        <v>0</v>
      </c>
      <c r="I319" s="26">
        <f ca="1">'Preventative costs A'!I319-'Preventative costs B'!I319</f>
        <v>0</v>
      </c>
      <c r="J319" s="26">
        <f ca="1">'Preventative costs A'!J319-'Preventative costs B'!J319</f>
        <v>0</v>
      </c>
      <c r="K319" s="26">
        <f ca="1">'Preventative costs A'!K319-'Preventative costs B'!K319</f>
        <v>0</v>
      </c>
      <c r="M319" s="4" t="str">
        <f t="shared" si="12"/>
        <v>Mtonne</v>
      </c>
    </row>
    <row r="320" spans="1:13" s="6" customFormat="1" x14ac:dyDescent="0.25">
      <c r="A320" s="4" t="str">
        <v>EE CO2</v>
      </c>
      <c r="B320" s="26">
        <f ca="1">'Preventative costs A'!B320-'Preventative costs B'!B320</f>
        <v>0</v>
      </c>
      <c r="C320" s="26">
        <f ca="1">'Preventative costs A'!C320-'Preventative costs B'!C320</f>
        <v>0</v>
      </c>
      <c r="D320" s="26">
        <f ca="1">'Preventative costs A'!D320-'Preventative costs B'!D320</f>
        <v>0</v>
      </c>
      <c r="E320" s="26">
        <f ca="1">'Preventative costs A'!E320-'Preventative costs B'!E320</f>
        <v>0</v>
      </c>
      <c r="F320" s="26">
        <f ca="1">'Preventative costs A'!F320-'Preventative costs B'!F320</f>
        <v>0</v>
      </c>
      <c r="G320" s="26">
        <f ca="1">'Preventative costs A'!G320-'Preventative costs B'!G320</f>
        <v>0</v>
      </c>
      <c r="H320" s="26">
        <f ca="1">'Preventative costs A'!H320-'Preventative costs B'!H320</f>
        <v>0</v>
      </c>
      <c r="I320" s="26">
        <f ca="1">'Preventative costs A'!I320-'Preventative costs B'!I320</f>
        <v>0</v>
      </c>
      <c r="J320" s="26">
        <f ca="1">'Preventative costs A'!J320-'Preventative costs B'!J320</f>
        <v>0</v>
      </c>
      <c r="K320" s="26">
        <f ca="1">'Preventative costs A'!K320-'Preventative costs B'!K320</f>
        <v>0</v>
      </c>
      <c r="M320" s="4" t="str">
        <f t="shared" si="12"/>
        <v>Mtonne</v>
      </c>
    </row>
    <row r="321" spans="1:13" s="6" customFormat="1" x14ac:dyDescent="0.25">
      <c r="A321" s="4" t="str">
        <v>CA CO2</v>
      </c>
      <c r="B321" s="26">
        <f ca="1">'Preventative costs A'!B321-'Preventative costs B'!B321</f>
        <v>0</v>
      </c>
      <c r="C321" s="26">
        <f ca="1">'Preventative costs A'!C321-'Preventative costs B'!C321</f>
        <v>0</v>
      </c>
      <c r="D321" s="26">
        <f ca="1">'Preventative costs A'!D321-'Preventative costs B'!D321</f>
        <v>0</v>
      </c>
      <c r="E321" s="26">
        <f ca="1">'Preventative costs A'!E321-'Preventative costs B'!E321</f>
        <v>0</v>
      </c>
      <c r="F321" s="26">
        <f ca="1">'Preventative costs A'!F321-'Preventative costs B'!F321</f>
        <v>0</v>
      </c>
      <c r="G321" s="26">
        <f ca="1">'Preventative costs A'!G321-'Preventative costs B'!G321</f>
        <v>0</v>
      </c>
      <c r="H321" s="26">
        <f ca="1">'Preventative costs A'!H321-'Preventative costs B'!H321</f>
        <v>0</v>
      </c>
      <c r="I321" s="26">
        <f ca="1">'Preventative costs A'!I321-'Preventative costs B'!I321</f>
        <v>0</v>
      </c>
      <c r="J321" s="26">
        <f ca="1">'Preventative costs A'!J321-'Preventative costs B'!J321</f>
        <v>0</v>
      </c>
      <c r="K321" s="26">
        <f ca="1">'Preventative costs A'!K321-'Preventative costs B'!K321</f>
        <v>0</v>
      </c>
      <c r="M321" s="4" t="str">
        <f t="shared" si="12"/>
        <v>Mtonne</v>
      </c>
    </row>
    <row r="322" spans="1:13" s="6" customFormat="1" x14ac:dyDescent="0.25">
      <c r="A322" s="4" t="str">
        <v>IA CO2</v>
      </c>
      <c r="B322" s="26">
        <f ca="1">'Preventative costs A'!B322-'Preventative costs B'!B322</f>
        <v>0</v>
      </c>
      <c r="C322" s="26">
        <f ca="1">'Preventative costs A'!C322-'Preventative costs B'!C322</f>
        <v>0</v>
      </c>
      <c r="D322" s="26">
        <f ca="1">'Preventative costs A'!D322-'Preventative costs B'!D322</f>
        <v>0</v>
      </c>
      <c r="E322" s="26">
        <f ca="1">'Preventative costs A'!E322-'Preventative costs B'!E322</f>
        <v>0</v>
      </c>
      <c r="F322" s="26">
        <f ca="1">'Preventative costs A'!F322-'Preventative costs B'!F322</f>
        <v>0</v>
      </c>
      <c r="G322" s="26">
        <f ca="1">'Preventative costs A'!G322-'Preventative costs B'!G322</f>
        <v>0</v>
      </c>
      <c r="H322" s="26">
        <f ca="1">'Preventative costs A'!H322-'Preventative costs B'!H322</f>
        <v>0</v>
      </c>
      <c r="I322" s="26">
        <f ca="1">'Preventative costs A'!I322-'Preventative costs B'!I322</f>
        <v>0</v>
      </c>
      <c r="J322" s="26">
        <f ca="1">'Preventative costs A'!J322-'Preventative costs B'!J322</f>
        <v>0</v>
      </c>
      <c r="K322" s="26">
        <f ca="1">'Preventative costs A'!K322-'Preventative costs B'!K322</f>
        <v>0</v>
      </c>
      <c r="M322" s="4" t="str">
        <f t="shared" si="12"/>
        <v>Mtonne</v>
      </c>
    </row>
    <row r="323" spans="1:13" s="6" customFormat="1" x14ac:dyDescent="0.25">
      <c r="A323" s="4" t="str">
        <v>AF CO2</v>
      </c>
      <c r="B323" s="26">
        <f ca="1">'Preventative costs A'!B323-'Preventative costs B'!B323</f>
        <v>0</v>
      </c>
      <c r="C323" s="26">
        <f ca="1">'Preventative costs A'!C323-'Preventative costs B'!C323</f>
        <v>0</v>
      </c>
      <c r="D323" s="26">
        <f ca="1">'Preventative costs A'!D323-'Preventative costs B'!D323</f>
        <v>0</v>
      </c>
      <c r="E323" s="26">
        <f ca="1">'Preventative costs A'!E323-'Preventative costs B'!E323</f>
        <v>0</v>
      </c>
      <c r="F323" s="26">
        <f ca="1">'Preventative costs A'!F323-'Preventative costs B'!F323</f>
        <v>0</v>
      </c>
      <c r="G323" s="26">
        <f ca="1">'Preventative costs A'!G323-'Preventative costs B'!G323</f>
        <v>0</v>
      </c>
      <c r="H323" s="26">
        <f ca="1">'Preventative costs A'!H323-'Preventative costs B'!H323</f>
        <v>0</v>
      </c>
      <c r="I323" s="26">
        <f ca="1">'Preventative costs A'!I323-'Preventative costs B'!I323</f>
        <v>0</v>
      </c>
      <c r="J323" s="26">
        <f ca="1">'Preventative costs A'!J323-'Preventative costs B'!J323</f>
        <v>0</v>
      </c>
      <c r="K323" s="26">
        <f ca="1">'Preventative costs A'!K323-'Preventative costs B'!K323</f>
        <v>0</v>
      </c>
      <c r="M323" s="4" t="str">
        <f t="shared" si="12"/>
        <v>Mtonne</v>
      </c>
    </row>
    <row r="324" spans="1:13" s="6" customFormat="1" ht="13" thickBot="1" x14ac:dyDescent="0.3">
      <c r="A324" s="4" t="str">
        <v>LA CO2</v>
      </c>
      <c r="B324" s="35">
        <f ca="1">'Preventative costs A'!B324-'Preventative costs B'!B324</f>
        <v>0</v>
      </c>
      <c r="C324" s="35">
        <f ca="1">'Preventative costs A'!C324-'Preventative costs B'!C324</f>
        <v>0</v>
      </c>
      <c r="D324" s="35">
        <f ca="1">'Preventative costs A'!D324-'Preventative costs B'!D324</f>
        <v>0</v>
      </c>
      <c r="E324" s="35">
        <f ca="1">'Preventative costs A'!E324-'Preventative costs B'!E324</f>
        <v>0</v>
      </c>
      <c r="F324" s="35">
        <f ca="1">'Preventative costs A'!F324-'Preventative costs B'!F324</f>
        <v>0</v>
      </c>
      <c r="G324" s="35">
        <f ca="1">'Preventative costs A'!G324-'Preventative costs B'!G324</f>
        <v>0</v>
      </c>
      <c r="H324" s="35">
        <f ca="1">'Preventative costs A'!H324-'Preventative costs B'!H324</f>
        <v>0</v>
      </c>
      <c r="I324" s="35">
        <f ca="1">'Preventative costs A'!I324-'Preventative costs B'!I324</f>
        <v>0</v>
      </c>
      <c r="J324" s="35">
        <f ca="1">'Preventative costs A'!J324-'Preventative costs B'!J324</f>
        <v>0</v>
      </c>
      <c r="K324" s="35">
        <f ca="1">'Preventative costs A'!K324-'Preventative costs B'!K324</f>
        <v>0</v>
      </c>
      <c r="M324" s="4" t="str">
        <f t="shared" si="12"/>
        <v>Mtonne</v>
      </c>
    </row>
    <row r="325" spans="1:13" s="2" customFormat="1" ht="15.5" thickTop="1" x14ac:dyDescent="0.4">
      <c r="A325" s="2" t="s">
        <v>314</v>
      </c>
      <c r="B325" s="2" t="s">
        <v>316</v>
      </c>
    </row>
    <row r="326" spans="1:13" s="7" customFormat="1" x14ac:dyDescent="0.25">
      <c r="A326" s="4" t="str">
        <f t="array" ref="A326:A333">R_CODE&amp;" "&amp;'Base data'!$C$12</f>
        <v>EU CH4</v>
      </c>
      <c r="B326" s="29">
        <f ca="1">'Preventative costs A'!B326-'Preventative costs B'!B326</f>
        <v>0</v>
      </c>
      <c r="C326" s="29">
        <f ca="1">'Preventative costs A'!C326-'Preventative costs B'!C326</f>
        <v>0</v>
      </c>
      <c r="D326" s="29">
        <f ca="1">'Preventative costs A'!D326-'Preventative costs B'!D326</f>
        <v>0</v>
      </c>
      <c r="E326" s="29">
        <f ca="1">'Preventative costs A'!E326-'Preventative costs B'!E326</f>
        <v>0</v>
      </c>
      <c r="F326" s="29">
        <f ca="1">'Preventative costs A'!F326-'Preventative costs B'!F326</f>
        <v>0</v>
      </c>
      <c r="G326" s="29">
        <f ca="1">'Preventative costs A'!G326-'Preventative costs B'!G326</f>
        <v>0</v>
      </c>
      <c r="H326" s="29">
        <f ca="1">'Preventative costs A'!H326-'Preventative costs B'!H326</f>
        <v>0</v>
      </c>
      <c r="I326" s="29">
        <f ca="1">'Preventative costs A'!I326-'Preventative costs B'!I326</f>
        <v>0</v>
      </c>
      <c r="J326" s="29">
        <f ca="1">'Preventative costs A'!J326-'Preventative costs B'!J326</f>
        <v>0</v>
      </c>
      <c r="K326" s="29">
        <f ca="1">'Preventative costs A'!K326-'Preventative costs B'!K326</f>
        <v>0</v>
      </c>
      <c r="M326" s="4" t="str">
        <f t="shared" ref="M326:M333" si="13">EMIT_NAME</f>
        <v>Mtonne</v>
      </c>
    </row>
    <row r="327" spans="1:13" s="7" customFormat="1" x14ac:dyDescent="0.25">
      <c r="A327" s="4" t="str">
        <v>US CH4</v>
      </c>
      <c r="B327" s="26">
        <f ca="1">'Preventative costs A'!B327-'Preventative costs B'!B327</f>
        <v>0</v>
      </c>
      <c r="C327" s="26">
        <f ca="1">'Preventative costs A'!C327-'Preventative costs B'!C327</f>
        <v>0</v>
      </c>
      <c r="D327" s="26">
        <f ca="1">'Preventative costs A'!D327-'Preventative costs B'!D327</f>
        <v>0</v>
      </c>
      <c r="E327" s="26">
        <f ca="1">'Preventative costs A'!E327-'Preventative costs B'!E327</f>
        <v>0</v>
      </c>
      <c r="F327" s="26">
        <f ca="1">'Preventative costs A'!F327-'Preventative costs B'!F327</f>
        <v>0</v>
      </c>
      <c r="G327" s="26">
        <f ca="1">'Preventative costs A'!G327-'Preventative costs B'!G327</f>
        <v>0</v>
      </c>
      <c r="H327" s="26">
        <f ca="1">'Preventative costs A'!H327-'Preventative costs B'!H327</f>
        <v>0</v>
      </c>
      <c r="I327" s="26">
        <f ca="1">'Preventative costs A'!I327-'Preventative costs B'!I327</f>
        <v>0</v>
      </c>
      <c r="J327" s="26">
        <f ca="1">'Preventative costs A'!J327-'Preventative costs B'!J327</f>
        <v>0</v>
      </c>
      <c r="K327" s="26">
        <f ca="1">'Preventative costs A'!K327-'Preventative costs B'!K327</f>
        <v>0</v>
      </c>
      <c r="M327" s="4" t="str">
        <f t="shared" si="13"/>
        <v>Mtonne</v>
      </c>
    </row>
    <row r="328" spans="1:13" s="7" customFormat="1" x14ac:dyDescent="0.25">
      <c r="A328" s="4" t="str">
        <v>OT CH4</v>
      </c>
      <c r="B328" s="26">
        <f ca="1">'Preventative costs A'!B328-'Preventative costs B'!B328</f>
        <v>0</v>
      </c>
      <c r="C328" s="26">
        <f ca="1">'Preventative costs A'!C328-'Preventative costs B'!C328</f>
        <v>0</v>
      </c>
      <c r="D328" s="26">
        <f ca="1">'Preventative costs A'!D328-'Preventative costs B'!D328</f>
        <v>0</v>
      </c>
      <c r="E328" s="26">
        <f ca="1">'Preventative costs A'!E328-'Preventative costs B'!E328</f>
        <v>0</v>
      </c>
      <c r="F328" s="26">
        <f ca="1">'Preventative costs A'!F328-'Preventative costs B'!F328</f>
        <v>0</v>
      </c>
      <c r="G328" s="26">
        <f ca="1">'Preventative costs A'!G328-'Preventative costs B'!G328</f>
        <v>0</v>
      </c>
      <c r="H328" s="26">
        <f ca="1">'Preventative costs A'!H328-'Preventative costs B'!H328</f>
        <v>0</v>
      </c>
      <c r="I328" s="26">
        <f ca="1">'Preventative costs A'!I328-'Preventative costs B'!I328</f>
        <v>0</v>
      </c>
      <c r="J328" s="26">
        <f ca="1">'Preventative costs A'!J328-'Preventative costs B'!J328</f>
        <v>0</v>
      </c>
      <c r="K328" s="26">
        <f ca="1">'Preventative costs A'!K328-'Preventative costs B'!K328</f>
        <v>0</v>
      </c>
      <c r="M328" s="4" t="str">
        <f t="shared" si="13"/>
        <v>Mtonne</v>
      </c>
    </row>
    <row r="329" spans="1:13" s="7" customFormat="1" x14ac:dyDescent="0.25">
      <c r="A329" s="4" t="str">
        <v>EE CH4</v>
      </c>
      <c r="B329" s="26">
        <f ca="1">'Preventative costs A'!B329-'Preventative costs B'!B329</f>
        <v>0</v>
      </c>
      <c r="C329" s="26">
        <f ca="1">'Preventative costs A'!C329-'Preventative costs B'!C329</f>
        <v>0</v>
      </c>
      <c r="D329" s="26">
        <f ca="1">'Preventative costs A'!D329-'Preventative costs B'!D329</f>
        <v>0</v>
      </c>
      <c r="E329" s="26">
        <f ca="1">'Preventative costs A'!E329-'Preventative costs B'!E329</f>
        <v>0</v>
      </c>
      <c r="F329" s="26">
        <f ca="1">'Preventative costs A'!F329-'Preventative costs B'!F329</f>
        <v>0</v>
      </c>
      <c r="G329" s="26">
        <f ca="1">'Preventative costs A'!G329-'Preventative costs B'!G329</f>
        <v>0</v>
      </c>
      <c r="H329" s="26">
        <f ca="1">'Preventative costs A'!H329-'Preventative costs B'!H329</f>
        <v>0</v>
      </c>
      <c r="I329" s="26">
        <f ca="1">'Preventative costs A'!I329-'Preventative costs B'!I329</f>
        <v>0</v>
      </c>
      <c r="J329" s="26">
        <f ca="1">'Preventative costs A'!J329-'Preventative costs B'!J329</f>
        <v>0</v>
      </c>
      <c r="K329" s="26">
        <f ca="1">'Preventative costs A'!K329-'Preventative costs B'!K329</f>
        <v>0</v>
      </c>
      <c r="M329" s="4" t="str">
        <f t="shared" si="13"/>
        <v>Mtonne</v>
      </c>
    </row>
    <row r="330" spans="1:13" s="7" customFormat="1" x14ac:dyDescent="0.25">
      <c r="A330" s="4" t="str">
        <v>CA CH4</v>
      </c>
      <c r="B330" s="26">
        <f ca="1">'Preventative costs A'!B330-'Preventative costs B'!B330</f>
        <v>0</v>
      </c>
      <c r="C330" s="26">
        <f ca="1">'Preventative costs A'!C330-'Preventative costs B'!C330</f>
        <v>0</v>
      </c>
      <c r="D330" s="26">
        <f ca="1">'Preventative costs A'!D330-'Preventative costs B'!D330</f>
        <v>0</v>
      </c>
      <c r="E330" s="26">
        <f ca="1">'Preventative costs A'!E330-'Preventative costs B'!E330</f>
        <v>0</v>
      </c>
      <c r="F330" s="26">
        <f ca="1">'Preventative costs A'!F330-'Preventative costs B'!F330</f>
        <v>0</v>
      </c>
      <c r="G330" s="26">
        <f ca="1">'Preventative costs A'!G330-'Preventative costs B'!G330</f>
        <v>0</v>
      </c>
      <c r="H330" s="26">
        <f ca="1">'Preventative costs A'!H330-'Preventative costs B'!H330</f>
        <v>0</v>
      </c>
      <c r="I330" s="26">
        <f ca="1">'Preventative costs A'!I330-'Preventative costs B'!I330</f>
        <v>0</v>
      </c>
      <c r="J330" s="26">
        <f ca="1">'Preventative costs A'!J330-'Preventative costs B'!J330</f>
        <v>0</v>
      </c>
      <c r="K330" s="26">
        <f ca="1">'Preventative costs A'!K330-'Preventative costs B'!K330</f>
        <v>0</v>
      </c>
      <c r="M330" s="4" t="str">
        <f t="shared" si="13"/>
        <v>Mtonne</v>
      </c>
    </row>
    <row r="331" spans="1:13" s="7" customFormat="1" x14ac:dyDescent="0.25">
      <c r="A331" s="4" t="str">
        <v>IA CH4</v>
      </c>
      <c r="B331" s="26">
        <f ca="1">'Preventative costs A'!B331-'Preventative costs B'!B331</f>
        <v>0</v>
      </c>
      <c r="C331" s="26">
        <f ca="1">'Preventative costs A'!C331-'Preventative costs B'!C331</f>
        <v>0</v>
      </c>
      <c r="D331" s="26">
        <f ca="1">'Preventative costs A'!D331-'Preventative costs B'!D331</f>
        <v>0</v>
      </c>
      <c r="E331" s="26">
        <f ca="1">'Preventative costs A'!E331-'Preventative costs B'!E331</f>
        <v>0</v>
      </c>
      <c r="F331" s="26">
        <f ca="1">'Preventative costs A'!F331-'Preventative costs B'!F331</f>
        <v>0</v>
      </c>
      <c r="G331" s="26">
        <f ca="1">'Preventative costs A'!G331-'Preventative costs B'!G331</f>
        <v>0</v>
      </c>
      <c r="H331" s="26">
        <f ca="1">'Preventative costs A'!H331-'Preventative costs B'!H331</f>
        <v>0</v>
      </c>
      <c r="I331" s="26">
        <f ca="1">'Preventative costs A'!I331-'Preventative costs B'!I331</f>
        <v>0</v>
      </c>
      <c r="J331" s="26">
        <f ca="1">'Preventative costs A'!J331-'Preventative costs B'!J331</f>
        <v>0</v>
      </c>
      <c r="K331" s="26">
        <f ca="1">'Preventative costs A'!K331-'Preventative costs B'!K331</f>
        <v>0</v>
      </c>
      <c r="M331" s="4" t="str">
        <f t="shared" si="13"/>
        <v>Mtonne</v>
      </c>
    </row>
    <row r="332" spans="1:13" s="7" customFormat="1" x14ac:dyDescent="0.25">
      <c r="A332" s="4" t="str">
        <v>AF CH4</v>
      </c>
      <c r="B332" s="26">
        <f ca="1">'Preventative costs A'!B332-'Preventative costs B'!B332</f>
        <v>0</v>
      </c>
      <c r="C332" s="26">
        <f ca="1">'Preventative costs A'!C332-'Preventative costs B'!C332</f>
        <v>0</v>
      </c>
      <c r="D332" s="26">
        <f ca="1">'Preventative costs A'!D332-'Preventative costs B'!D332</f>
        <v>0</v>
      </c>
      <c r="E332" s="26">
        <f ca="1">'Preventative costs A'!E332-'Preventative costs B'!E332</f>
        <v>0</v>
      </c>
      <c r="F332" s="26">
        <f ca="1">'Preventative costs A'!F332-'Preventative costs B'!F332</f>
        <v>0</v>
      </c>
      <c r="G332" s="26">
        <f ca="1">'Preventative costs A'!G332-'Preventative costs B'!G332</f>
        <v>0</v>
      </c>
      <c r="H332" s="26">
        <f ca="1">'Preventative costs A'!H332-'Preventative costs B'!H332</f>
        <v>0</v>
      </c>
      <c r="I332" s="26">
        <f ca="1">'Preventative costs A'!I332-'Preventative costs B'!I332</f>
        <v>0</v>
      </c>
      <c r="J332" s="26">
        <f ca="1">'Preventative costs A'!J332-'Preventative costs B'!J332</f>
        <v>0</v>
      </c>
      <c r="K332" s="26">
        <f ca="1">'Preventative costs A'!K332-'Preventative costs B'!K332</f>
        <v>0</v>
      </c>
      <c r="M332" s="4" t="str">
        <f t="shared" si="13"/>
        <v>Mtonne</v>
      </c>
    </row>
    <row r="333" spans="1:13" s="7" customFormat="1" ht="13" thickBot="1" x14ac:dyDescent="0.3">
      <c r="A333" s="4" t="str">
        <v>LA CH4</v>
      </c>
      <c r="B333" s="35">
        <f ca="1">'Preventative costs A'!B333-'Preventative costs B'!B333</f>
        <v>0</v>
      </c>
      <c r="C333" s="35">
        <f ca="1">'Preventative costs A'!C333-'Preventative costs B'!C333</f>
        <v>0</v>
      </c>
      <c r="D333" s="35">
        <f ca="1">'Preventative costs A'!D333-'Preventative costs B'!D333</f>
        <v>0</v>
      </c>
      <c r="E333" s="35">
        <f ca="1">'Preventative costs A'!E333-'Preventative costs B'!E333</f>
        <v>0</v>
      </c>
      <c r="F333" s="35">
        <f ca="1">'Preventative costs A'!F333-'Preventative costs B'!F333</f>
        <v>0</v>
      </c>
      <c r="G333" s="35">
        <f ca="1">'Preventative costs A'!G333-'Preventative costs B'!G333</f>
        <v>0</v>
      </c>
      <c r="H333" s="35">
        <f ca="1">'Preventative costs A'!H333-'Preventative costs B'!H333</f>
        <v>0</v>
      </c>
      <c r="I333" s="35">
        <f ca="1">'Preventative costs A'!I333-'Preventative costs B'!I333</f>
        <v>0</v>
      </c>
      <c r="J333" s="35">
        <f ca="1">'Preventative costs A'!J333-'Preventative costs B'!J333</f>
        <v>0</v>
      </c>
      <c r="K333" s="35">
        <f ca="1">'Preventative costs A'!K333-'Preventative costs B'!K333</f>
        <v>0</v>
      </c>
      <c r="M333" s="4" t="str">
        <f t="shared" si="13"/>
        <v>Mtonne</v>
      </c>
    </row>
    <row r="334" spans="1:13" s="2" customFormat="1" ht="15.5" thickTop="1" x14ac:dyDescent="0.4">
      <c r="A334" s="2" t="s">
        <v>314</v>
      </c>
      <c r="B334" s="2" t="s">
        <v>317</v>
      </c>
    </row>
    <row r="335" spans="1:13" s="7" customFormat="1" x14ac:dyDescent="0.25">
      <c r="A335" s="4" t="str">
        <f t="array" ref="A335:A342">R_CODE&amp;" "&amp;'Base data'!$D$12</f>
        <v>EU N2O</v>
      </c>
      <c r="B335" s="29">
        <f ca="1">'Preventative costs A'!B335-'Preventative costs B'!B335</f>
        <v>0</v>
      </c>
      <c r="C335" s="29">
        <f ca="1">'Preventative costs A'!C335-'Preventative costs B'!C335</f>
        <v>0</v>
      </c>
      <c r="D335" s="29">
        <f ca="1">'Preventative costs A'!D335-'Preventative costs B'!D335</f>
        <v>0</v>
      </c>
      <c r="E335" s="29">
        <f ca="1">'Preventative costs A'!E335-'Preventative costs B'!E335</f>
        <v>0</v>
      </c>
      <c r="F335" s="29">
        <f ca="1">'Preventative costs A'!F335-'Preventative costs B'!F335</f>
        <v>0</v>
      </c>
      <c r="G335" s="29">
        <f ca="1">'Preventative costs A'!G335-'Preventative costs B'!G335</f>
        <v>0</v>
      </c>
      <c r="H335" s="29">
        <f ca="1">'Preventative costs A'!H335-'Preventative costs B'!H335</f>
        <v>0</v>
      </c>
      <c r="I335" s="29">
        <f ca="1">'Preventative costs A'!I335-'Preventative costs B'!I335</f>
        <v>0</v>
      </c>
      <c r="J335" s="29">
        <f ca="1">'Preventative costs A'!J335-'Preventative costs B'!J335</f>
        <v>0</v>
      </c>
      <c r="K335" s="29">
        <f ca="1">'Preventative costs A'!K335-'Preventative costs B'!K335</f>
        <v>0</v>
      </c>
      <c r="M335" s="4" t="str">
        <f t="shared" ref="M335:M342" si="14">EMIT_NAME</f>
        <v>Mtonne</v>
      </c>
    </row>
    <row r="336" spans="1:13" s="7" customFormat="1" x14ac:dyDescent="0.25">
      <c r="A336" s="4" t="str">
        <v>US N2O</v>
      </c>
      <c r="B336" s="26">
        <f ca="1">'Preventative costs A'!B336-'Preventative costs B'!B336</f>
        <v>0</v>
      </c>
      <c r="C336" s="26">
        <f ca="1">'Preventative costs A'!C336-'Preventative costs B'!C336</f>
        <v>0</v>
      </c>
      <c r="D336" s="26">
        <f ca="1">'Preventative costs A'!D336-'Preventative costs B'!D336</f>
        <v>0</v>
      </c>
      <c r="E336" s="26">
        <f ca="1">'Preventative costs A'!E336-'Preventative costs B'!E336</f>
        <v>0</v>
      </c>
      <c r="F336" s="26">
        <f ca="1">'Preventative costs A'!F336-'Preventative costs B'!F336</f>
        <v>0</v>
      </c>
      <c r="G336" s="26">
        <f ca="1">'Preventative costs A'!G336-'Preventative costs B'!G336</f>
        <v>0</v>
      </c>
      <c r="H336" s="26">
        <f ca="1">'Preventative costs A'!H336-'Preventative costs B'!H336</f>
        <v>0</v>
      </c>
      <c r="I336" s="26">
        <f ca="1">'Preventative costs A'!I336-'Preventative costs B'!I336</f>
        <v>0</v>
      </c>
      <c r="J336" s="26">
        <f ca="1">'Preventative costs A'!J336-'Preventative costs B'!J336</f>
        <v>0</v>
      </c>
      <c r="K336" s="26">
        <f ca="1">'Preventative costs A'!K336-'Preventative costs B'!K336</f>
        <v>0</v>
      </c>
      <c r="M336" s="4" t="str">
        <f t="shared" si="14"/>
        <v>Mtonne</v>
      </c>
    </row>
    <row r="337" spans="1:13" s="7" customFormat="1" x14ac:dyDescent="0.25">
      <c r="A337" s="4" t="str">
        <v>OT N2O</v>
      </c>
      <c r="B337" s="26">
        <f ca="1">'Preventative costs A'!B337-'Preventative costs B'!B337</f>
        <v>0</v>
      </c>
      <c r="C337" s="26">
        <f ca="1">'Preventative costs A'!C337-'Preventative costs B'!C337</f>
        <v>0</v>
      </c>
      <c r="D337" s="26">
        <f ca="1">'Preventative costs A'!D337-'Preventative costs B'!D337</f>
        <v>0</v>
      </c>
      <c r="E337" s="26">
        <f ca="1">'Preventative costs A'!E337-'Preventative costs B'!E337</f>
        <v>0</v>
      </c>
      <c r="F337" s="26">
        <f ca="1">'Preventative costs A'!F337-'Preventative costs B'!F337</f>
        <v>0</v>
      </c>
      <c r="G337" s="26">
        <f ca="1">'Preventative costs A'!G337-'Preventative costs B'!G337</f>
        <v>0</v>
      </c>
      <c r="H337" s="26">
        <f ca="1">'Preventative costs A'!H337-'Preventative costs B'!H337</f>
        <v>0</v>
      </c>
      <c r="I337" s="26">
        <f ca="1">'Preventative costs A'!I337-'Preventative costs B'!I337</f>
        <v>0</v>
      </c>
      <c r="J337" s="26">
        <f ca="1">'Preventative costs A'!J337-'Preventative costs B'!J337</f>
        <v>0</v>
      </c>
      <c r="K337" s="26">
        <f ca="1">'Preventative costs A'!K337-'Preventative costs B'!K337</f>
        <v>0</v>
      </c>
      <c r="M337" s="4" t="str">
        <f t="shared" si="14"/>
        <v>Mtonne</v>
      </c>
    </row>
    <row r="338" spans="1:13" s="7" customFormat="1" x14ac:dyDescent="0.25">
      <c r="A338" s="4" t="str">
        <v>EE N2O</v>
      </c>
      <c r="B338" s="26">
        <f ca="1">'Preventative costs A'!B338-'Preventative costs B'!B338</f>
        <v>0</v>
      </c>
      <c r="C338" s="26">
        <f ca="1">'Preventative costs A'!C338-'Preventative costs B'!C338</f>
        <v>0</v>
      </c>
      <c r="D338" s="26">
        <f ca="1">'Preventative costs A'!D338-'Preventative costs B'!D338</f>
        <v>0</v>
      </c>
      <c r="E338" s="26">
        <f ca="1">'Preventative costs A'!E338-'Preventative costs B'!E338</f>
        <v>0</v>
      </c>
      <c r="F338" s="26">
        <f ca="1">'Preventative costs A'!F338-'Preventative costs B'!F338</f>
        <v>0</v>
      </c>
      <c r="G338" s="26">
        <f ca="1">'Preventative costs A'!G338-'Preventative costs B'!G338</f>
        <v>0</v>
      </c>
      <c r="H338" s="26">
        <f ca="1">'Preventative costs A'!H338-'Preventative costs B'!H338</f>
        <v>0</v>
      </c>
      <c r="I338" s="26">
        <f ca="1">'Preventative costs A'!I338-'Preventative costs B'!I338</f>
        <v>0</v>
      </c>
      <c r="J338" s="26">
        <f ca="1">'Preventative costs A'!J338-'Preventative costs B'!J338</f>
        <v>0</v>
      </c>
      <c r="K338" s="26">
        <f ca="1">'Preventative costs A'!K338-'Preventative costs B'!K338</f>
        <v>0</v>
      </c>
      <c r="M338" s="4" t="str">
        <f t="shared" si="14"/>
        <v>Mtonne</v>
      </c>
    </row>
    <row r="339" spans="1:13" s="7" customFormat="1" x14ac:dyDescent="0.25">
      <c r="A339" s="4" t="str">
        <v>CA N2O</v>
      </c>
      <c r="B339" s="26">
        <f ca="1">'Preventative costs A'!B339-'Preventative costs B'!B339</f>
        <v>0</v>
      </c>
      <c r="C339" s="26">
        <f ca="1">'Preventative costs A'!C339-'Preventative costs B'!C339</f>
        <v>0</v>
      </c>
      <c r="D339" s="26">
        <f ca="1">'Preventative costs A'!D339-'Preventative costs B'!D339</f>
        <v>0</v>
      </c>
      <c r="E339" s="26">
        <f ca="1">'Preventative costs A'!E339-'Preventative costs B'!E339</f>
        <v>0</v>
      </c>
      <c r="F339" s="26">
        <f ca="1">'Preventative costs A'!F339-'Preventative costs B'!F339</f>
        <v>0</v>
      </c>
      <c r="G339" s="26">
        <f ca="1">'Preventative costs A'!G339-'Preventative costs B'!G339</f>
        <v>0</v>
      </c>
      <c r="H339" s="26">
        <f ca="1">'Preventative costs A'!H339-'Preventative costs B'!H339</f>
        <v>0</v>
      </c>
      <c r="I339" s="26">
        <f ca="1">'Preventative costs A'!I339-'Preventative costs B'!I339</f>
        <v>0</v>
      </c>
      <c r="J339" s="26">
        <f ca="1">'Preventative costs A'!J339-'Preventative costs B'!J339</f>
        <v>0</v>
      </c>
      <c r="K339" s="26">
        <f ca="1">'Preventative costs A'!K339-'Preventative costs B'!K339</f>
        <v>0</v>
      </c>
      <c r="M339" s="4" t="str">
        <f t="shared" si="14"/>
        <v>Mtonne</v>
      </c>
    </row>
    <row r="340" spans="1:13" s="7" customFormat="1" x14ac:dyDescent="0.25">
      <c r="A340" s="4" t="str">
        <v>IA N2O</v>
      </c>
      <c r="B340" s="26">
        <f ca="1">'Preventative costs A'!B340-'Preventative costs B'!B340</f>
        <v>0</v>
      </c>
      <c r="C340" s="26">
        <f ca="1">'Preventative costs A'!C340-'Preventative costs B'!C340</f>
        <v>0</v>
      </c>
      <c r="D340" s="26">
        <f ca="1">'Preventative costs A'!D340-'Preventative costs B'!D340</f>
        <v>0</v>
      </c>
      <c r="E340" s="26">
        <f ca="1">'Preventative costs A'!E340-'Preventative costs B'!E340</f>
        <v>0</v>
      </c>
      <c r="F340" s="26">
        <f ca="1">'Preventative costs A'!F340-'Preventative costs B'!F340</f>
        <v>0</v>
      </c>
      <c r="G340" s="26">
        <f ca="1">'Preventative costs A'!G340-'Preventative costs B'!G340</f>
        <v>0</v>
      </c>
      <c r="H340" s="26">
        <f ca="1">'Preventative costs A'!H340-'Preventative costs B'!H340</f>
        <v>0</v>
      </c>
      <c r="I340" s="26">
        <f ca="1">'Preventative costs A'!I340-'Preventative costs B'!I340</f>
        <v>0</v>
      </c>
      <c r="J340" s="26">
        <f ca="1">'Preventative costs A'!J340-'Preventative costs B'!J340</f>
        <v>0</v>
      </c>
      <c r="K340" s="26">
        <f ca="1">'Preventative costs A'!K340-'Preventative costs B'!K340</f>
        <v>0</v>
      </c>
      <c r="M340" s="4" t="str">
        <f t="shared" si="14"/>
        <v>Mtonne</v>
      </c>
    </row>
    <row r="341" spans="1:13" s="7" customFormat="1" x14ac:dyDescent="0.25">
      <c r="A341" s="4" t="str">
        <v>AF N2O</v>
      </c>
      <c r="B341" s="26">
        <f ca="1">'Preventative costs A'!B341-'Preventative costs B'!B341</f>
        <v>0</v>
      </c>
      <c r="C341" s="26">
        <f ca="1">'Preventative costs A'!C341-'Preventative costs B'!C341</f>
        <v>0</v>
      </c>
      <c r="D341" s="26">
        <f ca="1">'Preventative costs A'!D341-'Preventative costs B'!D341</f>
        <v>0</v>
      </c>
      <c r="E341" s="26">
        <f ca="1">'Preventative costs A'!E341-'Preventative costs B'!E341</f>
        <v>0</v>
      </c>
      <c r="F341" s="26">
        <f ca="1">'Preventative costs A'!F341-'Preventative costs B'!F341</f>
        <v>0</v>
      </c>
      <c r="G341" s="26">
        <f ca="1">'Preventative costs A'!G341-'Preventative costs B'!G341</f>
        <v>0</v>
      </c>
      <c r="H341" s="26">
        <f ca="1">'Preventative costs A'!H341-'Preventative costs B'!H341</f>
        <v>0</v>
      </c>
      <c r="I341" s="26">
        <f ca="1">'Preventative costs A'!I341-'Preventative costs B'!I341</f>
        <v>0</v>
      </c>
      <c r="J341" s="26">
        <f ca="1">'Preventative costs A'!J341-'Preventative costs B'!J341</f>
        <v>0</v>
      </c>
      <c r="K341" s="26">
        <f ca="1">'Preventative costs A'!K341-'Preventative costs B'!K341</f>
        <v>0</v>
      </c>
      <c r="M341" s="4" t="str">
        <f t="shared" si="14"/>
        <v>Mtonne</v>
      </c>
    </row>
    <row r="342" spans="1:13" s="7" customFormat="1" ht="13" thickBot="1" x14ac:dyDescent="0.3">
      <c r="A342" s="4" t="str">
        <v>LA N2O</v>
      </c>
      <c r="B342" s="35">
        <f ca="1">'Preventative costs A'!B342-'Preventative costs B'!B342</f>
        <v>0</v>
      </c>
      <c r="C342" s="35">
        <f ca="1">'Preventative costs A'!C342-'Preventative costs B'!C342</f>
        <v>0</v>
      </c>
      <c r="D342" s="35">
        <f ca="1">'Preventative costs A'!D342-'Preventative costs B'!D342</f>
        <v>0</v>
      </c>
      <c r="E342" s="35">
        <f ca="1">'Preventative costs A'!E342-'Preventative costs B'!E342</f>
        <v>0</v>
      </c>
      <c r="F342" s="35">
        <f ca="1">'Preventative costs A'!F342-'Preventative costs B'!F342</f>
        <v>0</v>
      </c>
      <c r="G342" s="35">
        <f ca="1">'Preventative costs A'!G342-'Preventative costs B'!G342</f>
        <v>0</v>
      </c>
      <c r="H342" s="35">
        <f ca="1">'Preventative costs A'!H342-'Preventative costs B'!H342</f>
        <v>0</v>
      </c>
      <c r="I342" s="35">
        <f ca="1">'Preventative costs A'!I342-'Preventative costs B'!I342</f>
        <v>0</v>
      </c>
      <c r="J342" s="35">
        <f ca="1">'Preventative costs A'!J342-'Preventative costs B'!J342</f>
        <v>0</v>
      </c>
      <c r="K342" s="35">
        <f ca="1">'Preventative costs A'!K342-'Preventative costs B'!K342</f>
        <v>0</v>
      </c>
      <c r="M342" s="4" t="str">
        <f t="shared" si="14"/>
        <v>Mtonne</v>
      </c>
    </row>
    <row r="343" spans="1:13" s="2" customFormat="1" ht="15.5" thickTop="1" x14ac:dyDescent="0.4">
      <c r="A343" s="2" t="s">
        <v>314</v>
      </c>
      <c r="B343" s="2" t="s">
        <v>318</v>
      </c>
    </row>
    <row r="344" spans="1:13" s="7" customFormat="1" x14ac:dyDescent="0.25">
      <c r="A344" s="4" t="str">
        <f t="array" ref="A344:A351">R_CODE&amp;" "&amp;GLIN_NAME</f>
        <v>EU Lin</v>
      </c>
      <c r="B344" s="29">
        <f ca="1">'Preventative costs A'!B344-'Preventative costs B'!B344</f>
        <v>0</v>
      </c>
      <c r="C344" s="29">
        <f ca="1">'Preventative costs A'!C344-'Preventative costs B'!C344</f>
        <v>0</v>
      </c>
      <c r="D344" s="29">
        <f ca="1">'Preventative costs A'!D344-'Preventative costs B'!D344</f>
        <v>0</v>
      </c>
      <c r="E344" s="29">
        <f ca="1">'Preventative costs A'!E344-'Preventative costs B'!E344</f>
        <v>0</v>
      </c>
      <c r="F344" s="29">
        <f ca="1">'Preventative costs A'!F344-'Preventative costs B'!F344</f>
        <v>0</v>
      </c>
      <c r="G344" s="29">
        <f ca="1">'Preventative costs A'!G344-'Preventative costs B'!G344</f>
        <v>0</v>
      </c>
      <c r="H344" s="29">
        <f ca="1">'Preventative costs A'!H344-'Preventative costs B'!H344</f>
        <v>0</v>
      </c>
      <c r="I344" s="29">
        <f ca="1">'Preventative costs A'!I344-'Preventative costs B'!I344</f>
        <v>0</v>
      </c>
      <c r="J344" s="29">
        <f ca="1">'Preventative costs A'!J344-'Preventative costs B'!J344</f>
        <v>0</v>
      </c>
      <c r="K344" s="29">
        <f ca="1">'Preventative costs A'!K344-'Preventative costs B'!K344</f>
        <v>0</v>
      </c>
      <c r="M344" s="4" t="str">
        <f t="shared" ref="M344:M351" si="15">EMIT_NAME</f>
        <v>Mtonne</v>
      </c>
    </row>
    <row r="345" spans="1:13" s="7" customFormat="1" x14ac:dyDescent="0.25">
      <c r="A345" s="4" t="str">
        <v>US Lin</v>
      </c>
      <c r="B345" s="26">
        <f ca="1">'Preventative costs A'!B345-'Preventative costs B'!B345</f>
        <v>0</v>
      </c>
      <c r="C345" s="26">
        <f ca="1">'Preventative costs A'!C345-'Preventative costs B'!C345</f>
        <v>0</v>
      </c>
      <c r="D345" s="26">
        <f ca="1">'Preventative costs A'!D345-'Preventative costs B'!D345</f>
        <v>0</v>
      </c>
      <c r="E345" s="26">
        <f ca="1">'Preventative costs A'!E345-'Preventative costs B'!E345</f>
        <v>0</v>
      </c>
      <c r="F345" s="26">
        <f ca="1">'Preventative costs A'!F345-'Preventative costs B'!F345</f>
        <v>0</v>
      </c>
      <c r="G345" s="26">
        <f ca="1">'Preventative costs A'!G345-'Preventative costs B'!G345</f>
        <v>0</v>
      </c>
      <c r="H345" s="26">
        <f ca="1">'Preventative costs A'!H345-'Preventative costs B'!H345</f>
        <v>0</v>
      </c>
      <c r="I345" s="26">
        <f ca="1">'Preventative costs A'!I345-'Preventative costs B'!I345</f>
        <v>0</v>
      </c>
      <c r="J345" s="26">
        <f ca="1">'Preventative costs A'!J345-'Preventative costs B'!J345</f>
        <v>0</v>
      </c>
      <c r="K345" s="26">
        <f ca="1">'Preventative costs A'!K345-'Preventative costs B'!K345</f>
        <v>0</v>
      </c>
      <c r="M345" s="4" t="str">
        <f t="shared" si="15"/>
        <v>Mtonne</v>
      </c>
    </row>
    <row r="346" spans="1:13" s="7" customFormat="1" x14ac:dyDescent="0.25">
      <c r="A346" s="4" t="str">
        <v>OT Lin</v>
      </c>
      <c r="B346" s="26">
        <f ca="1">'Preventative costs A'!B346-'Preventative costs B'!B346</f>
        <v>0</v>
      </c>
      <c r="C346" s="26">
        <f ca="1">'Preventative costs A'!C346-'Preventative costs B'!C346</f>
        <v>0</v>
      </c>
      <c r="D346" s="26">
        <f ca="1">'Preventative costs A'!D346-'Preventative costs B'!D346</f>
        <v>0</v>
      </c>
      <c r="E346" s="26">
        <f ca="1">'Preventative costs A'!E346-'Preventative costs B'!E346</f>
        <v>0</v>
      </c>
      <c r="F346" s="26">
        <f ca="1">'Preventative costs A'!F346-'Preventative costs B'!F346</f>
        <v>0</v>
      </c>
      <c r="G346" s="26">
        <f ca="1">'Preventative costs A'!G346-'Preventative costs B'!G346</f>
        <v>0</v>
      </c>
      <c r="H346" s="26">
        <f ca="1">'Preventative costs A'!H346-'Preventative costs B'!H346</f>
        <v>0</v>
      </c>
      <c r="I346" s="26">
        <f ca="1">'Preventative costs A'!I346-'Preventative costs B'!I346</f>
        <v>0</v>
      </c>
      <c r="J346" s="26">
        <f ca="1">'Preventative costs A'!J346-'Preventative costs B'!J346</f>
        <v>0</v>
      </c>
      <c r="K346" s="26">
        <f ca="1">'Preventative costs A'!K346-'Preventative costs B'!K346</f>
        <v>0</v>
      </c>
      <c r="M346" s="4" t="str">
        <f t="shared" si="15"/>
        <v>Mtonne</v>
      </c>
    </row>
    <row r="347" spans="1:13" s="7" customFormat="1" x14ac:dyDescent="0.25">
      <c r="A347" s="4" t="str">
        <v>EE Lin</v>
      </c>
      <c r="B347" s="26">
        <f ca="1">'Preventative costs A'!B347-'Preventative costs B'!B347</f>
        <v>0</v>
      </c>
      <c r="C347" s="26">
        <f ca="1">'Preventative costs A'!C347-'Preventative costs B'!C347</f>
        <v>0</v>
      </c>
      <c r="D347" s="26">
        <f ca="1">'Preventative costs A'!D347-'Preventative costs B'!D347</f>
        <v>0</v>
      </c>
      <c r="E347" s="26">
        <f ca="1">'Preventative costs A'!E347-'Preventative costs B'!E347</f>
        <v>0</v>
      </c>
      <c r="F347" s="26">
        <f ca="1">'Preventative costs A'!F347-'Preventative costs B'!F347</f>
        <v>0</v>
      </c>
      <c r="G347" s="26">
        <f ca="1">'Preventative costs A'!G347-'Preventative costs B'!G347</f>
        <v>0</v>
      </c>
      <c r="H347" s="26">
        <f ca="1">'Preventative costs A'!H347-'Preventative costs B'!H347</f>
        <v>0</v>
      </c>
      <c r="I347" s="26">
        <f ca="1">'Preventative costs A'!I347-'Preventative costs B'!I347</f>
        <v>0</v>
      </c>
      <c r="J347" s="26">
        <f ca="1">'Preventative costs A'!J347-'Preventative costs B'!J347</f>
        <v>0</v>
      </c>
      <c r="K347" s="26">
        <f ca="1">'Preventative costs A'!K347-'Preventative costs B'!K347</f>
        <v>0</v>
      </c>
      <c r="M347" s="4" t="str">
        <f t="shared" si="15"/>
        <v>Mtonne</v>
      </c>
    </row>
    <row r="348" spans="1:13" s="7" customFormat="1" x14ac:dyDescent="0.25">
      <c r="A348" s="4" t="str">
        <v>CA Lin</v>
      </c>
      <c r="B348" s="26">
        <f ca="1">'Preventative costs A'!B348-'Preventative costs B'!B348</f>
        <v>0</v>
      </c>
      <c r="C348" s="26">
        <f ca="1">'Preventative costs A'!C348-'Preventative costs B'!C348</f>
        <v>0</v>
      </c>
      <c r="D348" s="26">
        <f ca="1">'Preventative costs A'!D348-'Preventative costs B'!D348</f>
        <v>0</v>
      </c>
      <c r="E348" s="26">
        <f ca="1">'Preventative costs A'!E348-'Preventative costs B'!E348</f>
        <v>0</v>
      </c>
      <c r="F348" s="26">
        <f ca="1">'Preventative costs A'!F348-'Preventative costs B'!F348</f>
        <v>0</v>
      </c>
      <c r="G348" s="26">
        <f ca="1">'Preventative costs A'!G348-'Preventative costs B'!G348</f>
        <v>0</v>
      </c>
      <c r="H348" s="26">
        <f ca="1">'Preventative costs A'!H348-'Preventative costs B'!H348</f>
        <v>0</v>
      </c>
      <c r="I348" s="26">
        <f ca="1">'Preventative costs A'!I348-'Preventative costs B'!I348</f>
        <v>0</v>
      </c>
      <c r="J348" s="26">
        <f ca="1">'Preventative costs A'!J348-'Preventative costs B'!J348</f>
        <v>0</v>
      </c>
      <c r="K348" s="26">
        <f ca="1">'Preventative costs A'!K348-'Preventative costs B'!K348</f>
        <v>0</v>
      </c>
      <c r="M348" s="4" t="str">
        <f t="shared" si="15"/>
        <v>Mtonne</v>
      </c>
    </row>
    <row r="349" spans="1:13" s="7" customFormat="1" x14ac:dyDescent="0.25">
      <c r="A349" s="4" t="str">
        <v>IA Lin</v>
      </c>
      <c r="B349" s="26">
        <f ca="1">'Preventative costs A'!B349-'Preventative costs B'!B349</f>
        <v>0</v>
      </c>
      <c r="C349" s="26">
        <f ca="1">'Preventative costs A'!C349-'Preventative costs B'!C349</f>
        <v>0</v>
      </c>
      <c r="D349" s="26">
        <f ca="1">'Preventative costs A'!D349-'Preventative costs B'!D349</f>
        <v>0</v>
      </c>
      <c r="E349" s="26">
        <f ca="1">'Preventative costs A'!E349-'Preventative costs B'!E349</f>
        <v>0</v>
      </c>
      <c r="F349" s="26">
        <f ca="1">'Preventative costs A'!F349-'Preventative costs B'!F349</f>
        <v>0</v>
      </c>
      <c r="G349" s="26">
        <f ca="1">'Preventative costs A'!G349-'Preventative costs B'!G349</f>
        <v>0</v>
      </c>
      <c r="H349" s="26">
        <f ca="1">'Preventative costs A'!H349-'Preventative costs B'!H349</f>
        <v>0</v>
      </c>
      <c r="I349" s="26">
        <f ca="1">'Preventative costs A'!I349-'Preventative costs B'!I349</f>
        <v>0</v>
      </c>
      <c r="J349" s="26">
        <f ca="1">'Preventative costs A'!J349-'Preventative costs B'!J349</f>
        <v>0</v>
      </c>
      <c r="K349" s="26">
        <f ca="1">'Preventative costs A'!K349-'Preventative costs B'!K349</f>
        <v>0</v>
      </c>
      <c r="M349" s="4" t="str">
        <f t="shared" si="15"/>
        <v>Mtonne</v>
      </c>
    </row>
    <row r="350" spans="1:13" s="7" customFormat="1" x14ac:dyDescent="0.25">
      <c r="A350" s="4" t="str">
        <v>AF Lin</v>
      </c>
      <c r="B350" s="26">
        <f ca="1">'Preventative costs A'!B350-'Preventative costs B'!B350</f>
        <v>0</v>
      </c>
      <c r="C350" s="26">
        <f ca="1">'Preventative costs A'!C350-'Preventative costs B'!C350</f>
        <v>0</v>
      </c>
      <c r="D350" s="26">
        <f ca="1">'Preventative costs A'!D350-'Preventative costs B'!D350</f>
        <v>0</v>
      </c>
      <c r="E350" s="26">
        <f ca="1">'Preventative costs A'!E350-'Preventative costs B'!E350</f>
        <v>0</v>
      </c>
      <c r="F350" s="26">
        <f ca="1">'Preventative costs A'!F350-'Preventative costs B'!F350</f>
        <v>0</v>
      </c>
      <c r="G350" s="26">
        <f ca="1">'Preventative costs A'!G350-'Preventative costs B'!G350</f>
        <v>0</v>
      </c>
      <c r="H350" s="26">
        <f ca="1">'Preventative costs A'!H350-'Preventative costs B'!H350</f>
        <v>0</v>
      </c>
      <c r="I350" s="26">
        <f ca="1">'Preventative costs A'!I350-'Preventative costs B'!I350</f>
        <v>0</v>
      </c>
      <c r="J350" s="26">
        <f ca="1">'Preventative costs A'!J350-'Preventative costs B'!J350</f>
        <v>0</v>
      </c>
      <c r="K350" s="26">
        <f ca="1">'Preventative costs A'!K350-'Preventative costs B'!K350</f>
        <v>0</v>
      </c>
      <c r="M350" s="4" t="str">
        <f t="shared" si="15"/>
        <v>Mtonne</v>
      </c>
    </row>
    <row r="351" spans="1:13" s="7" customFormat="1" ht="13" thickBot="1" x14ac:dyDescent="0.3">
      <c r="A351" s="4" t="str">
        <v>LA Lin</v>
      </c>
      <c r="B351" s="35">
        <f ca="1">'Preventative costs A'!B351-'Preventative costs B'!B351</f>
        <v>0</v>
      </c>
      <c r="C351" s="35">
        <f ca="1">'Preventative costs A'!C351-'Preventative costs B'!C351</f>
        <v>0</v>
      </c>
      <c r="D351" s="35">
        <f ca="1">'Preventative costs A'!D351-'Preventative costs B'!D351</f>
        <v>0</v>
      </c>
      <c r="E351" s="35">
        <f ca="1">'Preventative costs A'!E351-'Preventative costs B'!E351</f>
        <v>0</v>
      </c>
      <c r="F351" s="35">
        <f ca="1">'Preventative costs A'!F351-'Preventative costs B'!F351</f>
        <v>0</v>
      </c>
      <c r="G351" s="35">
        <f ca="1">'Preventative costs A'!G351-'Preventative costs B'!G351</f>
        <v>0</v>
      </c>
      <c r="H351" s="35">
        <f ca="1">'Preventative costs A'!H351-'Preventative costs B'!H351</f>
        <v>0</v>
      </c>
      <c r="I351" s="35">
        <f ca="1">'Preventative costs A'!I351-'Preventative costs B'!I351</f>
        <v>0</v>
      </c>
      <c r="J351" s="35">
        <f ca="1">'Preventative costs A'!J351-'Preventative costs B'!J351</f>
        <v>0</v>
      </c>
      <c r="K351" s="35">
        <f ca="1">'Preventative costs A'!K351-'Preventative costs B'!K351</f>
        <v>0</v>
      </c>
      <c r="M351" s="4" t="str">
        <f t="shared" si="15"/>
        <v>Mtonne</v>
      </c>
    </row>
    <row r="352" spans="1:13" s="2" customFormat="1" ht="15.5" thickTop="1" x14ac:dyDescent="0.4">
      <c r="A352" s="2" t="s">
        <v>319</v>
      </c>
      <c r="B352" s="2" t="s">
        <v>320</v>
      </c>
    </row>
    <row r="353" spans="1:13" s="6" customFormat="1" x14ac:dyDescent="0.25">
      <c r="A353" s="4" t="str">
        <f t="array" ref="A353:A360">R_CODE&amp;" "&amp;'Base data'!$B$12</f>
        <v>EU CO2</v>
      </c>
      <c r="B353" s="29">
        <f ca="1">'Preventative costs A'!B353-'Preventative costs B'!B353</f>
        <v>0</v>
      </c>
      <c r="C353" s="29">
        <f ca="1">'Preventative costs A'!C353-'Preventative costs B'!C353</f>
        <v>0</v>
      </c>
      <c r="D353" s="29">
        <f ca="1">'Preventative costs A'!D353-'Preventative costs B'!D353</f>
        <v>0</v>
      </c>
      <c r="E353" s="29">
        <f ca="1">'Preventative costs A'!E353-'Preventative costs B'!E353</f>
        <v>0</v>
      </c>
      <c r="F353" s="29">
        <f ca="1">'Preventative costs A'!F353-'Preventative costs B'!F353</f>
        <v>0</v>
      </c>
      <c r="G353" s="29">
        <f ca="1">'Preventative costs A'!G353-'Preventative costs B'!G353</f>
        <v>0</v>
      </c>
      <c r="H353" s="29">
        <f ca="1">'Preventative costs A'!H353-'Preventative costs B'!H353</f>
        <v>0</v>
      </c>
      <c r="I353" s="29">
        <f ca="1">'Preventative costs A'!I353-'Preventative costs B'!I353</f>
        <v>0</v>
      </c>
      <c r="J353" s="29">
        <f ca="1">'Preventative costs A'!J353-'Preventative costs B'!J353</f>
        <v>0</v>
      </c>
      <c r="K353" s="29">
        <f ca="1">'Preventative costs A'!K353-'Preventative costs B'!K353</f>
        <v>0</v>
      </c>
      <c r="M353" s="4" t="str">
        <f t="shared" ref="M353:M360" si="16">CURRENCY_NAME&amp;" per "&amp;EMIT_NAME</f>
        <v>$M(2015) per Mtonne</v>
      </c>
    </row>
    <row r="354" spans="1:13" s="6" customFormat="1" x14ac:dyDescent="0.25">
      <c r="A354" s="4" t="str">
        <v>US CO2</v>
      </c>
      <c r="B354" s="26">
        <f ca="1">'Preventative costs A'!B354-'Preventative costs B'!B354</f>
        <v>0</v>
      </c>
      <c r="C354" s="26">
        <f ca="1">'Preventative costs A'!C354-'Preventative costs B'!C354</f>
        <v>0</v>
      </c>
      <c r="D354" s="26">
        <f ca="1">'Preventative costs A'!D354-'Preventative costs B'!D354</f>
        <v>0</v>
      </c>
      <c r="E354" s="26">
        <f ca="1">'Preventative costs A'!E354-'Preventative costs B'!E354</f>
        <v>0</v>
      </c>
      <c r="F354" s="26">
        <f ca="1">'Preventative costs A'!F354-'Preventative costs B'!F354</f>
        <v>0</v>
      </c>
      <c r="G354" s="26">
        <f ca="1">'Preventative costs A'!G354-'Preventative costs B'!G354</f>
        <v>0</v>
      </c>
      <c r="H354" s="26">
        <f ca="1">'Preventative costs A'!H354-'Preventative costs B'!H354</f>
        <v>0</v>
      </c>
      <c r="I354" s="26">
        <f ca="1">'Preventative costs A'!I354-'Preventative costs B'!I354</f>
        <v>0</v>
      </c>
      <c r="J354" s="26">
        <f ca="1">'Preventative costs A'!J354-'Preventative costs B'!J354</f>
        <v>0</v>
      </c>
      <c r="K354" s="26">
        <f ca="1">'Preventative costs A'!K354-'Preventative costs B'!K354</f>
        <v>0</v>
      </c>
      <c r="M354" s="4" t="str">
        <f t="shared" si="16"/>
        <v>$M(2015) per Mtonne</v>
      </c>
    </row>
    <row r="355" spans="1:13" s="6" customFormat="1" x14ac:dyDescent="0.25">
      <c r="A355" s="4" t="str">
        <v>OT CO2</v>
      </c>
      <c r="B355" s="26">
        <f ca="1">'Preventative costs A'!B355-'Preventative costs B'!B355</f>
        <v>0</v>
      </c>
      <c r="C355" s="26">
        <f ca="1">'Preventative costs A'!C355-'Preventative costs B'!C355</f>
        <v>0</v>
      </c>
      <c r="D355" s="26">
        <f ca="1">'Preventative costs A'!D355-'Preventative costs B'!D355</f>
        <v>0</v>
      </c>
      <c r="E355" s="26">
        <f ca="1">'Preventative costs A'!E355-'Preventative costs B'!E355</f>
        <v>0</v>
      </c>
      <c r="F355" s="26">
        <f ca="1">'Preventative costs A'!F355-'Preventative costs B'!F355</f>
        <v>0</v>
      </c>
      <c r="G355" s="26">
        <f ca="1">'Preventative costs A'!G355-'Preventative costs B'!G355</f>
        <v>0</v>
      </c>
      <c r="H355" s="26">
        <f ca="1">'Preventative costs A'!H355-'Preventative costs B'!H355</f>
        <v>0</v>
      </c>
      <c r="I355" s="26">
        <f ca="1">'Preventative costs A'!I355-'Preventative costs B'!I355</f>
        <v>0</v>
      </c>
      <c r="J355" s="26">
        <f ca="1">'Preventative costs A'!J355-'Preventative costs B'!J355</f>
        <v>0</v>
      </c>
      <c r="K355" s="26">
        <f ca="1">'Preventative costs A'!K355-'Preventative costs B'!K355</f>
        <v>0</v>
      </c>
      <c r="M355" s="4" t="str">
        <f t="shared" si="16"/>
        <v>$M(2015) per Mtonne</v>
      </c>
    </row>
    <row r="356" spans="1:13" s="6" customFormat="1" x14ac:dyDescent="0.25">
      <c r="A356" s="4" t="str">
        <v>EE CO2</v>
      </c>
      <c r="B356" s="26">
        <f ca="1">'Preventative costs A'!B356-'Preventative costs B'!B356</f>
        <v>0</v>
      </c>
      <c r="C356" s="26">
        <f ca="1">'Preventative costs A'!C356-'Preventative costs B'!C356</f>
        <v>0</v>
      </c>
      <c r="D356" s="26">
        <f ca="1">'Preventative costs A'!D356-'Preventative costs B'!D356</f>
        <v>0</v>
      </c>
      <c r="E356" s="26">
        <f ca="1">'Preventative costs A'!E356-'Preventative costs B'!E356</f>
        <v>0</v>
      </c>
      <c r="F356" s="26">
        <f ca="1">'Preventative costs A'!F356-'Preventative costs B'!F356</f>
        <v>0</v>
      </c>
      <c r="G356" s="26">
        <f ca="1">'Preventative costs A'!G356-'Preventative costs B'!G356</f>
        <v>0</v>
      </c>
      <c r="H356" s="26">
        <f ca="1">'Preventative costs A'!H356-'Preventative costs B'!H356</f>
        <v>0</v>
      </c>
      <c r="I356" s="26">
        <f ca="1">'Preventative costs A'!I356-'Preventative costs B'!I356</f>
        <v>0</v>
      </c>
      <c r="J356" s="26">
        <f ca="1">'Preventative costs A'!J356-'Preventative costs B'!J356</f>
        <v>0</v>
      </c>
      <c r="K356" s="26">
        <f ca="1">'Preventative costs A'!K356-'Preventative costs B'!K356</f>
        <v>0</v>
      </c>
      <c r="M356" s="4" t="str">
        <f t="shared" si="16"/>
        <v>$M(2015) per Mtonne</v>
      </c>
    </row>
    <row r="357" spans="1:13" s="6" customFormat="1" x14ac:dyDescent="0.25">
      <c r="A357" s="4" t="str">
        <v>CA CO2</v>
      </c>
      <c r="B357" s="26">
        <f ca="1">'Preventative costs A'!B357-'Preventative costs B'!B357</f>
        <v>0</v>
      </c>
      <c r="C357" s="26">
        <f ca="1">'Preventative costs A'!C357-'Preventative costs B'!C357</f>
        <v>0</v>
      </c>
      <c r="D357" s="26">
        <f ca="1">'Preventative costs A'!D357-'Preventative costs B'!D357</f>
        <v>0</v>
      </c>
      <c r="E357" s="26">
        <f ca="1">'Preventative costs A'!E357-'Preventative costs B'!E357</f>
        <v>0</v>
      </c>
      <c r="F357" s="26">
        <f ca="1">'Preventative costs A'!F357-'Preventative costs B'!F357</f>
        <v>0</v>
      </c>
      <c r="G357" s="26">
        <f ca="1">'Preventative costs A'!G357-'Preventative costs B'!G357</f>
        <v>0</v>
      </c>
      <c r="H357" s="26">
        <f ca="1">'Preventative costs A'!H357-'Preventative costs B'!H357</f>
        <v>0</v>
      </c>
      <c r="I357" s="26">
        <f ca="1">'Preventative costs A'!I357-'Preventative costs B'!I357</f>
        <v>0</v>
      </c>
      <c r="J357" s="26">
        <f ca="1">'Preventative costs A'!J357-'Preventative costs B'!J357</f>
        <v>0</v>
      </c>
      <c r="K357" s="26">
        <f ca="1">'Preventative costs A'!K357-'Preventative costs B'!K357</f>
        <v>0</v>
      </c>
      <c r="M357" s="4" t="str">
        <f t="shared" si="16"/>
        <v>$M(2015) per Mtonne</v>
      </c>
    </row>
    <row r="358" spans="1:13" s="6" customFormat="1" x14ac:dyDescent="0.25">
      <c r="A358" s="4" t="str">
        <v>IA CO2</v>
      </c>
      <c r="B358" s="26">
        <f ca="1">'Preventative costs A'!B358-'Preventative costs B'!B358</f>
        <v>0</v>
      </c>
      <c r="C358" s="26">
        <f ca="1">'Preventative costs A'!C358-'Preventative costs B'!C358</f>
        <v>0</v>
      </c>
      <c r="D358" s="26">
        <f ca="1">'Preventative costs A'!D358-'Preventative costs B'!D358</f>
        <v>0</v>
      </c>
      <c r="E358" s="26">
        <f ca="1">'Preventative costs A'!E358-'Preventative costs B'!E358</f>
        <v>0</v>
      </c>
      <c r="F358" s="26">
        <f ca="1">'Preventative costs A'!F358-'Preventative costs B'!F358</f>
        <v>0</v>
      </c>
      <c r="G358" s="26">
        <f ca="1">'Preventative costs A'!G358-'Preventative costs B'!G358</f>
        <v>0</v>
      </c>
      <c r="H358" s="26">
        <f ca="1">'Preventative costs A'!H358-'Preventative costs B'!H358</f>
        <v>0</v>
      </c>
      <c r="I358" s="26">
        <f ca="1">'Preventative costs A'!I358-'Preventative costs B'!I358</f>
        <v>0</v>
      </c>
      <c r="J358" s="26">
        <f ca="1">'Preventative costs A'!J358-'Preventative costs B'!J358</f>
        <v>0</v>
      </c>
      <c r="K358" s="26">
        <f ca="1">'Preventative costs A'!K358-'Preventative costs B'!K358</f>
        <v>0</v>
      </c>
      <c r="M358" s="4" t="str">
        <f t="shared" si="16"/>
        <v>$M(2015) per Mtonne</v>
      </c>
    </row>
    <row r="359" spans="1:13" s="6" customFormat="1" x14ac:dyDescent="0.25">
      <c r="A359" s="4" t="str">
        <v>AF CO2</v>
      </c>
      <c r="B359" s="26">
        <f ca="1">'Preventative costs A'!B359-'Preventative costs B'!B359</f>
        <v>0</v>
      </c>
      <c r="C359" s="26">
        <f ca="1">'Preventative costs A'!C359-'Preventative costs B'!C359</f>
        <v>0</v>
      </c>
      <c r="D359" s="26">
        <f ca="1">'Preventative costs A'!D359-'Preventative costs B'!D359</f>
        <v>0</v>
      </c>
      <c r="E359" s="26">
        <f ca="1">'Preventative costs A'!E359-'Preventative costs B'!E359</f>
        <v>0</v>
      </c>
      <c r="F359" s="26">
        <f ca="1">'Preventative costs A'!F359-'Preventative costs B'!F359</f>
        <v>0</v>
      </c>
      <c r="G359" s="26">
        <f ca="1">'Preventative costs A'!G359-'Preventative costs B'!G359</f>
        <v>0</v>
      </c>
      <c r="H359" s="26">
        <f ca="1">'Preventative costs A'!H359-'Preventative costs B'!H359</f>
        <v>0</v>
      </c>
      <c r="I359" s="26">
        <f ca="1">'Preventative costs A'!I359-'Preventative costs B'!I359</f>
        <v>0</v>
      </c>
      <c r="J359" s="26">
        <f ca="1">'Preventative costs A'!J359-'Preventative costs B'!J359</f>
        <v>0</v>
      </c>
      <c r="K359" s="26">
        <f ca="1">'Preventative costs A'!K359-'Preventative costs B'!K359</f>
        <v>0</v>
      </c>
      <c r="M359" s="4" t="str">
        <f t="shared" si="16"/>
        <v>$M(2015) per Mtonne</v>
      </c>
    </row>
    <row r="360" spans="1:13" s="6" customFormat="1" ht="13" thickBot="1" x14ac:dyDescent="0.3">
      <c r="A360" s="4" t="str">
        <v>LA CO2</v>
      </c>
      <c r="B360" s="35">
        <f ca="1">'Preventative costs A'!B360-'Preventative costs B'!B360</f>
        <v>0</v>
      </c>
      <c r="C360" s="35">
        <f ca="1">'Preventative costs A'!C360-'Preventative costs B'!C360</f>
        <v>0</v>
      </c>
      <c r="D360" s="35">
        <f ca="1">'Preventative costs A'!D360-'Preventative costs B'!D360</f>
        <v>0</v>
      </c>
      <c r="E360" s="35">
        <f ca="1">'Preventative costs A'!E360-'Preventative costs B'!E360</f>
        <v>0</v>
      </c>
      <c r="F360" s="35">
        <f ca="1">'Preventative costs A'!F360-'Preventative costs B'!F360</f>
        <v>0</v>
      </c>
      <c r="G360" s="35">
        <f ca="1">'Preventative costs A'!G360-'Preventative costs B'!G360</f>
        <v>0</v>
      </c>
      <c r="H360" s="35">
        <f ca="1">'Preventative costs A'!H360-'Preventative costs B'!H360</f>
        <v>0</v>
      </c>
      <c r="I360" s="35">
        <f ca="1">'Preventative costs A'!I360-'Preventative costs B'!I360</f>
        <v>0</v>
      </c>
      <c r="J360" s="35">
        <f ca="1">'Preventative costs A'!J360-'Preventative costs B'!J360</f>
        <v>0</v>
      </c>
      <c r="K360" s="35">
        <f ca="1">'Preventative costs A'!K360-'Preventative costs B'!K360</f>
        <v>0</v>
      </c>
      <c r="M360" s="4" t="str">
        <f t="shared" si="16"/>
        <v>$M(2015) per Mtonne</v>
      </c>
    </row>
    <row r="361" spans="1:13" s="2" customFormat="1" ht="15.5" thickTop="1" x14ac:dyDescent="0.4">
      <c r="A361" s="2" t="s">
        <v>319</v>
      </c>
      <c r="B361" s="2" t="s">
        <v>321</v>
      </c>
    </row>
    <row r="362" spans="1:13" s="6" customFormat="1" x14ac:dyDescent="0.25">
      <c r="A362" s="4" t="str">
        <f t="array" ref="A362:A369">R_CODE&amp;" "&amp;'Base data'!$C$12</f>
        <v>EU CH4</v>
      </c>
      <c r="B362" s="29">
        <f ca="1">'Preventative costs A'!B362-'Preventative costs B'!B362</f>
        <v>0</v>
      </c>
      <c r="C362" s="29">
        <f ca="1">'Preventative costs A'!C362-'Preventative costs B'!C362</f>
        <v>0</v>
      </c>
      <c r="D362" s="29">
        <f ca="1">'Preventative costs A'!D362-'Preventative costs B'!D362</f>
        <v>0</v>
      </c>
      <c r="E362" s="29">
        <f ca="1">'Preventative costs A'!E362-'Preventative costs B'!E362</f>
        <v>0</v>
      </c>
      <c r="F362" s="29">
        <f ca="1">'Preventative costs A'!F362-'Preventative costs B'!F362</f>
        <v>0</v>
      </c>
      <c r="G362" s="29">
        <f ca="1">'Preventative costs A'!G362-'Preventative costs B'!G362</f>
        <v>0</v>
      </c>
      <c r="H362" s="29">
        <f ca="1">'Preventative costs A'!H362-'Preventative costs B'!H362</f>
        <v>0</v>
      </c>
      <c r="I362" s="29">
        <f ca="1">'Preventative costs A'!I362-'Preventative costs B'!I362</f>
        <v>0</v>
      </c>
      <c r="J362" s="29">
        <f ca="1">'Preventative costs A'!J362-'Preventative costs B'!J362</f>
        <v>0</v>
      </c>
      <c r="K362" s="29">
        <f ca="1">'Preventative costs A'!K362-'Preventative costs B'!K362</f>
        <v>0</v>
      </c>
      <c r="M362" s="4" t="str">
        <f t="shared" ref="M362:M369" si="17">CURRENCY_NAME&amp;" per "&amp;EMIT_NAME</f>
        <v>$M(2015) per Mtonne</v>
      </c>
    </row>
    <row r="363" spans="1:13" s="6" customFormat="1" x14ac:dyDescent="0.25">
      <c r="A363" s="4" t="str">
        <v>US CH4</v>
      </c>
      <c r="B363" s="26">
        <f ca="1">'Preventative costs A'!B363-'Preventative costs B'!B363</f>
        <v>0</v>
      </c>
      <c r="C363" s="26">
        <f ca="1">'Preventative costs A'!C363-'Preventative costs B'!C363</f>
        <v>0</v>
      </c>
      <c r="D363" s="26">
        <f ca="1">'Preventative costs A'!D363-'Preventative costs B'!D363</f>
        <v>0</v>
      </c>
      <c r="E363" s="26">
        <f ca="1">'Preventative costs A'!E363-'Preventative costs B'!E363</f>
        <v>0</v>
      </c>
      <c r="F363" s="26">
        <f ca="1">'Preventative costs A'!F363-'Preventative costs B'!F363</f>
        <v>0</v>
      </c>
      <c r="G363" s="26">
        <f ca="1">'Preventative costs A'!G363-'Preventative costs B'!G363</f>
        <v>0</v>
      </c>
      <c r="H363" s="26">
        <f ca="1">'Preventative costs A'!H363-'Preventative costs B'!H363</f>
        <v>0</v>
      </c>
      <c r="I363" s="26">
        <f ca="1">'Preventative costs A'!I363-'Preventative costs B'!I363</f>
        <v>0</v>
      </c>
      <c r="J363" s="26">
        <f ca="1">'Preventative costs A'!J363-'Preventative costs B'!J363</f>
        <v>0</v>
      </c>
      <c r="K363" s="26">
        <f ca="1">'Preventative costs A'!K363-'Preventative costs B'!K363</f>
        <v>0</v>
      </c>
      <c r="M363" s="4" t="str">
        <f t="shared" si="17"/>
        <v>$M(2015) per Mtonne</v>
      </c>
    </row>
    <row r="364" spans="1:13" s="6" customFormat="1" x14ac:dyDescent="0.25">
      <c r="A364" s="4" t="str">
        <v>OT CH4</v>
      </c>
      <c r="B364" s="26">
        <f ca="1">'Preventative costs A'!B364-'Preventative costs B'!B364</f>
        <v>0</v>
      </c>
      <c r="C364" s="26">
        <f ca="1">'Preventative costs A'!C364-'Preventative costs B'!C364</f>
        <v>0</v>
      </c>
      <c r="D364" s="26">
        <f ca="1">'Preventative costs A'!D364-'Preventative costs B'!D364</f>
        <v>0</v>
      </c>
      <c r="E364" s="26">
        <f ca="1">'Preventative costs A'!E364-'Preventative costs B'!E364</f>
        <v>0</v>
      </c>
      <c r="F364" s="26">
        <f ca="1">'Preventative costs A'!F364-'Preventative costs B'!F364</f>
        <v>0</v>
      </c>
      <c r="G364" s="26">
        <f ca="1">'Preventative costs A'!G364-'Preventative costs B'!G364</f>
        <v>0</v>
      </c>
      <c r="H364" s="26">
        <f ca="1">'Preventative costs A'!H364-'Preventative costs B'!H364</f>
        <v>0</v>
      </c>
      <c r="I364" s="26">
        <f ca="1">'Preventative costs A'!I364-'Preventative costs B'!I364</f>
        <v>0</v>
      </c>
      <c r="J364" s="26">
        <f ca="1">'Preventative costs A'!J364-'Preventative costs B'!J364</f>
        <v>0</v>
      </c>
      <c r="K364" s="26">
        <f ca="1">'Preventative costs A'!K364-'Preventative costs B'!K364</f>
        <v>0</v>
      </c>
      <c r="M364" s="4" t="str">
        <f t="shared" si="17"/>
        <v>$M(2015) per Mtonne</v>
      </c>
    </row>
    <row r="365" spans="1:13" s="6" customFormat="1" x14ac:dyDescent="0.25">
      <c r="A365" s="4" t="str">
        <v>EE CH4</v>
      </c>
      <c r="B365" s="26">
        <f ca="1">'Preventative costs A'!B365-'Preventative costs B'!B365</f>
        <v>0</v>
      </c>
      <c r="C365" s="26">
        <f ca="1">'Preventative costs A'!C365-'Preventative costs B'!C365</f>
        <v>0</v>
      </c>
      <c r="D365" s="26">
        <f ca="1">'Preventative costs A'!D365-'Preventative costs B'!D365</f>
        <v>0</v>
      </c>
      <c r="E365" s="26">
        <f ca="1">'Preventative costs A'!E365-'Preventative costs B'!E365</f>
        <v>0</v>
      </c>
      <c r="F365" s="26">
        <f ca="1">'Preventative costs A'!F365-'Preventative costs B'!F365</f>
        <v>0</v>
      </c>
      <c r="G365" s="26">
        <f ca="1">'Preventative costs A'!G365-'Preventative costs B'!G365</f>
        <v>0</v>
      </c>
      <c r="H365" s="26">
        <f ca="1">'Preventative costs A'!H365-'Preventative costs B'!H365</f>
        <v>0</v>
      </c>
      <c r="I365" s="26">
        <f ca="1">'Preventative costs A'!I365-'Preventative costs B'!I365</f>
        <v>0</v>
      </c>
      <c r="J365" s="26">
        <f ca="1">'Preventative costs A'!J365-'Preventative costs B'!J365</f>
        <v>0</v>
      </c>
      <c r="K365" s="26">
        <f ca="1">'Preventative costs A'!K365-'Preventative costs B'!K365</f>
        <v>0</v>
      </c>
      <c r="M365" s="4" t="str">
        <f t="shared" si="17"/>
        <v>$M(2015) per Mtonne</v>
      </c>
    </row>
    <row r="366" spans="1:13" s="6" customFormat="1" x14ac:dyDescent="0.25">
      <c r="A366" s="4" t="str">
        <v>CA CH4</v>
      </c>
      <c r="B366" s="26">
        <f ca="1">'Preventative costs A'!B366-'Preventative costs B'!B366</f>
        <v>0</v>
      </c>
      <c r="C366" s="26">
        <f ca="1">'Preventative costs A'!C366-'Preventative costs B'!C366</f>
        <v>0</v>
      </c>
      <c r="D366" s="26">
        <f ca="1">'Preventative costs A'!D366-'Preventative costs B'!D366</f>
        <v>0</v>
      </c>
      <c r="E366" s="26">
        <f ca="1">'Preventative costs A'!E366-'Preventative costs B'!E366</f>
        <v>0</v>
      </c>
      <c r="F366" s="26">
        <f ca="1">'Preventative costs A'!F366-'Preventative costs B'!F366</f>
        <v>0</v>
      </c>
      <c r="G366" s="26">
        <f ca="1">'Preventative costs A'!G366-'Preventative costs B'!G366</f>
        <v>0</v>
      </c>
      <c r="H366" s="26">
        <f ca="1">'Preventative costs A'!H366-'Preventative costs B'!H366</f>
        <v>0</v>
      </c>
      <c r="I366" s="26">
        <f ca="1">'Preventative costs A'!I366-'Preventative costs B'!I366</f>
        <v>0</v>
      </c>
      <c r="J366" s="26">
        <f ca="1">'Preventative costs A'!J366-'Preventative costs B'!J366</f>
        <v>0</v>
      </c>
      <c r="K366" s="26">
        <f ca="1">'Preventative costs A'!K366-'Preventative costs B'!K366</f>
        <v>0</v>
      </c>
      <c r="M366" s="4" t="str">
        <f t="shared" si="17"/>
        <v>$M(2015) per Mtonne</v>
      </c>
    </row>
    <row r="367" spans="1:13" s="6" customFormat="1" x14ac:dyDescent="0.25">
      <c r="A367" s="4" t="str">
        <v>IA CH4</v>
      </c>
      <c r="B367" s="26">
        <f ca="1">'Preventative costs A'!B367-'Preventative costs B'!B367</f>
        <v>0</v>
      </c>
      <c r="C367" s="26">
        <f ca="1">'Preventative costs A'!C367-'Preventative costs B'!C367</f>
        <v>0</v>
      </c>
      <c r="D367" s="26">
        <f ca="1">'Preventative costs A'!D367-'Preventative costs B'!D367</f>
        <v>0</v>
      </c>
      <c r="E367" s="26">
        <f ca="1">'Preventative costs A'!E367-'Preventative costs B'!E367</f>
        <v>0</v>
      </c>
      <c r="F367" s="26">
        <f ca="1">'Preventative costs A'!F367-'Preventative costs B'!F367</f>
        <v>0</v>
      </c>
      <c r="G367" s="26">
        <f ca="1">'Preventative costs A'!G367-'Preventative costs B'!G367</f>
        <v>0</v>
      </c>
      <c r="H367" s="26">
        <f ca="1">'Preventative costs A'!H367-'Preventative costs B'!H367</f>
        <v>0</v>
      </c>
      <c r="I367" s="26">
        <f ca="1">'Preventative costs A'!I367-'Preventative costs B'!I367</f>
        <v>0</v>
      </c>
      <c r="J367" s="26">
        <f ca="1">'Preventative costs A'!J367-'Preventative costs B'!J367</f>
        <v>0</v>
      </c>
      <c r="K367" s="26">
        <f ca="1">'Preventative costs A'!K367-'Preventative costs B'!K367</f>
        <v>0</v>
      </c>
      <c r="M367" s="4" t="str">
        <f t="shared" si="17"/>
        <v>$M(2015) per Mtonne</v>
      </c>
    </row>
    <row r="368" spans="1:13" s="6" customFormat="1" x14ac:dyDescent="0.25">
      <c r="A368" s="4" t="str">
        <v>AF CH4</v>
      </c>
      <c r="B368" s="26">
        <f ca="1">'Preventative costs A'!B368-'Preventative costs B'!B368</f>
        <v>0</v>
      </c>
      <c r="C368" s="26">
        <f ca="1">'Preventative costs A'!C368-'Preventative costs B'!C368</f>
        <v>0</v>
      </c>
      <c r="D368" s="26">
        <f ca="1">'Preventative costs A'!D368-'Preventative costs B'!D368</f>
        <v>0</v>
      </c>
      <c r="E368" s="26">
        <f ca="1">'Preventative costs A'!E368-'Preventative costs B'!E368</f>
        <v>0</v>
      </c>
      <c r="F368" s="26">
        <f ca="1">'Preventative costs A'!F368-'Preventative costs B'!F368</f>
        <v>0</v>
      </c>
      <c r="G368" s="26">
        <f ca="1">'Preventative costs A'!G368-'Preventative costs B'!G368</f>
        <v>0</v>
      </c>
      <c r="H368" s="26">
        <f ca="1">'Preventative costs A'!H368-'Preventative costs B'!H368</f>
        <v>0</v>
      </c>
      <c r="I368" s="26">
        <f ca="1">'Preventative costs A'!I368-'Preventative costs B'!I368</f>
        <v>0</v>
      </c>
      <c r="J368" s="26">
        <f ca="1">'Preventative costs A'!J368-'Preventative costs B'!J368</f>
        <v>0</v>
      </c>
      <c r="K368" s="26">
        <f ca="1">'Preventative costs A'!K368-'Preventative costs B'!K368</f>
        <v>0</v>
      </c>
      <c r="M368" s="4" t="str">
        <f t="shared" si="17"/>
        <v>$M(2015) per Mtonne</v>
      </c>
    </row>
    <row r="369" spans="1:13" s="6" customFormat="1" ht="13" thickBot="1" x14ac:dyDescent="0.3">
      <c r="A369" s="4" t="str">
        <v>LA CH4</v>
      </c>
      <c r="B369" s="35">
        <f ca="1">'Preventative costs A'!B369-'Preventative costs B'!B369</f>
        <v>0</v>
      </c>
      <c r="C369" s="35">
        <f ca="1">'Preventative costs A'!C369-'Preventative costs B'!C369</f>
        <v>0</v>
      </c>
      <c r="D369" s="35">
        <f ca="1">'Preventative costs A'!D369-'Preventative costs B'!D369</f>
        <v>0</v>
      </c>
      <c r="E369" s="35">
        <f ca="1">'Preventative costs A'!E369-'Preventative costs B'!E369</f>
        <v>0</v>
      </c>
      <c r="F369" s="35">
        <f ca="1">'Preventative costs A'!F369-'Preventative costs B'!F369</f>
        <v>0</v>
      </c>
      <c r="G369" s="35">
        <f ca="1">'Preventative costs A'!G369-'Preventative costs B'!G369</f>
        <v>0</v>
      </c>
      <c r="H369" s="35">
        <f ca="1">'Preventative costs A'!H369-'Preventative costs B'!H369</f>
        <v>0</v>
      </c>
      <c r="I369" s="35">
        <f ca="1">'Preventative costs A'!I369-'Preventative costs B'!I369</f>
        <v>0</v>
      </c>
      <c r="J369" s="35">
        <f ca="1">'Preventative costs A'!J369-'Preventative costs B'!J369</f>
        <v>0</v>
      </c>
      <c r="K369" s="35">
        <f ca="1">'Preventative costs A'!K369-'Preventative costs B'!K369</f>
        <v>0</v>
      </c>
      <c r="M369" s="4" t="str">
        <f t="shared" si="17"/>
        <v>$M(2015) per Mtonne</v>
      </c>
    </row>
    <row r="370" spans="1:13" s="2" customFormat="1" ht="15.5" thickTop="1" x14ac:dyDescent="0.4">
      <c r="A370" s="2" t="s">
        <v>319</v>
      </c>
      <c r="B370" s="2" t="s">
        <v>322</v>
      </c>
    </row>
    <row r="371" spans="1:13" s="7" customFormat="1" x14ac:dyDescent="0.25">
      <c r="A371" s="4" t="str">
        <f t="array" ref="A371:A378">R_CODE&amp;" "&amp;'Base data'!$D$12</f>
        <v>EU N2O</v>
      </c>
      <c r="B371" s="29">
        <f ca="1">'Preventative costs A'!B371-'Preventative costs B'!B371</f>
        <v>0</v>
      </c>
      <c r="C371" s="29">
        <f ca="1">'Preventative costs A'!C371-'Preventative costs B'!C371</f>
        <v>0</v>
      </c>
      <c r="D371" s="29">
        <f ca="1">'Preventative costs A'!D371-'Preventative costs B'!D371</f>
        <v>0</v>
      </c>
      <c r="E371" s="29">
        <f ca="1">'Preventative costs A'!E371-'Preventative costs B'!E371</f>
        <v>0</v>
      </c>
      <c r="F371" s="29">
        <f ca="1">'Preventative costs A'!F371-'Preventative costs B'!F371</f>
        <v>0</v>
      </c>
      <c r="G371" s="29">
        <f ca="1">'Preventative costs A'!G371-'Preventative costs B'!G371</f>
        <v>0</v>
      </c>
      <c r="H371" s="29">
        <f ca="1">'Preventative costs A'!H371-'Preventative costs B'!H371</f>
        <v>0</v>
      </c>
      <c r="I371" s="29">
        <f ca="1">'Preventative costs A'!I371-'Preventative costs B'!I371</f>
        <v>0</v>
      </c>
      <c r="J371" s="29">
        <f ca="1">'Preventative costs A'!J371-'Preventative costs B'!J371</f>
        <v>0</v>
      </c>
      <c r="K371" s="29">
        <f ca="1">'Preventative costs A'!K371-'Preventative costs B'!K371</f>
        <v>0</v>
      </c>
      <c r="M371" s="4" t="str">
        <f t="shared" ref="M371:M378" si="18">CURRENCY_NAME&amp;" per "&amp;EMIT_NAME</f>
        <v>$M(2015) per Mtonne</v>
      </c>
    </row>
    <row r="372" spans="1:13" s="7" customFormat="1" x14ac:dyDescent="0.25">
      <c r="A372" s="4" t="str">
        <v>US N2O</v>
      </c>
      <c r="B372" s="26">
        <f ca="1">'Preventative costs A'!B372-'Preventative costs B'!B372</f>
        <v>0</v>
      </c>
      <c r="C372" s="26">
        <f ca="1">'Preventative costs A'!C372-'Preventative costs B'!C372</f>
        <v>0</v>
      </c>
      <c r="D372" s="26">
        <f ca="1">'Preventative costs A'!D372-'Preventative costs B'!D372</f>
        <v>0</v>
      </c>
      <c r="E372" s="26">
        <f ca="1">'Preventative costs A'!E372-'Preventative costs B'!E372</f>
        <v>0</v>
      </c>
      <c r="F372" s="26">
        <f ca="1">'Preventative costs A'!F372-'Preventative costs B'!F372</f>
        <v>0</v>
      </c>
      <c r="G372" s="26">
        <f ca="1">'Preventative costs A'!G372-'Preventative costs B'!G372</f>
        <v>0</v>
      </c>
      <c r="H372" s="26">
        <f ca="1">'Preventative costs A'!H372-'Preventative costs B'!H372</f>
        <v>0</v>
      </c>
      <c r="I372" s="26">
        <f ca="1">'Preventative costs A'!I372-'Preventative costs B'!I372</f>
        <v>0</v>
      </c>
      <c r="J372" s="26">
        <f ca="1">'Preventative costs A'!J372-'Preventative costs B'!J372</f>
        <v>0</v>
      </c>
      <c r="K372" s="26">
        <f ca="1">'Preventative costs A'!K372-'Preventative costs B'!K372</f>
        <v>0</v>
      </c>
      <c r="M372" s="4" t="str">
        <f t="shared" si="18"/>
        <v>$M(2015) per Mtonne</v>
      </c>
    </row>
    <row r="373" spans="1:13" s="7" customFormat="1" x14ac:dyDescent="0.25">
      <c r="A373" s="4" t="str">
        <v>OT N2O</v>
      </c>
      <c r="B373" s="26">
        <f ca="1">'Preventative costs A'!B373-'Preventative costs B'!B373</f>
        <v>0</v>
      </c>
      <c r="C373" s="26">
        <f ca="1">'Preventative costs A'!C373-'Preventative costs B'!C373</f>
        <v>0</v>
      </c>
      <c r="D373" s="26">
        <f ca="1">'Preventative costs A'!D373-'Preventative costs B'!D373</f>
        <v>0</v>
      </c>
      <c r="E373" s="26">
        <f ca="1">'Preventative costs A'!E373-'Preventative costs B'!E373</f>
        <v>0</v>
      </c>
      <c r="F373" s="26">
        <f ca="1">'Preventative costs A'!F373-'Preventative costs B'!F373</f>
        <v>0</v>
      </c>
      <c r="G373" s="26">
        <f ca="1">'Preventative costs A'!G373-'Preventative costs B'!G373</f>
        <v>0</v>
      </c>
      <c r="H373" s="26">
        <f ca="1">'Preventative costs A'!H373-'Preventative costs B'!H373</f>
        <v>0</v>
      </c>
      <c r="I373" s="26">
        <f ca="1">'Preventative costs A'!I373-'Preventative costs B'!I373</f>
        <v>0</v>
      </c>
      <c r="J373" s="26">
        <f ca="1">'Preventative costs A'!J373-'Preventative costs B'!J373</f>
        <v>0</v>
      </c>
      <c r="K373" s="26">
        <f ca="1">'Preventative costs A'!K373-'Preventative costs B'!K373</f>
        <v>0</v>
      </c>
      <c r="M373" s="4" t="str">
        <f t="shared" si="18"/>
        <v>$M(2015) per Mtonne</v>
      </c>
    </row>
    <row r="374" spans="1:13" s="7" customFormat="1" x14ac:dyDescent="0.25">
      <c r="A374" s="4" t="str">
        <v>EE N2O</v>
      </c>
      <c r="B374" s="26">
        <f ca="1">'Preventative costs A'!B374-'Preventative costs B'!B374</f>
        <v>0</v>
      </c>
      <c r="C374" s="26">
        <f ca="1">'Preventative costs A'!C374-'Preventative costs B'!C374</f>
        <v>0</v>
      </c>
      <c r="D374" s="26">
        <f ca="1">'Preventative costs A'!D374-'Preventative costs B'!D374</f>
        <v>0</v>
      </c>
      <c r="E374" s="26">
        <f ca="1">'Preventative costs A'!E374-'Preventative costs B'!E374</f>
        <v>0</v>
      </c>
      <c r="F374" s="26">
        <f ca="1">'Preventative costs A'!F374-'Preventative costs B'!F374</f>
        <v>0</v>
      </c>
      <c r="G374" s="26">
        <f ca="1">'Preventative costs A'!G374-'Preventative costs B'!G374</f>
        <v>0</v>
      </c>
      <c r="H374" s="26">
        <f ca="1">'Preventative costs A'!H374-'Preventative costs B'!H374</f>
        <v>0</v>
      </c>
      <c r="I374" s="26">
        <f ca="1">'Preventative costs A'!I374-'Preventative costs B'!I374</f>
        <v>0</v>
      </c>
      <c r="J374" s="26">
        <f ca="1">'Preventative costs A'!J374-'Preventative costs B'!J374</f>
        <v>0</v>
      </c>
      <c r="K374" s="26">
        <f ca="1">'Preventative costs A'!K374-'Preventative costs B'!K374</f>
        <v>0</v>
      </c>
      <c r="M374" s="4" t="str">
        <f t="shared" si="18"/>
        <v>$M(2015) per Mtonne</v>
      </c>
    </row>
    <row r="375" spans="1:13" s="7" customFormat="1" x14ac:dyDescent="0.25">
      <c r="A375" s="4" t="str">
        <v>CA N2O</v>
      </c>
      <c r="B375" s="26">
        <f ca="1">'Preventative costs A'!B375-'Preventative costs B'!B375</f>
        <v>0</v>
      </c>
      <c r="C375" s="26">
        <f ca="1">'Preventative costs A'!C375-'Preventative costs B'!C375</f>
        <v>0</v>
      </c>
      <c r="D375" s="26">
        <f ca="1">'Preventative costs A'!D375-'Preventative costs B'!D375</f>
        <v>0</v>
      </c>
      <c r="E375" s="26">
        <f ca="1">'Preventative costs A'!E375-'Preventative costs B'!E375</f>
        <v>0</v>
      </c>
      <c r="F375" s="26">
        <f ca="1">'Preventative costs A'!F375-'Preventative costs B'!F375</f>
        <v>0</v>
      </c>
      <c r="G375" s="26">
        <f ca="1">'Preventative costs A'!G375-'Preventative costs B'!G375</f>
        <v>0</v>
      </c>
      <c r="H375" s="26">
        <f ca="1">'Preventative costs A'!H375-'Preventative costs B'!H375</f>
        <v>0</v>
      </c>
      <c r="I375" s="26">
        <f ca="1">'Preventative costs A'!I375-'Preventative costs B'!I375</f>
        <v>0</v>
      </c>
      <c r="J375" s="26">
        <f ca="1">'Preventative costs A'!J375-'Preventative costs B'!J375</f>
        <v>0</v>
      </c>
      <c r="K375" s="26">
        <f ca="1">'Preventative costs A'!K375-'Preventative costs B'!K375</f>
        <v>0</v>
      </c>
      <c r="M375" s="4" t="str">
        <f t="shared" si="18"/>
        <v>$M(2015) per Mtonne</v>
      </c>
    </row>
    <row r="376" spans="1:13" s="7" customFormat="1" x14ac:dyDescent="0.25">
      <c r="A376" s="4" t="str">
        <v>IA N2O</v>
      </c>
      <c r="B376" s="26">
        <f ca="1">'Preventative costs A'!B376-'Preventative costs B'!B376</f>
        <v>0</v>
      </c>
      <c r="C376" s="26">
        <f ca="1">'Preventative costs A'!C376-'Preventative costs B'!C376</f>
        <v>0</v>
      </c>
      <c r="D376" s="26">
        <f ca="1">'Preventative costs A'!D376-'Preventative costs B'!D376</f>
        <v>0</v>
      </c>
      <c r="E376" s="26">
        <f ca="1">'Preventative costs A'!E376-'Preventative costs B'!E376</f>
        <v>0</v>
      </c>
      <c r="F376" s="26">
        <f ca="1">'Preventative costs A'!F376-'Preventative costs B'!F376</f>
        <v>0</v>
      </c>
      <c r="G376" s="26">
        <f ca="1">'Preventative costs A'!G376-'Preventative costs B'!G376</f>
        <v>0</v>
      </c>
      <c r="H376" s="26">
        <f ca="1">'Preventative costs A'!H376-'Preventative costs B'!H376</f>
        <v>0</v>
      </c>
      <c r="I376" s="26">
        <f ca="1">'Preventative costs A'!I376-'Preventative costs B'!I376</f>
        <v>0</v>
      </c>
      <c r="J376" s="26">
        <f ca="1">'Preventative costs A'!J376-'Preventative costs B'!J376</f>
        <v>0</v>
      </c>
      <c r="K376" s="26">
        <f ca="1">'Preventative costs A'!K376-'Preventative costs B'!K376</f>
        <v>0</v>
      </c>
      <c r="M376" s="4" t="str">
        <f t="shared" si="18"/>
        <v>$M(2015) per Mtonne</v>
      </c>
    </row>
    <row r="377" spans="1:13" s="7" customFormat="1" x14ac:dyDescent="0.25">
      <c r="A377" s="4" t="str">
        <v>AF N2O</v>
      </c>
      <c r="B377" s="26">
        <f ca="1">'Preventative costs A'!B377-'Preventative costs B'!B377</f>
        <v>0</v>
      </c>
      <c r="C377" s="26">
        <f ca="1">'Preventative costs A'!C377-'Preventative costs B'!C377</f>
        <v>0</v>
      </c>
      <c r="D377" s="26">
        <f ca="1">'Preventative costs A'!D377-'Preventative costs B'!D377</f>
        <v>0</v>
      </c>
      <c r="E377" s="26">
        <f ca="1">'Preventative costs A'!E377-'Preventative costs B'!E377</f>
        <v>0</v>
      </c>
      <c r="F377" s="26">
        <f ca="1">'Preventative costs A'!F377-'Preventative costs B'!F377</f>
        <v>0</v>
      </c>
      <c r="G377" s="26">
        <f ca="1">'Preventative costs A'!G377-'Preventative costs B'!G377</f>
        <v>0</v>
      </c>
      <c r="H377" s="26">
        <f ca="1">'Preventative costs A'!H377-'Preventative costs B'!H377</f>
        <v>0</v>
      </c>
      <c r="I377" s="26">
        <f ca="1">'Preventative costs A'!I377-'Preventative costs B'!I377</f>
        <v>0</v>
      </c>
      <c r="J377" s="26">
        <f ca="1">'Preventative costs A'!J377-'Preventative costs B'!J377</f>
        <v>0</v>
      </c>
      <c r="K377" s="26">
        <f ca="1">'Preventative costs A'!K377-'Preventative costs B'!K377</f>
        <v>0</v>
      </c>
      <c r="M377" s="4" t="str">
        <f t="shared" si="18"/>
        <v>$M(2015) per Mtonne</v>
      </c>
    </row>
    <row r="378" spans="1:13" s="7" customFormat="1" ht="13" thickBot="1" x14ac:dyDescent="0.3">
      <c r="A378" s="4" t="str">
        <v>LA N2O</v>
      </c>
      <c r="B378" s="35">
        <f ca="1">'Preventative costs A'!B378-'Preventative costs B'!B378</f>
        <v>0</v>
      </c>
      <c r="C378" s="35">
        <f ca="1">'Preventative costs A'!C378-'Preventative costs B'!C378</f>
        <v>0</v>
      </c>
      <c r="D378" s="35">
        <f ca="1">'Preventative costs A'!D378-'Preventative costs B'!D378</f>
        <v>0</v>
      </c>
      <c r="E378" s="35">
        <f ca="1">'Preventative costs A'!E378-'Preventative costs B'!E378</f>
        <v>0</v>
      </c>
      <c r="F378" s="35">
        <f ca="1">'Preventative costs A'!F378-'Preventative costs B'!F378</f>
        <v>0</v>
      </c>
      <c r="G378" s="35">
        <f ca="1">'Preventative costs A'!G378-'Preventative costs B'!G378</f>
        <v>0</v>
      </c>
      <c r="H378" s="35">
        <f ca="1">'Preventative costs A'!H378-'Preventative costs B'!H378</f>
        <v>0</v>
      </c>
      <c r="I378" s="35">
        <f ca="1">'Preventative costs A'!I378-'Preventative costs B'!I378</f>
        <v>0</v>
      </c>
      <c r="J378" s="35">
        <f ca="1">'Preventative costs A'!J378-'Preventative costs B'!J378</f>
        <v>0</v>
      </c>
      <c r="K378" s="35">
        <f ca="1">'Preventative costs A'!K378-'Preventative costs B'!K378</f>
        <v>0</v>
      </c>
      <c r="M378" s="4" t="str">
        <f t="shared" si="18"/>
        <v>$M(2015) per Mtonne</v>
      </c>
    </row>
    <row r="379" spans="1:13" s="2" customFormat="1" ht="15.5" thickTop="1" x14ac:dyDescent="0.4">
      <c r="A379" s="2" t="s">
        <v>319</v>
      </c>
      <c r="B379" s="2" t="s">
        <v>323</v>
      </c>
    </row>
    <row r="380" spans="1:13" s="7" customFormat="1" x14ac:dyDescent="0.25">
      <c r="A380" s="4" t="str">
        <f t="array" ref="A380:A387">R_CODE&amp;" "&amp;GLIN_NAME</f>
        <v>EU Lin</v>
      </c>
      <c r="B380" s="29">
        <f ca="1">'Preventative costs A'!B380-'Preventative costs B'!B380</f>
        <v>0</v>
      </c>
      <c r="C380" s="29">
        <f ca="1">'Preventative costs A'!C380-'Preventative costs B'!C380</f>
        <v>0</v>
      </c>
      <c r="D380" s="29">
        <f ca="1">'Preventative costs A'!D380-'Preventative costs B'!D380</f>
        <v>0</v>
      </c>
      <c r="E380" s="29">
        <f ca="1">'Preventative costs A'!E380-'Preventative costs B'!E380</f>
        <v>0</v>
      </c>
      <c r="F380" s="29">
        <f ca="1">'Preventative costs A'!F380-'Preventative costs B'!F380</f>
        <v>0</v>
      </c>
      <c r="G380" s="29">
        <f ca="1">'Preventative costs A'!G380-'Preventative costs B'!G380</f>
        <v>0</v>
      </c>
      <c r="H380" s="29">
        <f ca="1">'Preventative costs A'!H380-'Preventative costs B'!H380</f>
        <v>0</v>
      </c>
      <c r="I380" s="29">
        <f ca="1">'Preventative costs A'!I380-'Preventative costs B'!I380</f>
        <v>0</v>
      </c>
      <c r="J380" s="29">
        <f ca="1">'Preventative costs A'!J380-'Preventative costs B'!J380</f>
        <v>0</v>
      </c>
      <c r="K380" s="29">
        <f ca="1">'Preventative costs A'!K380-'Preventative costs B'!K380</f>
        <v>0</v>
      </c>
      <c r="M380" s="4" t="str">
        <f t="shared" ref="M380:M387" si="19">CURRENCY_NAME&amp;" per "&amp;EMIT_NAME</f>
        <v>$M(2015) per Mtonne</v>
      </c>
    </row>
    <row r="381" spans="1:13" s="7" customFormat="1" x14ac:dyDescent="0.25">
      <c r="A381" s="4" t="str">
        <v>US Lin</v>
      </c>
      <c r="B381" s="26">
        <f ca="1">'Preventative costs A'!B381-'Preventative costs B'!B381</f>
        <v>0</v>
      </c>
      <c r="C381" s="26">
        <f ca="1">'Preventative costs A'!C381-'Preventative costs B'!C381</f>
        <v>0</v>
      </c>
      <c r="D381" s="26">
        <f ca="1">'Preventative costs A'!D381-'Preventative costs B'!D381</f>
        <v>0</v>
      </c>
      <c r="E381" s="26">
        <f ca="1">'Preventative costs A'!E381-'Preventative costs B'!E381</f>
        <v>0</v>
      </c>
      <c r="F381" s="26">
        <f ca="1">'Preventative costs A'!F381-'Preventative costs B'!F381</f>
        <v>0</v>
      </c>
      <c r="G381" s="26">
        <f ca="1">'Preventative costs A'!G381-'Preventative costs B'!G381</f>
        <v>0</v>
      </c>
      <c r="H381" s="26">
        <f ca="1">'Preventative costs A'!H381-'Preventative costs B'!H381</f>
        <v>0</v>
      </c>
      <c r="I381" s="26">
        <f ca="1">'Preventative costs A'!I381-'Preventative costs B'!I381</f>
        <v>0</v>
      </c>
      <c r="J381" s="26">
        <f ca="1">'Preventative costs A'!J381-'Preventative costs B'!J381</f>
        <v>0</v>
      </c>
      <c r="K381" s="26">
        <f ca="1">'Preventative costs A'!K381-'Preventative costs B'!K381</f>
        <v>0</v>
      </c>
      <c r="M381" s="4" t="str">
        <f t="shared" si="19"/>
        <v>$M(2015) per Mtonne</v>
      </c>
    </row>
    <row r="382" spans="1:13" s="7" customFormat="1" x14ac:dyDescent="0.25">
      <c r="A382" s="4" t="str">
        <v>OT Lin</v>
      </c>
      <c r="B382" s="26">
        <f ca="1">'Preventative costs A'!B382-'Preventative costs B'!B382</f>
        <v>0</v>
      </c>
      <c r="C382" s="26">
        <f ca="1">'Preventative costs A'!C382-'Preventative costs B'!C382</f>
        <v>0</v>
      </c>
      <c r="D382" s="26">
        <f ca="1">'Preventative costs A'!D382-'Preventative costs B'!D382</f>
        <v>0</v>
      </c>
      <c r="E382" s="26">
        <f ca="1">'Preventative costs A'!E382-'Preventative costs B'!E382</f>
        <v>0</v>
      </c>
      <c r="F382" s="26">
        <f ca="1">'Preventative costs A'!F382-'Preventative costs B'!F382</f>
        <v>0</v>
      </c>
      <c r="G382" s="26">
        <f ca="1">'Preventative costs A'!G382-'Preventative costs B'!G382</f>
        <v>0</v>
      </c>
      <c r="H382" s="26">
        <f ca="1">'Preventative costs A'!H382-'Preventative costs B'!H382</f>
        <v>0</v>
      </c>
      <c r="I382" s="26">
        <f ca="1">'Preventative costs A'!I382-'Preventative costs B'!I382</f>
        <v>0</v>
      </c>
      <c r="J382" s="26">
        <f ca="1">'Preventative costs A'!J382-'Preventative costs B'!J382</f>
        <v>0</v>
      </c>
      <c r="K382" s="26">
        <f ca="1">'Preventative costs A'!K382-'Preventative costs B'!K382</f>
        <v>0</v>
      </c>
      <c r="M382" s="4" t="str">
        <f t="shared" si="19"/>
        <v>$M(2015) per Mtonne</v>
      </c>
    </row>
    <row r="383" spans="1:13" s="7" customFormat="1" x14ac:dyDescent="0.25">
      <c r="A383" s="4" t="str">
        <v>EE Lin</v>
      </c>
      <c r="B383" s="26">
        <f ca="1">'Preventative costs A'!B383-'Preventative costs B'!B383</f>
        <v>0</v>
      </c>
      <c r="C383" s="26">
        <f ca="1">'Preventative costs A'!C383-'Preventative costs B'!C383</f>
        <v>0</v>
      </c>
      <c r="D383" s="26">
        <f ca="1">'Preventative costs A'!D383-'Preventative costs B'!D383</f>
        <v>0</v>
      </c>
      <c r="E383" s="26">
        <f ca="1">'Preventative costs A'!E383-'Preventative costs B'!E383</f>
        <v>0</v>
      </c>
      <c r="F383" s="26">
        <f ca="1">'Preventative costs A'!F383-'Preventative costs B'!F383</f>
        <v>0</v>
      </c>
      <c r="G383" s="26">
        <f ca="1">'Preventative costs A'!G383-'Preventative costs B'!G383</f>
        <v>0</v>
      </c>
      <c r="H383" s="26">
        <f ca="1">'Preventative costs A'!H383-'Preventative costs B'!H383</f>
        <v>0</v>
      </c>
      <c r="I383" s="26">
        <f ca="1">'Preventative costs A'!I383-'Preventative costs B'!I383</f>
        <v>0</v>
      </c>
      <c r="J383" s="26">
        <f ca="1">'Preventative costs A'!J383-'Preventative costs B'!J383</f>
        <v>0</v>
      </c>
      <c r="K383" s="26">
        <f ca="1">'Preventative costs A'!K383-'Preventative costs B'!K383</f>
        <v>0</v>
      </c>
      <c r="M383" s="4" t="str">
        <f t="shared" si="19"/>
        <v>$M(2015) per Mtonne</v>
      </c>
    </row>
    <row r="384" spans="1:13" s="7" customFormat="1" x14ac:dyDescent="0.25">
      <c r="A384" s="4" t="str">
        <v>CA Lin</v>
      </c>
      <c r="B384" s="26">
        <f ca="1">'Preventative costs A'!B384-'Preventative costs B'!B384</f>
        <v>0</v>
      </c>
      <c r="C384" s="26">
        <f ca="1">'Preventative costs A'!C384-'Preventative costs B'!C384</f>
        <v>0</v>
      </c>
      <c r="D384" s="26">
        <f ca="1">'Preventative costs A'!D384-'Preventative costs B'!D384</f>
        <v>0</v>
      </c>
      <c r="E384" s="26">
        <f ca="1">'Preventative costs A'!E384-'Preventative costs B'!E384</f>
        <v>0</v>
      </c>
      <c r="F384" s="26">
        <f ca="1">'Preventative costs A'!F384-'Preventative costs B'!F384</f>
        <v>0</v>
      </c>
      <c r="G384" s="26">
        <f ca="1">'Preventative costs A'!G384-'Preventative costs B'!G384</f>
        <v>0</v>
      </c>
      <c r="H384" s="26">
        <f ca="1">'Preventative costs A'!H384-'Preventative costs B'!H384</f>
        <v>0</v>
      </c>
      <c r="I384" s="26">
        <f ca="1">'Preventative costs A'!I384-'Preventative costs B'!I384</f>
        <v>0</v>
      </c>
      <c r="J384" s="26">
        <f ca="1">'Preventative costs A'!J384-'Preventative costs B'!J384</f>
        <v>0</v>
      </c>
      <c r="K384" s="26">
        <f ca="1">'Preventative costs A'!K384-'Preventative costs B'!K384</f>
        <v>0</v>
      </c>
      <c r="M384" s="4" t="str">
        <f t="shared" si="19"/>
        <v>$M(2015) per Mtonne</v>
      </c>
    </row>
    <row r="385" spans="1:13" s="7" customFormat="1" x14ac:dyDescent="0.25">
      <c r="A385" s="4" t="str">
        <v>IA Lin</v>
      </c>
      <c r="B385" s="26">
        <f ca="1">'Preventative costs A'!B385-'Preventative costs B'!B385</f>
        <v>0</v>
      </c>
      <c r="C385" s="26">
        <f ca="1">'Preventative costs A'!C385-'Preventative costs B'!C385</f>
        <v>0</v>
      </c>
      <c r="D385" s="26">
        <f ca="1">'Preventative costs A'!D385-'Preventative costs B'!D385</f>
        <v>0</v>
      </c>
      <c r="E385" s="26">
        <f ca="1">'Preventative costs A'!E385-'Preventative costs B'!E385</f>
        <v>0</v>
      </c>
      <c r="F385" s="26">
        <f ca="1">'Preventative costs A'!F385-'Preventative costs B'!F385</f>
        <v>0</v>
      </c>
      <c r="G385" s="26">
        <f ca="1">'Preventative costs A'!G385-'Preventative costs B'!G385</f>
        <v>0</v>
      </c>
      <c r="H385" s="26">
        <f ca="1">'Preventative costs A'!H385-'Preventative costs B'!H385</f>
        <v>0</v>
      </c>
      <c r="I385" s="26">
        <f ca="1">'Preventative costs A'!I385-'Preventative costs B'!I385</f>
        <v>0</v>
      </c>
      <c r="J385" s="26">
        <f ca="1">'Preventative costs A'!J385-'Preventative costs B'!J385</f>
        <v>0</v>
      </c>
      <c r="K385" s="26">
        <f ca="1">'Preventative costs A'!K385-'Preventative costs B'!K385</f>
        <v>0</v>
      </c>
      <c r="M385" s="4" t="str">
        <f t="shared" si="19"/>
        <v>$M(2015) per Mtonne</v>
      </c>
    </row>
    <row r="386" spans="1:13" s="7" customFormat="1" x14ac:dyDescent="0.25">
      <c r="A386" s="4" t="str">
        <v>AF Lin</v>
      </c>
      <c r="B386" s="26">
        <f ca="1">'Preventative costs A'!B386-'Preventative costs B'!B386</f>
        <v>0</v>
      </c>
      <c r="C386" s="26">
        <f ca="1">'Preventative costs A'!C386-'Preventative costs B'!C386</f>
        <v>0</v>
      </c>
      <c r="D386" s="26">
        <f ca="1">'Preventative costs A'!D386-'Preventative costs B'!D386</f>
        <v>0</v>
      </c>
      <c r="E386" s="26">
        <f ca="1">'Preventative costs A'!E386-'Preventative costs B'!E386</f>
        <v>0</v>
      </c>
      <c r="F386" s="26">
        <f ca="1">'Preventative costs A'!F386-'Preventative costs B'!F386</f>
        <v>0</v>
      </c>
      <c r="G386" s="26">
        <f ca="1">'Preventative costs A'!G386-'Preventative costs B'!G386</f>
        <v>0</v>
      </c>
      <c r="H386" s="26">
        <f ca="1">'Preventative costs A'!H386-'Preventative costs B'!H386</f>
        <v>0</v>
      </c>
      <c r="I386" s="26">
        <f ca="1">'Preventative costs A'!I386-'Preventative costs B'!I386</f>
        <v>0</v>
      </c>
      <c r="J386" s="26">
        <f ca="1">'Preventative costs A'!J386-'Preventative costs B'!J386</f>
        <v>0</v>
      </c>
      <c r="K386" s="26">
        <f ca="1">'Preventative costs A'!K386-'Preventative costs B'!K386</f>
        <v>0</v>
      </c>
      <c r="M386" s="4" t="str">
        <f t="shared" si="19"/>
        <v>$M(2015) per Mtonne</v>
      </c>
    </row>
    <row r="387" spans="1:13" s="7" customFormat="1" ht="13" thickBot="1" x14ac:dyDescent="0.3">
      <c r="A387" s="4" t="str">
        <v>LA Lin</v>
      </c>
      <c r="B387" s="35">
        <f ca="1">'Preventative costs A'!B387-'Preventative costs B'!B387</f>
        <v>0</v>
      </c>
      <c r="C387" s="35">
        <f ca="1">'Preventative costs A'!C387-'Preventative costs B'!C387</f>
        <v>0</v>
      </c>
      <c r="D387" s="35">
        <f ca="1">'Preventative costs A'!D387-'Preventative costs B'!D387</f>
        <v>0</v>
      </c>
      <c r="E387" s="35">
        <f ca="1">'Preventative costs A'!E387-'Preventative costs B'!E387</f>
        <v>0</v>
      </c>
      <c r="F387" s="35">
        <f ca="1">'Preventative costs A'!F387-'Preventative costs B'!F387</f>
        <v>0</v>
      </c>
      <c r="G387" s="35">
        <f ca="1">'Preventative costs A'!G387-'Preventative costs B'!G387</f>
        <v>0</v>
      </c>
      <c r="H387" s="35">
        <f ca="1">'Preventative costs A'!H387-'Preventative costs B'!H387</f>
        <v>0</v>
      </c>
      <c r="I387" s="35">
        <f ca="1">'Preventative costs A'!I387-'Preventative costs B'!I387</f>
        <v>0</v>
      </c>
      <c r="J387" s="35">
        <f ca="1">'Preventative costs A'!J387-'Preventative costs B'!J387</f>
        <v>0</v>
      </c>
      <c r="K387" s="35">
        <f ca="1">'Preventative costs A'!K387-'Preventative costs B'!K387</f>
        <v>0</v>
      </c>
      <c r="M387" s="4" t="str">
        <f t="shared" si="19"/>
        <v>$M(2015) per Mtonne</v>
      </c>
    </row>
    <row r="388" spans="1:13" s="2" customFormat="1" ht="15.5" thickTop="1" x14ac:dyDescent="0.4">
      <c r="A388" s="2" t="s">
        <v>325</v>
      </c>
      <c r="B388" s="2" t="s">
        <v>326</v>
      </c>
    </row>
    <row r="389" spans="1:13" s="6" customFormat="1" x14ac:dyDescent="0.25">
      <c r="A389" s="4" t="str">
        <f t="array" ref="A389:A396">R_CODE&amp;" "&amp;'Base data'!$B$12</f>
        <v>EU CO2</v>
      </c>
      <c r="B389" s="29">
        <f ca="1">'Preventative costs A'!B389-'Preventative costs B'!B389</f>
        <v>0</v>
      </c>
      <c r="C389" s="29">
        <f ca="1">'Preventative costs A'!C389-'Preventative costs B'!C389</f>
        <v>0</v>
      </c>
      <c r="D389" s="29">
        <f ca="1">'Preventative costs A'!D389-'Preventative costs B'!D389</f>
        <v>0</v>
      </c>
      <c r="E389" s="29">
        <f ca="1">'Preventative costs A'!E389-'Preventative costs B'!E389</f>
        <v>0</v>
      </c>
      <c r="F389" s="29">
        <f ca="1">'Preventative costs A'!F389-'Preventative costs B'!F389</f>
        <v>0</v>
      </c>
      <c r="G389" s="29">
        <f ca="1">'Preventative costs A'!G389-'Preventative costs B'!G389</f>
        <v>0</v>
      </c>
      <c r="H389" s="29">
        <f ca="1">'Preventative costs A'!H389-'Preventative costs B'!H389</f>
        <v>0</v>
      </c>
      <c r="I389" s="29">
        <f ca="1">'Preventative costs A'!I389-'Preventative costs B'!I389</f>
        <v>0</v>
      </c>
      <c r="J389" s="29">
        <f ca="1">'Preventative costs A'!J389-'Preventative costs B'!J389</f>
        <v>0</v>
      </c>
      <c r="K389" s="29">
        <f ca="1">'Preventative costs A'!K389-'Preventative costs B'!K389</f>
        <v>0</v>
      </c>
      <c r="M389" s="4" t="str">
        <f t="shared" ref="M389:M396" si="20">"per "&amp;EMIT_NAME</f>
        <v>per Mtonne</v>
      </c>
    </row>
    <row r="390" spans="1:13" s="6" customFormat="1" x14ac:dyDescent="0.25">
      <c r="A390" s="4" t="str">
        <v>US CO2</v>
      </c>
      <c r="B390" s="26">
        <f ca="1">'Preventative costs A'!B390-'Preventative costs B'!B390</f>
        <v>0</v>
      </c>
      <c r="C390" s="26">
        <f ca="1">'Preventative costs A'!C390-'Preventative costs B'!C390</f>
        <v>0</v>
      </c>
      <c r="D390" s="26">
        <f ca="1">'Preventative costs A'!D390-'Preventative costs B'!D390</f>
        <v>0</v>
      </c>
      <c r="E390" s="26">
        <f ca="1">'Preventative costs A'!E390-'Preventative costs B'!E390</f>
        <v>0</v>
      </c>
      <c r="F390" s="26">
        <f ca="1">'Preventative costs A'!F390-'Preventative costs B'!F390</f>
        <v>0</v>
      </c>
      <c r="G390" s="26">
        <f ca="1">'Preventative costs A'!G390-'Preventative costs B'!G390</f>
        <v>0</v>
      </c>
      <c r="H390" s="26">
        <f ca="1">'Preventative costs A'!H390-'Preventative costs B'!H390</f>
        <v>0</v>
      </c>
      <c r="I390" s="26">
        <f ca="1">'Preventative costs A'!I390-'Preventative costs B'!I390</f>
        <v>0</v>
      </c>
      <c r="J390" s="26">
        <f ca="1">'Preventative costs A'!J390-'Preventative costs B'!J390</f>
        <v>0</v>
      </c>
      <c r="K390" s="26">
        <f ca="1">'Preventative costs A'!K390-'Preventative costs B'!K390</f>
        <v>0</v>
      </c>
      <c r="M390" s="4" t="str">
        <f t="shared" si="20"/>
        <v>per Mtonne</v>
      </c>
    </row>
    <row r="391" spans="1:13" s="6" customFormat="1" x14ac:dyDescent="0.25">
      <c r="A391" s="4" t="str">
        <v>OT CO2</v>
      </c>
      <c r="B391" s="26">
        <f ca="1">'Preventative costs A'!B391-'Preventative costs B'!B391</f>
        <v>0</v>
      </c>
      <c r="C391" s="26">
        <f ca="1">'Preventative costs A'!C391-'Preventative costs B'!C391</f>
        <v>0</v>
      </c>
      <c r="D391" s="26">
        <f ca="1">'Preventative costs A'!D391-'Preventative costs B'!D391</f>
        <v>0</v>
      </c>
      <c r="E391" s="26">
        <f ca="1">'Preventative costs A'!E391-'Preventative costs B'!E391</f>
        <v>0</v>
      </c>
      <c r="F391" s="26">
        <f ca="1">'Preventative costs A'!F391-'Preventative costs B'!F391</f>
        <v>0</v>
      </c>
      <c r="G391" s="26">
        <f ca="1">'Preventative costs A'!G391-'Preventative costs B'!G391</f>
        <v>0</v>
      </c>
      <c r="H391" s="26">
        <f ca="1">'Preventative costs A'!H391-'Preventative costs B'!H391</f>
        <v>0</v>
      </c>
      <c r="I391" s="26">
        <f ca="1">'Preventative costs A'!I391-'Preventative costs B'!I391</f>
        <v>0</v>
      </c>
      <c r="J391" s="26">
        <f ca="1">'Preventative costs A'!J391-'Preventative costs B'!J391</f>
        <v>0</v>
      </c>
      <c r="K391" s="26">
        <f ca="1">'Preventative costs A'!K391-'Preventative costs B'!K391</f>
        <v>0</v>
      </c>
      <c r="M391" s="4" t="str">
        <f t="shared" si="20"/>
        <v>per Mtonne</v>
      </c>
    </row>
    <row r="392" spans="1:13" s="6" customFormat="1" x14ac:dyDescent="0.25">
      <c r="A392" s="4" t="str">
        <v>EE CO2</v>
      </c>
      <c r="B392" s="26">
        <f ca="1">'Preventative costs A'!B392-'Preventative costs B'!B392</f>
        <v>0</v>
      </c>
      <c r="C392" s="26">
        <f ca="1">'Preventative costs A'!C392-'Preventative costs B'!C392</f>
        <v>0</v>
      </c>
      <c r="D392" s="26">
        <f ca="1">'Preventative costs A'!D392-'Preventative costs B'!D392</f>
        <v>0</v>
      </c>
      <c r="E392" s="26">
        <f ca="1">'Preventative costs A'!E392-'Preventative costs B'!E392</f>
        <v>0</v>
      </c>
      <c r="F392" s="26">
        <f ca="1">'Preventative costs A'!F392-'Preventative costs B'!F392</f>
        <v>0</v>
      </c>
      <c r="G392" s="26">
        <f ca="1">'Preventative costs A'!G392-'Preventative costs B'!G392</f>
        <v>0</v>
      </c>
      <c r="H392" s="26">
        <f ca="1">'Preventative costs A'!H392-'Preventative costs B'!H392</f>
        <v>0</v>
      </c>
      <c r="I392" s="26">
        <f ca="1">'Preventative costs A'!I392-'Preventative costs B'!I392</f>
        <v>0</v>
      </c>
      <c r="J392" s="26">
        <f ca="1">'Preventative costs A'!J392-'Preventative costs B'!J392</f>
        <v>0</v>
      </c>
      <c r="K392" s="26">
        <f ca="1">'Preventative costs A'!K392-'Preventative costs B'!K392</f>
        <v>0</v>
      </c>
      <c r="M392" s="4" t="str">
        <f t="shared" si="20"/>
        <v>per Mtonne</v>
      </c>
    </row>
    <row r="393" spans="1:13" s="6" customFormat="1" x14ac:dyDescent="0.25">
      <c r="A393" s="4" t="str">
        <v>CA CO2</v>
      </c>
      <c r="B393" s="26">
        <f ca="1">'Preventative costs A'!B393-'Preventative costs B'!B393</f>
        <v>0</v>
      </c>
      <c r="C393" s="26">
        <f ca="1">'Preventative costs A'!C393-'Preventative costs B'!C393</f>
        <v>0</v>
      </c>
      <c r="D393" s="26">
        <f ca="1">'Preventative costs A'!D393-'Preventative costs B'!D393</f>
        <v>0</v>
      </c>
      <c r="E393" s="26">
        <f ca="1">'Preventative costs A'!E393-'Preventative costs B'!E393</f>
        <v>0</v>
      </c>
      <c r="F393" s="26">
        <f ca="1">'Preventative costs A'!F393-'Preventative costs B'!F393</f>
        <v>0</v>
      </c>
      <c r="G393" s="26">
        <f ca="1">'Preventative costs A'!G393-'Preventative costs B'!G393</f>
        <v>0</v>
      </c>
      <c r="H393" s="26">
        <f ca="1">'Preventative costs A'!H393-'Preventative costs B'!H393</f>
        <v>0</v>
      </c>
      <c r="I393" s="26">
        <f ca="1">'Preventative costs A'!I393-'Preventative costs B'!I393</f>
        <v>0</v>
      </c>
      <c r="J393" s="26">
        <f ca="1">'Preventative costs A'!J393-'Preventative costs B'!J393</f>
        <v>0</v>
      </c>
      <c r="K393" s="26">
        <f ca="1">'Preventative costs A'!K393-'Preventative costs B'!K393</f>
        <v>0</v>
      </c>
      <c r="M393" s="4" t="str">
        <f t="shared" si="20"/>
        <v>per Mtonne</v>
      </c>
    </row>
    <row r="394" spans="1:13" s="6" customFormat="1" x14ac:dyDescent="0.25">
      <c r="A394" s="4" t="str">
        <v>IA CO2</v>
      </c>
      <c r="B394" s="26">
        <f ca="1">'Preventative costs A'!B394-'Preventative costs B'!B394</f>
        <v>0</v>
      </c>
      <c r="C394" s="26">
        <f ca="1">'Preventative costs A'!C394-'Preventative costs B'!C394</f>
        <v>0</v>
      </c>
      <c r="D394" s="26">
        <f ca="1">'Preventative costs A'!D394-'Preventative costs B'!D394</f>
        <v>0</v>
      </c>
      <c r="E394" s="26">
        <f ca="1">'Preventative costs A'!E394-'Preventative costs B'!E394</f>
        <v>0</v>
      </c>
      <c r="F394" s="26">
        <f ca="1">'Preventative costs A'!F394-'Preventative costs B'!F394</f>
        <v>0</v>
      </c>
      <c r="G394" s="26">
        <f ca="1">'Preventative costs A'!G394-'Preventative costs B'!G394</f>
        <v>0</v>
      </c>
      <c r="H394" s="26">
        <f ca="1">'Preventative costs A'!H394-'Preventative costs B'!H394</f>
        <v>0</v>
      </c>
      <c r="I394" s="26">
        <f ca="1">'Preventative costs A'!I394-'Preventative costs B'!I394</f>
        <v>0</v>
      </c>
      <c r="J394" s="26">
        <f ca="1">'Preventative costs A'!J394-'Preventative costs B'!J394</f>
        <v>0</v>
      </c>
      <c r="K394" s="26">
        <f ca="1">'Preventative costs A'!K394-'Preventative costs B'!K394</f>
        <v>0</v>
      </c>
      <c r="M394" s="4" t="str">
        <f t="shared" si="20"/>
        <v>per Mtonne</v>
      </c>
    </row>
    <row r="395" spans="1:13" s="6" customFormat="1" x14ac:dyDescent="0.25">
      <c r="A395" s="4" t="str">
        <v>AF CO2</v>
      </c>
      <c r="B395" s="26">
        <f ca="1">'Preventative costs A'!B395-'Preventative costs B'!B395</f>
        <v>0</v>
      </c>
      <c r="C395" s="26">
        <f ca="1">'Preventative costs A'!C395-'Preventative costs B'!C395</f>
        <v>0</v>
      </c>
      <c r="D395" s="26">
        <f ca="1">'Preventative costs A'!D395-'Preventative costs B'!D395</f>
        <v>0</v>
      </c>
      <c r="E395" s="26">
        <f ca="1">'Preventative costs A'!E395-'Preventative costs B'!E395</f>
        <v>0</v>
      </c>
      <c r="F395" s="26">
        <f ca="1">'Preventative costs A'!F395-'Preventative costs B'!F395</f>
        <v>0</v>
      </c>
      <c r="G395" s="26">
        <f ca="1">'Preventative costs A'!G395-'Preventative costs B'!G395</f>
        <v>0</v>
      </c>
      <c r="H395" s="26">
        <f ca="1">'Preventative costs A'!H395-'Preventative costs B'!H395</f>
        <v>0</v>
      </c>
      <c r="I395" s="26">
        <f ca="1">'Preventative costs A'!I395-'Preventative costs B'!I395</f>
        <v>0</v>
      </c>
      <c r="J395" s="26">
        <f ca="1">'Preventative costs A'!J395-'Preventative costs B'!J395</f>
        <v>0</v>
      </c>
      <c r="K395" s="26">
        <f ca="1">'Preventative costs A'!K395-'Preventative costs B'!K395</f>
        <v>0</v>
      </c>
      <c r="M395" s="4" t="str">
        <f t="shared" si="20"/>
        <v>per Mtonne</v>
      </c>
    </row>
    <row r="396" spans="1:13" s="6" customFormat="1" ht="13" thickBot="1" x14ac:dyDescent="0.3">
      <c r="A396" s="4" t="str">
        <v>LA CO2</v>
      </c>
      <c r="B396" s="35">
        <f ca="1">'Preventative costs A'!B396-'Preventative costs B'!B396</f>
        <v>0</v>
      </c>
      <c r="C396" s="35">
        <f ca="1">'Preventative costs A'!C396-'Preventative costs B'!C396</f>
        <v>0</v>
      </c>
      <c r="D396" s="35">
        <f ca="1">'Preventative costs A'!D396-'Preventative costs B'!D396</f>
        <v>0</v>
      </c>
      <c r="E396" s="35">
        <f ca="1">'Preventative costs A'!E396-'Preventative costs B'!E396</f>
        <v>0</v>
      </c>
      <c r="F396" s="35">
        <f ca="1">'Preventative costs A'!F396-'Preventative costs B'!F396</f>
        <v>0</v>
      </c>
      <c r="G396" s="35">
        <f ca="1">'Preventative costs A'!G396-'Preventative costs B'!G396</f>
        <v>0</v>
      </c>
      <c r="H396" s="35">
        <f ca="1">'Preventative costs A'!H396-'Preventative costs B'!H396</f>
        <v>0</v>
      </c>
      <c r="I396" s="35">
        <f ca="1">'Preventative costs A'!I396-'Preventative costs B'!I396</f>
        <v>0</v>
      </c>
      <c r="J396" s="35">
        <f ca="1">'Preventative costs A'!J396-'Preventative costs B'!J396</f>
        <v>0</v>
      </c>
      <c r="K396" s="35">
        <f ca="1">'Preventative costs A'!K396-'Preventative costs B'!K396</f>
        <v>0</v>
      </c>
      <c r="M396" s="4" t="str">
        <f t="shared" si="20"/>
        <v>per Mtonne</v>
      </c>
    </row>
    <row r="397" spans="1:13" s="2" customFormat="1" ht="15.5" thickTop="1" x14ac:dyDescent="0.4">
      <c r="A397" s="2" t="s">
        <v>325</v>
      </c>
      <c r="B397" s="2" t="s">
        <v>327</v>
      </c>
    </row>
    <row r="398" spans="1:13" s="7" customFormat="1" x14ac:dyDescent="0.25">
      <c r="A398" s="4" t="str">
        <f t="array" ref="A398:A405">R_CODE&amp;" "&amp;'Base data'!$C$12</f>
        <v>EU CH4</v>
      </c>
      <c r="B398" s="29">
        <f ca="1">'Preventative costs A'!B398-'Preventative costs B'!B398</f>
        <v>0</v>
      </c>
      <c r="C398" s="29">
        <f ca="1">'Preventative costs A'!C398-'Preventative costs B'!C398</f>
        <v>0</v>
      </c>
      <c r="D398" s="29">
        <f ca="1">'Preventative costs A'!D398-'Preventative costs B'!D398</f>
        <v>0</v>
      </c>
      <c r="E398" s="29">
        <f ca="1">'Preventative costs A'!E398-'Preventative costs B'!E398</f>
        <v>0</v>
      </c>
      <c r="F398" s="29">
        <f ca="1">'Preventative costs A'!F398-'Preventative costs B'!F398</f>
        <v>0</v>
      </c>
      <c r="G398" s="29">
        <f ca="1">'Preventative costs A'!G398-'Preventative costs B'!G398</f>
        <v>0</v>
      </c>
      <c r="H398" s="29">
        <f ca="1">'Preventative costs A'!H398-'Preventative costs B'!H398</f>
        <v>0</v>
      </c>
      <c r="I398" s="29">
        <f ca="1">'Preventative costs A'!I398-'Preventative costs B'!I398</f>
        <v>0</v>
      </c>
      <c r="J398" s="29">
        <f ca="1">'Preventative costs A'!J398-'Preventative costs B'!J398</f>
        <v>0</v>
      </c>
      <c r="K398" s="29">
        <f ca="1">'Preventative costs A'!K398-'Preventative costs B'!K398</f>
        <v>0</v>
      </c>
      <c r="M398" s="4" t="str">
        <f t="shared" ref="M398:M405" si="21">"per "&amp;EMIT_NAME</f>
        <v>per Mtonne</v>
      </c>
    </row>
    <row r="399" spans="1:13" s="7" customFormat="1" x14ac:dyDescent="0.25">
      <c r="A399" s="4" t="str">
        <v>US CH4</v>
      </c>
      <c r="B399" s="26">
        <f ca="1">'Preventative costs A'!B399-'Preventative costs B'!B399</f>
        <v>0</v>
      </c>
      <c r="C399" s="26">
        <f ca="1">'Preventative costs A'!C399-'Preventative costs B'!C399</f>
        <v>0</v>
      </c>
      <c r="D399" s="26">
        <f ca="1">'Preventative costs A'!D399-'Preventative costs B'!D399</f>
        <v>0</v>
      </c>
      <c r="E399" s="26">
        <f ca="1">'Preventative costs A'!E399-'Preventative costs B'!E399</f>
        <v>0</v>
      </c>
      <c r="F399" s="26">
        <f ca="1">'Preventative costs A'!F399-'Preventative costs B'!F399</f>
        <v>0</v>
      </c>
      <c r="G399" s="26">
        <f ca="1">'Preventative costs A'!G399-'Preventative costs B'!G399</f>
        <v>0</v>
      </c>
      <c r="H399" s="26">
        <f ca="1">'Preventative costs A'!H399-'Preventative costs B'!H399</f>
        <v>0</v>
      </c>
      <c r="I399" s="26">
        <f ca="1">'Preventative costs A'!I399-'Preventative costs B'!I399</f>
        <v>0</v>
      </c>
      <c r="J399" s="26">
        <f ca="1">'Preventative costs A'!J399-'Preventative costs B'!J399</f>
        <v>0</v>
      </c>
      <c r="K399" s="26">
        <f ca="1">'Preventative costs A'!K399-'Preventative costs B'!K399</f>
        <v>0</v>
      </c>
      <c r="M399" s="4" t="str">
        <f t="shared" si="21"/>
        <v>per Mtonne</v>
      </c>
    </row>
    <row r="400" spans="1:13" s="7" customFormat="1" x14ac:dyDescent="0.25">
      <c r="A400" s="4" t="str">
        <v>OT CH4</v>
      </c>
      <c r="B400" s="26">
        <f ca="1">'Preventative costs A'!B400-'Preventative costs B'!B400</f>
        <v>0</v>
      </c>
      <c r="C400" s="26">
        <f ca="1">'Preventative costs A'!C400-'Preventative costs B'!C400</f>
        <v>0</v>
      </c>
      <c r="D400" s="26">
        <f ca="1">'Preventative costs A'!D400-'Preventative costs B'!D400</f>
        <v>0</v>
      </c>
      <c r="E400" s="26">
        <f ca="1">'Preventative costs A'!E400-'Preventative costs B'!E400</f>
        <v>0</v>
      </c>
      <c r="F400" s="26">
        <f ca="1">'Preventative costs A'!F400-'Preventative costs B'!F400</f>
        <v>0</v>
      </c>
      <c r="G400" s="26">
        <f ca="1">'Preventative costs A'!G400-'Preventative costs B'!G400</f>
        <v>0</v>
      </c>
      <c r="H400" s="26">
        <f ca="1">'Preventative costs A'!H400-'Preventative costs B'!H400</f>
        <v>0</v>
      </c>
      <c r="I400" s="26">
        <f ca="1">'Preventative costs A'!I400-'Preventative costs B'!I400</f>
        <v>0</v>
      </c>
      <c r="J400" s="26">
        <f ca="1">'Preventative costs A'!J400-'Preventative costs B'!J400</f>
        <v>0</v>
      </c>
      <c r="K400" s="26">
        <f ca="1">'Preventative costs A'!K400-'Preventative costs B'!K400</f>
        <v>0</v>
      </c>
      <c r="M400" s="4" t="str">
        <f t="shared" si="21"/>
        <v>per Mtonne</v>
      </c>
    </row>
    <row r="401" spans="1:13" s="7" customFormat="1" x14ac:dyDescent="0.25">
      <c r="A401" s="4" t="str">
        <v>EE CH4</v>
      </c>
      <c r="B401" s="26">
        <f ca="1">'Preventative costs A'!B401-'Preventative costs B'!B401</f>
        <v>0</v>
      </c>
      <c r="C401" s="26">
        <f ca="1">'Preventative costs A'!C401-'Preventative costs B'!C401</f>
        <v>0</v>
      </c>
      <c r="D401" s="26">
        <f ca="1">'Preventative costs A'!D401-'Preventative costs B'!D401</f>
        <v>0</v>
      </c>
      <c r="E401" s="26">
        <f ca="1">'Preventative costs A'!E401-'Preventative costs B'!E401</f>
        <v>0</v>
      </c>
      <c r="F401" s="26">
        <f ca="1">'Preventative costs A'!F401-'Preventative costs B'!F401</f>
        <v>0</v>
      </c>
      <c r="G401" s="26">
        <f ca="1">'Preventative costs A'!G401-'Preventative costs B'!G401</f>
        <v>0</v>
      </c>
      <c r="H401" s="26">
        <f ca="1">'Preventative costs A'!H401-'Preventative costs B'!H401</f>
        <v>0</v>
      </c>
      <c r="I401" s="26">
        <f ca="1">'Preventative costs A'!I401-'Preventative costs B'!I401</f>
        <v>0</v>
      </c>
      <c r="J401" s="26">
        <f ca="1">'Preventative costs A'!J401-'Preventative costs B'!J401</f>
        <v>0</v>
      </c>
      <c r="K401" s="26">
        <f ca="1">'Preventative costs A'!K401-'Preventative costs B'!K401</f>
        <v>0</v>
      </c>
      <c r="M401" s="4" t="str">
        <f t="shared" si="21"/>
        <v>per Mtonne</v>
      </c>
    </row>
    <row r="402" spans="1:13" s="7" customFormat="1" x14ac:dyDescent="0.25">
      <c r="A402" s="4" t="str">
        <v>CA CH4</v>
      </c>
      <c r="B402" s="26">
        <f ca="1">'Preventative costs A'!B402-'Preventative costs B'!B402</f>
        <v>0</v>
      </c>
      <c r="C402" s="26">
        <f ca="1">'Preventative costs A'!C402-'Preventative costs B'!C402</f>
        <v>0</v>
      </c>
      <c r="D402" s="26">
        <f ca="1">'Preventative costs A'!D402-'Preventative costs B'!D402</f>
        <v>0</v>
      </c>
      <c r="E402" s="26">
        <f ca="1">'Preventative costs A'!E402-'Preventative costs B'!E402</f>
        <v>0</v>
      </c>
      <c r="F402" s="26">
        <f ca="1">'Preventative costs A'!F402-'Preventative costs B'!F402</f>
        <v>0</v>
      </c>
      <c r="G402" s="26">
        <f ca="1">'Preventative costs A'!G402-'Preventative costs B'!G402</f>
        <v>0</v>
      </c>
      <c r="H402" s="26">
        <f ca="1">'Preventative costs A'!H402-'Preventative costs B'!H402</f>
        <v>0</v>
      </c>
      <c r="I402" s="26">
        <f ca="1">'Preventative costs A'!I402-'Preventative costs B'!I402</f>
        <v>0</v>
      </c>
      <c r="J402" s="26">
        <f ca="1">'Preventative costs A'!J402-'Preventative costs B'!J402</f>
        <v>0</v>
      </c>
      <c r="K402" s="26">
        <f ca="1">'Preventative costs A'!K402-'Preventative costs B'!K402</f>
        <v>0</v>
      </c>
      <c r="M402" s="4" t="str">
        <f t="shared" si="21"/>
        <v>per Mtonne</v>
      </c>
    </row>
    <row r="403" spans="1:13" s="7" customFormat="1" x14ac:dyDescent="0.25">
      <c r="A403" s="4" t="str">
        <v>IA CH4</v>
      </c>
      <c r="B403" s="26">
        <f ca="1">'Preventative costs A'!B403-'Preventative costs B'!B403</f>
        <v>0</v>
      </c>
      <c r="C403" s="26">
        <f ca="1">'Preventative costs A'!C403-'Preventative costs B'!C403</f>
        <v>0</v>
      </c>
      <c r="D403" s="26">
        <f ca="1">'Preventative costs A'!D403-'Preventative costs B'!D403</f>
        <v>0</v>
      </c>
      <c r="E403" s="26">
        <f ca="1">'Preventative costs A'!E403-'Preventative costs B'!E403</f>
        <v>0</v>
      </c>
      <c r="F403" s="26">
        <f ca="1">'Preventative costs A'!F403-'Preventative costs B'!F403</f>
        <v>0</v>
      </c>
      <c r="G403" s="26">
        <f ca="1">'Preventative costs A'!G403-'Preventative costs B'!G403</f>
        <v>0</v>
      </c>
      <c r="H403" s="26">
        <f ca="1">'Preventative costs A'!H403-'Preventative costs B'!H403</f>
        <v>0</v>
      </c>
      <c r="I403" s="26">
        <f ca="1">'Preventative costs A'!I403-'Preventative costs B'!I403</f>
        <v>0</v>
      </c>
      <c r="J403" s="26">
        <f ca="1">'Preventative costs A'!J403-'Preventative costs B'!J403</f>
        <v>0</v>
      </c>
      <c r="K403" s="26">
        <f ca="1">'Preventative costs A'!K403-'Preventative costs B'!K403</f>
        <v>0</v>
      </c>
      <c r="M403" s="4" t="str">
        <f t="shared" si="21"/>
        <v>per Mtonne</v>
      </c>
    </row>
    <row r="404" spans="1:13" s="7" customFormat="1" x14ac:dyDescent="0.25">
      <c r="A404" s="4" t="str">
        <v>AF CH4</v>
      </c>
      <c r="B404" s="26">
        <f ca="1">'Preventative costs A'!B404-'Preventative costs B'!B404</f>
        <v>0</v>
      </c>
      <c r="C404" s="26">
        <f ca="1">'Preventative costs A'!C404-'Preventative costs B'!C404</f>
        <v>0</v>
      </c>
      <c r="D404" s="26">
        <f ca="1">'Preventative costs A'!D404-'Preventative costs B'!D404</f>
        <v>0</v>
      </c>
      <c r="E404" s="26">
        <f ca="1">'Preventative costs A'!E404-'Preventative costs B'!E404</f>
        <v>0</v>
      </c>
      <c r="F404" s="26">
        <f ca="1">'Preventative costs A'!F404-'Preventative costs B'!F404</f>
        <v>0</v>
      </c>
      <c r="G404" s="26">
        <f ca="1">'Preventative costs A'!G404-'Preventative costs B'!G404</f>
        <v>0</v>
      </c>
      <c r="H404" s="26">
        <f ca="1">'Preventative costs A'!H404-'Preventative costs B'!H404</f>
        <v>0</v>
      </c>
      <c r="I404" s="26">
        <f ca="1">'Preventative costs A'!I404-'Preventative costs B'!I404</f>
        <v>0</v>
      </c>
      <c r="J404" s="26">
        <f ca="1">'Preventative costs A'!J404-'Preventative costs B'!J404</f>
        <v>0</v>
      </c>
      <c r="K404" s="26">
        <f ca="1">'Preventative costs A'!K404-'Preventative costs B'!K404</f>
        <v>0</v>
      </c>
      <c r="M404" s="4" t="str">
        <f t="shared" si="21"/>
        <v>per Mtonne</v>
      </c>
    </row>
    <row r="405" spans="1:13" s="7" customFormat="1" ht="13" thickBot="1" x14ac:dyDescent="0.3">
      <c r="A405" s="4" t="str">
        <v>LA CH4</v>
      </c>
      <c r="B405" s="35">
        <f ca="1">'Preventative costs A'!B405-'Preventative costs B'!B405</f>
        <v>0</v>
      </c>
      <c r="C405" s="35">
        <f ca="1">'Preventative costs A'!C405-'Preventative costs B'!C405</f>
        <v>0</v>
      </c>
      <c r="D405" s="35">
        <f ca="1">'Preventative costs A'!D405-'Preventative costs B'!D405</f>
        <v>0</v>
      </c>
      <c r="E405" s="35">
        <f ca="1">'Preventative costs A'!E405-'Preventative costs B'!E405</f>
        <v>0</v>
      </c>
      <c r="F405" s="35">
        <f ca="1">'Preventative costs A'!F405-'Preventative costs B'!F405</f>
        <v>0</v>
      </c>
      <c r="G405" s="35">
        <f ca="1">'Preventative costs A'!G405-'Preventative costs B'!G405</f>
        <v>0</v>
      </c>
      <c r="H405" s="35">
        <f ca="1">'Preventative costs A'!H405-'Preventative costs B'!H405</f>
        <v>0</v>
      </c>
      <c r="I405" s="35">
        <f ca="1">'Preventative costs A'!I405-'Preventative costs B'!I405</f>
        <v>0</v>
      </c>
      <c r="J405" s="35">
        <f ca="1">'Preventative costs A'!J405-'Preventative costs B'!J405</f>
        <v>0</v>
      </c>
      <c r="K405" s="35">
        <f ca="1">'Preventative costs A'!K405-'Preventative costs B'!K405</f>
        <v>0</v>
      </c>
      <c r="M405" s="4" t="str">
        <f t="shared" si="21"/>
        <v>per Mtonne</v>
      </c>
    </row>
    <row r="406" spans="1:13" s="2" customFormat="1" ht="15.5" thickTop="1" x14ac:dyDescent="0.4">
      <c r="A406" s="2" t="s">
        <v>325</v>
      </c>
      <c r="B406" s="2" t="s">
        <v>328</v>
      </c>
    </row>
    <row r="407" spans="1:13" s="7" customFormat="1" x14ac:dyDescent="0.25">
      <c r="A407" s="4" t="str">
        <f t="array" ref="A407:A414">R_CODE&amp;" "&amp;'Base data'!$D$12</f>
        <v>EU N2O</v>
      </c>
      <c r="B407" s="29">
        <f ca="1">'Preventative costs A'!B407-'Preventative costs B'!B407</f>
        <v>0</v>
      </c>
      <c r="C407" s="29">
        <f ca="1">'Preventative costs A'!C407-'Preventative costs B'!C407</f>
        <v>0</v>
      </c>
      <c r="D407" s="29">
        <f ca="1">'Preventative costs A'!D407-'Preventative costs B'!D407</f>
        <v>0</v>
      </c>
      <c r="E407" s="29">
        <f ca="1">'Preventative costs A'!E407-'Preventative costs B'!E407</f>
        <v>0</v>
      </c>
      <c r="F407" s="29">
        <f ca="1">'Preventative costs A'!F407-'Preventative costs B'!F407</f>
        <v>0</v>
      </c>
      <c r="G407" s="29">
        <f ca="1">'Preventative costs A'!G407-'Preventative costs B'!G407</f>
        <v>0</v>
      </c>
      <c r="H407" s="29">
        <f ca="1">'Preventative costs A'!H407-'Preventative costs B'!H407</f>
        <v>0</v>
      </c>
      <c r="I407" s="29">
        <f ca="1">'Preventative costs A'!I407-'Preventative costs B'!I407</f>
        <v>0</v>
      </c>
      <c r="J407" s="29">
        <f ca="1">'Preventative costs A'!J407-'Preventative costs B'!J407</f>
        <v>0</v>
      </c>
      <c r="K407" s="29">
        <f ca="1">'Preventative costs A'!K407-'Preventative costs B'!K407</f>
        <v>0</v>
      </c>
      <c r="M407" s="4" t="str">
        <f t="shared" ref="M407:M414" si="22">"per "&amp;EMIT_NAME</f>
        <v>per Mtonne</v>
      </c>
    </row>
    <row r="408" spans="1:13" s="7" customFormat="1" x14ac:dyDescent="0.25">
      <c r="A408" s="4" t="str">
        <v>US N2O</v>
      </c>
      <c r="B408" s="26">
        <f ca="1">'Preventative costs A'!B408-'Preventative costs B'!B408</f>
        <v>0</v>
      </c>
      <c r="C408" s="26">
        <f ca="1">'Preventative costs A'!C408-'Preventative costs B'!C408</f>
        <v>0</v>
      </c>
      <c r="D408" s="26">
        <f ca="1">'Preventative costs A'!D408-'Preventative costs B'!D408</f>
        <v>0</v>
      </c>
      <c r="E408" s="26">
        <f ca="1">'Preventative costs A'!E408-'Preventative costs B'!E408</f>
        <v>0</v>
      </c>
      <c r="F408" s="26">
        <f ca="1">'Preventative costs A'!F408-'Preventative costs B'!F408</f>
        <v>0</v>
      </c>
      <c r="G408" s="26">
        <f ca="1">'Preventative costs A'!G408-'Preventative costs B'!G408</f>
        <v>0</v>
      </c>
      <c r="H408" s="26">
        <f ca="1">'Preventative costs A'!H408-'Preventative costs B'!H408</f>
        <v>0</v>
      </c>
      <c r="I408" s="26">
        <f ca="1">'Preventative costs A'!I408-'Preventative costs B'!I408</f>
        <v>0</v>
      </c>
      <c r="J408" s="26">
        <f ca="1">'Preventative costs A'!J408-'Preventative costs B'!J408</f>
        <v>0</v>
      </c>
      <c r="K408" s="26">
        <f ca="1">'Preventative costs A'!K408-'Preventative costs B'!K408</f>
        <v>0</v>
      </c>
      <c r="M408" s="4" t="str">
        <f t="shared" si="22"/>
        <v>per Mtonne</v>
      </c>
    </row>
    <row r="409" spans="1:13" s="7" customFormat="1" x14ac:dyDescent="0.25">
      <c r="A409" s="4" t="str">
        <v>OT N2O</v>
      </c>
      <c r="B409" s="26">
        <f ca="1">'Preventative costs A'!B409-'Preventative costs B'!B409</f>
        <v>0</v>
      </c>
      <c r="C409" s="26">
        <f ca="1">'Preventative costs A'!C409-'Preventative costs B'!C409</f>
        <v>0</v>
      </c>
      <c r="D409" s="26">
        <f ca="1">'Preventative costs A'!D409-'Preventative costs B'!D409</f>
        <v>0</v>
      </c>
      <c r="E409" s="26">
        <f ca="1">'Preventative costs A'!E409-'Preventative costs B'!E409</f>
        <v>0</v>
      </c>
      <c r="F409" s="26">
        <f ca="1">'Preventative costs A'!F409-'Preventative costs B'!F409</f>
        <v>0</v>
      </c>
      <c r="G409" s="26">
        <f ca="1">'Preventative costs A'!G409-'Preventative costs B'!G409</f>
        <v>0</v>
      </c>
      <c r="H409" s="26">
        <f ca="1">'Preventative costs A'!H409-'Preventative costs B'!H409</f>
        <v>0</v>
      </c>
      <c r="I409" s="26">
        <f ca="1">'Preventative costs A'!I409-'Preventative costs B'!I409</f>
        <v>0</v>
      </c>
      <c r="J409" s="26">
        <f ca="1">'Preventative costs A'!J409-'Preventative costs B'!J409</f>
        <v>0</v>
      </c>
      <c r="K409" s="26">
        <f ca="1">'Preventative costs A'!K409-'Preventative costs B'!K409</f>
        <v>0</v>
      </c>
      <c r="M409" s="4" t="str">
        <f t="shared" si="22"/>
        <v>per Mtonne</v>
      </c>
    </row>
    <row r="410" spans="1:13" s="7" customFormat="1" x14ac:dyDescent="0.25">
      <c r="A410" s="4" t="str">
        <v>EE N2O</v>
      </c>
      <c r="B410" s="26">
        <f ca="1">'Preventative costs A'!B410-'Preventative costs B'!B410</f>
        <v>0</v>
      </c>
      <c r="C410" s="26">
        <f ca="1">'Preventative costs A'!C410-'Preventative costs B'!C410</f>
        <v>0</v>
      </c>
      <c r="D410" s="26">
        <f ca="1">'Preventative costs A'!D410-'Preventative costs B'!D410</f>
        <v>0</v>
      </c>
      <c r="E410" s="26">
        <f ca="1">'Preventative costs A'!E410-'Preventative costs B'!E410</f>
        <v>0</v>
      </c>
      <c r="F410" s="26">
        <f ca="1">'Preventative costs A'!F410-'Preventative costs B'!F410</f>
        <v>0</v>
      </c>
      <c r="G410" s="26">
        <f ca="1">'Preventative costs A'!G410-'Preventative costs B'!G410</f>
        <v>0</v>
      </c>
      <c r="H410" s="26">
        <f ca="1">'Preventative costs A'!H410-'Preventative costs B'!H410</f>
        <v>0</v>
      </c>
      <c r="I410" s="26">
        <f ca="1">'Preventative costs A'!I410-'Preventative costs B'!I410</f>
        <v>0</v>
      </c>
      <c r="J410" s="26">
        <f ca="1">'Preventative costs A'!J410-'Preventative costs B'!J410</f>
        <v>0</v>
      </c>
      <c r="K410" s="26">
        <f ca="1">'Preventative costs A'!K410-'Preventative costs B'!K410</f>
        <v>0</v>
      </c>
      <c r="M410" s="4" t="str">
        <f t="shared" si="22"/>
        <v>per Mtonne</v>
      </c>
    </row>
    <row r="411" spans="1:13" s="7" customFormat="1" x14ac:dyDescent="0.25">
      <c r="A411" s="4" t="str">
        <v>CA N2O</v>
      </c>
      <c r="B411" s="26">
        <f ca="1">'Preventative costs A'!B411-'Preventative costs B'!B411</f>
        <v>0</v>
      </c>
      <c r="C411" s="26">
        <f ca="1">'Preventative costs A'!C411-'Preventative costs B'!C411</f>
        <v>0</v>
      </c>
      <c r="D411" s="26">
        <f ca="1">'Preventative costs A'!D411-'Preventative costs B'!D411</f>
        <v>0</v>
      </c>
      <c r="E411" s="26">
        <f ca="1">'Preventative costs A'!E411-'Preventative costs B'!E411</f>
        <v>0</v>
      </c>
      <c r="F411" s="26">
        <f ca="1">'Preventative costs A'!F411-'Preventative costs B'!F411</f>
        <v>0</v>
      </c>
      <c r="G411" s="26">
        <f ca="1">'Preventative costs A'!G411-'Preventative costs B'!G411</f>
        <v>0</v>
      </c>
      <c r="H411" s="26">
        <f ca="1">'Preventative costs A'!H411-'Preventative costs B'!H411</f>
        <v>0</v>
      </c>
      <c r="I411" s="26">
        <f ca="1">'Preventative costs A'!I411-'Preventative costs B'!I411</f>
        <v>0</v>
      </c>
      <c r="J411" s="26">
        <f ca="1">'Preventative costs A'!J411-'Preventative costs B'!J411</f>
        <v>0</v>
      </c>
      <c r="K411" s="26">
        <f ca="1">'Preventative costs A'!K411-'Preventative costs B'!K411</f>
        <v>0</v>
      </c>
      <c r="M411" s="4" t="str">
        <f t="shared" si="22"/>
        <v>per Mtonne</v>
      </c>
    </row>
    <row r="412" spans="1:13" s="7" customFormat="1" x14ac:dyDescent="0.25">
      <c r="A412" s="4" t="str">
        <v>IA N2O</v>
      </c>
      <c r="B412" s="26">
        <f ca="1">'Preventative costs A'!B412-'Preventative costs B'!B412</f>
        <v>0</v>
      </c>
      <c r="C412" s="26">
        <f ca="1">'Preventative costs A'!C412-'Preventative costs B'!C412</f>
        <v>0</v>
      </c>
      <c r="D412" s="26">
        <f ca="1">'Preventative costs A'!D412-'Preventative costs B'!D412</f>
        <v>0</v>
      </c>
      <c r="E412" s="26">
        <f ca="1">'Preventative costs A'!E412-'Preventative costs B'!E412</f>
        <v>0</v>
      </c>
      <c r="F412" s="26">
        <f ca="1">'Preventative costs A'!F412-'Preventative costs B'!F412</f>
        <v>0</v>
      </c>
      <c r="G412" s="26">
        <f ca="1">'Preventative costs A'!G412-'Preventative costs B'!G412</f>
        <v>0</v>
      </c>
      <c r="H412" s="26">
        <f ca="1">'Preventative costs A'!H412-'Preventative costs B'!H412</f>
        <v>0</v>
      </c>
      <c r="I412" s="26">
        <f ca="1">'Preventative costs A'!I412-'Preventative costs B'!I412</f>
        <v>0</v>
      </c>
      <c r="J412" s="26">
        <f ca="1">'Preventative costs A'!J412-'Preventative costs B'!J412</f>
        <v>0</v>
      </c>
      <c r="K412" s="26">
        <f ca="1">'Preventative costs A'!K412-'Preventative costs B'!K412</f>
        <v>0</v>
      </c>
      <c r="M412" s="4" t="str">
        <f t="shared" si="22"/>
        <v>per Mtonne</v>
      </c>
    </row>
    <row r="413" spans="1:13" s="7" customFormat="1" x14ac:dyDescent="0.25">
      <c r="A413" s="4" t="str">
        <v>AF N2O</v>
      </c>
      <c r="B413" s="26">
        <f ca="1">'Preventative costs A'!B413-'Preventative costs B'!B413</f>
        <v>0</v>
      </c>
      <c r="C413" s="26">
        <f ca="1">'Preventative costs A'!C413-'Preventative costs B'!C413</f>
        <v>0</v>
      </c>
      <c r="D413" s="26">
        <f ca="1">'Preventative costs A'!D413-'Preventative costs B'!D413</f>
        <v>0</v>
      </c>
      <c r="E413" s="26">
        <f ca="1">'Preventative costs A'!E413-'Preventative costs B'!E413</f>
        <v>0</v>
      </c>
      <c r="F413" s="26">
        <f ca="1">'Preventative costs A'!F413-'Preventative costs B'!F413</f>
        <v>0</v>
      </c>
      <c r="G413" s="26">
        <f ca="1">'Preventative costs A'!G413-'Preventative costs B'!G413</f>
        <v>0</v>
      </c>
      <c r="H413" s="26">
        <f ca="1">'Preventative costs A'!H413-'Preventative costs B'!H413</f>
        <v>0</v>
      </c>
      <c r="I413" s="26">
        <f ca="1">'Preventative costs A'!I413-'Preventative costs B'!I413</f>
        <v>0</v>
      </c>
      <c r="J413" s="26">
        <f ca="1">'Preventative costs A'!J413-'Preventative costs B'!J413</f>
        <v>0</v>
      </c>
      <c r="K413" s="26">
        <f ca="1">'Preventative costs A'!K413-'Preventative costs B'!K413</f>
        <v>0</v>
      </c>
      <c r="M413" s="4" t="str">
        <f t="shared" si="22"/>
        <v>per Mtonne</v>
      </c>
    </row>
    <row r="414" spans="1:13" s="7" customFormat="1" ht="13" thickBot="1" x14ac:dyDescent="0.3">
      <c r="A414" s="4" t="str">
        <v>LA N2O</v>
      </c>
      <c r="B414" s="35">
        <f ca="1">'Preventative costs A'!B414-'Preventative costs B'!B414</f>
        <v>0</v>
      </c>
      <c r="C414" s="35">
        <f ca="1">'Preventative costs A'!C414-'Preventative costs B'!C414</f>
        <v>0</v>
      </c>
      <c r="D414" s="35">
        <f ca="1">'Preventative costs A'!D414-'Preventative costs B'!D414</f>
        <v>0</v>
      </c>
      <c r="E414" s="35">
        <f ca="1">'Preventative costs A'!E414-'Preventative costs B'!E414</f>
        <v>0</v>
      </c>
      <c r="F414" s="35">
        <f ca="1">'Preventative costs A'!F414-'Preventative costs B'!F414</f>
        <v>0</v>
      </c>
      <c r="G414" s="35">
        <f ca="1">'Preventative costs A'!G414-'Preventative costs B'!G414</f>
        <v>0</v>
      </c>
      <c r="H414" s="35">
        <f ca="1">'Preventative costs A'!H414-'Preventative costs B'!H414</f>
        <v>0</v>
      </c>
      <c r="I414" s="35">
        <f ca="1">'Preventative costs A'!I414-'Preventative costs B'!I414</f>
        <v>0</v>
      </c>
      <c r="J414" s="35">
        <f ca="1">'Preventative costs A'!J414-'Preventative costs B'!J414</f>
        <v>0</v>
      </c>
      <c r="K414" s="35">
        <f ca="1">'Preventative costs A'!K414-'Preventative costs B'!K414</f>
        <v>0</v>
      </c>
      <c r="M414" s="4" t="str">
        <f t="shared" si="22"/>
        <v>per Mtonne</v>
      </c>
    </row>
    <row r="415" spans="1:13" s="2" customFormat="1" ht="15.5" thickTop="1" x14ac:dyDescent="0.4">
      <c r="A415" s="2" t="s">
        <v>325</v>
      </c>
      <c r="B415" s="2" t="s">
        <v>329</v>
      </c>
    </row>
    <row r="416" spans="1:13" s="7" customFormat="1" x14ac:dyDescent="0.25">
      <c r="A416" s="4" t="str">
        <f t="array" ref="A416:A423">R_CODE&amp;" "&amp;GLIN_NAME</f>
        <v>EU Lin</v>
      </c>
      <c r="B416" s="29">
        <f ca="1">'Preventative costs A'!B416-'Preventative costs B'!B416</f>
        <v>0</v>
      </c>
      <c r="C416" s="29">
        <f ca="1">'Preventative costs A'!C416-'Preventative costs B'!C416</f>
        <v>0</v>
      </c>
      <c r="D416" s="29">
        <f ca="1">'Preventative costs A'!D416-'Preventative costs B'!D416</f>
        <v>0</v>
      </c>
      <c r="E416" s="29">
        <f ca="1">'Preventative costs A'!E416-'Preventative costs B'!E416</f>
        <v>0</v>
      </c>
      <c r="F416" s="29">
        <f ca="1">'Preventative costs A'!F416-'Preventative costs B'!F416</f>
        <v>0</v>
      </c>
      <c r="G416" s="29">
        <f ca="1">'Preventative costs A'!G416-'Preventative costs B'!G416</f>
        <v>0</v>
      </c>
      <c r="H416" s="29">
        <f ca="1">'Preventative costs A'!H416-'Preventative costs B'!H416</f>
        <v>0</v>
      </c>
      <c r="I416" s="29">
        <f ca="1">'Preventative costs A'!I416-'Preventative costs B'!I416</f>
        <v>0</v>
      </c>
      <c r="J416" s="29">
        <f ca="1">'Preventative costs A'!J416-'Preventative costs B'!J416</f>
        <v>0</v>
      </c>
      <c r="K416" s="29">
        <f ca="1">'Preventative costs A'!K416-'Preventative costs B'!K416</f>
        <v>0</v>
      </c>
      <c r="M416" s="4" t="str">
        <f t="shared" ref="M416:M423" si="23">"per "&amp;EMIT_NAME</f>
        <v>per Mtonne</v>
      </c>
    </row>
    <row r="417" spans="1:13" s="7" customFormat="1" x14ac:dyDescent="0.25">
      <c r="A417" s="4" t="str">
        <v>US Lin</v>
      </c>
      <c r="B417" s="26">
        <f ca="1">'Preventative costs A'!B417-'Preventative costs B'!B417</f>
        <v>0</v>
      </c>
      <c r="C417" s="26">
        <f ca="1">'Preventative costs A'!C417-'Preventative costs B'!C417</f>
        <v>0</v>
      </c>
      <c r="D417" s="26">
        <f ca="1">'Preventative costs A'!D417-'Preventative costs B'!D417</f>
        <v>0</v>
      </c>
      <c r="E417" s="26">
        <f ca="1">'Preventative costs A'!E417-'Preventative costs B'!E417</f>
        <v>0</v>
      </c>
      <c r="F417" s="26">
        <f ca="1">'Preventative costs A'!F417-'Preventative costs B'!F417</f>
        <v>0</v>
      </c>
      <c r="G417" s="26">
        <f ca="1">'Preventative costs A'!G417-'Preventative costs B'!G417</f>
        <v>0</v>
      </c>
      <c r="H417" s="26">
        <f ca="1">'Preventative costs A'!H417-'Preventative costs B'!H417</f>
        <v>0</v>
      </c>
      <c r="I417" s="26">
        <f ca="1">'Preventative costs A'!I417-'Preventative costs B'!I417</f>
        <v>0</v>
      </c>
      <c r="J417" s="26">
        <f ca="1">'Preventative costs A'!J417-'Preventative costs B'!J417</f>
        <v>0</v>
      </c>
      <c r="K417" s="26">
        <f ca="1">'Preventative costs A'!K417-'Preventative costs B'!K417</f>
        <v>0</v>
      </c>
      <c r="M417" s="4" t="str">
        <f t="shared" si="23"/>
        <v>per Mtonne</v>
      </c>
    </row>
    <row r="418" spans="1:13" s="7" customFormat="1" x14ac:dyDescent="0.25">
      <c r="A418" s="4" t="str">
        <v>OT Lin</v>
      </c>
      <c r="B418" s="26">
        <f ca="1">'Preventative costs A'!B418-'Preventative costs B'!B418</f>
        <v>0</v>
      </c>
      <c r="C418" s="26">
        <f ca="1">'Preventative costs A'!C418-'Preventative costs B'!C418</f>
        <v>0</v>
      </c>
      <c r="D418" s="26">
        <f ca="1">'Preventative costs A'!D418-'Preventative costs B'!D418</f>
        <v>0</v>
      </c>
      <c r="E418" s="26">
        <f ca="1">'Preventative costs A'!E418-'Preventative costs B'!E418</f>
        <v>0</v>
      </c>
      <c r="F418" s="26">
        <f ca="1">'Preventative costs A'!F418-'Preventative costs B'!F418</f>
        <v>0</v>
      </c>
      <c r="G418" s="26">
        <f ca="1">'Preventative costs A'!G418-'Preventative costs B'!G418</f>
        <v>0</v>
      </c>
      <c r="H418" s="26">
        <f ca="1">'Preventative costs A'!H418-'Preventative costs B'!H418</f>
        <v>0</v>
      </c>
      <c r="I418" s="26">
        <f ca="1">'Preventative costs A'!I418-'Preventative costs B'!I418</f>
        <v>0</v>
      </c>
      <c r="J418" s="26">
        <f ca="1">'Preventative costs A'!J418-'Preventative costs B'!J418</f>
        <v>0</v>
      </c>
      <c r="K418" s="26">
        <f ca="1">'Preventative costs A'!K418-'Preventative costs B'!K418</f>
        <v>0</v>
      </c>
      <c r="M418" s="4" t="str">
        <f t="shared" si="23"/>
        <v>per Mtonne</v>
      </c>
    </row>
    <row r="419" spans="1:13" s="7" customFormat="1" x14ac:dyDescent="0.25">
      <c r="A419" s="4" t="str">
        <v>EE Lin</v>
      </c>
      <c r="B419" s="26">
        <f ca="1">'Preventative costs A'!B419-'Preventative costs B'!B419</f>
        <v>0</v>
      </c>
      <c r="C419" s="26">
        <f ca="1">'Preventative costs A'!C419-'Preventative costs B'!C419</f>
        <v>0</v>
      </c>
      <c r="D419" s="26">
        <f ca="1">'Preventative costs A'!D419-'Preventative costs B'!D419</f>
        <v>0</v>
      </c>
      <c r="E419" s="26">
        <f ca="1">'Preventative costs A'!E419-'Preventative costs B'!E419</f>
        <v>0</v>
      </c>
      <c r="F419" s="26">
        <f ca="1">'Preventative costs A'!F419-'Preventative costs B'!F419</f>
        <v>0</v>
      </c>
      <c r="G419" s="26">
        <f ca="1">'Preventative costs A'!G419-'Preventative costs B'!G419</f>
        <v>0</v>
      </c>
      <c r="H419" s="26">
        <f ca="1">'Preventative costs A'!H419-'Preventative costs B'!H419</f>
        <v>0</v>
      </c>
      <c r="I419" s="26">
        <f ca="1">'Preventative costs A'!I419-'Preventative costs B'!I419</f>
        <v>0</v>
      </c>
      <c r="J419" s="26">
        <f ca="1">'Preventative costs A'!J419-'Preventative costs B'!J419</f>
        <v>0</v>
      </c>
      <c r="K419" s="26">
        <f ca="1">'Preventative costs A'!K419-'Preventative costs B'!K419</f>
        <v>0</v>
      </c>
      <c r="M419" s="4" t="str">
        <f t="shared" si="23"/>
        <v>per Mtonne</v>
      </c>
    </row>
    <row r="420" spans="1:13" s="7" customFormat="1" x14ac:dyDescent="0.25">
      <c r="A420" s="4" t="str">
        <v>CA Lin</v>
      </c>
      <c r="B420" s="26">
        <f ca="1">'Preventative costs A'!B420-'Preventative costs B'!B420</f>
        <v>0</v>
      </c>
      <c r="C420" s="26">
        <f ca="1">'Preventative costs A'!C420-'Preventative costs B'!C420</f>
        <v>0</v>
      </c>
      <c r="D420" s="26">
        <f ca="1">'Preventative costs A'!D420-'Preventative costs B'!D420</f>
        <v>0</v>
      </c>
      <c r="E420" s="26">
        <f ca="1">'Preventative costs A'!E420-'Preventative costs B'!E420</f>
        <v>0</v>
      </c>
      <c r="F420" s="26">
        <f ca="1">'Preventative costs A'!F420-'Preventative costs B'!F420</f>
        <v>0</v>
      </c>
      <c r="G420" s="26">
        <f ca="1">'Preventative costs A'!G420-'Preventative costs B'!G420</f>
        <v>0</v>
      </c>
      <c r="H420" s="26">
        <f ca="1">'Preventative costs A'!H420-'Preventative costs B'!H420</f>
        <v>0</v>
      </c>
      <c r="I420" s="26">
        <f ca="1">'Preventative costs A'!I420-'Preventative costs B'!I420</f>
        <v>0</v>
      </c>
      <c r="J420" s="26">
        <f ca="1">'Preventative costs A'!J420-'Preventative costs B'!J420</f>
        <v>0</v>
      </c>
      <c r="K420" s="26">
        <f ca="1">'Preventative costs A'!K420-'Preventative costs B'!K420</f>
        <v>0</v>
      </c>
      <c r="M420" s="4" t="str">
        <f t="shared" si="23"/>
        <v>per Mtonne</v>
      </c>
    </row>
    <row r="421" spans="1:13" s="7" customFormat="1" x14ac:dyDescent="0.25">
      <c r="A421" s="4" t="str">
        <v>IA Lin</v>
      </c>
      <c r="B421" s="26">
        <f ca="1">'Preventative costs A'!B421-'Preventative costs B'!B421</f>
        <v>0</v>
      </c>
      <c r="C421" s="26">
        <f ca="1">'Preventative costs A'!C421-'Preventative costs B'!C421</f>
        <v>0</v>
      </c>
      <c r="D421" s="26">
        <f ca="1">'Preventative costs A'!D421-'Preventative costs B'!D421</f>
        <v>0</v>
      </c>
      <c r="E421" s="26">
        <f ca="1">'Preventative costs A'!E421-'Preventative costs B'!E421</f>
        <v>0</v>
      </c>
      <c r="F421" s="26">
        <f ca="1">'Preventative costs A'!F421-'Preventative costs B'!F421</f>
        <v>0</v>
      </c>
      <c r="G421" s="26">
        <f ca="1">'Preventative costs A'!G421-'Preventative costs B'!G421</f>
        <v>0</v>
      </c>
      <c r="H421" s="26">
        <f ca="1">'Preventative costs A'!H421-'Preventative costs B'!H421</f>
        <v>0</v>
      </c>
      <c r="I421" s="26">
        <f ca="1">'Preventative costs A'!I421-'Preventative costs B'!I421</f>
        <v>0</v>
      </c>
      <c r="J421" s="26">
        <f ca="1">'Preventative costs A'!J421-'Preventative costs B'!J421</f>
        <v>0</v>
      </c>
      <c r="K421" s="26">
        <f ca="1">'Preventative costs A'!K421-'Preventative costs B'!K421</f>
        <v>0</v>
      </c>
      <c r="M421" s="4" t="str">
        <f t="shared" si="23"/>
        <v>per Mtonne</v>
      </c>
    </row>
    <row r="422" spans="1:13" s="7" customFormat="1" x14ac:dyDescent="0.25">
      <c r="A422" s="4" t="str">
        <v>AF Lin</v>
      </c>
      <c r="B422" s="26">
        <f ca="1">'Preventative costs A'!B422-'Preventative costs B'!B422</f>
        <v>0</v>
      </c>
      <c r="C422" s="26">
        <f ca="1">'Preventative costs A'!C422-'Preventative costs B'!C422</f>
        <v>0</v>
      </c>
      <c r="D422" s="26">
        <f ca="1">'Preventative costs A'!D422-'Preventative costs B'!D422</f>
        <v>0</v>
      </c>
      <c r="E422" s="26">
        <f ca="1">'Preventative costs A'!E422-'Preventative costs B'!E422</f>
        <v>0</v>
      </c>
      <c r="F422" s="26">
        <f ca="1">'Preventative costs A'!F422-'Preventative costs B'!F422</f>
        <v>0</v>
      </c>
      <c r="G422" s="26">
        <f ca="1">'Preventative costs A'!G422-'Preventative costs B'!G422</f>
        <v>0</v>
      </c>
      <c r="H422" s="26">
        <f ca="1">'Preventative costs A'!H422-'Preventative costs B'!H422</f>
        <v>0</v>
      </c>
      <c r="I422" s="26">
        <f ca="1">'Preventative costs A'!I422-'Preventative costs B'!I422</f>
        <v>0</v>
      </c>
      <c r="J422" s="26">
        <f ca="1">'Preventative costs A'!J422-'Preventative costs B'!J422</f>
        <v>0</v>
      </c>
      <c r="K422" s="26">
        <f ca="1">'Preventative costs A'!K422-'Preventative costs B'!K422</f>
        <v>0</v>
      </c>
      <c r="M422" s="4" t="str">
        <f t="shared" si="23"/>
        <v>per Mtonne</v>
      </c>
    </row>
    <row r="423" spans="1:13" s="7" customFormat="1" ht="13" thickBot="1" x14ac:dyDescent="0.3">
      <c r="A423" s="4" t="str">
        <v>LA Lin</v>
      </c>
      <c r="B423" s="35">
        <f ca="1">'Preventative costs A'!B423-'Preventative costs B'!B423</f>
        <v>0</v>
      </c>
      <c r="C423" s="35">
        <f ca="1">'Preventative costs A'!C423-'Preventative costs B'!C423</f>
        <v>0</v>
      </c>
      <c r="D423" s="35">
        <f ca="1">'Preventative costs A'!D423-'Preventative costs B'!D423</f>
        <v>0</v>
      </c>
      <c r="E423" s="35">
        <f ca="1">'Preventative costs A'!E423-'Preventative costs B'!E423</f>
        <v>0</v>
      </c>
      <c r="F423" s="35">
        <f ca="1">'Preventative costs A'!F423-'Preventative costs B'!F423</f>
        <v>0</v>
      </c>
      <c r="G423" s="35">
        <f ca="1">'Preventative costs A'!G423-'Preventative costs B'!G423</f>
        <v>0</v>
      </c>
      <c r="H423" s="35">
        <f ca="1">'Preventative costs A'!H423-'Preventative costs B'!H423</f>
        <v>0</v>
      </c>
      <c r="I423" s="35">
        <f ca="1">'Preventative costs A'!I423-'Preventative costs B'!I423</f>
        <v>0</v>
      </c>
      <c r="J423" s="35">
        <f ca="1">'Preventative costs A'!J423-'Preventative costs B'!J423</f>
        <v>0</v>
      </c>
      <c r="K423" s="35">
        <f ca="1">'Preventative costs A'!K423-'Preventative costs B'!K423</f>
        <v>0</v>
      </c>
      <c r="M423" s="4" t="str">
        <f t="shared" si="23"/>
        <v>per Mtonne</v>
      </c>
    </row>
    <row r="424" spans="1:13" s="2" customFormat="1" ht="15.5" thickTop="1" x14ac:dyDescent="0.4">
      <c r="A424" s="2" t="s">
        <v>324</v>
      </c>
      <c r="B424" s="2" t="s">
        <v>330</v>
      </c>
    </row>
    <row r="425" spans="1:13" s="6" customFormat="1" x14ac:dyDescent="0.25">
      <c r="A425" s="4" t="str">
        <f t="array" ref="A425:A432">R_CODE&amp;" "&amp;'Base data'!$B$12</f>
        <v>EU CO2</v>
      </c>
      <c r="B425" s="29">
        <f ca="1">'Preventative costs A'!B425-'Preventative costs B'!B425</f>
        <v>0</v>
      </c>
      <c r="C425" s="29">
        <f ca="1">'Preventative costs A'!C425-'Preventative costs B'!C425</f>
        <v>0</v>
      </c>
      <c r="D425" s="29">
        <f ca="1">'Preventative costs A'!D425-'Preventative costs B'!D425</f>
        <v>0</v>
      </c>
      <c r="E425" s="29">
        <f ca="1">'Preventative costs A'!E425-'Preventative costs B'!E425</f>
        <v>0</v>
      </c>
      <c r="F425" s="29">
        <f ca="1">'Preventative costs A'!F425-'Preventative costs B'!F425</f>
        <v>0</v>
      </c>
      <c r="G425" s="29">
        <f ca="1">'Preventative costs A'!G425-'Preventative costs B'!G425</f>
        <v>0</v>
      </c>
      <c r="H425" s="29">
        <f ca="1">'Preventative costs A'!H425-'Preventative costs B'!H425</f>
        <v>0</v>
      </c>
      <c r="I425" s="29">
        <f ca="1">'Preventative costs A'!I425-'Preventative costs B'!I425</f>
        <v>0</v>
      </c>
      <c r="J425" s="29">
        <f ca="1">'Preventative costs A'!J425-'Preventative costs B'!J425</f>
        <v>0</v>
      </c>
      <c r="K425" s="29">
        <f ca="1">'Preventative costs A'!K425-'Preventative costs B'!K425</f>
        <v>0</v>
      </c>
      <c r="M425" s="4" t="str">
        <f t="shared" ref="M425:M432" si="24">CURRENCY_NAME&amp;" per "&amp;EMIT_NAME</f>
        <v>$M(2015) per Mtonne</v>
      </c>
    </row>
    <row r="426" spans="1:13" s="6" customFormat="1" x14ac:dyDescent="0.25">
      <c r="A426" s="4" t="str">
        <v>US CO2</v>
      </c>
      <c r="B426" s="26">
        <f ca="1">'Preventative costs A'!B426-'Preventative costs B'!B426</f>
        <v>0</v>
      </c>
      <c r="C426" s="26">
        <f ca="1">'Preventative costs A'!C426-'Preventative costs B'!C426</f>
        <v>0</v>
      </c>
      <c r="D426" s="26">
        <f ca="1">'Preventative costs A'!D426-'Preventative costs B'!D426</f>
        <v>0</v>
      </c>
      <c r="E426" s="26">
        <f ca="1">'Preventative costs A'!E426-'Preventative costs B'!E426</f>
        <v>0</v>
      </c>
      <c r="F426" s="26">
        <f ca="1">'Preventative costs A'!F426-'Preventative costs B'!F426</f>
        <v>0</v>
      </c>
      <c r="G426" s="26">
        <f ca="1">'Preventative costs A'!G426-'Preventative costs B'!G426</f>
        <v>0</v>
      </c>
      <c r="H426" s="26">
        <f ca="1">'Preventative costs A'!H426-'Preventative costs B'!H426</f>
        <v>0</v>
      </c>
      <c r="I426" s="26">
        <f ca="1">'Preventative costs A'!I426-'Preventative costs B'!I426</f>
        <v>0</v>
      </c>
      <c r="J426" s="26">
        <f ca="1">'Preventative costs A'!J426-'Preventative costs B'!J426</f>
        <v>0</v>
      </c>
      <c r="K426" s="26">
        <f ca="1">'Preventative costs A'!K426-'Preventative costs B'!K426</f>
        <v>0</v>
      </c>
      <c r="M426" s="4" t="str">
        <f t="shared" si="24"/>
        <v>$M(2015) per Mtonne</v>
      </c>
    </row>
    <row r="427" spans="1:13" s="6" customFormat="1" x14ac:dyDescent="0.25">
      <c r="A427" s="4" t="str">
        <v>OT CO2</v>
      </c>
      <c r="B427" s="26">
        <f ca="1">'Preventative costs A'!B427-'Preventative costs B'!B427</f>
        <v>0</v>
      </c>
      <c r="C427" s="26">
        <f ca="1">'Preventative costs A'!C427-'Preventative costs B'!C427</f>
        <v>0</v>
      </c>
      <c r="D427" s="26">
        <f ca="1">'Preventative costs A'!D427-'Preventative costs B'!D427</f>
        <v>0</v>
      </c>
      <c r="E427" s="26">
        <f ca="1">'Preventative costs A'!E427-'Preventative costs B'!E427</f>
        <v>0</v>
      </c>
      <c r="F427" s="26">
        <f ca="1">'Preventative costs A'!F427-'Preventative costs B'!F427</f>
        <v>0</v>
      </c>
      <c r="G427" s="26">
        <f ca="1">'Preventative costs A'!G427-'Preventative costs B'!G427</f>
        <v>0</v>
      </c>
      <c r="H427" s="26">
        <f ca="1">'Preventative costs A'!H427-'Preventative costs B'!H427</f>
        <v>0</v>
      </c>
      <c r="I427" s="26">
        <f ca="1">'Preventative costs A'!I427-'Preventative costs B'!I427</f>
        <v>0</v>
      </c>
      <c r="J427" s="26">
        <f ca="1">'Preventative costs A'!J427-'Preventative costs B'!J427</f>
        <v>0</v>
      </c>
      <c r="K427" s="26">
        <f ca="1">'Preventative costs A'!K427-'Preventative costs B'!K427</f>
        <v>0</v>
      </c>
      <c r="M427" s="4" t="str">
        <f t="shared" si="24"/>
        <v>$M(2015) per Mtonne</v>
      </c>
    </row>
    <row r="428" spans="1:13" s="6" customFormat="1" x14ac:dyDescent="0.25">
      <c r="A428" s="4" t="str">
        <v>EE CO2</v>
      </c>
      <c r="B428" s="26">
        <f ca="1">'Preventative costs A'!B428-'Preventative costs B'!B428</f>
        <v>0</v>
      </c>
      <c r="C428" s="26">
        <f ca="1">'Preventative costs A'!C428-'Preventative costs B'!C428</f>
        <v>0</v>
      </c>
      <c r="D428" s="26">
        <f ca="1">'Preventative costs A'!D428-'Preventative costs B'!D428</f>
        <v>0</v>
      </c>
      <c r="E428" s="26">
        <f ca="1">'Preventative costs A'!E428-'Preventative costs B'!E428</f>
        <v>0</v>
      </c>
      <c r="F428" s="26">
        <f ca="1">'Preventative costs A'!F428-'Preventative costs B'!F428</f>
        <v>0</v>
      </c>
      <c r="G428" s="26">
        <f ca="1">'Preventative costs A'!G428-'Preventative costs B'!G428</f>
        <v>0</v>
      </c>
      <c r="H428" s="26">
        <f ca="1">'Preventative costs A'!H428-'Preventative costs B'!H428</f>
        <v>0</v>
      </c>
      <c r="I428" s="26">
        <f ca="1">'Preventative costs A'!I428-'Preventative costs B'!I428</f>
        <v>0</v>
      </c>
      <c r="J428" s="26">
        <f ca="1">'Preventative costs A'!J428-'Preventative costs B'!J428</f>
        <v>0</v>
      </c>
      <c r="K428" s="26">
        <f ca="1">'Preventative costs A'!K428-'Preventative costs B'!K428</f>
        <v>0</v>
      </c>
      <c r="M428" s="4" t="str">
        <f t="shared" si="24"/>
        <v>$M(2015) per Mtonne</v>
      </c>
    </row>
    <row r="429" spans="1:13" s="6" customFormat="1" x14ac:dyDescent="0.25">
      <c r="A429" s="4" t="str">
        <v>CA CO2</v>
      </c>
      <c r="B429" s="26">
        <f ca="1">'Preventative costs A'!B429-'Preventative costs B'!B429</f>
        <v>0</v>
      </c>
      <c r="C429" s="26">
        <f ca="1">'Preventative costs A'!C429-'Preventative costs B'!C429</f>
        <v>0</v>
      </c>
      <c r="D429" s="26">
        <f ca="1">'Preventative costs A'!D429-'Preventative costs B'!D429</f>
        <v>0</v>
      </c>
      <c r="E429" s="26">
        <f ca="1">'Preventative costs A'!E429-'Preventative costs B'!E429</f>
        <v>0</v>
      </c>
      <c r="F429" s="26">
        <f ca="1">'Preventative costs A'!F429-'Preventative costs B'!F429</f>
        <v>0</v>
      </c>
      <c r="G429" s="26">
        <f ca="1">'Preventative costs A'!G429-'Preventative costs B'!G429</f>
        <v>0</v>
      </c>
      <c r="H429" s="26">
        <f ca="1">'Preventative costs A'!H429-'Preventative costs B'!H429</f>
        <v>0</v>
      </c>
      <c r="I429" s="26">
        <f ca="1">'Preventative costs A'!I429-'Preventative costs B'!I429</f>
        <v>0</v>
      </c>
      <c r="J429" s="26">
        <f ca="1">'Preventative costs A'!J429-'Preventative costs B'!J429</f>
        <v>0</v>
      </c>
      <c r="K429" s="26">
        <f ca="1">'Preventative costs A'!K429-'Preventative costs B'!K429</f>
        <v>0</v>
      </c>
      <c r="M429" s="4" t="str">
        <f t="shared" si="24"/>
        <v>$M(2015) per Mtonne</v>
      </c>
    </row>
    <row r="430" spans="1:13" s="6" customFormat="1" x14ac:dyDescent="0.25">
      <c r="A430" s="4" t="str">
        <v>IA CO2</v>
      </c>
      <c r="B430" s="26">
        <f ca="1">'Preventative costs A'!B430-'Preventative costs B'!B430</f>
        <v>0</v>
      </c>
      <c r="C430" s="26">
        <f ca="1">'Preventative costs A'!C430-'Preventative costs B'!C430</f>
        <v>0</v>
      </c>
      <c r="D430" s="26">
        <f ca="1">'Preventative costs A'!D430-'Preventative costs B'!D430</f>
        <v>0</v>
      </c>
      <c r="E430" s="26">
        <f ca="1">'Preventative costs A'!E430-'Preventative costs B'!E430</f>
        <v>0</v>
      </c>
      <c r="F430" s="26">
        <f ca="1">'Preventative costs A'!F430-'Preventative costs B'!F430</f>
        <v>0</v>
      </c>
      <c r="G430" s="26">
        <f ca="1">'Preventative costs A'!G430-'Preventative costs B'!G430</f>
        <v>0</v>
      </c>
      <c r="H430" s="26">
        <f ca="1">'Preventative costs A'!H430-'Preventative costs B'!H430</f>
        <v>0</v>
      </c>
      <c r="I430" s="26">
        <f ca="1">'Preventative costs A'!I430-'Preventative costs B'!I430</f>
        <v>0</v>
      </c>
      <c r="J430" s="26">
        <f ca="1">'Preventative costs A'!J430-'Preventative costs B'!J430</f>
        <v>0</v>
      </c>
      <c r="K430" s="26">
        <f ca="1">'Preventative costs A'!K430-'Preventative costs B'!K430</f>
        <v>0</v>
      </c>
      <c r="M430" s="4" t="str">
        <f t="shared" si="24"/>
        <v>$M(2015) per Mtonne</v>
      </c>
    </row>
    <row r="431" spans="1:13" s="6" customFormat="1" x14ac:dyDescent="0.25">
      <c r="A431" s="4" t="str">
        <v>AF CO2</v>
      </c>
      <c r="B431" s="26">
        <f ca="1">'Preventative costs A'!B431-'Preventative costs B'!B431</f>
        <v>0</v>
      </c>
      <c r="C431" s="26">
        <f ca="1">'Preventative costs A'!C431-'Preventative costs B'!C431</f>
        <v>0</v>
      </c>
      <c r="D431" s="26">
        <f ca="1">'Preventative costs A'!D431-'Preventative costs B'!D431</f>
        <v>0</v>
      </c>
      <c r="E431" s="26">
        <f ca="1">'Preventative costs A'!E431-'Preventative costs B'!E431</f>
        <v>0</v>
      </c>
      <c r="F431" s="26">
        <f ca="1">'Preventative costs A'!F431-'Preventative costs B'!F431</f>
        <v>0</v>
      </c>
      <c r="G431" s="26">
        <f ca="1">'Preventative costs A'!G431-'Preventative costs B'!G431</f>
        <v>0</v>
      </c>
      <c r="H431" s="26">
        <f ca="1">'Preventative costs A'!H431-'Preventative costs B'!H431</f>
        <v>0</v>
      </c>
      <c r="I431" s="26">
        <f ca="1">'Preventative costs A'!I431-'Preventative costs B'!I431</f>
        <v>0</v>
      </c>
      <c r="J431" s="26">
        <f ca="1">'Preventative costs A'!J431-'Preventative costs B'!J431</f>
        <v>0</v>
      </c>
      <c r="K431" s="26">
        <f ca="1">'Preventative costs A'!K431-'Preventative costs B'!K431</f>
        <v>0</v>
      </c>
      <c r="M431" s="4" t="str">
        <f t="shared" si="24"/>
        <v>$M(2015) per Mtonne</v>
      </c>
    </row>
    <row r="432" spans="1:13" s="6" customFormat="1" ht="13" thickBot="1" x14ac:dyDescent="0.3">
      <c r="A432" s="4" t="str">
        <v>LA CO2</v>
      </c>
      <c r="B432" s="35">
        <f ca="1">'Preventative costs A'!B432-'Preventative costs B'!B432</f>
        <v>0</v>
      </c>
      <c r="C432" s="35">
        <f ca="1">'Preventative costs A'!C432-'Preventative costs B'!C432</f>
        <v>0</v>
      </c>
      <c r="D432" s="35">
        <f ca="1">'Preventative costs A'!D432-'Preventative costs B'!D432</f>
        <v>0</v>
      </c>
      <c r="E432" s="35">
        <f ca="1">'Preventative costs A'!E432-'Preventative costs B'!E432</f>
        <v>0</v>
      </c>
      <c r="F432" s="35">
        <f ca="1">'Preventative costs A'!F432-'Preventative costs B'!F432</f>
        <v>0</v>
      </c>
      <c r="G432" s="35">
        <f ca="1">'Preventative costs A'!G432-'Preventative costs B'!G432</f>
        <v>0</v>
      </c>
      <c r="H432" s="35">
        <f ca="1">'Preventative costs A'!H432-'Preventative costs B'!H432</f>
        <v>0</v>
      </c>
      <c r="I432" s="35">
        <f ca="1">'Preventative costs A'!I432-'Preventative costs B'!I432</f>
        <v>0</v>
      </c>
      <c r="J432" s="35">
        <f ca="1">'Preventative costs A'!J432-'Preventative costs B'!J432</f>
        <v>0</v>
      </c>
      <c r="K432" s="35">
        <f ca="1">'Preventative costs A'!K432-'Preventative costs B'!K432</f>
        <v>0</v>
      </c>
      <c r="M432" s="4" t="str">
        <f t="shared" si="24"/>
        <v>$M(2015) per Mtonne</v>
      </c>
    </row>
    <row r="433" spans="1:13" s="2" customFormat="1" ht="15.5" thickTop="1" x14ac:dyDescent="0.4">
      <c r="A433" s="2" t="s">
        <v>324</v>
      </c>
      <c r="B433" s="2" t="s">
        <v>331</v>
      </c>
    </row>
    <row r="434" spans="1:13" s="7" customFormat="1" x14ac:dyDescent="0.25">
      <c r="A434" s="4" t="str">
        <f t="array" ref="A434:A441">R_CODE&amp;" "&amp;'Base data'!$C$12</f>
        <v>EU CH4</v>
      </c>
      <c r="B434" s="29">
        <f ca="1">'Preventative costs A'!B434-'Preventative costs B'!B434</f>
        <v>0</v>
      </c>
      <c r="C434" s="29">
        <f ca="1">'Preventative costs A'!C434-'Preventative costs B'!C434</f>
        <v>0</v>
      </c>
      <c r="D434" s="29">
        <f ca="1">'Preventative costs A'!D434-'Preventative costs B'!D434</f>
        <v>0</v>
      </c>
      <c r="E434" s="29">
        <f ca="1">'Preventative costs A'!E434-'Preventative costs B'!E434</f>
        <v>0</v>
      </c>
      <c r="F434" s="29">
        <f ca="1">'Preventative costs A'!F434-'Preventative costs B'!F434</f>
        <v>0</v>
      </c>
      <c r="G434" s="29">
        <f ca="1">'Preventative costs A'!G434-'Preventative costs B'!G434</f>
        <v>0</v>
      </c>
      <c r="H434" s="29">
        <f ca="1">'Preventative costs A'!H434-'Preventative costs B'!H434</f>
        <v>0</v>
      </c>
      <c r="I434" s="29">
        <f ca="1">'Preventative costs A'!I434-'Preventative costs B'!I434</f>
        <v>0</v>
      </c>
      <c r="J434" s="29">
        <f ca="1">'Preventative costs A'!J434-'Preventative costs B'!J434</f>
        <v>0</v>
      </c>
      <c r="K434" s="29">
        <f ca="1">'Preventative costs A'!K434-'Preventative costs B'!K434</f>
        <v>0</v>
      </c>
      <c r="M434" s="4" t="str">
        <f t="shared" ref="M434:M441" si="25">CURRENCY_NAME&amp;" per "&amp;EMIT_NAME</f>
        <v>$M(2015) per Mtonne</v>
      </c>
    </row>
    <row r="435" spans="1:13" s="7" customFormat="1" x14ac:dyDescent="0.25">
      <c r="A435" s="4" t="str">
        <v>US CH4</v>
      </c>
      <c r="B435" s="26">
        <f ca="1">'Preventative costs A'!B435-'Preventative costs B'!B435</f>
        <v>0</v>
      </c>
      <c r="C435" s="26">
        <f ca="1">'Preventative costs A'!C435-'Preventative costs B'!C435</f>
        <v>0</v>
      </c>
      <c r="D435" s="26">
        <f ca="1">'Preventative costs A'!D435-'Preventative costs B'!D435</f>
        <v>0</v>
      </c>
      <c r="E435" s="26">
        <f ca="1">'Preventative costs A'!E435-'Preventative costs B'!E435</f>
        <v>0</v>
      </c>
      <c r="F435" s="26">
        <f ca="1">'Preventative costs A'!F435-'Preventative costs B'!F435</f>
        <v>0</v>
      </c>
      <c r="G435" s="26">
        <f ca="1">'Preventative costs A'!G435-'Preventative costs B'!G435</f>
        <v>0</v>
      </c>
      <c r="H435" s="26">
        <f ca="1">'Preventative costs A'!H435-'Preventative costs B'!H435</f>
        <v>0</v>
      </c>
      <c r="I435" s="26">
        <f ca="1">'Preventative costs A'!I435-'Preventative costs B'!I435</f>
        <v>0</v>
      </c>
      <c r="J435" s="26">
        <f ca="1">'Preventative costs A'!J435-'Preventative costs B'!J435</f>
        <v>0</v>
      </c>
      <c r="K435" s="26">
        <f ca="1">'Preventative costs A'!K435-'Preventative costs B'!K435</f>
        <v>0</v>
      </c>
      <c r="M435" s="4" t="str">
        <f t="shared" si="25"/>
        <v>$M(2015) per Mtonne</v>
      </c>
    </row>
    <row r="436" spans="1:13" s="7" customFormat="1" x14ac:dyDescent="0.25">
      <c r="A436" s="4" t="str">
        <v>OT CH4</v>
      </c>
      <c r="B436" s="26">
        <f ca="1">'Preventative costs A'!B436-'Preventative costs B'!B436</f>
        <v>0</v>
      </c>
      <c r="C436" s="26">
        <f ca="1">'Preventative costs A'!C436-'Preventative costs B'!C436</f>
        <v>0</v>
      </c>
      <c r="D436" s="26">
        <f ca="1">'Preventative costs A'!D436-'Preventative costs B'!D436</f>
        <v>0</v>
      </c>
      <c r="E436" s="26">
        <f ca="1">'Preventative costs A'!E436-'Preventative costs B'!E436</f>
        <v>0</v>
      </c>
      <c r="F436" s="26">
        <f ca="1">'Preventative costs A'!F436-'Preventative costs B'!F436</f>
        <v>0</v>
      </c>
      <c r="G436" s="26">
        <f ca="1">'Preventative costs A'!G436-'Preventative costs B'!G436</f>
        <v>0</v>
      </c>
      <c r="H436" s="26">
        <f ca="1">'Preventative costs A'!H436-'Preventative costs B'!H436</f>
        <v>0</v>
      </c>
      <c r="I436" s="26">
        <f ca="1">'Preventative costs A'!I436-'Preventative costs B'!I436</f>
        <v>0</v>
      </c>
      <c r="J436" s="26">
        <f ca="1">'Preventative costs A'!J436-'Preventative costs B'!J436</f>
        <v>0</v>
      </c>
      <c r="K436" s="26">
        <f ca="1">'Preventative costs A'!K436-'Preventative costs B'!K436</f>
        <v>0</v>
      </c>
      <c r="M436" s="4" t="str">
        <f t="shared" si="25"/>
        <v>$M(2015) per Mtonne</v>
      </c>
    </row>
    <row r="437" spans="1:13" s="7" customFormat="1" x14ac:dyDescent="0.25">
      <c r="A437" s="4" t="str">
        <v>EE CH4</v>
      </c>
      <c r="B437" s="26">
        <f ca="1">'Preventative costs A'!B437-'Preventative costs B'!B437</f>
        <v>0</v>
      </c>
      <c r="C437" s="26">
        <f ca="1">'Preventative costs A'!C437-'Preventative costs B'!C437</f>
        <v>0</v>
      </c>
      <c r="D437" s="26">
        <f ca="1">'Preventative costs A'!D437-'Preventative costs B'!D437</f>
        <v>0</v>
      </c>
      <c r="E437" s="26">
        <f ca="1">'Preventative costs A'!E437-'Preventative costs B'!E437</f>
        <v>0</v>
      </c>
      <c r="F437" s="26">
        <f ca="1">'Preventative costs A'!F437-'Preventative costs B'!F437</f>
        <v>0</v>
      </c>
      <c r="G437" s="26">
        <f ca="1">'Preventative costs A'!G437-'Preventative costs B'!G437</f>
        <v>0</v>
      </c>
      <c r="H437" s="26">
        <f ca="1">'Preventative costs A'!H437-'Preventative costs B'!H437</f>
        <v>0</v>
      </c>
      <c r="I437" s="26">
        <f ca="1">'Preventative costs A'!I437-'Preventative costs B'!I437</f>
        <v>0</v>
      </c>
      <c r="J437" s="26">
        <f ca="1">'Preventative costs A'!J437-'Preventative costs B'!J437</f>
        <v>0</v>
      </c>
      <c r="K437" s="26">
        <f ca="1">'Preventative costs A'!K437-'Preventative costs B'!K437</f>
        <v>0</v>
      </c>
      <c r="M437" s="4" t="str">
        <f t="shared" si="25"/>
        <v>$M(2015) per Mtonne</v>
      </c>
    </row>
    <row r="438" spans="1:13" s="7" customFormat="1" x14ac:dyDescent="0.25">
      <c r="A438" s="4" t="str">
        <v>CA CH4</v>
      </c>
      <c r="B438" s="26">
        <f ca="1">'Preventative costs A'!B438-'Preventative costs B'!B438</f>
        <v>0</v>
      </c>
      <c r="C438" s="26">
        <f ca="1">'Preventative costs A'!C438-'Preventative costs B'!C438</f>
        <v>0</v>
      </c>
      <c r="D438" s="26">
        <f ca="1">'Preventative costs A'!D438-'Preventative costs B'!D438</f>
        <v>0</v>
      </c>
      <c r="E438" s="26">
        <f ca="1">'Preventative costs A'!E438-'Preventative costs B'!E438</f>
        <v>0</v>
      </c>
      <c r="F438" s="26">
        <f ca="1">'Preventative costs A'!F438-'Preventative costs B'!F438</f>
        <v>0</v>
      </c>
      <c r="G438" s="26">
        <f ca="1">'Preventative costs A'!G438-'Preventative costs B'!G438</f>
        <v>0</v>
      </c>
      <c r="H438" s="26">
        <f ca="1">'Preventative costs A'!H438-'Preventative costs B'!H438</f>
        <v>0</v>
      </c>
      <c r="I438" s="26">
        <f ca="1">'Preventative costs A'!I438-'Preventative costs B'!I438</f>
        <v>0</v>
      </c>
      <c r="J438" s="26">
        <f ca="1">'Preventative costs A'!J438-'Preventative costs B'!J438</f>
        <v>0</v>
      </c>
      <c r="K438" s="26">
        <f ca="1">'Preventative costs A'!K438-'Preventative costs B'!K438</f>
        <v>0</v>
      </c>
      <c r="M438" s="4" t="str">
        <f t="shared" si="25"/>
        <v>$M(2015) per Mtonne</v>
      </c>
    </row>
    <row r="439" spans="1:13" s="7" customFormat="1" x14ac:dyDescent="0.25">
      <c r="A439" s="4" t="str">
        <v>IA CH4</v>
      </c>
      <c r="B439" s="26">
        <f ca="1">'Preventative costs A'!B439-'Preventative costs B'!B439</f>
        <v>0</v>
      </c>
      <c r="C439" s="26">
        <f ca="1">'Preventative costs A'!C439-'Preventative costs B'!C439</f>
        <v>0</v>
      </c>
      <c r="D439" s="26">
        <f ca="1">'Preventative costs A'!D439-'Preventative costs B'!D439</f>
        <v>0</v>
      </c>
      <c r="E439" s="26">
        <f ca="1">'Preventative costs A'!E439-'Preventative costs B'!E439</f>
        <v>0</v>
      </c>
      <c r="F439" s="26">
        <f ca="1">'Preventative costs A'!F439-'Preventative costs B'!F439</f>
        <v>0</v>
      </c>
      <c r="G439" s="26">
        <f ca="1">'Preventative costs A'!G439-'Preventative costs B'!G439</f>
        <v>0</v>
      </c>
      <c r="H439" s="26">
        <f ca="1">'Preventative costs A'!H439-'Preventative costs B'!H439</f>
        <v>0</v>
      </c>
      <c r="I439" s="26">
        <f ca="1">'Preventative costs A'!I439-'Preventative costs B'!I439</f>
        <v>0</v>
      </c>
      <c r="J439" s="26">
        <f ca="1">'Preventative costs A'!J439-'Preventative costs B'!J439</f>
        <v>0</v>
      </c>
      <c r="K439" s="26">
        <f ca="1">'Preventative costs A'!K439-'Preventative costs B'!K439</f>
        <v>0</v>
      </c>
      <c r="M439" s="4" t="str">
        <f t="shared" si="25"/>
        <v>$M(2015) per Mtonne</v>
      </c>
    </row>
    <row r="440" spans="1:13" s="7" customFormat="1" x14ac:dyDescent="0.25">
      <c r="A440" s="4" t="str">
        <v>AF CH4</v>
      </c>
      <c r="B440" s="26">
        <f ca="1">'Preventative costs A'!B440-'Preventative costs B'!B440</f>
        <v>0</v>
      </c>
      <c r="C440" s="26">
        <f ca="1">'Preventative costs A'!C440-'Preventative costs B'!C440</f>
        <v>0</v>
      </c>
      <c r="D440" s="26">
        <f ca="1">'Preventative costs A'!D440-'Preventative costs B'!D440</f>
        <v>0</v>
      </c>
      <c r="E440" s="26">
        <f ca="1">'Preventative costs A'!E440-'Preventative costs B'!E440</f>
        <v>0</v>
      </c>
      <c r="F440" s="26">
        <f ca="1">'Preventative costs A'!F440-'Preventative costs B'!F440</f>
        <v>0</v>
      </c>
      <c r="G440" s="26">
        <f ca="1">'Preventative costs A'!G440-'Preventative costs B'!G440</f>
        <v>0</v>
      </c>
      <c r="H440" s="26">
        <f ca="1">'Preventative costs A'!H440-'Preventative costs B'!H440</f>
        <v>0</v>
      </c>
      <c r="I440" s="26">
        <f ca="1">'Preventative costs A'!I440-'Preventative costs B'!I440</f>
        <v>0</v>
      </c>
      <c r="J440" s="26">
        <f ca="1">'Preventative costs A'!J440-'Preventative costs B'!J440</f>
        <v>0</v>
      </c>
      <c r="K440" s="26">
        <f ca="1">'Preventative costs A'!K440-'Preventative costs B'!K440</f>
        <v>0</v>
      </c>
      <c r="M440" s="4" t="str">
        <f t="shared" si="25"/>
        <v>$M(2015) per Mtonne</v>
      </c>
    </row>
    <row r="441" spans="1:13" s="7" customFormat="1" ht="13" thickBot="1" x14ac:dyDescent="0.3">
      <c r="A441" s="4" t="str">
        <v>LA CH4</v>
      </c>
      <c r="B441" s="35">
        <f ca="1">'Preventative costs A'!B441-'Preventative costs B'!B441</f>
        <v>0</v>
      </c>
      <c r="C441" s="35">
        <f ca="1">'Preventative costs A'!C441-'Preventative costs B'!C441</f>
        <v>0</v>
      </c>
      <c r="D441" s="35">
        <f ca="1">'Preventative costs A'!D441-'Preventative costs B'!D441</f>
        <v>0</v>
      </c>
      <c r="E441" s="35">
        <f ca="1">'Preventative costs A'!E441-'Preventative costs B'!E441</f>
        <v>0</v>
      </c>
      <c r="F441" s="35">
        <f ca="1">'Preventative costs A'!F441-'Preventative costs B'!F441</f>
        <v>0</v>
      </c>
      <c r="G441" s="35">
        <f ca="1">'Preventative costs A'!G441-'Preventative costs B'!G441</f>
        <v>0</v>
      </c>
      <c r="H441" s="35">
        <f ca="1">'Preventative costs A'!H441-'Preventative costs B'!H441</f>
        <v>0</v>
      </c>
      <c r="I441" s="35">
        <f ca="1">'Preventative costs A'!I441-'Preventative costs B'!I441</f>
        <v>0</v>
      </c>
      <c r="J441" s="35">
        <f ca="1">'Preventative costs A'!J441-'Preventative costs B'!J441</f>
        <v>0</v>
      </c>
      <c r="K441" s="35">
        <f ca="1">'Preventative costs A'!K441-'Preventative costs B'!K441</f>
        <v>0</v>
      </c>
      <c r="M441" s="4" t="str">
        <f t="shared" si="25"/>
        <v>$M(2015) per Mtonne</v>
      </c>
    </row>
    <row r="442" spans="1:13" s="2" customFormat="1" ht="15.5" thickTop="1" x14ac:dyDescent="0.4">
      <c r="A442" s="2" t="s">
        <v>324</v>
      </c>
      <c r="B442" s="2" t="s">
        <v>332</v>
      </c>
    </row>
    <row r="443" spans="1:13" s="7" customFormat="1" x14ac:dyDescent="0.25">
      <c r="A443" s="4" t="str">
        <f t="array" ref="A443:A450">R_CODE&amp;" "&amp;'Base data'!$D$12</f>
        <v>EU N2O</v>
      </c>
      <c r="B443" s="29">
        <f ca="1">'Preventative costs A'!B443-'Preventative costs B'!B443</f>
        <v>0</v>
      </c>
      <c r="C443" s="29">
        <f ca="1">'Preventative costs A'!C443-'Preventative costs B'!C443</f>
        <v>0</v>
      </c>
      <c r="D443" s="29">
        <f ca="1">'Preventative costs A'!D443-'Preventative costs B'!D443</f>
        <v>0</v>
      </c>
      <c r="E443" s="29">
        <f ca="1">'Preventative costs A'!E443-'Preventative costs B'!E443</f>
        <v>0</v>
      </c>
      <c r="F443" s="29">
        <f ca="1">'Preventative costs A'!F443-'Preventative costs B'!F443</f>
        <v>0</v>
      </c>
      <c r="G443" s="29">
        <f ca="1">'Preventative costs A'!G443-'Preventative costs B'!G443</f>
        <v>0</v>
      </c>
      <c r="H443" s="29">
        <f ca="1">'Preventative costs A'!H443-'Preventative costs B'!H443</f>
        <v>0</v>
      </c>
      <c r="I443" s="29">
        <f ca="1">'Preventative costs A'!I443-'Preventative costs B'!I443</f>
        <v>0</v>
      </c>
      <c r="J443" s="29">
        <f ca="1">'Preventative costs A'!J443-'Preventative costs B'!J443</f>
        <v>0</v>
      </c>
      <c r="K443" s="29">
        <f ca="1">'Preventative costs A'!K443-'Preventative costs B'!K443</f>
        <v>0</v>
      </c>
      <c r="M443" s="4" t="str">
        <f t="shared" ref="M443:M450" si="26">CURRENCY_NAME&amp;" per "&amp;EMIT_NAME</f>
        <v>$M(2015) per Mtonne</v>
      </c>
    </row>
    <row r="444" spans="1:13" s="7" customFormat="1" x14ac:dyDescent="0.25">
      <c r="A444" s="4" t="str">
        <v>US N2O</v>
      </c>
      <c r="B444" s="26">
        <f ca="1">'Preventative costs A'!B444-'Preventative costs B'!B444</f>
        <v>0</v>
      </c>
      <c r="C444" s="26">
        <f ca="1">'Preventative costs A'!C444-'Preventative costs B'!C444</f>
        <v>0</v>
      </c>
      <c r="D444" s="26">
        <f ca="1">'Preventative costs A'!D444-'Preventative costs B'!D444</f>
        <v>0</v>
      </c>
      <c r="E444" s="26">
        <f ca="1">'Preventative costs A'!E444-'Preventative costs B'!E444</f>
        <v>0</v>
      </c>
      <c r="F444" s="26">
        <f ca="1">'Preventative costs A'!F444-'Preventative costs B'!F444</f>
        <v>0</v>
      </c>
      <c r="G444" s="26">
        <f ca="1">'Preventative costs A'!G444-'Preventative costs B'!G444</f>
        <v>0</v>
      </c>
      <c r="H444" s="26">
        <f ca="1">'Preventative costs A'!H444-'Preventative costs B'!H444</f>
        <v>0</v>
      </c>
      <c r="I444" s="26">
        <f ca="1">'Preventative costs A'!I444-'Preventative costs B'!I444</f>
        <v>0</v>
      </c>
      <c r="J444" s="26">
        <f ca="1">'Preventative costs A'!J444-'Preventative costs B'!J444</f>
        <v>0</v>
      </c>
      <c r="K444" s="26">
        <f ca="1">'Preventative costs A'!K444-'Preventative costs B'!K444</f>
        <v>0</v>
      </c>
      <c r="M444" s="4" t="str">
        <f t="shared" si="26"/>
        <v>$M(2015) per Mtonne</v>
      </c>
    </row>
    <row r="445" spans="1:13" s="7" customFormat="1" x14ac:dyDescent="0.25">
      <c r="A445" s="4" t="str">
        <v>OT N2O</v>
      </c>
      <c r="B445" s="26">
        <f ca="1">'Preventative costs A'!B445-'Preventative costs B'!B445</f>
        <v>0</v>
      </c>
      <c r="C445" s="26">
        <f ca="1">'Preventative costs A'!C445-'Preventative costs B'!C445</f>
        <v>0</v>
      </c>
      <c r="D445" s="26">
        <f ca="1">'Preventative costs A'!D445-'Preventative costs B'!D445</f>
        <v>0</v>
      </c>
      <c r="E445" s="26">
        <f ca="1">'Preventative costs A'!E445-'Preventative costs B'!E445</f>
        <v>0</v>
      </c>
      <c r="F445" s="26">
        <f ca="1">'Preventative costs A'!F445-'Preventative costs B'!F445</f>
        <v>0</v>
      </c>
      <c r="G445" s="26">
        <f ca="1">'Preventative costs A'!G445-'Preventative costs B'!G445</f>
        <v>0</v>
      </c>
      <c r="H445" s="26">
        <f ca="1">'Preventative costs A'!H445-'Preventative costs B'!H445</f>
        <v>0</v>
      </c>
      <c r="I445" s="26">
        <f ca="1">'Preventative costs A'!I445-'Preventative costs B'!I445</f>
        <v>0</v>
      </c>
      <c r="J445" s="26">
        <f ca="1">'Preventative costs A'!J445-'Preventative costs B'!J445</f>
        <v>0</v>
      </c>
      <c r="K445" s="26">
        <f ca="1">'Preventative costs A'!K445-'Preventative costs B'!K445</f>
        <v>0</v>
      </c>
      <c r="M445" s="4" t="str">
        <f t="shared" si="26"/>
        <v>$M(2015) per Mtonne</v>
      </c>
    </row>
    <row r="446" spans="1:13" s="7" customFormat="1" x14ac:dyDescent="0.25">
      <c r="A446" s="4" t="str">
        <v>EE N2O</v>
      </c>
      <c r="B446" s="26">
        <f ca="1">'Preventative costs A'!B446-'Preventative costs B'!B446</f>
        <v>0</v>
      </c>
      <c r="C446" s="26">
        <f ca="1">'Preventative costs A'!C446-'Preventative costs B'!C446</f>
        <v>0</v>
      </c>
      <c r="D446" s="26">
        <f ca="1">'Preventative costs A'!D446-'Preventative costs B'!D446</f>
        <v>0</v>
      </c>
      <c r="E446" s="26">
        <f ca="1">'Preventative costs A'!E446-'Preventative costs B'!E446</f>
        <v>0</v>
      </c>
      <c r="F446" s="26">
        <f ca="1">'Preventative costs A'!F446-'Preventative costs B'!F446</f>
        <v>0</v>
      </c>
      <c r="G446" s="26">
        <f ca="1">'Preventative costs A'!G446-'Preventative costs B'!G446</f>
        <v>0</v>
      </c>
      <c r="H446" s="26">
        <f ca="1">'Preventative costs A'!H446-'Preventative costs B'!H446</f>
        <v>0</v>
      </c>
      <c r="I446" s="26">
        <f ca="1">'Preventative costs A'!I446-'Preventative costs B'!I446</f>
        <v>0</v>
      </c>
      <c r="J446" s="26">
        <f ca="1">'Preventative costs A'!J446-'Preventative costs B'!J446</f>
        <v>0</v>
      </c>
      <c r="K446" s="26">
        <f ca="1">'Preventative costs A'!K446-'Preventative costs B'!K446</f>
        <v>0</v>
      </c>
      <c r="M446" s="4" t="str">
        <f t="shared" si="26"/>
        <v>$M(2015) per Mtonne</v>
      </c>
    </row>
    <row r="447" spans="1:13" s="7" customFormat="1" x14ac:dyDescent="0.25">
      <c r="A447" s="4" t="str">
        <v>CA N2O</v>
      </c>
      <c r="B447" s="26">
        <f ca="1">'Preventative costs A'!B447-'Preventative costs B'!B447</f>
        <v>0</v>
      </c>
      <c r="C447" s="26">
        <f ca="1">'Preventative costs A'!C447-'Preventative costs B'!C447</f>
        <v>0</v>
      </c>
      <c r="D447" s="26">
        <f ca="1">'Preventative costs A'!D447-'Preventative costs B'!D447</f>
        <v>0</v>
      </c>
      <c r="E447" s="26">
        <f ca="1">'Preventative costs A'!E447-'Preventative costs B'!E447</f>
        <v>0</v>
      </c>
      <c r="F447" s="26">
        <f ca="1">'Preventative costs A'!F447-'Preventative costs B'!F447</f>
        <v>0</v>
      </c>
      <c r="G447" s="26">
        <f ca="1">'Preventative costs A'!G447-'Preventative costs B'!G447</f>
        <v>0</v>
      </c>
      <c r="H447" s="26">
        <f ca="1">'Preventative costs A'!H447-'Preventative costs B'!H447</f>
        <v>0</v>
      </c>
      <c r="I447" s="26">
        <f ca="1">'Preventative costs A'!I447-'Preventative costs B'!I447</f>
        <v>0</v>
      </c>
      <c r="J447" s="26">
        <f ca="1">'Preventative costs A'!J447-'Preventative costs B'!J447</f>
        <v>0</v>
      </c>
      <c r="K447" s="26">
        <f ca="1">'Preventative costs A'!K447-'Preventative costs B'!K447</f>
        <v>0</v>
      </c>
      <c r="M447" s="4" t="str">
        <f t="shared" si="26"/>
        <v>$M(2015) per Mtonne</v>
      </c>
    </row>
    <row r="448" spans="1:13" s="7" customFormat="1" x14ac:dyDescent="0.25">
      <c r="A448" s="4" t="str">
        <v>IA N2O</v>
      </c>
      <c r="B448" s="26">
        <f ca="1">'Preventative costs A'!B448-'Preventative costs B'!B448</f>
        <v>0</v>
      </c>
      <c r="C448" s="26">
        <f ca="1">'Preventative costs A'!C448-'Preventative costs B'!C448</f>
        <v>0</v>
      </c>
      <c r="D448" s="26">
        <f ca="1">'Preventative costs A'!D448-'Preventative costs B'!D448</f>
        <v>0</v>
      </c>
      <c r="E448" s="26">
        <f ca="1">'Preventative costs A'!E448-'Preventative costs B'!E448</f>
        <v>0</v>
      </c>
      <c r="F448" s="26">
        <f ca="1">'Preventative costs A'!F448-'Preventative costs B'!F448</f>
        <v>0</v>
      </c>
      <c r="G448" s="26">
        <f ca="1">'Preventative costs A'!G448-'Preventative costs B'!G448</f>
        <v>0</v>
      </c>
      <c r="H448" s="26">
        <f ca="1">'Preventative costs A'!H448-'Preventative costs B'!H448</f>
        <v>0</v>
      </c>
      <c r="I448" s="26">
        <f ca="1">'Preventative costs A'!I448-'Preventative costs B'!I448</f>
        <v>0</v>
      </c>
      <c r="J448" s="26">
        <f ca="1">'Preventative costs A'!J448-'Preventative costs B'!J448</f>
        <v>0</v>
      </c>
      <c r="K448" s="26">
        <f ca="1">'Preventative costs A'!K448-'Preventative costs B'!K448</f>
        <v>0</v>
      </c>
      <c r="M448" s="4" t="str">
        <f t="shared" si="26"/>
        <v>$M(2015) per Mtonne</v>
      </c>
    </row>
    <row r="449" spans="1:13" s="7" customFormat="1" x14ac:dyDescent="0.25">
      <c r="A449" s="4" t="str">
        <v>AF N2O</v>
      </c>
      <c r="B449" s="26">
        <f ca="1">'Preventative costs A'!B449-'Preventative costs B'!B449</f>
        <v>0</v>
      </c>
      <c r="C449" s="26">
        <f ca="1">'Preventative costs A'!C449-'Preventative costs B'!C449</f>
        <v>0</v>
      </c>
      <c r="D449" s="26">
        <f ca="1">'Preventative costs A'!D449-'Preventative costs B'!D449</f>
        <v>0</v>
      </c>
      <c r="E449" s="26">
        <f ca="1">'Preventative costs A'!E449-'Preventative costs B'!E449</f>
        <v>0</v>
      </c>
      <c r="F449" s="26">
        <f ca="1">'Preventative costs A'!F449-'Preventative costs B'!F449</f>
        <v>0</v>
      </c>
      <c r="G449" s="26">
        <f ca="1">'Preventative costs A'!G449-'Preventative costs B'!G449</f>
        <v>0</v>
      </c>
      <c r="H449" s="26">
        <f ca="1">'Preventative costs A'!H449-'Preventative costs B'!H449</f>
        <v>0</v>
      </c>
      <c r="I449" s="26">
        <f ca="1">'Preventative costs A'!I449-'Preventative costs B'!I449</f>
        <v>0</v>
      </c>
      <c r="J449" s="26">
        <f ca="1">'Preventative costs A'!J449-'Preventative costs B'!J449</f>
        <v>0</v>
      </c>
      <c r="K449" s="26">
        <f ca="1">'Preventative costs A'!K449-'Preventative costs B'!K449</f>
        <v>0</v>
      </c>
      <c r="M449" s="4" t="str">
        <f t="shared" si="26"/>
        <v>$M(2015) per Mtonne</v>
      </c>
    </row>
    <row r="450" spans="1:13" s="7" customFormat="1" ht="13" thickBot="1" x14ac:dyDescent="0.3">
      <c r="A450" s="4" t="str">
        <v>LA N2O</v>
      </c>
      <c r="B450" s="35">
        <f ca="1">'Preventative costs A'!B450-'Preventative costs B'!B450</f>
        <v>0</v>
      </c>
      <c r="C450" s="35">
        <f ca="1">'Preventative costs A'!C450-'Preventative costs B'!C450</f>
        <v>0</v>
      </c>
      <c r="D450" s="35">
        <f ca="1">'Preventative costs A'!D450-'Preventative costs B'!D450</f>
        <v>0</v>
      </c>
      <c r="E450" s="35">
        <f ca="1">'Preventative costs A'!E450-'Preventative costs B'!E450</f>
        <v>0</v>
      </c>
      <c r="F450" s="35">
        <f ca="1">'Preventative costs A'!F450-'Preventative costs B'!F450</f>
        <v>0</v>
      </c>
      <c r="G450" s="35">
        <f ca="1">'Preventative costs A'!G450-'Preventative costs B'!G450</f>
        <v>0</v>
      </c>
      <c r="H450" s="35">
        <f ca="1">'Preventative costs A'!H450-'Preventative costs B'!H450</f>
        <v>0</v>
      </c>
      <c r="I450" s="35">
        <f ca="1">'Preventative costs A'!I450-'Preventative costs B'!I450</f>
        <v>0</v>
      </c>
      <c r="J450" s="35">
        <f ca="1">'Preventative costs A'!J450-'Preventative costs B'!J450</f>
        <v>0</v>
      </c>
      <c r="K450" s="35">
        <f ca="1">'Preventative costs A'!K450-'Preventative costs B'!K450</f>
        <v>0</v>
      </c>
      <c r="M450" s="4" t="str">
        <f t="shared" si="26"/>
        <v>$M(2015) per Mtonne</v>
      </c>
    </row>
    <row r="451" spans="1:13" s="2" customFormat="1" ht="15.5" thickTop="1" x14ac:dyDescent="0.4">
      <c r="A451" s="2" t="s">
        <v>324</v>
      </c>
      <c r="B451" s="2" t="s">
        <v>333</v>
      </c>
    </row>
    <row r="452" spans="1:13" s="7" customFormat="1" x14ac:dyDescent="0.25">
      <c r="A452" s="4" t="str">
        <f t="array" ref="A452:A459">R_CODE&amp;" "&amp;GLIN_NAME</f>
        <v>EU Lin</v>
      </c>
      <c r="B452" s="29">
        <f ca="1">'Preventative costs A'!B452-'Preventative costs B'!B452</f>
        <v>0</v>
      </c>
      <c r="C452" s="29">
        <f ca="1">'Preventative costs A'!C452-'Preventative costs B'!C452</f>
        <v>0</v>
      </c>
      <c r="D452" s="29">
        <f ca="1">'Preventative costs A'!D452-'Preventative costs B'!D452</f>
        <v>0</v>
      </c>
      <c r="E452" s="29">
        <f ca="1">'Preventative costs A'!E452-'Preventative costs B'!E452</f>
        <v>0</v>
      </c>
      <c r="F452" s="29">
        <f ca="1">'Preventative costs A'!F452-'Preventative costs B'!F452</f>
        <v>0</v>
      </c>
      <c r="G452" s="29">
        <f ca="1">'Preventative costs A'!G452-'Preventative costs B'!G452</f>
        <v>0</v>
      </c>
      <c r="H452" s="29">
        <f ca="1">'Preventative costs A'!H452-'Preventative costs B'!H452</f>
        <v>0</v>
      </c>
      <c r="I452" s="29">
        <f ca="1">'Preventative costs A'!I452-'Preventative costs B'!I452</f>
        <v>0</v>
      </c>
      <c r="J452" s="29">
        <f ca="1">'Preventative costs A'!J452-'Preventative costs B'!J452</f>
        <v>0</v>
      </c>
      <c r="K452" s="29">
        <f ca="1">'Preventative costs A'!K452-'Preventative costs B'!K452</f>
        <v>0</v>
      </c>
      <c r="M452" s="4" t="str">
        <f t="shared" ref="M452:M459" si="27">CURRENCY_NAME&amp;" per "&amp;EMIT_NAME</f>
        <v>$M(2015) per Mtonne</v>
      </c>
    </row>
    <row r="453" spans="1:13" s="7" customFormat="1" x14ac:dyDescent="0.25">
      <c r="A453" s="4" t="str">
        <v>US Lin</v>
      </c>
      <c r="B453" s="26">
        <f ca="1">'Preventative costs A'!B453-'Preventative costs B'!B453</f>
        <v>0</v>
      </c>
      <c r="C453" s="26">
        <f ca="1">'Preventative costs A'!C453-'Preventative costs B'!C453</f>
        <v>0</v>
      </c>
      <c r="D453" s="26">
        <f ca="1">'Preventative costs A'!D453-'Preventative costs B'!D453</f>
        <v>0</v>
      </c>
      <c r="E453" s="26">
        <f ca="1">'Preventative costs A'!E453-'Preventative costs B'!E453</f>
        <v>0</v>
      </c>
      <c r="F453" s="26">
        <f ca="1">'Preventative costs A'!F453-'Preventative costs B'!F453</f>
        <v>0</v>
      </c>
      <c r="G453" s="26">
        <f ca="1">'Preventative costs A'!G453-'Preventative costs B'!G453</f>
        <v>0</v>
      </c>
      <c r="H453" s="26">
        <f ca="1">'Preventative costs A'!H453-'Preventative costs B'!H453</f>
        <v>0</v>
      </c>
      <c r="I453" s="26">
        <f ca="1">'Preventative costs A'!I453-'Preventative costs B'!I453</f>
        <v>0</v>
      </c>
      <c r="J453" s="26">
        <f ca="1">'Preventative costs A'!J453-'Preventative costs B'!J453</f>
        <v>0</v>
      </c>
      <c r="K453" s="26">
        <f ca="1">'Preventative costs A'!K453-'Preventative costs B'!K453</f>
        <v>0</v>
      </c>
      <c r="M453" s="4" t="str">
        <f t="shared" si="27"/>
        <v>$M(2015) per Mtonne</v>
      </c>
    </row>
    <row r="454" spans="1:13" s="7" customFormat="1" x14ac:dyDescent="0.25">
      <c r="A454" s="4" t="str">
        <v>OT Lin</v>
      </c>
      <c r="B454" s="26">
        <f ca="1">'Preventative costs A'!B454-'Preventative costs B'!B454</f>
        <v>0</v>
      </c>
      <c r="C454" s="26">
        <f ca="1">'Preventative costs A'!C454-'Preventative costs B'!C454</f>
        <v>0</v>
      </c>
      <c r="D454" s="26">
        <f ca="1">'Preventative costs A'!D454-'Preventative costs B'!D454</f>
        <v>0</v>
      </c>
      <c r="E454" s="26">
        <f ca="1">'Preventative costs A'!E454-'Preventative costs B'!E454</f>
        <v>0</v>
      </c>
      <c r="F454" s="26">
        <f ca="1">'Preventative costs A'!F454-'Preventative costs B'!F454</f>
        <v>0</v>
      </c>
      <c r="G454" s="26">
        <f ca="1">'Preventative costs A'!G454-'Preventative costs B'!G454</f>
        <v>0</v>
      </c>
      <c r="H454" s="26">
        <f ca="1">'Preventative costs A'!H454-'Preventative costs B'!H454</f>
        <v>0</v>
      </c>
      <c r="I454" s="26">
        <f ca="1">'Preventative costs A'!I454-'Preventative costs B'!I454</f>
        <v>0</v>
      </c>
      <c r="J454" s="26">
        <f ca="1">'Preventative costs A'!J454-'Preventative costs B'!J454</f>
        <v>0</v>
      </c>
      <c r="K454" s="26">
        <f ca="1">'Preventative costs A'!K454-'Preventative costs B'!K454</f>
        <v>0</v>
      </c>
      <c r="M454" s="4" t="str">
        <f t="shared" si="27"/>
        <v>$M(2015) per Mtonne</v>
      </c>
    </row>
    <row r="455" spans="1:13" s="7" customFormat="1" x14ac:dyDescent="0.25">
      <c r="A455" s="4" t="str">
        <v>EE Lin</v>
      </c>
      <c r="B455" s="26">
        <f ca="1">'Preventative costs A'!B455-'Preventative costs B'!B455</f>
        <v>0</v>
      </c>
      <c r="C455" s="26">
        <f ca="1">'Preventative costs A'!C455-'Preventative costs B'!C455</f>
        <v>0</v>
      </c>
      <c r="D455" s="26">
        <f ca="1">'Preventative costs A'!D455-'Preventative costs B'!D455</f>
        <v>0</v>
      </c>
      <c r="E455" s="26">
        <f ca="1">'Preventative costs A'!E455-'Preventative costs B'!E455</f>
        <v>0</v>
      </c>
      <c r="F455" s="26">
        <f ca="1">'Preventative costs A'!F455-'Preventative costs B'!F455</f>
        <v>0</v>
      </c>
      <c r="G455" s="26">
        <f ca="1">'Preventative costs A'!G455-'Preventative costs B'!G455</f>
        <v>0</v>
      </c>
      <c r="H455" s="26">
        <f ca="1">'Preventative costs A'!H455-'Preventative costs B'!H455</f>
        <v>0</v>
      </c>
      <c r="I455" s="26">
        <f ca="1">'Preventative costs A'!I455-'Preventative costs B'!I455</f>
        <v>0</v>
      </c>
      <c r="J455" s="26">
        <f ca="1">'Preventative costs A'!J455-'Preventative costs B'!J455</f>
        <v>0</v>
      </c>
      <c r="K455" s="26">
        <f ca="1">'Preventative costs A'!K455-'Preventative costs B'!K455</f>
        <v>0</v>
      </c>
      <c r="M455" s="4" t="str">
        <f t="shared" si="27"/>
        <v>$M(2015) per Mtonne</v>
      </c>
    </row>
    <row r="456" spans="1:13" s="7" customFormat="1" x14ac:dyDescent="0.25">
      <c r="A456" s="4" t="str">
        <v>CA Lin</v>
      </c>
      <c r="B456" s="26">
        <f ca="1">'Preventative costs A'!B456-'Preventative costs B'!B456</f>
        <v>0</v>
      </c>
      <c r="C456" s="26">
        <f ca="1">'Preventative costs A'!C456-'Preventative costs B'!C456</f>
        <v>0</v>
      </c>
      <c r="D456" s="26">
        <f ca="1">'Preventative costs A'!D456-'Preventative costs B'!D456</f>
        <v>0</v>
      </c>
      <c r="E456" s="26">
        <f ca="1">'Preventative costs A'!E456-'Preventative costs B'!E456</f>
        <v>0</v>
      </c>
      <c r="F456" s="26">
        <f ca="1">'Preventative costs A'!F456-'Preventative costs B'!F456</f>
        <v>0</v>
      </c>
      <c r="G456" s="26">
        <f ca="1">'Preventative costs A'!G456-'Preventative costs B'!G456</f>
        <v>0</v>
      </c>
      <c r="H456" s="26">
        <f ca="1">'Preventative costs A'!H456-'Preventative costs B'!H456</f>
        <v>0</v>
      </c>
      <c r="I456" s="26">
        <f ca="1">'Preventative costs A'!I456-'Preventative costs B'!I456</f>
        <v>0</v>
      </c>
      <c r="J456" s="26">
        <f ca="1">'Preventative costs A'!J456-'Preventative costs B'!J456</f>
        <v>0</v>
      </c>
      <c r="K456" s="26">
        <f ca="1">'Preventative costs A'!K456-'Preventative costs B'!K456</f>
        <v>0</v>
      </c>
      <c r="M456" s="4" t="str">
        <f t="shared" si="27"/>
        <v>$M(2015) per Mtonne</v>
      </c>
    </row>
    <row r="457" spans="1:13" s="7" customFormat="1" x14ac:dyDescent="0.25">
      <c r="A457" s="4" t="str">
        <v>IA Lin</v>
      </c>
      <c r="B457" s="26">
        <f ca="1">'Preventative costs A'!B457-'Preventative costs B'!B457</f>
        <v>0</v>
      </c>
      <c r="C457" s="26">
        <f ca="1">'Preventative costs A'!C457-'Preventative costs B'!C457</f>
        <v>0</v>
      </c>
      <c r="D457" s="26">
        <f ca="1">'Preventative costs A'!D457-'Preventative costs B'!D457</f>
        <v>0</v>
      </c>
      <c r="E457" s="26">
        <f ca="1">'Preventative costs A'!E457-'Preventative costs B'!E457</f>
        <v>0</v>
      </c>
      <c r="F457" s="26">
        <f ca="1">'Preventative costs A'!F457-'Preventative costs B'!F457</f>
        <v>0</v>
      </c>
      <c r="G457" s="26">
        <f ca="1">'Preventative costs A'!G457-'Preventative costs B'!G457</f>
        <v>0</v>
      </c>
      <c r="H457" s="26">
        <f ca="1">'Preventative costs A'!H457-'Preventative costs B'!H457</f>
        <v>0</v>
      </c>
      <c r="I457" s="26">
        <f ca="1">'Preventative costs A'!I457-'Preventative costs B'!I457</f>
        <v>0</v>
      </c>
      <c r="J457" s="26">
        <f ca="1">'Preventative costs A'!J457-'Preventative costs B'!J457</f>
        <v>0</v>
      </c>
      <c r="K457" s="26">
        <f ca="1">'Preventative costs A'!K457-'Preventative costs B'!K457</f>
        <v>0</v>
      </c>
      <c r="M457" s="4" t="str">
        <f t="shared" si="27"/>
        <v>$M(2015) per Mtonne</v>
      </c>
    </row>
    <row r="458" spans="1:13" s="7" customFormat="1" x14ac:dyDescent="0.25">
      <c r="A458" s="4" t="str">
        <v>AF Lin</v>
      </c>
      <c r="B458" s="26">
        <f ca="1">'Preventative costs A'!B458-'Preventative costs B'!B458</f>
        <v>0</v>
      </c>
      <c r="C458" s="26">
        <f ca="1">'Preventative costs A'!C458-'Preventative costs B'!C458</f>
        <v>0</v>
      </c>
      <c r="D458" s="26">
        <f ca="1">'Preventative costs A'!D458-'Preventative costs B'!D458</f>
        <v>0</v>
      </c>
      <c r="E458" s="26">
        <f ca="1">'Preventative costs A'!E458-'Preventative costs B'!E458</f>
        <v>0</v>
      </c>
      <c r="F458" s="26">
        <f ca="1">'Preventative costs A'!F458-'Preventative costs B'!F458</f>
        <v>0</v>
      </c>
      <c r="G458" s="26">
        <f ca="1">'Preventative costs A'!G458-'Preventative costs B'!G458</f>
        <v>0</v>
      </c>
      <c r="H458" s="26">
        <f ca="1">'Preventative costs A'!H458-'Preventative costs B'!H458</f>
        <v>0</v>
      </c>
      <c r="I458" s="26">
        <f ca="1">'Preventative costs A'!I458-'Preventative costs B'!I458</f>
        <v>0</v>
      </c>
      <c r="J458" s="26">
        <f ca="1">'Preventative costs A'!J458-'Preventative costs B'!J458</f>
        <v>0</v>
      </c>
      <c r="K458" s="26">
        <f ca="1">'Preventative costs A'!K458-'Preventative costs B'!K458</f>
        <v>0</v>
      </c>
      <c r="M458" s="4" t="str">
        <f t="shared" si="27"/>
        <v>$M(2015) per Mtonne</v>
      </c>
    </row>
    <row r="459" spans="1:13" s="7" customFormat="1" ht="13" thickBot="1" x14ac:dyDescent="0.3">
      <c r="A459" s="4" t="str">
        <v>LA Lin</v>
      </c>
      <c r="B459" s="35">
        <f ca="1">'Preventative costs A'!B459-'Preventative costs B'!B459</f>
        <v>0</v>
      </c>
      <c r="C459" s="35">
        <f ca="1">'Preventative costs A'!C459-'Preventative costs B'!C459</f>
        <v>0</v>
      </c>
      <c r="D459" s="35">
        <f ca="1">'Preventative costs A'!D459-'Preventative costs B'!D459</f>
        <v>0</v>
      </c>
      <c r="E459" s="35">
        <f ca="1">'Preventative costs A'!E459-'Preventative costs B'!E459</f>
        <v>0</v>
      </c>
      <c r="F459" s="35">
        <f ca="1">'Preventative costs A'!F459-'Preventative costs B'!F459</f>
        <v>0</v>
      </c>
      <c r="G459" s="35">
        <f ca="1">'Preventative costs A'!G459-'Preventative costs B'!G459</f>
        <v>0</v>
      </c>
      <c r="H459" s="35">
        <f ca="1">'Preventative costs A'!H459-'Preventative costs B'!H459</f>
        <v>0</v>
      </c>
      <c r="I459" s="35">
        <f ca="1">'Preventative costs A'!I459-'Preventative costs B'!I459</f>
        <v>0</v>
      </c>
      <c r="J459" s="35">
        <f ca="1">'Preventative costs A'!J459-'Preventative costs B'!J459</f>
        <v>0</v>
      </c>
      <c r="K459" s="35">
        <f ca="1">'Preventative costs A'!K459-'Preventative costs B'!K459</f>
        <v>0</v>
      </c>
      <c r="M459" s="4" t="str">
        <f t="shared" si="27"/>
        <v>$M(2015) per Mtonne</v>
      </c>
    </row>
    <row r="460" spans="1:13" s="2" customFormat="1" ht="15.5" thickTop="1" x14ac:dyDescent="0.4">
      <c r="A460" s="2" t="s">
        <v>334</v>
      </c>
      <c r="B460" s="2" t="s">
        <v>335</v>
      </c>
    </row>
    <row r="461" spans="1:13" s="6" customFormat="1" x14ac:dyDescent="0.25">
      <c r="A461" s="4" t="str">
        <f t="array" ref="A461:A468">R_CODE&amp;" "&amp;'Base data'!$B$12</f>
        <v>EU CO2</v>
      </c>
      <c r="B461" s="29">
        <f ca="1">'Preventative costs A'!B461-'Preventative costs B'!B461</f>
        <v>0</v>
      </c>
      <c r="C461" s="29">
        <f ca="1">'Preventative costs A'!C461-'Preventative costs B'!C461</f>
        <v>0</v>
      </c>
      <c r="D461" s="29">
        <f ca="1">'Preventative costs A'!D461-'Preventative costs B'!D461</f>
        <v>0</v>
      </c>
      <c r="E461" s="29">
        <f ca="1">'Preventative costs A'!E461-'Preventative costs B'!E461</f>
        <v>0</v>
      </c>
      <c r="F461" s="29">
        <f ca="1">'Preventative costs A'!F461-'Preventative costs B'!F461</f>
        <v>0</v>
      </c>
      <c r="G461" s="29">
        <f ca="1">'Preventative costs A'!G461-'Preventative costs B'!G461</f>
        <v>0</v>
      </c>
      <c r="H461" s="29">
        <f ca="1">'Preventative costs A'!H461-'Preventative costs B'!H461</f>
        <v>0</v>
      </c>
      <c r="I461" s="29">
        <f ca="1">'Preventative costs A'!I461-'Preventative costs B'!I461</f>
        <v>0</v>
      </c>
      <c r="J461" s="29">
        <f ca="1">'Preventative costs A'!J461-'Preventative costs B'!J461</f>
        <v>0</v>
      </c>
      <c r="K461" s="29">
        <f ca="1">'Preventative costs A'!K461-'Preventative costs B'!K461</f>
        <v>0</v>
      </c>
      <c r="M461" s="4" t="str">
        <f t="shared" ref="M461:M468" si="28">"per "&amp;EMIT_NAME</f>
        <v>per Mtonne</v>
      </c>
    </row>
    <row r="462" spans="1:13" s="6" customFormat="1" x14ac:dyDescent="0.25">
      <c r="A462" s="4" t="str">
        <v>US CO2</v>
      </c>
      <c r="B462" s="26">
        <f ca="1">'Preventative costs A'!B462-'Preventative costs B'!B462</f>
        <v>0</v>
      </c>
      <c r="C462" s="26">
        <f ca="1">'Preventative costs A'!C462-'Preventative costs B'!C462</f>
        <v>0</v>
      </c>
      <c r="D462" s="26">
        <f ca="1">'Preventative costs A'!D462-'Preventative costs B'!D462</f>
        <v>0</v>
      </c>
      <c r="E462" s="26">
        <f ca="1">'Preventative costs A'!E462-'Preventative costs B'!E462</f>
        <v>0</v>
      </c>
      <c r="F462" s="26">
        <f ca="1">'Preventative costs A'!F462-'Preventative costs B'!F462</f>
        <v>0</v>
      </c>
      <c r="G462" s="26">
        <f ca="1">'Preventative costs A'!G462-'Preventative costs B'!G462</f>
        <v>0</v>
      </c>
      <c r="H462" s="26">
        <f ca="1">'Preventative costs A'!H462-'Preventative costs B'!H462</f>
        <v>0</v>
      </c>
      <c r="I462" s="26">
        <f ca="1">'Preventative costs A'!I462-'Preventative costs B'!I462</f>
        <v>0</v>
      </c>
      <c r="J462" s="26">
        <f ca="1">'Preventative costs A'!J462-'Preventative costs B'!J462</f>
        <v>0</v>
      </c>
      <c r="K462" s="26">
        <f ca="1">'Preventative costs A'!K462-'Preventative costs B'!K462</f>
        <v>0</v>
      </c>
      <c r="M462" s="4" t="str">
        <f t="shared" si="28"/>
        <v>per Mtonne</v>
      </c>
    </row>
    <row r="463" spans="1:13" s="6" customFormat="1" x14ac:dyDescent="0.25">
      <c r="A463" s="4" t="str">
        <v>OT CO2</v>
      </c>
      <c r="B463" s="26">
        <f ca="1">'Preventative costs A'!B463-'Preventative costs B'!B463</f>
        <v>0</v>
      </c>
      <c r="C463" s="26">
        <f ca="1">'Preventative costs A'!C463-'Preventative costs B'!C463</f>
        <v>0</v>
      </c>
      <c r="D463" s="26">
        <f ca="1">'Preventative costs A'!D463-'Preventative costs B'!D463</f>
        <v>0</v>
      </c>
      <c r="E463" s="26">
        <f ca="1">'Preventative costs A'!E463-'Preventative costs B'!E463</f>
        <v>0</v>
      </c>
      <c r="F463" s="26">
        <f ca="1">'Preventative costs A'!F463-'Preventative costs B'!F463</f>
        <v>0</v>
      </c>
      <c r="G463" s="26">
        <f ca="1">'Preventative costs A'!G463-'Preventative costs B'!G463</f>
        <v>0</v>
      </c>
      <c r="H463" s="26">
        <f ca="1">'Preventative costs A'!H463-'Preventative costs B'!H463</f>
        <v>0</v>
      </c>
      <c r="I463" s="26">
        <f ca="1">'Preventative costs A'!I463-'Preventative costs B'!I463</f>
        <v>0</v>
      </c>
      <c r="J463" s="26">
        <f ca="1">'Preventative costs A'!J463-'Preventative costs B'!J463</f>
        <v>0</v>
      </c>
      <c r="K463" s="26">
        <f ca="1">'Preventative costs A'!K463-'Preventative costs B'!K463</f>
        <v>0</v>
      </c>
      <c r="M463" s="4" t="str">
        <f t="shared" si="28"/>
        <v>per Mtonne</v>
      </c>
    </row>
    <row r="464" spans="1:13" s="6" customFormat="1" x14ac:dyDescent="0.25">
      <c r="A464" s="4" t="str">
        <v>EE CO2</v>
      </c>
      <c r="B464" s="26">
        <f ca="1">'Preventative costs A'!B464-'Preventative costs B'!B464</f>
        <v>0</v>
      </c>
      <c r="C464" s="26">
        <f ca="1">'Preventative costs A'!C464-'Preventative costs B'!C464</f>
        <v>0</v>
      </c>
      <c r="D464" s="26">
        <f ca="1">'Preventative costs A'!D464-'Preventative costs B'!D464</f>
        <v>0</v>
      </c>
      <c r="E464" s="26">
        <f ca="1">'Preventative costs A'!E464-'Preventative costs B'!E464</f>
        <v>0</v>
      </c>
      <c r="F464" s="26">
        <f ca="1">'Preventative costs A'!F464-'Preventative costs B'!F464</f>
        <v>0</v>
      </c>
      <c r="G464" s="26">
        <f ca="1">'Preventative costs A'!G464-'Preventative costs B'!G464</f>
        <v>0</v>
      </c>
      <c r="H464" s="26">
        <f ca="1">'Preventative costs A'!H464-'Preventative costs B'!H464</f>
        <v>0</v>
      </c>
      <c r="I464" s="26">
        <f ca="1">'Preventative costs A'!I464-'Preventative costs B'!I464</f>
        <v>0</v>
      </c>
      <c r="J464" s="26">
        <f ca="1">'Preventative costs A'!J464-'Preventative costs B'!J464</f>
        <v>0</v>
      </c>
      <c r="K464" s="26">
        <f ca="1">'Preventative costs A'!K464-'Preventative costs B'!K464</f>
        <v>0</v>
      </c>
      <c r="M464" s="4" t="str">
        <f t="shared" si="28"/>
        <v>per Mtonne</v>
      </c>
    </row>
    <row r="465" spans="1:13" s="6" customFormat="1" x14ac:dyDescent="0.25">
      <c r="A465" s="4" t="str">
        <v>CA CO2</v>
      </c>
      <c r="B465" s="26">
        <f ca="1">'Preventative costs A'!B465-'Preventative costs B'!B465</f>
        <v>0</v>
      </c>
      <c r="C465" s="26">
        <f ca="1">'Preventative costs A'!C465-'Preventative costs B'!C465</f>
        <v>0</v>
      </c>
      <c r="D465" s="26">
        <f ca="1">'Preventative costs A'!D465-'Preventative costs B'!D465</f>
        <v>0</v>
      </c>
      <c r="E465" s="26">
        <f ca="1">'Preventative costs A'!E465-'Preventative costs B'!E465</f>
        <v>0</v>
      </c>
      <c r="F465" s="26">
        <f ca="1">'Preventative costs A'!F465-'Preventative costs B'!F465</f>
        <v>0</v>
      </c>
      <c r="G465" s="26">
        <f ca="1">'Preventative costs A'!G465-'Preventative costs B'!G465</f>
        <v>0</v>
      </c>
      <c r="H465" s="26">
        <f ca="1">'Preventative costs A'!H465-'Preventative costs B'!H465</f>
        <v>0</v>
      </c>
      <c r="I465" s="26">
        <f ca="1">'Preventative costs A'!I465-'Preventative costs B'!I465</f>
        <v>0</v>
      </c>
      <c r="J465" s="26">
        <f ca="1">'Preventative costs A'!J465-'Preventative costs B'!J465</f>
        <v>0</v>
      </c>
      <c r="K465" s="26">
        <f ca="1">'Preventative costs A'!K465-'Preventative costs B'!K465</f>
        <v>0</v>
      </c>
      <c r="M465" s="4" t="str">
        <f t="shared" si="28"/>
        <v>per Mtonne</v>
      </c>
    </row>
    <row r="466" spans="1:13" s="6" customFormat="1" x14ac:dyDescent="0.25">
      <c r="A466" s="4" t="str">
        <v>IA CO2</v>
      </c>
      <c r="B466" s="26">
        <f ca="1">'Preventative costs A'!B466-'Preventative costs B'!B466</f>
        <v>0</v>
      </c>
      <c r="C466" s="26">
        <f ca="1">'Preventative costs A'!C466-'Preventative costs B'!C466</f>
        <v>0</v>
      </c>
      <c r="D466" s="26">
        <f ca="1">'Preventative costs A'!D466-'Preventative costs B'!D466</f>
        <v>0</v>
      </c>
      <c r="E466" s="26">
        <f ca="1">'Preventative costs A'!E466-'Preventative costs B'!E466</f>
        <v>0</v>
      </c>
      <c r="F466" s="26">
        <f ca="1">'Preventative costs A'!F466-'Preventative costs B'!F466</f>
        <v>0</v>
      </c>
      <c r="G466" s="26">
        <f ca="1">'Preventative costs A'!G466-'Preventative costs B'!G466</f>
        <v>0</v>
      </c>
      <c r="H466" s="26">
        <f ca="1">'Preventative costs A'!H466-'Preventative costs B'!H466</f>
        <v>0</v>
      </c>
      <c r="I466" s="26">
        <f ca="1">'Preventative costs A'!I466-'Preventative costs B'!I466</f>
        <v>0</v>
      </c>
      <c r="J466" s="26">
        <f ca="1">'Preventative costs A'!J466-'Preventative costs B'!J466</f>
        <v>0</v>
      </c>
      <c r="K466" s="26">
        <f ca="1">'Preventative costs A'!K466-'Preventative costs B'!K466</f>
        <v>0</v>
      </c>
      <c r="M466" s="4" t="str">
        <f t="shared" si="28"/>
        <v>per Mtonne</v>
      </c>
    </row>
    <row r="467" spans="1:13" s="6" customFormat="1" x14ac:dyDescent="0.25">
      <c r="A467" s="4" t="str">
        <v>AF CO2</v>
      </c>
      <c r="B467" s="26">
        <f ca="1">'Preventative costs A'!B467-'Preventative costs B'!B467</f>
        <v>0</v>
      </c>
      <c r="C467" s="26">
        <f ca="1">'Preventative costs A'!C467-'Preventative costs B'!C467</f>
        <v>0</v>
      </c>
      <c r="D467" s="26">
        <f ca="1">'Preventative costs A'!D467-'Preventative costs B'!D467</f>
        <v>0</v>
      </c>
      <c r="E467" s="26">
        <f ca="1">'Preventative costs A'!E467-'Preventative costs B'!E467</f>
        <v>0</v>
      </c>
      <c r="F467" s="26">
        <f ca="1">'Preventative costs A'!F467-'Preventative costs B'!F467</f>
        <v>0</v>
      </c>
      <c r="G467" s="26">
        <f ca="1">'Preventative costs A'!G467-'Preventative costs B'!G467</f>
        <v>0</v>
      </c>
      <c r="H467" s="26">
        <f ca="1">'Preventative costs A'!H467-'Preventative costs B'!H467</f>
        <v>0</v>
      </c>
      <c r="I467" s="26">
        <f ca="1">'Preventative costs A'!I467-'Preventative costs B'!I467</f>
        <v>0</v>
      </c>
      <c r="J467" s="26">
        <f ca="1">'Preventative costs A'!J467-'Preventative costs B'!J467</f>
        <v>0</v>
      </c>
      <c r="K467" s="26">
        <f ca="1">'Preventative costs A'!K467-'Preventative costs B'!K467</f>
        <v>0</v>
      </c>
      <c r="M467" s="4" t="str">
        <f t="shared" si="28"/>
        <v>per Mtonne</v>
      </c>
    </row>
    <row r="468" spans="1:13" s="6" customFormat="1" ht="13" thickBot="1" x14ac:dyDescent="0.3">
      <c r="A468" s="4" t="str">
        <v>LA CO2</v>
      </c>
      <c r="B468" s="35">
        <f ca="1">'Preventative costs A'!B468-'Preventative costs B'!B468</f>
        <v>0</v>
      </c>
      <c r="C468" s="35">
        <f ca="1">'Preventative costs A'!C468-'Preventative costs B'!C468</f>
        <v>0</v>
      </c>
      <c r="D468" s="35">
        <f ca="1">'Preventative costs A'!D468-'Preventative costs B'!D468</f>
        <v>0</v>
      </c>
      <c r="E468" s="35">
        <f ca="1">'Preventative costs A'!E468-'Preventative costs B'!E468</f>
        <v>0</v>
      </c>
      <c r="F468" s="35">
        <f ca="1">'Preventative costs A'!F468-'Preventative costs B'!F468</f>
        <v>0</v>
      </c>
      <c r="G468" s="35">
        <f ca="1">'Preventative costs A'!G468-'Preventative costs B'!G468</f>
        <v>0</v>
      </c>
      <c r="H468" s="35">
        <f ca="1">'Preventative costs A'!H468-'Preventative costs B'!H468</f>
        <v>0</v>
      </c>
      <c r="I468" s="35">
        <f ca="1">'Preventative costs A'!I468-'Preventative costs B'!I468</f>
        <v>0</v>
      </c>
      <c r="J468" s="35">
        <f ca="1">'Preventative costs A'!J468-'Preventative costs B'!J468</f>
        <v>0</v>
      </c>
      <c r="K468" s="35">
        <f ca="1">'Preventative costs A'!K468-'Preventative costs B'!K468</f>
        <v>0</v>
      </c>
      <c r="M468" s="4" t="str">
        <f t="shared" si="28"/>
        <v>per Mtonne</v>
      </c>
    </row>
    <row r="469" spans="1:13" s="2" customFormat="1" ht="15.5" thickTop="1" x14ac:dyDescent="0.4">
      <c r="A469" s="2" t="s">
        <v>334</v>
      </c>
      <c r="B469" s="2" t="s">
        <v>336</v>
      </c>
    </row>
    <row r="470" spans="1:13" s="7" customFormat="1" x14ac:dyDescent="0.25">
      <c r="A470" s="4" t="str">
        <f t="array" ref="A470:A477">R_CODE&amp;" "&amp;'Base data'!$C$12</f>
        <v>EU CH4</v>
      </c>
      <c r="B470" s="29">
        <f ca="1">'Preventative costs A'!B470-'Preventative costs B'!B470</f>
        <v>0</v>
      </c>
      <c r="C470" s="29">
        <f ca="1">'Preventative costs A'!C470-'Preventative costs B'!C470</f>
        <v>0</v>
      </c>
      <c r="D470" s="29">
        <f ca="1">'Preventative costs A'!D470-'Preventative costs B'!D470</f>
        <v>0</v>
      </c>
      <c r="E470" s="29">
        <f ca="1">'Preventative costs A'!E470-'Preventative costs B'!E470</f>
        <v>0</v>
      </c>
      <c r="F470" s="29">
        <f ca="1">'Preventative costs A'!F470-'Preventative costs B'!F470</f>
        <v>0</v>
      </c>
      <c r="G470" s="29">
        <f ca="1">'Preventative costs A'!G470-'Preventative costs B'!G470</f>
        <v>0</v>
      </c>
      <c r="H470" s="29">
        <f ca="1">'Preventative costs A'!H470-'Preventative costs B'!H470</f>
        <v>0</v>
      </c>
      <c r="I470" s="29">
        <f ca="1">'Preventative costs A'!I470-'Preventative costs B'!I470</f>
        <v>0</v>
      </c>
      <c r="J470" s="29">
        <f ca="1">'Preventative costs A'!J470-'Preventative costs B'!J470</f>
        <v>0</v>
      </c>
      <c r="K470" s="29">
        <f ca="1">'Preventative costs A'!K470-'Preventative costs B'!K470</f>
        <v>0</v>
      </c>
      <c r="M470" s="4" t="str">
        <f t="shared" ref="M470:M477" si="29">"per "&amp;EMIT_NAME</f>
        <v>per Mtonne</v>
      </c>
    </row>
    <row r="471" spans="1:13" s="7" customFormat="1" x14ac:dyDescent="0.25">
      <c r="A471" s="4" t="str">
        <v>US CH4</v>
      </c>
      <c r="B471" s="26">
        <f ca="1">'Preventative costs A'!B471-'Preventative costs B'!B471</f>
        <v>0</v>
      </c>
      <c r="C471" s="26">
        <f ca="1">'Preventative costs A'!C471-'Preventative costs B'!C471</f>
        <v>0</v>
      </c>
      <c r="D471" s="26">
        <f ca="1">'Preventative costs A'!D471-'Preventative costs B'!D471</f>
        <v>0</v>
      </c>
      <c r="E471" s="26">
        <f ca="1">'Preventative costs A'!E471-'Preventative costs B'!E471</f>
        <v>0</v>
      </c>
      <c r="F471" s="26">
        <f ca="1">'Preventative costs A'!F471-'Preventative costs B'!F471</f>
        <v>0</v>
      </c>
      <c r="G471" s="26">
        <f ca="1">'Preventative costs A'!G471-'Preventative costs B'!G471</f>
        <v>0</v>
      </c>
      <c r="H471" s="26">
        <f ca="1">'Preventative costs A'!H471-'Preventative costs B'!H471</f>
        <v>0</v>
      </c>
      <c r="I471" s="26">
        <f ca="1">'Preventative costs A'!I471-'Preventative costs B'!I471</f>
        <v>0</v>
      </c>
      <c r="J471" s="26">
        <f ca="1">'Preventative costs A'!J471-'Preventative costs B'!J471</f>
        <v>0</v>
      </c>
      <c r="K471" s="26">
        <f ca="1">'Preventative costs A'!K471-'Preventative costs B'!K471</f>
        <v>0</v>
      </c>
      <c r="M471" s="4" t="str">
        <f t="shared" si="29"/>
        <v>per Mtonne</v>
      </c>
    </row>
    <row r="472" spans="1:13" s="7" customFormat="1" x14ac:dyDescent="0.25">
      <c r="A472" s="4" t="str">
        <v>OT CH4</v>
      </c>
      <c r="B472" s="26">
        <f ca="1">'Preventative costs A'!B472-'Preventative costs B'!B472</f>
        <v>0</v>
      </c>
      <c r="C472" s="26">
        <f ca="1">'Preventative costs A'!C472-'Preventative costs B'!C472</f>
        <v>0</v>
      </c>
      <c r="D472" s="26">
        <f ca="1">'Preventative costs A'!D472-'Preventative costs B'!D472</f>
        <v>0</v>
      </c>
      <c r="E472" s="26">
        <f ca="1">'Preventative costs A'!E472-'Preventative costs B'!E472</f>
        <v>0</v>
      </c>
      <c r="F472" s="26">
        <f ca="1">'Preventative costs A'!F472-'Preventative costs B'!F472</f>
        <v>0</v>
      </c>
      <c r="G472" s="26">
        <f ca="1">'Preventative costs A'!G472-'Preventative costs B'!G472</f>
        <v>0</v>
      </c>
      <c r="H472" s="26">
        <f ca="1">'Preventative costs A'!H472-'Preventative costs B'!H472</f>
        <v>0</v>
      </c>
      <c r="I472" s="26">
        <f ca="1">'Preventative costs A'!I472-'Preventative costs B'!I472</f>
        <v>0</v>
      </c>
      <c r="J472" s="26">
        <f ca="1">'Preventative costs A'!J472-'Preventative costs B'!J472</f>
        <v>0</v>
      </c>
      <c r="K472" s="26">
        <f ca="1">'Preventative costs A'!K472-'Preventative costs B'!K472</f>
        <v>0</v>
      </c>
      <c r="M472" s="4" t="str">
        <f t="shared" si="29"/>
        <v>per Mtonne</v>
      </c>
    </row>
    <row r="473" spans="1:13" s="7" customFormat="1" x14ac:dyDescent="0.25">
      <c r="A473" s="4" t="str">
        <v>EE CH4</v>
      </c>
      <c r="B473" s="26">
        <f ca="1">'Preventative costs A'!B473-'Preventative costs B'!B473</f>
        <v>0</v>
      </c>
      <c r="C473" s="26">
        <f ca="1">'Preventative costs A'!C473-'Preventative costs B'!C473</f>
        <v>0</v>
      </c>
      <c r="D473" s="26">
        <f ca="1">'Preventative costs A'!D473-'Preventative costs B'!D473</f>
        <v>0</v>
      </c>
      <c r="E473" s="26">
        <f ca="1">'Preventative costs A'!E473-'Preventative costs B'!E473</f>
        <v>0</v>
      </c>
      <c r="F473" s="26">
        <f ca="1">'Preventative costs A'!F473-'Preventative costs B'!F473</f>
        <v>0</v>
      </c>
      <c r="G473" s="26">
        <f ca="1">'Preventative costs A'!G473-'Preventative costs B'!G473</f>
        <v>0</v>
      </c>
      <c r="H473" s="26">
        <f ca="1">'Preventative costs A'!H473-'Preventative costs B'!H473</f>
        <v>0</v>
      </c>
      <c r="I473" s="26">
        <f ca="1">'Preventative costs A'!I473-'Preventative costs B'!I473</f>
        <v>0</v>
      </c>
      <c r="J473" s="26">
        <f ca="1">'Preventative costs A'!J473-'Preventative costs B'!J473</f>
        <v>0</v>
      </c>
      <c r="K473" s="26">
        <f ca="1">'Preventative costs A'!K473-'Preventative costs B'!K473</f>
        <v>0</v>
      </c>
      <c r="M473" s="4" t="str">
        <f t="shared" si="29"/>
        <v>per Mtonne</v>
      </c>
    </row>
    <row r="474" spans="1:13" s="7" customFormat="1" x14ac:dyDescent="0.25">
      <c r="A474" s="4" t="str">
        <v>CA CH4</v>
      </c>
      <c r="B474" s="26">
        <f ca="1">'Preventative costs A'!B474-'Preventative costs B'!B474</f>
        <v>0</v>
      </c>
      <c r="C474" s="26">
        <f ca="1">'Preventative costs A'!C474-'Preventative costs B'!C474</f>
        <v>0</v>
      </c>
      <c r="D474" s="26">
        <f ca="1">'Preventative costs A'!D474-'Preventative costs B'!D474</f>
        <v>0</v>
      </c>
      <c r="E474" s="26">
        <f ca="1">'Preventative costs A'!E474-'Preventative costs B'!E474</f>
        <v>0</v>
      </c>
      <c r="F474" s="26">
        <f ca="1">'Preventative costs A'!F474-'Preventative costs B'!F474</f>
        <v>0</v>
      </c>
      <c r="G474" s="26">
        <f ca="1">'Preventative costs A'!G474-'Preventative costs B'!G474</f>
        <v>0</v>
      </c>
      <c r="H474" s="26">
        <f ca="1">'Preventative costs A'!H474-'Preventative costs B'!H474</f>
        <v>0</v>
      </c>
      <c r="I474" s="26">
        <f ca="1">'Preventative costs A'!I474-'Preventative costs B'!I474</f>
        <v>0</v>
      </c>
      <c r="J474" s="26">
        <f ca="1">'Preventative costs A'!J474-'Preventative costs B'!J474</f>
        <v>0</v>
      </c>
      <c r="K474" s="26">
        <f ca="1">'Preventative costs A'!K474-'Preventative costs B'!K474</f>
        <v>0</v>
      </c>
      <c r="M474" s="4" t="str">
        <f t="shared" si="29"/>
        <v>per Mtonne</v>
      </c>
    </row>
    <row r="475" spans="1:13" s="7" customFormat="1" x14ac:dyDescent="0.25">
      <c r="A475" s="4" t="str">
        <v>IA CH4</v>
      </c>
      <c r="B475" s="26">
        <f ca="1">'Preventative costs A'!B475-'Preventative costs B'!B475</f>
        <v>0</v>
      </c>
      <c r="C475" s="26">
        <f ca="1">'Preventative costs A'!C475-'Preventative costs B'!C475</f>
        <v>0</v>
      </c>
      <c r="D475" s="26">
        <f ca="1">'Preventative costs A'!D475-'Preventative costs B'!D475</f>
        <v>0</v>
      </c>
      <c r="E475" s="26">
        <f ca="1">'Preventative costs A'!E475-'Preventative costs B'!E475</f>
        <v>0</v>
      </c>
      <c r="F475" s="26">
        <f ca="1">'Preventative costs A'!F475-'Preventative costs B'!F475</f>
        <v>0</v>
      </c>
      <c r="G475" s="26">
        <f ca="1">'Preventative costs A'!G475-'Preventative costs B'!G475</f>
        <v>0</v>
      </c>
      <c r="H475" s="26">
        <f ca="1">'Preventative costs A'!H475-'Preventative costs B'!H475</f>
        <v>0</v>
      </c>
      <c r="I475" s="26">
        <f ca="1">'Preventative costs A'!I475-'Preventative costs B'!I475</f>
        <v>0</v>
      </c>
      <c r="J475" s="26">
        <f ca="1">'Preventative costs A'!J475-'Preventative costs B'!J475</f>
        <v>0</v>
      </c>
      <c r="K475" s="26">
        <f ca="1">'Preventative costs A'!K475-'Preventative costs B'!K475</f>
        <v>0</v>
      </c>
      <c r="M475" s="4" t="str">
        <f t="shared" si="29"/>
        <v>per Mtonne</v>
      </c>
    </row>
    <row r="476" spans="1:13" s="7" customFormat="1" x14ac:dyDescent="0.25">
      <c r="A476" s="4" t="str">
        <v>AF CH4</v>
      </c>
      <c r="B476" s="26">
        <f ca="1">'Preventative costs A'!B476-'Preventative costs B'!B476</f>
        <v>0</v>
      </c>
      <c r="C476" s="26">
        <f ca="1">'Preventative costs A'!C476-'Preventative costs B'!C476</f>
        <v>0</v>
      </c>
      <c r="D476" s="26">
        <f ca="1">'Preventative costs A'!D476-'Preventative costs B'!D476</f>
        <v>0</v>
      </c>
      <c r="E476" s="26">
        <f ca="1">'Preventative costs A'!E476-'Preventative costs B'!E476</f>
        <v>0</v>
      </c>
      <c r="F476" s="26">
        <f ca="1">'Preventative costs A'!F476-'Preventative costs B'!F476</f>
        <v>0</v>
      </c>
      <c r="G476" s="26">
        <f ca="1">'Preventative costs A'!G476-'Preventative costs B'!G476</f>
        <v>0</v>
      </c>
      <c r="H476" s="26">
        <f ca="1">'Preventative costs A'!H476-'Preventative costs B'!H476</f>
        <v>0</v>
      </c>
      <c r="I476" s="26">
        <f ca="1">'Preventative costs A'!I476-'Preventative costs B'!I476</f>
        <v>0</v>
      </c>
      <c r="J476" s="26">
        <f ca="1">'Preventative costs A'!J476-'Preventative costs B'!J476</f>
        <v>0</v>
      </c>
      <c r="K476" s="26">
        <f ca="1">'Preventative costs A'!K476-'Preventative costs B'!K476</f>
        <v>0</v>
      </c>
      <c r="M476" s="4" t="str">
        <f t="shared" si="29"/>
        <v>per Mtonne</v>
      </c>
    </row>
    <row r="477" spans="1:13" s="7" customFormat="1" ht="13" thickBot="1" x14ac:dyDescent="0.3">
      <c r="A477" s="4" t="str">
        <v>LA CH4</v>
      </c>
      <c r="B477" s="35">
        <f ca="1">'Preventative costs A'!B477-'Preventative costs B'!B477</f>
        <v>0</v>
      </c>
      <c r="C477" s="35">
        <f ca="1">'Preventative costs A'!C477-'Preventative costs B'!C477</f>
        <v>0</v>
      </c>
      <c r="D477" s="35">
        <f ca="1">'Preventative costs A'!D477-'Preventative costs B'!D477</f>
        <v>0</v>
      </c>
      <c r="E477" s="35">
        <f ca="1">'Preventative costs A'!E477-'Preventative costs B'!E477</f>
        <v>0</v>
      </c>
      <c r="F477" s="35">
        <f ca="1">'Preventative costs A'!F477-'Preventative costs B'!F477</f>
        <v>0</v>
      </c>
      <c r="G477" s="35">
        <f ca="1">'Preventative costs A'!G477-'Preventative costs B'!G477</f>
        <v>0</v>
      </c>
      <c r="H477" s="35">
        <f ca="1">'Preventative costs A'!H477-'Preventative costs B'!H477</f>
        <v>0</v>
      </c>
      <c r="I477" s="35">
        <f ca="1">'Preventative costs A'!I477-'Preventative costs B'!I477</f>
        <v>0</v>
      </c>
      <c r="J477" s="35">
        <f ca="1">'Preventative costs A'!J477-'Preventative costs B'!J477</f>
        <v>0</v>
      </c>
      <c r="K477" s="35">
        <f ca="1">'Preventative costs A'!K477-'Preventative costs B'!K477</f>
        <v>0</v>
      </c>
      <c r="M477" s="4" t="str">
        <f t="shared" si="29"/>
        <v>per Mtonne</v>
      </c>
    </row>
    <row r="478" spans="1:13" s="2" customFormat="1" ht="15.5" thickTop="1" x14ac:dyDescent="0.4">
      <c r="A478" s="2" t="s">
        <v>334</v>
      </c>
      <c r="B478" s="2" t="s">
        <v>337</v>
      </c>
    </row>
    <row r="479" spans="1:13" s="7" customFormat="1" x14ac:dyDescent="0.25">
      <c r="A479" s="4" t="str">
        <f t="array" ref="A479:A486">R_CODE&amp;" "&amp;'Base data'!$D$12</f>
        <v>EU N2O</v>
      </c>
      <c r="B479" s="29">
        <f ca="1">'Preventative costs A'!B479-'Preventative costs B'!B479</f>
        <v>0</v>
      </c>
      <c r="C479" s="29">
        <f ca="1">'Preventative costs A'!C479-'Preventative costs B'!C479</f>
        <v>0</v>
      </c>
      <c r="D479" s="29">
        <f ca="1">'Preventative costs A'!D479-'Preventative costs B'!D479</f>
        <v>0</v>
      </c>
      <c r="E479" s="29">
        <f ca="1">'Preventative costs A'!E479-'Preventative costs B'!E479</f>
        <v>0</v>
      </c>
      <c r="F479" s="29">
        <f ca="1">'Preventative costs A'!F479-'Preventative costs B'!F479</f>
        <v>0</v>
      </c>
      <c r="G479" s="29">
        <f ca="1">'Preventative costs A'!G479-'Preventative costs B'!G479</f>
        <v>0</v>
      </c>
      <c r="H479" s="29">
        <f ca="1">'Preventative costs A'!H479-'Preventative costs B'!H479</f>
        <v>0</v>
      </c>
      <c r="I479" s="29">
        <f ca="1">'Preventative costs A'!I479-'Preventative costs B'!I479</f>
        <v>0</v>
      </c>
      <c r="J479" s="29">
        <f ca="1">'Preventative costs A'!J479-'Preventative costs B'!J479</f>
        <v>0</v>
      </c>
      <c r="K479" s="29">
        <f ca="1">'Preventative costs A'!K479-'Preventative costs B'!K479</f>
        <v>0</v>
      </c>
      <c r="M479" s="4" t="str">
        <f t="shared" ref="M479:M486" si="30">"per "&amp;EMIT_NAME</f>
        <v>per Mtonne</v>
      </c>
    </row>
    <row r="480" spans="1:13" s="7" customFormat="1" x14ac:dyDescent="0.25">
      <c r="A480" s="4" t="str">
        <v>US N2O</v>
      </c>
      <c r="B480" s="26">
        <f ca="1">'Preventative costs A'!B480-'Preventative costs B'!B480</f>
        <v>0</v>
      </c>
      <c r="C480" s="26">
        <f ca="1">'Preventative costs A'!C480-'Preventative costs B'!C480</f>
        <v>0</v>
      </c>
      <c r="D480" s="26">
        <f ca="1">'Preventative costs A'!D480-'Preventative costs B'!D480</f>
        <v>0</v>
      </c>
      <c r="E480" s="26">
        <f ca="1">'Preventative costs A'!E480-'Preventative costs B'!E480</f>
        <v>0</v>
      </c>
      <c r="F480" s="26">
        <f ca="1">'Preventative costs A'!F480-'Preventative costs B'!F480</f>
        <v>0</v>
      </c>
      <c r="G480" s="26">
        <f ca="1">'Preventative costs A'!G480-'Preventative costs B'!G480</f>
        <v>0</v>
      </c>
      <c r="H480" s="26">
        <f ca="1">'Preventative costs A'!H480-'Preventative costs B'!H480</f>
        <v>0</v>
      </c>
      <c r="I480" s="26">
        <f ca="1">'Preventative costs A'!I480-'Preventative costs B'!I480</f>
        <v>0</v>
      </c>
      <c r="J480" s="26">
        <f ca="1">'Preventative costs A'!J480-'Preventative costs B'!J480</f>
        <v>0</v>
      </c>
      <c r="K480" s="26">
        <f ca="1">'Preventative costs A'!K480-'Preventative costs B'!K480</f>
        <v>0</v>
      </c>
      <c r="M480" s="4" t="str">
        <f t="shared" si="30"/>
        <v>per Mtonne</v>
      </c>
    </row>
    <row r="481" spans="1:13" s="7" customFormat="1" x14ac:dyDescent="0.25">
      <c r="A481" s="4" t="str">
        <v>OT N2O</v>
      </c>
      <c r="B481" s="26">
        <f ca="1">'Preventative costs A'!B481-'Preventative costs B'!B481</f>
        <v>0</v>
      </c>
      <c r="C481" s="26">
        <f ca="1">'Preventative costs A'!C481-'Preventative costs B'!C481</f>
        <v>0</v>
      </c>
      <c r="D481" s="26">
        <f ca="1">'Preventative costs A'!D481-'Preventative costs B'!D481</f>
        <v>0</v>
      </c>
      <c r="E481" s="26">
        <f ca="1">'Preventative costs A'!E481-'Preventative costs B'!E481</f>
        <v>0</v>
      </c>
      <c r="F481" s="26">
        <f ca="1">'Preventative costs A'!F481-'Preventative costs B'!F481</f>
        <v>0</v>
      </c>
      <c r="G481" s="26">
        <f ca="1">'Preventative costs A'!G481-'Preventative costs B'!G481</f>
        <v>0</v>
      </c>
      <c r="H481" s="26">
        <f ca="1">'Preventative costs A'!H481-'Preventative costs B'!H481</f>
        <v>0</v>
      </c>
      <c r="I481" s="26">
        <f ca="1">'Preventative costs A'!I481-'Preventative costs B'!I481</f>
        <v>0</v>
      </c>
      <c r="J481" s="26">
        <f ca="1">'Preventative costs A'!J481-'Preventative costs B'!J481</f>
        <v>0</v>
      </c>
      <c r="K481" s="26">
        <f ca="1">'Preventative costs A'!K481-'Preventative costs B'!K481</f>
        <v>0</v>
      </c>
      <c r="M481" s="4" t="str">
        <f t="shared" si="30"/>
        <v>per Mtonne</v>
      </c>
    </row>
    <row r="482" spans="1:13" s="7" customFormat="1" x14ac:dyDescent="0.25">
      <c r="A482" s="4" t="str">
        <v>EE N2O</v>
      </c>
      <c r="B482" s="26">
        <f ca="1">'Preventative costs A'!B482-'Preventative costs B'!B482</f>
        <v>0</v>
      </c>
      <c r="C482" s="26">
        <f ca="1">'Preventative costs A'!C482-'Preventative costs B'!C482</f>
        <v>0</v>
      </c>
      <c r="D482" s="26">
        <f ca="1">'Preventative costs A'!D482-'Preventative costs B'!D482</f>
        <v>0</v>
      </c>
      <c r="E482" s="26">
        <f ca="1">'Preventative costs A'!E482-'Preventative costs B'!E482</f>
        <v>0</v>
      </c>
      <c r="F482" s="26">
        <f ca="1">'Preventative costs A'!F482-'Preventative costs B'!F482</f>
        <v>0</v>
      </c>
      <c r="G482" s="26">
        <f ca="1">'Preventative costs A'!G482-'Preventative costs B'!G482</f>
        <v>0</v>
      </c>
      <c r="H482" s="26">
        <f ca="1">'Preventative costs A'!H482-'Preventative costs B'!H482</f>
        <v>0</v>
      </c>
      <c r="I482" s="26">
        <f ca="1">'Preventative costs A'!I482-'Preventative costs B'!I482</f>
        <v>0</v>
      </c>
      <c r="J482" s="26">
        <f ca="1">'Preventative costs A'!J482-'Preventative costs B'!J482</f>
        <v>0</v>
      </c>
      <c r="K482" s="26">
        <f ca="1">'Preventative costs A'!K482-'Preventative costs B'!K482</f>
        <v>0</v>
      </c>
      <c r="M482" s="4" t="str">
        <f t="shared" si="30"/>
        <v>per Mtonne</v>
      </c>
    </row>
    <row r="483" spans="1:13" s="7" customFormat="1" x14ac:dyDescent="0.25">
      <c r="A483" s="4" t="str">
        <v>CA N2O</v>
      </c>
      <c r="B483" s="26">
        <f ca="1">'Preventative costs A'!B483-'Preventative costs B'!B483</f>
        <v>0</v>
      </c>
      <c r="C483" s="26">
        <f ca="1">'Preventative costs A'!C483-'Preventative costs B'!C483</f>
        <v>0</v>
      </c>
      <c r="D483" s="26">
        <f ca="1">'Preventative costs A'!D483-'Preventative costs B'!D483</f>
        <v>0</v>
      </c>
      <c r="E483" s="26">
        <f ca="1">'Preventative costs A'!E483-'Preventative costs B'!E483</f>
        <v>0</v>
      </c>
      <c r="F483" s="26">
        <f ca="1">'Preventative costs A'!F483-'Preventative costs B'!F483</f>
        <v>0</v>
      </c>
      <c r="G483" s="26">
        <f ca="1">'Preventative costs A'!G483-'Preventative costs B'!G483</f>
        <v>0</v>
      </c>
      <c r="H483" s="26">
        <f ca="1">'Preventative costs A'!H483-'Preventative costs B'!H483</f>
        <v>0</v>
      </c>
      <c r="I483" s="26">
        <f ca="1">'Preventative costs A'!I483-'Preventative costs B'!I483</f>
        <v>0</v>
      </c>
      <c r="J483" s="26">
        <f ca="1">'Preventative costs A'!J483-'Preventative costs B'!J483</f>
        <v>0</v>
      </c>
      <c r="K483" s="26">
        <f ca="1">'Preventative costs A'!K483-'Preventative costs B'!K483</f>
        <v>0</v>
      </c>
      <c r="M483" s="4" t="str">
        <f t="shared" si="30"/>
        <v>per Mtonne</v>
      </c>
    </row>
    <row r="484" spans="1:13" s="7" customFormat="1" x14ac:dyDescent="0.25">
      <c r="A484" s="4" t="str">
        <v>IA N2O</v>
      </c>
      <c r="B484" s="26">
        <f ca="1">'Preventative costs A'!B484-'Preventative costs B'!B484</f>
        <v>0</v>
      </c>
      <c r="C484" s="26">
        <f ca="1">'Preventative costs A'!C484-'Preventative costs B'!C484</f>
        <v>0</v>
      </c>
      <c r="D484" s="26">
        <f ca="1">'Preventative costs A'!D484-'Preventative costs B'!D484</f>
        <v>0</v>
      </c>
      <c r="E484" s="26">
        <f ca="1">'Preventative costs A'!E484-'Preventative costs B'!E484</f>
        <v>0</v>
      </c>
      <c r="F484" s="26">
        <f ca="1">'Preventative costs A'!F484-'Preventative costs B'!F484</f>
        <v>0</v>
      </c>
      <c r="G484" s="26">
        <f ca="1">'Preventative costs A'!G484-'Preventative costs B'!G484</f>
        <v>0</v>
      </c>
      <c r="H484" s="26">
        <f ca="1">'Preventative costs A'!H484-'Preventative costs B'!H484</f>
        <v>0</v>
      </c>
      <c r="I484" s="26">
        <f ca="1">'Preventative costs A'!I484-'Preventative costs B'!I484</f>
        <v>0</v>
      </c>
      <c r="J484" s="26">
        <f ca="1">'Preventative costs A'!J484-'Preventative costs B'!J484</f>
        <v>0</v>
      </c>
      <c r="K484" s="26">
        <f ca="1">'Preventative costs A'!K484-'Preventative costs B'!K484</f>
        <v>0</v>
      </c>
      <c r="M484" s="4" t="str">
        <f t="shared" si="30"/>
        <v>per Mtonne</v>
      </c>
    </row>
    <row r="485" spans="1:13" s="7" customFormat="1" x14ac:dyDescent="0.25">
      <c r="A485" s="4" t="str">
        <v>AF N2O</v>
      </c>
      <c r="B485" s="26">
        <f ca="1">'Preventative costs A'!B485-'Preventative costs B'!B485</f>
        <v>0</v>
      </c>
      <c r="C485" s="26">
        <f ca="1">'Preventative costs A'!C485-'Preventative costs B'!C485</f>
        <v>0</v>
      </c>
      <c r="D485" s="26">
        <f ca="1">'Preventative costs A'!D485-'Preventative costs B'!D485</f>
        <v>0</v>
      </c>
      <c r="E485" s="26">
        <f ca="1">'Preventative costs A'!E485-'Preventative costs B'!E485</f>
        <v>0</v>
      </c>
      <c r="F485" s="26">
        <f ca="1">'Preventative costs A'!F485-'Preventative costs B'!F485</f>
        <v>0</v>
      </c>
      <c r="G485" s="26">
        <f ca="1">'Preventative costs A'!G485-'Preventative costs B'!G485</f>
        <v>0</v>
      </c>
      <c r="H485" s="26">
        <f ca="1">'Preventative costs A'!H485-'Preventative costs B'!H485</f>
        <v>0</v>
      </c>
      <c r="I485" s="26">
        <f ca="1">'Preventative costs A'!I485-'Preventative costs B'!I485</f>
        <v>0</v>
      </c>
      <c r="J485" s="26">
        <f ca="1">'Preventative costs A'!J485-'Preventative costs B'!J485</f>
        <v>0</v>
      </c>
      <c r="K485" s="26">
        <f ca="1">'Preventative costs A'!K485-'Preventative costs B'!K485</f>
        <v>0</v>
      </c>
      <c r="M485" s="4" t="str">
        <f t="shared" si="30"/>
        <v>per Mtonne</v>
      </c>
    </row>
    <row r="486" spans="1:13" s="7" customFormat="1" ht="13" thickBot="1" x14ac:dyDescent="0.3">
      <c r="A486" s="4" t="str">
        <v>LA N2O</v>
      </c>
      <c r="B486" s="35">
        <f ca="1">'Preventative costs A'!B486-'Preventative costs B'!B486</f>
        <v>0</v>
      </c>
      <c r="C486" s="35">
        <f ca="1">'Preventative costs A'!C486-'Preventative costs B'!C486</f>
        <v>0</v>
      </c>
      <c r="D486" s="35">
        <f ca="1">'Preventative costs A'!D486-'Preventative costs B'!D486</f>
        <v>0</v>
      </c>
      <c r="E486" s="35">
        <f ca="1">'Preventative costs A'!E486-'Preventative costs B'!E486</f>
        <v>0</v>
      </c>
      <c r="F486" s="35">
        <f ca="1">'Preventative costs A'!F486-'Preventative costs B'!F486</f>
        <v>0</v>
      </c>
      <c r="G486" s="35">
        <f ca="1">'Preventative costs A'!G486-'Preventative costs B'!G486</f>
        <v>0</v>
      </c>
      <c r="H486" s="35">
        <f ca="1">'Preventative costs A'!H486-'Preventative costs B'!H486</f>
        <v>0</v>
      </c>
      <c r="I486" s="35">
        <f ca="1">'Preventative costs A'!I486-'Preventative costs B'!I486</f>
        <v>0</v>
      </c>
      <c r="J486" s="35">
        <f ca="1">'Preventative costs A'!J486-'Preventative costs B'!J486</f>
        <v>0</v>
      </c>
      <c r="K486" s="35">
        <f ca="1">'Preventative costs A'!K486-'Preventative costs B'!K486</f>
        <v>0</v>
      </c>
      <c r="M486" s="4" t="str">
        <f t="shared" si="30"/>
        <v>per Mtonne</v>
      </c>
    </row>
    <row r="487" spans="1:13" s="2" customFormat="1" ht="15.5" thickTop="1" x14ac:dyDescent="0.4">
      <c r="A487" s="2" t="s">
        <v>334</v>
      </c>
      <c r="B487" s="2" t="s">
        <v>338</v>
      </c>
    </row>
    <row r="488" spans="1:13" s="7" customFormat="1" x14ac:dyDescent="0.25">
      <c r="A488" s="4" t="str">
        <f t="array" ref="A488:A495">R_CODE&amp;" "&amp;GLIN_NAME</f>
        <v>EU Lin</v>
      </c>
      <c r="B488" s="29">
        <f ca="1">'Preventative costs A'!B488-'Preventative costs B'!B488</f>
        <v>0</v>
      </c>
      <c r="C488" s="29">
        <f ca="1">'Preventative costs A'!C488-'Preventative costs B'!C488</f>
        <v>0</v>
      </c>
      <c r="D488" s="29">
        <f ca="1">'Preventative costs A'!D488-'Preventative costs B'!D488</f>
        <v>0</v>
      </c>
      <c r="E488" s="29">
        <f ca="1">'Preventative costs A'!E488-'Preventative costs B'!E488</f>
        <v>0</v>
      </c>
      <c r="F488" s="29">
        <f ca="1">'Preventative costs A'!F488-'Preventative costs B'!F488</f>
        <v>0</v>
      </c>
      <c r="G488" s="29">
        <f ca="1">'Preventative costs A'!G488-'Preventative costs B'!G488</f>
        <v>0</v>
      </c>
      <c r="H488" s="29">
        <f ca="1">'Preventative costs A'!H488-'Preventative costs B'!H488</f>
        <v>0</v>
      </c>
      <c r="I488" s="29">
        <f ca="1">'Preventative costs A'!I488-'Preventative costs B'!I488</f>
        <v>0</v>
      </c>
      <c r="J488" s="29">
        <f ca="1">'Preventative costs A'!J488-'Preventative costs B'!J488</f>
        <v>0</v>
      </c>
      <c r="K488" s="29">
        <f ca="1">'Preventative costs A'!K488-'Preventative costs B'!K488</f>
        <v>0</v>
      </c>
      <c r="M488" s="4" t="str">
        <f t="shared" ref="M488:M495" si="31">"per "&amp;EMIT_NAME</f>
        <v>per Mtonne</v>
      </c>
    </row>
    <row r="489" spans="1:13" s="7" customFormat="1" x14ac:dyDescent="0.25">
      <c r="A489" s="4" t="str">
        <v>US Lin</v>
      </c>
      <c r="B489" s="26">
        <f ca="1">'Preventative costs A'!B489-'Preventative costs B'!B489</f>
        <v>0</v>
      </c>
      <c r="C489" s="26">
        <f ca="1">'Preventative costs A'!C489-'Preventative costs B'!C489</f>
        <v>0</v>
      </c>
      <c r="D489" s="26">
        <f ca="1">'Preventative costs A'!D489-'Preventative costs B'!D489</f>
        <v>0</v>
      </c>
      <c r="E489" s="26">
        <f ca="1">'Preventative costs A'!E489-'Preventative costs B'!E489</f>
        <v>0</v>
      </c>
      <c r="F489" s="26">
        <f ca="1">'Preventative costs A'!F489-'Preventative costs B'!F489</f>
        <v>0</v>
      </c>
      <c r="G489" s="26">
        <f ca="1">'Preventative costs A'!G489-'Preventative costs B'!G489</f>
        <v>0</v>
      </c>
      <c r="H489" s="26">
        <f ca="1">'Preventative costs A'!H489-'Preventative costs B'!H489</f>
        <v>0</v>
      </c>
      <c r="I489" s="26">
        <f ca="1">'Preventative costs A'!I489-'Preventative costs B'!I489</f>
        <v>0</v>
      </c>
      <c r="J489" s="26">
        <f ca="1">'Preventative costs A'!J489-'Preventative costs B'!J489</f>
        <v>0</v>
      </c>
      <c r="K489" s="26">
        <f ca="1">'Preventative costs A'!K489-'Preventative costs B'!K489</f>
        <v>0</v>
      </c>
      <c r="M489" s="4" t="str">
        <f t="shared" si="31"/>
        <v>per Mtonne</v>
      </c>
    </row>
    <row r="490" spans="1:13" s="7" customFormat="1" x14ac:dyDescent="0.25">
      <c r="A490" s="4" t="str">
        <v>OT Lin</v>
      </c>
      <c r="B490" s="26">
        <f ca="1">'Preventative costs A'!B490-'Preventative costs B'!B490</f>
        <v>0</v>
      </c>
      <c r="C490" s="26">
        <f ca="1">'Preventative costs A'!C490-'Preventative costs B'!C490</f>
        <v>0</v>
      </c>
      <c r="D490" s="26">
        <f ca="1">'Preventative costs A'!D490-'Preventative costs B'!D490</f>
        <v>0</v>
      </c>
      <c r="E490" s="26">
        <f ca="1">'Preventative costs A'!E490-'Preventative costs B'!E490</f>
        <v>0</v>
      </c>
      <c r="F490" s="26">
        <f ca="1">'Preventative costs A'!F490-'Preventative costs B'!F490</f>
        <v>0</v>
      </c>
      <c r="G490" s="26">
        <f ca="1">'Preventative costs A'!G490-'Preventative costs B'!G490</f>
        <v>0</v>
      </c>
      <c r="H490" s="26">
        <f ca="1">'Preventative costs A'!H490-'Preventative costs B'!H490</f>
        <v>0</v>
      </c>
      <c r="I490" s="26">
        <f ca="1">'Preventative costs A'!I490-'Preventative costs B'!I490</f>
        <v>0</v>
      </c>
      <c r="J490" s="26">
        <f ca="1">'Preventative costs A'!J490-'Preventative costs B'!J490</f>
        <v>0</v>
      </c>
      <c r="K490" s="26">
        <f ca="1">'Preventative costs A'!K490-'Preventative costs B'!K490</f>
        <v>0</v>
      </c>
      <c r="M490" s="4" t="str">
        <f t="shared" si="31"/>
        <v>per Mtonne</v>
      </c>
    </row>
    <row r="491" spans="1:13" s="7" customFormat="1" x14ac:dyDescent="0.25">
      <c r="A491" s="4" t="str">
        <v>EE Lin</v>
      </c>
      <c r="B491" s="26">
        <f ca="1">'Preventative costs A'!B491-'Preventative costs B'!B491</f>
        <v>0</v>
      </c>
      <c r="C491" s="26">
        <f ca="1">'Preventative costs A'!C491-'Preventative costs B'!C491</f>
        <v>0</v>
      </c>
      <c r="D491" s="26">
        <f ca="1">'Preventative costs A'!D491-'Preventative costs B'!D491</f>
        <v>0</v>
      </c>
      <c r="E491" s="26">
        <f ca="1">'Preventative costs A'!E491-'Preventative costs B'!E491</f>
        <v>0</v>
      </c>
      <c r="F491" s="26">
        <f ca="1">'Preventative costs A'!F491-'Preventative costs B'!F491</f>
        <v>0</v>
      </c>
      <c r="G491" s="26">
        <f ca="1">'Preventative costs A'!G491-'Preventative costs B'!G491</f>
        <v>0</v>
      </c>
      <c r="H491" s="26">
        <f ca="1">'Preventative costs A'!H491-'Preventative costs B'!H491</f>
        <v>0</v>
      </c>
      <c r="I491" s="26">
        <f ca="1">'Preventative costs A'!I491-'Preventative costs B'!I491</f>
        <v>0</v>
      </c>
      <c r="J491" s="26">
        <f ca="1">'Preventative costs A'!J491-'Preventative costs B'!J491</f>
        <v>0</v>
      </c>
      <c r="K491" s="26">
        <f ca="1">'Preventative costs A'!K491-'Preventative costs B'!K491</f>
        <v>0</v>
      </c>
      <c r="M491" s="4" t="str">
        <f t="shared" si="31"/>
        <v>per Mtonne</v>
      </c>
    </row>
    <row r="492" spans="1:13" s="7" customFormat="1" x14ac:dyDescent="0.25">
      <c r="A492" s="4" t="str">
        <v>CA Lin</v>
      </c>
      <c r="B492" s="26">
        <f ca="1">'Preventative costs A'!B492-'Preventative costs B'!B492</f>
        <v>0</v>
      </c>
      <c r="C492" s="26">
        <f ca="1">'Preventative costs A'!C492-'Preventative costs B'!C492</f>
        <v>0</v>
      </c>
      <c r="D492" s="26">
        <f ca="1">'Preventative costs A'!D492-'Preventative costs B'!D492</f>
        <v>0</v>
      </c>
      <c r="E492" s="26">
        <f ca="1">'Preventative costs A'!E492-'Preventative costs B'!E492</f>
        <v>0</v>
      </c>
      <c r="F492" s="26">
        <f ca="1">'Preventative costs A'!F492-'Preventative costs B'!F492</f>
        <v>0</v>
      </c>
      <c r="G492" s="26">
        <f ca="1">'Preventative costs A'!G492-'Preventative costs B'!G492</f>
        <v>0</v>
      </c>
      <c r="H492" s="26">
        <f ca="1">'Preventative costs A'!H492-'Preventative costs B'!H492</f>
        <v>0</v>
      </c>
      <c r="I492" s="26">
        <f ca="1">'Preventative costs A'!I492-'Preventative costs B'!I492</f>
        <v>0</v>
      </c>
      <c r="J492" s="26">
        <f ca="1">'Preventative costs A'!J492-'Preventative costs B'!J492</f>
        <v>0</v>
      </c>
      <c r="K492" s="26">
        <f ca="1">'Preventative costs A'!K492-'Preventative costs B'!K492</f>
        <v>0</v>
      </c>
      <c r="M492" s="4" t="str">
        <f t="shared" si="31"/>
        <v>per Mtonne</v>
      </c>
    </row>
    <row r="493" spans="1:13" s="7" customFormat="1" x14ac:dyDescent="0.25">
      <c r="A493" s="4" t="str">
        <v>IA Lin</v>
      </c>
      <c r="B493" s="26">
        <f ca="1">'Preventative costs A'!B493-'Preventative costs B'!B493</f>
        <v>0</v>
      </c>
      <c r="C493" s="26">
        <f ca="1">'Preventative costs A'!C493-'Preventative costs B'!C493</f>
        <v>0</v>
      </c>
      <c r="D493" s="26">
        <f ca="1">'Preventative costs A'!D493-'Preventative costs B'!D493</f>
        <v>0</v>
      </c>
      <c r="E493" s="26">
        <f ca="1">'Preventative costs A'!E493-'Preventative costs B'!E493</f>
        <v>0</v>
      </c>
      <c r="F493" s="26">
        <f ca="1">'Preventative costs A'!F493-'Preventative costs B'!F493</f>
        <v>0</v>
      </c>
      <c r="G493" s="26">
        <f ca="1">'Preventative costs A'!G493-'Preventative costs B'!G493</f>
        <v>0</v>
      </c>
      <c r="H493" s="26">
        <f ca="1">'Preventative costs A'!H493-'Preventative costs B'!H493</f>
        <v>0</v>
      </c>
      <c r="I493" s="26">
        <f ca="1">'Preventative costs A'!I493-'Preventative costs B'!I493</f>
        <v>0</v>
      </c>
      <c r="J493" s="26">
        <f ca="1">'Preventative costs A'!J493-'Preventative costs B'!J493</f>
        <v>0</v>
      </c>
      <c r="K493" s="26">
        <f ca="1">'Preventative costs A'!K493-'Preventative costs B'!K493</f>
        <v>0</v>
      </c>
      <c r="M493" s="4" t="str">
        <f t="shared" si="31"/>
        <v>per Mtonne</v>
      </c>
    </row>
    <row r="494" spans="1:13" s="7" customFormat="1" x14ac:dyDescent="0.25">
      <c r="A494" s="4" t="str">
        <v>AF Lin</v>
      </c>
      <c r="B494" s="26">
        <f ca="1">'Preventative costs A'!B494-'Preventative costs B'!B494</f>
        <v>0</v>
      </c>
      <c r="C494" s="26">
        <f ca="1">'Preventative costs A'!C494-'Preventative costs B'!C494</f>
        <v>0</v>
      </c>
      <c r="D494" s="26">
        <f ca="1">'Preventative costs A'!D494-'Preventative costs B'!D494</f>
        <v>0</v>
      </c>
      <c r="E494" s="26">
        <f ca="1">'Preventative costs A'!E494-'Preventative costs B'!E494</f>
        <v>0</v>
      </c>
      <c r="F494" s="26">
        <f ca="1">'Preventative costs A'!F494-'Preventative costs B'!F494</f>
        <v>0</v>
      </c>
      <c r="G494" s="26">
        <f ca="1">'Preventative costs A'!G494-'Preventative costs B'!G494</f>
        <v>0</v>
      </c>
      <c r="H494" s="26">
        <f ca="1">'Preventative costs A'!H494-'Preventative costs B'!H494</f>
        <v>0</v>
      </c>
      <c r="I494" s="26">
        <f ca="1">'Preventative costs A'!I494-'Preventative costs B'!I494</f>
        <v>0</v>
      </c>
      <c r="J494" s="26">
        <f ca="1">'Preventative costs A'!J494-'Preventative costs B'!J494</f>
        <v>0</v>
      </c>
      <c r="K494" s="26">
        <f ca="1">'Preventative costs A'!K494-'Preventative costs B'!K494</f>
        <v>0</v>
      </c>
      <c r="M494" s="4" t="str">
        <f t="shared" si="31"/>
        <v>per Mtonne</v>
      </c>
    </row>
    <row r="495" spans="1:13" s="7" customFormat="1" ht="13" thickBot="1" x14ac:dyDescent="0.3">
      <c r="A495" s="4" t="str">
        <v>LA Lin</v>
      </c>
      <c r="B495" s="35">
        <f ca="1">'Preventative costs A'!B495-'Preventative costs B'!B495</f>
        <v>0</v>
      </c>
      <c r="C495" s="35">
        <f ca="1">'Preventative costs A'!C495-'Preventative costs B'!C495</f>
        <v>0</v>
      </c>
      <c r="D495" s="35">
        <f ca="1">'Preventative costs A'!D495-'Preventative costs B'!D495</f>
        <v>0</v>
      </c>
      <c r="E495" s="35">
        <f ca="1">'Preventative costs A'!E495-'Preventative costs B'!E495</f>
        <v>0</v>
      </c>
      <c r="F495" s="35">
        <f ca="1">'Preventative costs A'!F495-'Preventative costs B'!F495</f>
        <v>0</v>
      </c>
      <c r="G495" s="35">
        <f ca="1">'Preventative costs A'!G495-'Preventative costs B'!G495</f>
        <v>0</v>
      </c>
      <c r="H495" s="35">
        <f ca="1">'Preventative costs A'!H495-'Preventative costs B'!H495</f>
        <v>0</v>
      </c>
      <c r="I495" s="35">
        <f ca="1">'Preventative costs A'!I495-'Preventative costs B'!I495</f>
        <v>0</v>
      </c>
      <c r="J495" s="35">
        <f ca="1">'Preventative costs A'!J495-'Preventative costs B'!J495</f>
        <v>0</v>
      </c>
      <c r="K495" s="35">
        <f ca="1">'Preventative costs A'!K495-'Preventative costs B'!K495</f>
        <v>0</v>
      </c>
      <c r="M495" s="4" t="str">
        <f t="shared" si="31"/>
        <v>per Mtonne</v>
      </c>
    </row>
    <row r="496" spans="1:13" s="2" customFormat="1" ht="15.5" thickTop="1" x14ac:dyDescent="0.4">
      <c r="A496" s="2" t="s">
        <v>339</v>
      </c>
      <c r="B496" s="2" t="s">
        <v>340</v>
      </c>
    </row>
    <row r="497" spans="1:13" s="6" customFormat="1" x14ac:dyDescent="0.25">
      <c r="A497" s="4" t="str">
        <f t="array" ref="A497:A504">R_CODE&amp;" "&amp;'Base data'!$B$12</f>
        <v>EU CO2</v>
      </c>
      <c r="B497" s="29">
        <f ca="1">'Preventative costs A'!B497-'Preventative costs B'!B497</f>
        <v>0</v>
      </c>
      <c r="C497" s="29">
        <f ca="1">'Preventative costs A'!C497-'Preventative costs B'!C497</f>
        <v>0</v>
      </c>
      <c r="D497" s="29">
        <f ca="1">'Preventative costs A'!D497-'Preventative costs B'!D497</f>
        <v>0</v>
      </c>
      <c r="E497" s="29">
        <f ca="1">'Preventative costs A'!E497-'Preventative costs B'!E497</f>
        <v>0</v>
      </c>
      <c r="F497" s="29">
        <f ca="1">'Preventative costs A'!F497-'Preventative costs B'!F497</f>
        <v>0</v>
      </c>
      <c r="G497" s="29">
        <f ca="1">'Preventative costs A'!G497-'Preventative costs B'!G497</f>
        <v>0</v>
      </c>
      <c r="H497" s="29">
        <f ca="1">'Preventative costs A'!H497-'Preventative costs B'!H497</f>
        <v>0</v>
      </c>
      <c r="I497" s="29">
        <f ca="1">'Preventative costs A'!I497-'Preventative costs B'!I497</f>
        <v>0</v>
      </c>
      <c r="J497" s="29">
        <f ca="1">'Preventative costs A'!J497-'Preventative costs B'!J497</f>
        <v>0</v>
      </c>
      <c r="K497" s="29">
        <f ca="1">'Preventative costs A'!K497-'Preventative costs B'!K497</f>
        <v>0</v>
      </c>
      <c r="M497" s="4" t="str">
        <f t="shared" ref="M497:M504" si="32">CURRENCY_NAME&amp;" per "&amp;EMIT_NAME</f>
        <v>$M(2015) per Mtonne</v>
      </c>
    </row>
    <row r="498" spans="1:13" s="6" customFormat="1" x14ac:dyDescent="0.25">
      <c r="A498" s="4" t="str">
        <v>US CO2</v>
      </c>
      <c r="B498" s="26">
        <f ca="1">'Preventative costs A'!B498-'Preventative costs B'!B498</f>
        <v>0</v>
      </c>
      <c r="C498" s="26">
        <f ca="1">'Preventative costs A'!C498-'Preventative costs B'!C498</f>
        <v>0</v>
      </c>
      <c r="D498" s="26">
        <f ca="1">'Preventative costs A'!D498-'Preventative costs B'!D498</f>
        <v>0</v>
      </c>
      <c r="E498" s="26">
        <f ca="1">'Preventative costs A'!E498-'Preventative costs B'!E498</f>
        <v>0</v>
      </c>
      <c r="F498" s="26">
        <f ca="1">'Preventative costs A'!F498-'Preventative costs B'!F498</f>
        <v>0</v>
      </c>
      <c r="G498" s="26">
        <f ca="1">'Preventative costs A'!G498-'Preventative costs B'!G498</f>
        <v>0</v>
      </c>
      <c r="H498" s="26">
        <f ca="1">'Preventative costs A'!H498-'Preventative costs B'!H498</f>
        <v>0</v>
      </c>
      <c r="I498" s="26">
        <f ca="1">'Preventative costs A'!I498-'Preventative costs B'!I498</f>
        <v>0</v>
      </c>
      <c r="J498" s="26">
        <f ca="1">'Preventative costs A'!J498-'Preventative costs B'!J498</f>
        <v>0</v>
      </c>
      <c r="K498" s="26">
        <f ca="1">'Preventative costs A'!K498-'Preventative costs B'!K498</f>
        <v>0</v>
      </c>
      <c r="M498" s="4" t="str">
        <f t="shared" si="32"/>
        <v>$M(2015) per Mtonne</v>
      </c>
    </row>
    <row r="499" spans="1:13" s="6" customFormat="1" x14ac:dyDescent="0.25">
      <c r="A499" s="4" t="str">
        <v>OT CO2</v>
      </c>
      <c r="B499" s="26">
        <f ca="1">'Preventative costs A'!B499-'Preventative costs B'!B499</f>
        <v>0</v>
      </c>
      <c r="C499" s="26">
        <f ca="1">'Preventative costs A'!C499-'Preventative costs B'!C499</f>
        <v>0</v>
      </c>
      <c r="D499" s="26">
        <f ca="1">'Preventative costs A'!D499-'Preventative costs B'!D499</f>
        <v>0</v>
      </c>
      <c r="E499" s="26">
        <f ca="1">'Preventative costs A'!E499-'Preventative costs B'!E499</f>
        <v>0</v>
      </c>
      <c r="F499" s="26">
        <f ca="1">'Preventative costs A'!F499-'Preventative costs B'!F499</f>
        <v>0</v>
      </c>
      <c r="G499" s="26">
        <f ca="1">'Preventative costs A'!G499-'Preventative costs B'!G499</f>
        <v>0</v>
      </c>
      <c r="H499" s="26">
        <f ca="1">'Preventative costs A'!H499-'Preventative costs B'!H499</f>
        <v>0</v>
      </c>
      <c r="I499" s="26">
        <f ca="1">'Preventative costs A'!I499-'Preventative costs B'!I499</f>
        <v>0</v>
      </c>
      <c r="J499" s="26">
        <f ca="1">'Preventative costs A'!J499-'Preventative costs B'!J499</f>
        <v>0</v>
      </c>
      <c r="K499" s="26">
        <f ca="1">'Preventative costs A'!K499-'Preventative costs B'!K499</f>
        <v>0</v>
      </c>
      <c r="M499" s="4" t="str">
        <f t="shared" si="32"/>
        <v>$M(2015) per Mtonne</v>
      </c>
    </row>
    <row r="500" spans="1:13" s="6" customFormat="1" x14ac:dyDescent="0.25">
      <c r="A500" s="4" t="str">
        <v>EE CO2</v>
      </c>
      <c r="B500" s="26">
        <f ca="1">'Preventative costs A'!B500-'Preventative costs B'!B500</f>
        <v>0</v>
      </c>
      <c r="C500" s="26">
        <f ca="1">'Preventative costs A'!C500-'Preventative costs B'!C500</f>
        <v>0</v>
      </c>
      <c r="D500" s="26">
        <f ca="1">'Preventative costs A'!D500-'Preventative costs B'!D500</f>
        <v>0</v>
      </c>
      <c r="E500" s="26">
        <f ca="1">'Preventative costs A'!E500-'Preventative costs B'!E500</f>
        <v>0</v>
      </c>
      <c r="F500" s="26">
        <f ca="1">'Preventative costs A'!F500-'Preventative costs B'!F500</f>
        <v>0</v>
      </c>
      <c r="G500" s="26">
        <f ca="1">'Preventative costs A'!G500-'Preventative costs B'!G500</f>
        <v>0</v>
      </c>
      <c r="H500" s="26">
        <f ca="1">'Preventative costs A'!H500-'Preventative costs B'!H500</f>
        <v>0</v>
      </c>
      <c r="I500" s="26">
        <f ca="1">'Preventative costs A'!I500-'Preventative costs B'!I500</f>
        <v>0</v>
      </c>
      <c r="J500" s="26">
        <f ca="1">'Preventative costs A'!J500-'Preventative costs B'!J500</f>
        <v>0</v>
      </c>
      <c r="K500" s="26">
        <f ca="1">'Preventative costs A'!K500-'Preventative costs B'!K500</f>
        <v>0</v>
      </c>
      <c r="M500" s="4" t="str">
        <f t="shared" si="32"/>
        <v>$M(2015) per Mtonne</v>
      </c>
    </row>
    <row r="501" spans="1:13" s="6" customFormat="1" x14ac:dyDescent="0.25">
      <c r="A501" s="4" t="str">
        <v>CA CO2</v>
      </c>
      <c r="B501" s="26">
        <f ca="1">'Preventative costs A'!B501-'Preventative costs B'!B501</f>
        <v>0</v>
      </c>
      <c r="C501" s="26">
        <f ca="1">'Preventative costs A'!C501-'Preventative costs B'!C501</f>
        <v>0</v>
      </c>
      <c r="D501" s="26">
        <f ca="1">'Preventative costs A'!D501-'Preventative costs B'!D501</f>
        <v>0</v>
      </c>
      <c r="E501" s="26">
        <f ca="1">'Preventative costs A'!E501-'Preventative costs B'!E501</f>
        <v>0</v>
      </c>
      <c r="F501" s="26">
        <f ca="1">'Preventative costs A'!F501-'Preventative costs B'!F501</f>
        <v>0</v>
      </c>
      <c r="G501" s="26">
        <f ca="1">'Preventative costs A'!G501-'Preventative costs B'!G501</f>
        <v>0</v>
      </c>
      <c r="H501" s="26">
        <f ca="1">'Preventative costs A'!H501-'Preventative costs B'!H501</f>
        <v>0</v>
      </c>
      <c r="I501" s="26">
        <f ca="1">'Preventative costs A'!I501-'Preventative costs B'!I501</f>
        <v>0</v>
      </c>
      <c r="J501" s="26">
        <f ca="1">'Preventative costs A'!J501-'Preventative costs B'!J501</f>
        <v>0</v>
      </c>
      <c r="K501" s="26">
        <f ca="1">'Preventative costs A'!K501-'Preventative costs B'!K501</f>
        <v>0</v>
      </c>
      <c r="M501" s="4" t="str">
        <f t="shared" si="32"/>
        <v>$M(2015) per Mtonne</v>
      </c>
    </row>
    <row r="502" spans="1:13" s="6" customFormat="1" x14ac:dyDescent="0.25">
      <c r="A502" s="4" t="str">
        <v>IA CO2</v>
      </c>
      <c r="B502" s="26">
        <f ca="1">'Preventative costs A'!B502-'Preventative costs B'!B502</f>
        <v>0</v>
      </c>
      <c r="C502" s="26">
        <f ca="1">'Preventative costs A'!C502-'Preventative costs B'!C502</f>
        <v>0</v>
      </c>
      <c r="D502" s="26">
        <f ca="1">'Preventative costs A'!D502-'Preventative costs B'!D502</f>
        <v>0</v>
      </c>
      <c r="E502" s="26">
        <f ca="1">'Preventative costs A'!E502-'Preventative costs B'!E502</f>
        <v>0</v>
      </c>
      <c r="F502" s="26">
        <f ca="1">'Preventative costs A'!F502-'Preventative costs B'!F502</f>
        <v>0</v>
      </c>
      <c r="G502" s="26">
        <f ca="1">'Preventative costs A'!G502-'Preventative costs B'!G502</f>
        <v>0</v>
      </c>
      <c r="H502" s="26">
        <f ca="1">'Preventative costs A'!H502-'Preventative costs B'!H502</f>
        <v>0</v>
      </c>
      <c r="I502" s="26">
        <f ca="1">'Preventative costs A'!I502-'Preventative costs B'!I502</f>
        <v>0</v>
      </c>
      <c r="J502" s="26">
        <f ca="1">'Preventative costs A'!J502-'Preventative costs B'!J502</f>
        <v>0</v>
      </c>
      <c r="K502" s="26">
        <f ca="1">'Preventative costs A'!K502-'Preventative costs B'!K502</f>
        <v>0</v>
      </c>
      <c r="M502" s="4" t="str">
        <f t="shared" si="32"/>
        <v>$M(2015) per Mtonne</v>
      </c>
    </row>
    <row r="503" spans="1:13" s="6" customFormat="1" x14ac:dyDescent="0.25">
      <c r="A503" s="4" t="str">
        <v>AF CO2</v>
      </c>
      <c r="B503" s="26">
        <f ca="1">'Preventative costs A'!B503-'Preventative costs B'!B503</f>
        <v>0</v>
      </c>
      <c r="C503" s="26">
        <f ca="1">'Preventative costs A'!C503-'Preventative costs B'!C503</f>
        <v>0</v>
      </c>
      <c r="D503" s="26">
        <f ca="1">'Preventative costs A'!D503-'Preventative costs B'!D503</f>
        <v>0</v>
      </c>
      <c r="E503" s="26">
        <f ca="1">'Preventative costs A'!E503-'Preventative costs B'!E503</f>
        <v>0</v>
      </c>
      <c r="F503" s="26">
        <f ca="1">'Preventative costs A'!F503-'Preventative costs B'!F503</f>
        <v>0</v>
      </c>
      <c r="G503" s="26">
        <f ca="1">'Preventative costs A'!G503-'Preventative costs B'!G503</f>
        <v>0</v>
      </c>
      <c r="H503" s="26">
        <f ca="1">'Preventative costs A'!H503-'Preventative costs B'!H503</f>
        <v>0</v>
      </c>
      <c r="I503" s="26">
        <f ca="1">'Preventative costs A'!I503-'Preventative costs B'!I503</f>
        <v>0</v>
      </c>
      <c r="J503" s="26">
        <f ca="1">'Preventative costs A'!J503-'Preventative costs B'!J503</f>
        <v>0</v>
      </c>
      <c r="K503" s="26">
        <f ca="1">'Preventative costs A'!K503-'Preventative costs B'!K503</f>
        <v>0</v>
      </c>
      <c r="M503" s="4" t="str">
        <f t="shared" si="32"/>
        <v>$M(2015) per Mtonne</v>
      </c>
    </row>
    <row r="504" spans="1:13" s="6" customFormat="1" ht="13" thickBot="1" x14ac:dyDescent="0.3">
      <c r="A504" s="4" t="str">
        <v>LA CO2</v>
      </c>
      <c r="B504" s="35">
        <f ca="1">'Preventative costs A'!B504-'Preventative costs B'!B504</f>
        <v>0</v>
      </c>
      <c r="C504" s="35">
        <f ca="1">'Preventative costs A'!C504-'Preventative costs B'!C504</f>
        <v>0</v>
      </c>
      <c r="D504" s="35">
        <f ca="1">'Preventative costs A'!D504-'Preventative costs B'!D504</f>
        <v>0</v>
      </c>
      <c r="E504" s="35">
        <f ca="1">'Preventative costs A'!E504-'Preventative costs B'!E504</f>
        <v>0</v>
      </c>
      <c r="F504" s="35">
        <f ca="1">'Preventative costs A'!F504-'Preventative costs B'!F504</f>
        <v>0</v>
      </c>
      <c r="G504" s="35">
        <f ca="1">'Preventative costs A'!G504-'Preventative costs B'!G504</f>
        <v>0</v>
      </c>
      <c r="H504" s="35">
        <f ca="1">'Preventative costs A'!H504-'Preventative costs B'!H504</f>
        <v>0</v>
      </c>
      <c r="I504" s="35">
        <f ca="1">'Preventative costs A'!I504-'Preventative costs B'!I504</f>
        <v>0</v>
      </c>
      <c r="J504" s="35">
        <f ca="1">'Preventative costs A'!J504-'Preventative costs B'!J504</f>
        <v>0</v>
      </c>
      <c r="K504" s="35">
        <f ca="1">'Preventative costs A'!K504-'Preventative costs B'!K504</f>
        <v>0</v>
      </c>
      <c r="M504" s="4" t="str">
        <f t="shared" si="32"/>
        <v>$M(2015) per Mtonne</v>
      </c>
    </row>
    <row r="505" spans="1:13" s="2" customFormat="1" ht="15.5" thickTop="1" x14ac:dyDescent="0.4">
      <c r="A505" s="2" t="s">
        <v>339</v>
      </c>
      <c r="B505" s="2" t="s">
        <v>341</v>
      </c>
    </row>
    <row r="506" spans="1:13" s="7" customFormat="1" x14ac:dyDescent="0.25">
      <c r="A506" s="4" t="str">
        <f t="array" ref="A506:A513">R_CODE&amp;" "&amp;'Base data'!$C$12</f>
        <v>EU CH4</v>
      </c>
      <c r="B506" s="29">
        <f ca="1">'Preventative costs A'!B506-'Preventative costs B'!B506</f>
        <v>0</v>
      </c>
      <c r="C506" s="29">
        <f ca="1">'Preventative costs A'!C506-'Preventative costs B'!C506</f>
        <v>0</v>
      </c>
      <c r="D506" s="29">
        <f ca="1">'Preventative costs A'!D506-'Preventative costs B'!D506</f>
        <v>0</v>
      </c>
      <c r="E506" s="29">
        <f ca="1">'Preventative costs A'!E506-'Preventative costs B'!E506</f>
        <v>0</v>
      </c>
      <c r="F506" s="29">
        <f ca="1">'Preventative costs A'!F506-'Preventative costs B'!F506</f>
        <v>0</v>
      </c>
      <c r="G506" s="29">
        <f ca="1">'Preventative costs A'!G506-'Preventative costs B'!G506</f>
        <v>0</v>
      </c>
      <c r="H506" s="29">
        <f ca="1">'Preventative costs A'!H506-'Preventative costs B'!H506</f>
        <v>0</v>
      </c>
      <c r="I506" s="29">
        <f ca="1">'Preventative costs A'!I506-'Preventative costs B'!I506</f>
        <v>0</v>
      </c>
      <c r="J506" s="29">
        <f ca="1">'Preventative costs A'!J506-'Preventative costs B'!J506</f>
        <v>0</v>
      </c>
      <c r="K506" s="29">
        <f ca="1">'Preventative costs A'!K506-'Preventative costs B'!K506</f>
        <v>0</v>
      </c>
      <c r="M506" s="4" t="str">
        <f t="shared" ref="M506:M513" si="33">CURRENCY_NAME&amp;" per "&amp;EMIT_NAME</f>
        <v>$M(2015) per Mtonne</v>
      </c>
    </row>
    <row r="507" spans="1:13" s="7" customFormat="1" x14ac:dyDescent="0.25">
      <c r="A507" s="4" t="str">
        <v>US CH4</v>
      </c>
      <c r="B507" s="26">
        <f ca="1">'Preventative costs A'!B507-'Preventative costs B'!B507</f>
        <v>0</v>
      </c>
      <c r="C507" s="26">
        <f ca="1">'Preventative costs A'!C507-'Preventative costs B'!C507</f>
        <v>0</v>
      </c>
      <c r="D507" s="26">
        <f ca="1">'Preventative costs A'!D507-'Preventative costs B'!D507</f>
        <v>0</v>
      </c>
      <c r="E507" s="26">
        <f ca="1">'Preventative costs A'!E507-'Preventative costs B'!E507</f>
        <v>0</v>
      </c>
      <c r="F507" s="26">
        <f ca="1">'Preventative costs A'!F507-'Preventative costs B'!F507</f>
        <v>0</v>
      </c>
      <c r="G507" s="26">
        <f ca="1">'Preventative costs A'!G507-'Preventative costs B'!G507</f>
        <v>0</v>
      </c>
      <c r="H507" s="26">
        <f ca="1">'Preventative costs A'!H507-'Preventative costs B'!H507</f>
        <v>0</v>
      </c>
      <c r="I507" s="26">
        <f ca="1">'Preventative costs A'!I507-'Preventative costs B'!I507</f>
        <v>0</v>
      </c>
      <c r="J507" s="26">
        <f ca="1">'Preventative costs A'!J507-'Preventative costs B'!J507</f>
        <v>0</v>
      </c>
      <c r="K507" s="26">
        <f ca="1">'Preventative costs A'!K507-'Preventative costs B'!K507</f>
        <v>0</v>
      </c>
      <c r="M507" s="4" t="str">
        <f t="shared" si="33"/>
        <v>$M(2015) per Mtonne</v>
      </c>
    </row>
    <row r="508" spans="1:13" s="7" customFormat="1" x14ac:dyDescent="0.25">
      <c r="A508" s="4" t="str">
        <v>OT CH4</v>
      </c>
      <c r="B508" s="26">
        <f ca="1">'Preventative costs A'!B508-'Preventative costs B'!B508</f>
        <v>0</v>
      </c>
      <c r="C508" s="26">
        <f ca="1">'Preventative costs A'!C508-'Preventative costs B'!C508</f>
        <v>0</v>
      </c>
      <c r="D508" s="26">
        <f ca="1">'Preventative costs A'!D508-'Preventative costs B'!D508</f>
        <v>0</v>
      </c>
      <c r="E508" s="26">
        <f ca="1">'Preventative costs A'!E508-'Preventative costs B'!E508</f>
        <v>0</v>
      </c>
      <c r="F508" s="26">
        <f ca="1">'Preventative costs A'!F508-'Preventative costs B'!F508</f>
        <v>0</v>
      </c>
      <c r="G508" s="26">
        <f ca="1">'Preventative costs A'!G508-'Preventative costs B'!G508</f>
        <v>0</v>
      </c>
      <c r="H508" s="26">
        <f ca="1">'Preventative costs A'!H508-'Preventative costs B'!H508</f>
        <v>0</v>
      </c>
      <c r="I508" s="26">
        <f ca="1">'Preventative costs A'!I508-'Preventative costs B'!I508</f>
        <v>0</v>
      </c>
      <c r="J508" s="26">
        <f ca="1">'Preventative costs A'!J508-'Preventative costs B'!J508</f>
        <v>0</v>
      </c>
      <c r="K508" s="26">
        <f ca="1">'Preventative costs A'!K508-'Preventative costs B'!K508</f>
        <v>0</v>
      </c>
      <c r="M508" s="4" t="str">
        <f t="shared" si="33"/>
        <v>$M(2015) per Mtonne</v>
      </c>
    </row>
    <row r="509" spans="1:13" s="7" customFormat="1" x14ac:dyDescent="0.25">
      <c r="A509" s="4" t="str">
        <v>EE CH4</v>
      </c>
      <c r="B509" s="26">
        <f ca="1">'Preventative costs A'!B509-'Preventative costs B'!B509</f>
        <v>0</v>
      </c>
      <c r="C509" s="26">
        <f ca="1">'Preventative costs A'!C509-'Preventative costs B'!C509</f>
        <v>0</v>
      </c>
      <c r="D509" s="26">
        <f ca="1">'Preventative costs A'!D509-'Preventative costs B'!D509</f>
        <v>0</v>
      </c>
      <c r="E509" s="26">
        <f ca="1">'Preventative costs A'!E509-'Preventative costs B'!E509</f>
        <v>0</v>
      </c>
      <c r="F509" s="26">
        <f ca="1">'Preventative costs A'!F509-'Preventative costs B'!F509</f>
        <v>0</v>
      </c>
      <c r="G509" s="26">
        <f ca="1">'Preventative costs A'!G509-'Preventative costs B'!G509</f>
        <v>0</v>
      </c>
      <c r="H509" s="26">
        <f ca="1">'Preventative costs A'!H509-'Preventative costs B'!H509</f>
        <v>0</v>
      </c>
      <c r="I509" s="26">
        <f ca="1">'Preventative costs A'!I509-'Preventative costs B'!I509</f>
        <v>0</v>
      </c>
      <c r="J509" s="26">
        <f ca="1">'Preventative costs A'!J509-'Preventative costs B'!J509</f>
        <v>0</v>
      </c>
      <c r="K509" s="26">
        <f ca="1">'Preventative costs A'!K509-'Preventative costs B'!K509</f>
        <v>0</v>
      </c>
      <c r="M509" s="4" t="str">
        <f t="shared" si="33"/>
        <v>$M(2015) per Mtonne</v>
      </c>
    </row>
    <row r="510" spans="1:13" s="7" customFormat="1" x14ac:dyDescent="0.25">
      <c r="A510" s="4" t="str">
        <v>CA CH4</v>
      </c>
      <c r="B510" s="26">
        <f ca="1">'Preventative costs A'!B510-'Preventative costs B'!B510</f>
        <v>0</v>
      </c>
      <c r="C510" s="26">
        <f ca="1">'Preventative costs A'!C510-'Preventative costs B'!C510</f>
        <v>0</v>
      </c>
      <c r="D510" s="26">
        <f ca="1">'Preventative costs A'!D510-'Preventative costs B'!D510</f>
        <v>0</v>
      </c>
      <c r="E510" s="26">
        <f ca="1">'Preventative costs A'!E510-'Preventative costs B'!E510</f>
        <v>0</v>
      </c>
      <c r="F510" s="26">
        <f ca="1">'Preventative costs A'!F510-'Preventative costs B'!F510</f>
        <v>0</v>
      </c>
      <c r="G510" s="26">
        <f ca="1">'Preventative costs A'!G510-'Preventative costs B'!G510</f>
        <v>0</v>
      </c>
      <c r="H510" s="26">
        <f ca="1">'Preventative costs A'!H510-'Preventative costs B'!H510</f>
        <v>0</v>
      </c>
      <c r="I510" s="26">
        <f ca="1">'Preventative costs A'!I510-'Preventative costs B'!I510</f>
        <v>0</v>
      </c>
      <c r="J510" s="26">
        <f ca="1">'Preventative costs A'!J510-'Preventative costs B'!J510</f>
        <v>0</v>
      </c>
      <c r="K510" s="26">
        <f ca="1">'Preventative costs A'!K510-'Preventative costs B'!K510</f>
        <v>0</v>
      </c>
      <c r="M510" s="4" t="str">
        <f t="shared" si="33"/>
        <v>$M(2015) per Mtonne</v>
      </c>
    </row>
    <row r="511" spans="1:13" s="7" customFormat="1" x14ac:dyDescent="0.25">
      <c r="A511" s="4" t="str">
        <v>IA CH4</v>
      </c>
      <c r="B511" s="26">
        <f ca="1">'Preventative costs A'!B511-'Preventative costs B'!B511</f>
        <v>0</v>
      </c>
      <c r="C511" s="26">
        <f ca="1">'Preventative costs A'!C511-'Preventative costs B'!C511</f>
        <v>0</v>
      </c>
      <c r="D511" s="26">
        <f ca="1">'Preventative costs A'!D511-'Preventative costs B'!D511</f>
        <v>0</v>
      </c>
      <c r="E511" s="26">
        <f ca="1">'Preventative costs A'!E511-'Preventative costs B'!E511</f>
        <v>0</v>
      </c>
      <c r="F511" s="26">
        <f ca="1">'Preventative costs A'!F511-'Preventative costs B'!F511</f>
        <v>0</v>
      </c>
      <c r="G511" s="26">
        <f ca="1">'Preventative costs A'!G511-'Preventative costs B'!G511</f>
        <v>0</v>
      </c>
      <c r="H511" s="26">
        <f ca="1">'Preventative costs A'!H511-'Preventative costs B'!H511</f>
        <v>0</v>
      </c>
      <c r="I511" s="26">
        <f ca="1">'Preventative costs A'!I511-'Preventative costs B'!I511</f>
        <v>0</v>
      </c>
      <c r="J511" s="26">
        <f ca="1">'Preventative costs A'!J511-'Preventative costs B'!J511</f>
        <v>0</v>
      </c>
      <c r="K511" s="26">
        <f ca="1">'Preventative costs A'!K511-'Preventative costs B'!K511</f>
        <v>0</v>
      </c>
      <c r="M511" s="4" t="str">
        <f t="shared" si="33"/>
        <v>$M(2015) per Mtonne</v>
      </c>
    </row>
    <row r="512" spans="1:13" s="7" customFormat="1" x14ac:dyDescent="0.25">
      <c r="A512" s="4" t="str">
        <v>AF CH4</v>
      </c>
      <c r="B512" s="26">
        <f ca="1">'Preventative costs A'!B512-'Preventative costs B'!B512</f>
        <v>0</v>
      </c>
      <c r="C512" s="26">
        <f ca="1">'Preventative costs A'!C512-'Preventative costs B'!C512</f>
        <v>0</v>
      </c>
      <c r="D512" s="26">
        <f ca="1">'Preventative costs A'!D512-'Preventative costs B'!D512</f>
        <v>0</v>
      </c>
      <c r="E512" s="26">
        <f ca="1">'Preventative costs A'!E512-'Preventative costs B'!E512</f>
        <v>0</v>
      </c>
      <c r="F512" s="26">
        <f ca="1">'Preventative costs A'!F512-'Preventative costs B'!F512</f>
        <v>0</v>
      </c>
      <c r="G512" s="26">
        <f ca="1">'Preventative costs A'!G512-'Preventative costs B'!G512</f>
        <v>0</v>
      </c>
      <c r="H512" s="26">
        <f ca="1">'Preventative costs A'!H512-'Preventative costs B'!H512</f>
        <v>0</v>
      </c>
      <c r="I512" s="26">
        <f ca="1">'Preventative costs A'!I512-'Preventative costs B'!I512</f>
        <v>0</v>
      </c>
      <c r="J512" s="26">
        <f ca="1">'Preventative costs A'!J512-'Preventative costs B'!J512</f>
        <v>0</v>
      </c>
      <c r="K512" s="26">
        <f ca="1">'Preventative costs A'!K512-'Preventative costs B'!K512</f>
        <v>0</v>
      </c>
      <c r="M512" s="4" t="str">
        <f t="shared" si="33"/>
        <v>$M(2015) per Mtonne</v>
      </c>
    </row>
    <row r="513" spans="1:13" s="7" customFormat="1" ht="13" thickBot="1" x14ac:dyDescent="0.3">
      <c r="A513" s="4" t="str">
        <v>LA CH4</v>
      </c>
      <c r="B513" s="35">
        <f ca="1">'Preventative costs A'!B513-'Preventative costs B'!B513</f>
        <v>0</v>
      </c>
      <c r="C513" s="35">
        <f ca="1">'Preventative costs A'!C513-'Preventative costs B'!C513</f>
        <v>0</v>
      </c>
      <c r="D513" s="35">
        <f ca="1">'Preventative costs A'!D513-'Preventative costs B'!D513</f>
        <v>0</v>
      </c>
      <c r="E513" s="35">
        <f ca="1">'Preventative costs A'!E513-'Preventative costs B'!E513</f>
        <v>0</v>
      </c>
      <c r="F513" s="35">
        <f ca="1">'Preventative costs A'!F513-'Preventative costs B'!F513</f>
        <v>0</v>
      </c>
      <c r="G513" s="35">
        <f ca="1">'Preventative costs A'!G513-'Preventative costs B'!G513</f>
        <v>0</v>
      </c>
      <c r="H513" s="35">
        <f ca="1">'Preventative costs A'!H513-'Preventative costs B'!H513</f>
        <v>0</v>
      </c>
      <c r="I513" s="35">
        <f ca="1">'Preventative costs A'!I513-'Preventative costs B'!I513</f>
        <v>0</v>
      </c>
      <c r="J513" s="35">
        <f ca="1">'Preventative costs A'!J513-'Preventative costs B'!J513</f>
        <v>0</v>
      </c>
      <c r="K513" s="35">
        <f ca="1">'Preventative costs A'!K513-'Preventative costs B'!K513</f>
        <v>0</v>
      </c>
      <c r="M513" s="4" t="str">
        <f t="shared" si="33"/>
        <v>$M(2015) per Mtonne</v>
      </c>
    </row>
    <row r="514" spans="1:13" s="2" customFormat="1" ht="15.5" thickTop="1" x14ac:dyDescent="0.4">
      <c r="A514" s="2" t="s">
        <v>339</v>
      </c>
      <c r="B514" s="2" t="s">
        <v>342</v>
      </c>
    </row>
    <row r="515" spans="1:13" s="7" customFormat="1" x14ac:dyDescent="0.25">
      <c r="A515" s="4" t="str">
        <f t="array" ref="A515:A522">R_CODE&amp;" "&amp;'Base data'!$D$12</f>
        <v>EU N2O</v>
      </c>
      <c r="B515" s="29">
        <f ca="1">'Preventative costs A'!B515-'Preventative costs B'!B515</f>
        <v>0</v>
      </c>
      <c r="C515" s="29">
        <f ca="1">'Preventative costs A'!C515-'Preventative costs B'!C515</f>
        <v>0</v>
      </c>
      <c r="D515" s="29">
        <f ca="1">'Preventative costs A'!D515-'Preventative costs B'!D515</f>
        <v>0</v>
      </c>
      <c r="E515" s="29">
        <f ca="1">'Preventative costs A'!E515-'Preventative costs B'!E515</f>
        <v>0</v>
      </c>
      <c r="F515" s="29">
        <f ca="1">'Preventative costs A'!F515-'Preventative costs B'!F515</f>
        <v>0</v>
      </c>
      <c r="G515" s="29">
        <f ca="1">'Preventative costs A'!G515-'Preventative costs B'!G515</f>
        <v>0</v>
      </c>
      <c r="H515" s="29">
        <f ca="1">'Preventative costs A'!H515-'Preventative costs B'!H515</f>
        <v>0</v>
      </c>
      <c r="I515" s="29">
        <f ca="1">'Preventative costs A'!I515-'Preventative costs B'!I515</f>
        <v>0</v>
      </c>
      <c r="J515" s="29">
        <f ca="1">'Preventative costs A'!J515-'Preventative costs B'!J515</f>
        <v>0</v>
      </c>
      <c r="K515" s="29">
        <f ca="1">'Preventative costs A'!K515-'Preventative costs B'!K515</f>
        <v>0</v>
      </c>
      <c r="M515" s="4" t="str">
        <f t="shared" ref="M515:M522" si="34">CURRENCY_NAME&amp;" per "&amp;EMIT_NAME</f>
        <v>$M(2015) per Mtonne</v>
      </c>
    </row>
    <row r="516" spans="1:13" s="7" customFormat="1" x14ac:dyDescent="0.25">
      <c r="A516" s="4" t="str">
        <v>US N2O</v>
      </c>
      <c r="B516" s="26">
        <f ca="1">'Preventative costs A'!B516-'Preventative costs B'!B516</f>
        <v>0</v>
      </c>
      <c r="C516" s="26">
        <f ca="1">'Preventative costs A'!C516-'Preventative costs B'!C516</f>
        <v>0</v>
      </c>
      <c r="D516" s="26">
        <f ca="1">'Preventative costs A'!D516-'Preventative costs B'!D516</f>
        <v>0</v>
      </c>
      <c r="E516" s="26">
        <f ca="1">'Preventative costs A'!E516-'Preventative costs B'!E516</f>
        <v>0</v>
      </c>
      <c r="F516" s="26">
        <f ca="1">'Preventative costs A'!F516-'Preventative costs B'!F516</f>
        <v>0</v>
      </c>
      <c r="G516" s="26">
        <f ca="1">'Preventative costs A'!G516-'Preventative costs B'!G516</f>
        <v>0</v>
      </c>
      <c r="H516" s="26">
        <f ca="1">'Preventative costs A'!H516-'Preventative costs B'!H516</f>
        <v>0</v>
      </c>
      <c r="I516" s="26">
        <f ca="1">'Preventative costs A'!I516-'Preventative costs B'!I516</f>
        <v>0</v>
      </c>
      <c r="J516" s="26">
        <f ca="1">'Preventative costs A'!J516-'Preventative costs B'!J516</f>
        <v>0</v>
      </c>
      <c r="K516" s="26">
        <f ca="1">'Preventative costs A'!K516-'Preventative costs B'!K516</f>
        <v>0</v>
      </c>
      <c r="M516" s="4" t="str">
        <f t="shared" si="34"/>
        <v>$M(2015) per Mtonne</v>
      </c>
    </row>
    <row r="517" spans="1:13" s="7" customFormat="1" x14ac:dyDescent="0.25">
      <c r="A517" s="4" t="str">
        <v>OT N2O</v>
      </c>
      <c r="B517" s="26">
        <f ca="1">'Preventative costs A'!B517-'Preventative costs B'!B517</f>
        <v>0</v>
      </c>
      <c r="C517" s="26">
        <f ca="1">'Preventative costs A'!C517-'Preventative costs B'!C517</f>
        <v>0</v>
      </c>
      <c r="D517" s="26">
        <f ca="1">'Preventative costs A'!D517-'Preventative costs B'!D517</f>
        <v>0</v>
      </c>
      <c r="E517" s="26">
        <f ca="1">'Preventative costs A'!E517-'Preventative costs B'!E517</f>
        <v>0</v>
      </c>
      <c r="F517" s="26">
        <f ca="1">'Preventative costs A'!F517-'Preventative costs B'!F517</f>
        <v>0</v>
      </c>
      <c r="G517" s="26">
        <f ca="1">'Preventative costs A'!G517-'Preventative costs B'!G517</f>
        <v>0</v>
      </c>
      <c r="H517" s="26">
        <f ca="1">'Preventative costs A'!H517-'Preventative costs B'!H517</f>
        <v>0</v>
      </c>
      <c r="I517" s="26">
        <f ca="1">'Preventative costs A'!I517-'Preventative costs B'!I517</f>
        <v>0</v>
      </c>
      <c r="J517" s="26">
        <f ca="1">'Preventative costs A'!J517-'Preventative costs B'!J517</f>
        <v>0</v>
      </c>
      <c r="K517" s="26">
        <f ca="1">'Preventative costs A'!K517-'Preventative costs B'!K517</f>
        <v>0</v>
      </c>
      <c r="M517" s="4" t="str">
        <f t="shared" si="34"/>
        <v>$M(2015) per Mtonne</v>
      </c>
    </row>
    <row r="518" spans="1:13" s="7" customFormat="1" x14ac:dyDescent="0.25">
      <c r="A518" s="4" t="str">
        <v>EE N2O</v>
      </c>
      <c r="B518" s="26">
        <f ca="1">'Preventative costs A'!B518-'Preventative costs B'!B518</f>
        <v>0</v>
      </c>
      <c r="C518" s="26">
        <f ca="1">'Preventative costs A'!C518-'Preventative costs B'!C518</f>
        <v>0</v>
      </c>
      <c r="D518" s="26">
        <f ca="1">'Preventative costs A'!D518-'Preventative costs B'!D518</f>
        <v>0</v>
      </c>
      <c r="E518" s="26">
        <f ca="1">'Preventative costs A'!E518-'Preventative costs B'!E518</f>
        <v>0</v>
      </c>
      <c r="F518" s="26">
        <f ca="1">'Preventative costs A'!F518-'Preventative costs B'!F518</f>
        <v>0</v>
      </c>
      <c r="G518" s="26">
        <f ca="1">'Preventative costs A'!G518-'Preventative costs B'!G518</f>
        <v>0</v>
      </c>
      <c r="H518" s="26">
        <f ca="1">'Preventative costs A'!H518-'Preventative costs B'!H518</f>
        <v>0</v>
      </c>
      <c r="I518" s="26">
        <f ca="1">'Preventative costs A'!I518-'Preventative costs B'!I518</f>
        <v>0</v>
      </c>
      <c r="J518" s="26">
        <f ca="1">'Preventative costs A'!J518-'Preventative costs B'!J518</f>
        <v>0</v>
      </c>
      <c r="K518" s="26">
        <f ca="1">'Preventative costs A'!K518-'Preventative costs B'!K518</f>
        <v>0</v>
      </c>
      <c r="M518" s="4" t="str">
        <f t="shared" si="34"/>
        <v>$M(2015) per Mtonne</v>
      </c>
    </row>
    <row r="519" spans="1:13" s="7" customFormat="1" x14ac:dyDescent="0.25">
      <c r="A519" s="4" t="str">
        <v>CA N2O</v>
      </c>
      <c r="B519" s="26">
        <f ca="1">'Preventative costs A'!B519-'Preventative costs B'!B519</f>
        <v>0</v>
      </c>
      <c r="C519" s="26">
        <f ca="1">'Preventative costs A'!C519-'Preventative costs B'!C519</f>
        <v>0</v>
      </c>
      <c r="D519" s="26">
        <f ca="1">'Preventative costs A'!D519-'Preventative costs B'!D519</f>
        <v>0</v>
      </c>
      <c r="E519" s="26">
        <f ca="1">'Preventative costs A'!E519-'Preventative costs B'!E519</f>
        <v>0</v>
      </c>
      <c r="F519" s="26">
        <f ca="1">'Preventative costs A'!F519-'Preventative costs B'!F519</f>
        <v>0</v>
      </c>
      <c r="G519" s="26">
        <f ca="1">'Preventative costs A'!G519-'Preventative costs B'!G519</f>
        <v>0</v>
      </c>
      <c r="H519" s="26">
        <f ca="1">'Preventative costs A'!H519-'Preventative costs B'!H519</f>
        <v>0</v>
      </c>
      <c r="I519" s="26">
        <f ca="1">'Preventative costs A'!I519-'Preventative costs B'!I519</f>
        <v>0</v>
      </c>
      <c r="J519" s="26">
        <f ca="1">'Preventative costs A'!J519-'Preventative costs B'!J519</f>
        <v>0</v>
      </c>
      <c r="K519" s="26">
        <f ca="1">'Preventative costs A'!K519-'Preventative costs B'!K519</f>
        <v>0</v>
      </c>
      <c r="M519" s="4" t="str">
        <f t="shared" si="34"/>
        <v>$M(2015) per Mtonne</v>
      </c>
    </row>
    <row r="520" spans="1:13" s="7" customFormat="1" x14ac:dyDescent="0.25">
      <c r="A520" s="4" t="str">
        <v>IA N2O</v>
      </c>
      <c r="B520" s="26">
        <f ca="1">'Preventative costs A'!B520-'Preventative costs B'!B520</f>
        <v>0</v>
      </c>
      <c r="C520" s="26">
        <f ca="1">'Preventative costs A'!C520-'Preventative costs B'!C520</f>
        <v>0</v>
      </c>
      <c r="D520" s="26">
        <f ca="1">'Preventative costs A'!D520-'Preventative costs B'!D520</f>
        <v>0</v>
      </c>
      <c r="E520" s="26">
        <f ca="1">'Preventative costs A'!E520-'Preventative costs B'!E520</f>
        <v>0</v>
      </c>
      <c r="F520" s="26">
        <f ca="1">'Preventative costs A'!F520-'Preventative costs B'!F520</f>
        <v>0</v>
      </c>
      <c r="G520" s="26">
        <f ca="1">'Preventative costs A'!G520-'Preventative costs B'!G520</f>
        <v>0</v>
      </c>
      <c r="H520" s="26">
        <f ca="1">'Preventative costs A'!H520-'Preventative costs B'!H520</f>
        <v>0</v>
      </c>
      <c r="I520" s="26">
        <f ca="1">'Preventative costs A'!I520-'Preventative costs B'!I520</f>
        <v>0</v>
      </c>
      <c r="J520" s="26">
        <f ca="1">'Preventative costs A'!J520-'Preventative costs B'!J520</f>
        <v>0</v>
      </c>
      <c r="K520" s="26">
        <f ca="1">'Preventative costs A'!K520-'Preventative costs B'!K520</f>
        <v>0</v>
      </c>
      <c r="M520" s="4" t="str">
        <f t="shared" si="34"/>
        <v>$M(2015) per Mtonne</v>
      </c>
    </row>
    <row r="521" spans="1:13" s="7" customFormat="1" x14ac:dyDescent="0.25">
      <c r="A521" s="4" t="str">
        <v>AF N2O</v>
      </c>
      <c r="B521" s="26">
        <f ca="1">'Preventative costs A'!B521-'Preventative costs B'!B521</f>
        <v>0</v>
      </c>
      <c r="C521" s="26">
        <f ca="1">'Preventative costs A'!C521-'Preventative costs B'!C521</f>
        <v>0</v>
      </c>
      <c r="D521" s="26">
        <f ca="1">'Preventative costs A'!D521-'Preventative costs B'!D521</f>
        <v>0</v>
      </c>
      <c r="E521" s="26">
        <f ca="1">'Preventative costs A'!E521-'Preventative costs B'!E521</f>
        <v>0</v>
      </c>
      <c r="F521" s="26">
        <f ca="1">'Preventative costs A'!F521-'Preventative costs B'!F521</f>
        <v>0</v>
      </c>
      <c r="G521" s="26">
        <f ca="1">'Preventative costs A'!G521-'Preventative costs B'!G521</f>
        <v>0</v>
      </c>
      <c r="H521" s="26">
        <f ca="1">'Preventative costs A'!H521-'Preventative costs B'!H521</f>
        <v>0</v>
      </c>
      <c r="I521" s="26">
        <f ca="1">'Preventative costs A'!I521-'Preventative costs B'!I521</f>
        <v>0</v>
      </c>
      <c r="J521" s="26">
        <f ca="1">'Preventative costs A'!J521-'Preventative costs B'!J521</f>
        <v>0</v>
      </c>
      <c r="K521" s="26">
        <f ca="1">'Preventative costs A'!K521-'Preventative costs B'!K521</f>
        <v>0</v>
      </c>
      <c r="M521" s="4" t="str">
        <f t="shared" si="34"/>
        <v>$M(2015) per Mtonne</v>
      </c>
    </row>
    <row r="522" spans="1:13" s="7" customFormat="1" ht="13" thickBot="1" x14ac:dyDescent="0.3">
      <c r="A522" s="4" t="str">
        <v>LA N2O</v>
      </c>
      <c r="B522" s="35">
        <f ca="1">'Preventative costs A'!B522-'Preventative costs B'!B522</f>
        <v>0</v>
      </c>
      <c r="C522" s="35">
        <f ca="1">'Preventative costs A'!C522-'Preventative costs B'!C522</f>
        <v>0</v>
      </c>
      <c r="D522" s="35">
        <f ca="1">'Preventative costs A'!D522-'Preventative costs B'!D522</f>
        <v>0</v>
      </c>
      <c r="E522" s="35">
        <f ca="1">'Preventative costs A'!E522-'Preventative costs B'!E522</f>
        <v>0</v>
      </c>
      <c r="F522" s="35">
        <f ca="1">'Preventative costs A'!F522-'Preventative costs B'!F522</f>
        <v>0</v>
      </c>
      <c r="G522" s="35">
        <f ca="1">'Preventative costs A'!G522-'Preventative costs B'!G522</f>
        <v>0</v>
      </c>
      <c r="H522" s="35">
        <f ca="1">'Preventative costs A'!H522-'Preventative costs B'!H522</f>
        <v>0</v>
      </c>
      <c r="I522" s="35">
        <f ca="1">'Preventative costs A'!I522-'Preventative costs B'!I522</f>
        <v>0</v>
      </c>
      <c r="J522" s="35">
        <f ca="1">'Preventative costs A'!J522-'Preventative costs B'!J522</f>
        <v>0</v>
      </c>
      <c r="K522" s="35">
        <f ca="1">'Preventative costs A'!K522-'Preventative costs B'!K522</f>
        <v>0</v>
      </c>
      <c r="M522" s="4" t="str">
        <f t="shared" si="34"/>
        <v>$M(2015) per Mtonne</v>
      </c>
    </row>
    <row r="523" spans="1:13" s="2" customFormat="1" ht="15.5" thickTop="1" x14ac:dyDescent="0.4">
      <c r="A523" s="2" t="s">
        <v>339</v>
      </c>
      <c r="B523" s="2" t="s">
        <v>343</v>
      </c>
    </row>
    <row r="524" spans="1:13" s="7" customFormat="1" x14ac:dyDescent="0.25">
      <c r="A524" s="4" t="str">
        <f t="array" ref="A524:A531">R_CODE&amp;" "&amp;GLIN_NAME</f>
        <v>EU Lin</v>
      </c>
      <c r="B524" s="29">
        <f ca="1">'Preventative costs A'!B524-'Preventative costs B'!B524</f>
        <v>0</v>
      </c>
      <c r="C524" s="29">
        <f ca="1">'Preventative costs A'!C524-'Preventative costs B'!C524</f>
        <v>0</v>
      </c>
      <c r="D524" s="29">
        <f ca="1">'Preventative costs A'!D524-'Preventative costs B'!D524</f>
        <v>0</v>
      </c>
      <c r="E524" s="29">
        <f ca="1">'Preventative costs A'!E524-'Preventative costs B'!E524</f>
        <v>0</v>
      </c>
      <c r="F524" s="29">
        <f ca="1">'Preventative costs A'!F524-'Preventative costs B'!F524</f>
        <v>0</v>
      </c>
      <c r="G524" s="29">
        <f ca="1">'Preventative costs A'!G524-'Preventative costs B'!G524</f>
        <v>0</v>
      </c>
      <c r="H524" s="29">
        <f ca="1">'Preventative costs A'!H524-'Preventative costs B'!H524</f>
        <v>0</v>
      </c>
      <c r="I524" s="29">
        <f ca="1">'Preventative costs A'!I524-'Preventative costs B'!I524</f>
        <v>0</v>
      </c>
      <c r="J524" s="29">
        <f ca="1">'Preventative costs A'!J524-'Preventative costs B'!J524</f>
        <v>0</v>
      </c>
      <c r="K524" s="29">
        <f ca="1">'Preventative costs A'!K524-'Preventative costs B'!K524</f>
        <v>0</v>
      </c>
      <c r="M524" s="4" t="str">
        <f t="shared" ref="M524:M531" si="35">CURRENCY_NAME&amp;" per "&amp;EMIT_NAME</f>
        <v>$M(2015) per Mtonne</v>
      </c>
    </row>
    <row r="525" spans="1:13" s="7" customFormat="1" x14ac:dyDescent="0.25">
      <c r="A525" s="4" t="str">
        <v>US Lin</v>
      </c>
      <c r="B525" s="26">
        <f ca="1">'Preventative costs A'!B525-'Preventative costs B'!B525</f>
        <v>0</v>
      </c>
      <c r="C525" s="26">
        <f ca="1">'Preventative costs A'!C525-'Preventative costs B'!C525</f>
        <v>0</v>
      </c>
      <c r="D525" s="26">
        <f ca="1">'Preventative costs A'!D525-'Preventative costs B'!D525</f>
        <v>0</v>
      </c>
      <c r="E525" s="26">
        <f ca="1">'Preventative costs A'!E525-'Preventative costs B'!E525</f>
        <v>0</v>
      </c>
      <c r="F525" s="26">
        <f ca="1">'Preventative costs A'!F525-'Preventative costs B'!F525</f>
        <v>0</v>
      </c>
      <c r="G525" s="26">
        <f ca="1">'Preventative costs A'!G525-'Preventative costs B'!G525</f>
        <v>0</v>
      </c>
      <c r="H525" s="26">
        <f ca="1">'Preventative costs A'!H525-'Preventative costs B'!H525</f>
        <v>0</v>
      </c>
      <c r="I525" s="26">
        <f ca="1">'Preventative costs A'!I525-'Preventative costs B'!I525</f>
        <v>0</v>
      </c>
      <c r="J525" s="26">
        <f ca="1">'Preventative costs A'!J525-'Preventative costs B'!J525</f>
        <v>0</v>
      </c>
      <c r="K525" s="26">
        <f ca="1">'Preventative costs A'!K525-'Preventative costs B'!K525</f>
        <v>0</v>
      </c>
      <c r="M525" s="4" t="str">
        <f t="shared" si="35"/>
        <v>$M(2015) per Mtonne</v>
      </c>
    </row>
    <row r="526" spans="1:13" s="7" customFormat="1" x14ac:dyDescent="0.25">
      <c r="A526" s="4" t="str">
        <v>OT Lin</v>
      </c>
      <c r="B526" s="26">
        <f ca="1">'Preventative costs A'!B526-'Preventative costs B'!B526</f>
        <v>0</v>
      </c>
      <c r="C526" s="26">
        <f ca="1">'Preventative costs A'!C526-'Preventative costs B'!C526</f>
        <v>0</v>
      </c>
      <c r="D526" s="26">
        <f ca="1">'Preventative costs A'!D526-'Preventative costs B'!D526</f>
        <v>0</v>
      </c>
      <c r="E526" s="26">
        <f ca="1">'Preventative costs A'!E526-'Preventative costs B'!E526</f>
        <v>0</v>
      </c>
      <c r="F526" s="26">
        <f ca="1">'Preventative costs A'!F526-'Preventative costs B'!F526</f>
        <v>0</v>
      </c>
      <c r="G526" s="26">
        <f ca="1">'Preventative costs A'!G526-'Preventative costs B'!G526</f>
        <v>0</v>
      </c>
      <c r="H526" s="26">
        <f ca="1">'Preventative costs A'!H526-'Preventative costs B'!H526</f>
        <v>0</v>
      </c>
      <c r="I526" s="26">
        <f ca="1">'Preventative costs A'!I526-'Preventative costs B'!I526</f>
        <v>0</v>
      </c>
      <c r="J526" s="26">
        <f ca="1">'Preventative costs A'!J526-'Preventative costs B'!J526</f>
        <v>0</v>
      </c>
      <c r="K526" s="26">
        <f ca="1">'Preventative costs A'!K526-'Preventative costs B'!K526</f>
        <v>0</v>
      </c>
      <c r="M526" s="4" t="str">
        <f t="shared" si="35"/>
        <v>$M(2015) per Mtonne</v>
      </c>
    </row>
    <row r="527" spans="1:13" s="7" customFormat="1" x14ac:dyDescent="0.25">
      <c r="A527" s="4" t="str">
        <v>EE Lin</v>
      </c>
      <c r="B527" s="26">
        <f ca="1">'Preventative costs A'!B527-'Preventative costs B'!B527</f>
        <v>0</v>
      </c>
      <c r="C527" s="26">
        <f ca="1">'Preventative costs A'!C527-'Preventative costs B'!C527</f>
        <v>0</v>
      </c>
      <c r="D527" s="26">
        <f ca="1">'Preventative costs A'!D527-'Preventative costs B'!D527</f>
        <v>0</v>
      </c>
      <c r="E527" s="26">
        <f ca="1">'Preventative costs A'!E527-'Preventative costs B'!E527</f>
        <v>0</v>
      </c>
      <c r="F527" s="26">
        <f ca="1">'Preventative costs A'!F527-'Preventative costs B'!F527</f>
        <v>0</v>
      </c>
      <c r="G527" s="26">
        <f ca="1">'Preventative costs A'!G527-'Preventative costs B'!G527</f>
        <v>0</v>
      </c>
      <c r="H527" s="26">
        <f ca="1">'Preventative costs A'!H527-'Preventative costs B'!H527</f>
        <v>0</v>
      </c>
      <c r="I527" s="26">
        <f ca="1">'Preventative costs A'!I527-'Preventative costs B'!I527</f>
        <v>0</v>
      </c>
      <c r="J527" s="26">
        <f ca="1">'Preventative costs A'!J527-'Preventative costs B'!J527</f>
        <v>0</v>
      </c>
      <c r="K527" s="26">
        <f ca="1">'Preventative costs A'!K527-'Preventative costs B'!K527</f>
        <v>0</v>
      </c>
      <c r="M527" s="4" t="str">
        <f t="shared" si="35"/>
        <v>$M(2015) per Mtonne</v>
      </c>
    </row>
    <row r="528" spans="1:13" s="7" customFormat="1" x14ac:dyDescent="0.25">
      <c r="A528" s="4" t="str">
        <v>CA Lin</v>
      </c>
      <c r="B528" s="26">
        <f ca="1">'Preventative costs A'!B528-'Preventative costs B'!B528</f>
        <v>0</v>
      </c>
      <c r="C528" s="26">
        <f ca="1">'Preventative costs A'!C528-'Preventative costs B'!C528</f>
        <v>0</v>
      </c>
      <c r="D528" s="26">
        <f ca="1">'Preventative costs A'!D528-'Preventative costs B'!D528</f>
        <v>0</v>
      </c>
      <c r="E528" s="26">
        <f ca="1">'Preventative costs A'!E528-'Preventative costs B'!E528</f>
        <v>0</v>
      </c>
      <c r="F528" s="26">
        <f ca="1">'Preventative costs A'!F528-'Preventative costs B'!F528</f>
        <v>0</v>
      </c>
      <c r="G528" s="26">
        <f ca="1">'Preventative costs A'!G528-'Preventative costs B'!G528</f>
        <v>0</v>
      </c>
      <c r="H528" s="26">
        <f ca="1">'Preventative costs A'!H528-'Preventative costs B'!H528</f>
        <v>0</v>
      </c>
      <c r="I528" s="26">
        <f ca="1">'Preventative costs A'!I528-'Preventative costs B'!I528</f>
        <v>0</v>
      </c>
      <c r="J528" s="26">
        <f ca="1">'Preventative costs A'!J528-'Preventative costs B'!J528</f>
        <v>0</v>
      </c>
      <c r="K528" s="26">
        <f ca="1">'Preventative costs A'!K528-'Preventative costs B'!K528</f>
        <v>0</v>
      </c>
      <c r="M528" s="4" t="str">
        <f t="shared" si="35"/>
        <v>$M(2015) per Mtonne</v>
      </c>
    </row>
    <row r="529" spans="1:13" s="7" customFormat="1" x14ac:dyDescent="0.25">
      <c r="A529" s="4" t="str">
        <v>IA Lin</v>
      </c>
      <c r="B529" s="26">
        <f ca="1">'Preventative costs A'!B529-'Preventative costs B'!B529</f>
        <v>0</v>
      </c>
      <c r="C529" s="26">
        <f ca="1">'Preventative costs A'!C529-'Preventative costs B'!C529</f>
        <v>0</v>
      </c>
      <c r="D529" s="26">
        <f ca="1">'Preventative costs A'!D529-'Preventative costs B'!D529</f>
        <v>0</v>
      </c>
      <c r="E529" s="26">
        <f ca="1">'Preventative costs A'!E529-'Preventative costs B'!E529</f>
        <v>0</v>
      </c>
      <c r="F529" s="26">
        <f ca="1">'Preventative costs A'!F529-'Preventative costs B'!F529</f>
        <v>0</v>
      </c>
      <c r="G529" s="26">
        <f ca="1">'Preventative costs A'!G529-'Preventative costs B'!G529</f>
        <v>0</v>
      </c>
      <c r="H529" s="26">
        <f ca="1">'Preventative costs A'!H529-'Preventative costs B'!H529</f>
        <v>0</v>
      </c>
      <c r="I529" s="26">
        <f ca="1">'Preventative costs A'!I529-'Preventative costs B'!I529</f>
        <v>0</v>
      </c>
      <c r="J529" s="26">
        <f ca="1">'Preventative costs A'!J529-'Preventative costs B'!J529</f>
        <v>0</v>
      </c>
      <c r="K529" s="26">
        <f ca="1">'Preventative costs A'!K529-'Preventative costs B'!K529</f>
        <v>0</v>
      </c>
      <c r="M529" s="4" t="str">
        <f t="shared" si="35"/>
        <v>$M(2015) per Mtonne</v>
      </c>
    </row>
    <row r="530" spans="1:13" s="7" customFormat="1" x14ac:dyDescent="0.25">
      <c r="A530" s="4" t="str">
        <v>AF Lin</v>
      </c>
      <c r="B530" s="26">
        <f ca="1">'Preventative costs A'!B530-'Preventative costs B'!B530</f>
        <v>0</v>
      </c>
      <c r="C530" s="26">
        <f ca="1">'Preventative costs A'!C530-'Preventative costs B'!C530</f>
        <v>0</v>
      </c>
      <c r="D530" s="26">
        <f ca="1">'Preventative costs A'!D530-'Preventative costs B'!D530</f>
        <v>0</v>
      </c>
      <c r="E530" s="26">
        <f ca="1">'Preventative costs A'!E530-'Preventative costs B'!E530</f>
        <v>0</v>
      </c>
      <c r="F530" s="26">
        <f ca="1">'Preventative costs A'!F530-'Preventative costs B'!F530</f>
        <v>0</v>
      </c>
      <c r="G530" s="26">
        <f ca="1">'Preventative costs A'!G530-'Preventative costs B'!G530</f>
        <v>0</v>
      </c>
      <c r="H530" s="26">
        <f ca="1">'Preventative costs A'!H530-'Preventative costs B'!H530</f>
        <v>0</v>
      </c>
      <c r="I530" s="26">
        <f ca="1">'Preventative costs A'!I530-'Preventative costs B'!I530</f>
        <v>0</v>
      </c>
      <c r="J530" s="26">
        <f ca="1">'Preventative costs A'!J530-'Preventative costs B'!J530</f>
        <v>0</v>
      </c>
      <c r="K530" s="26">
        <f ca="1">'Preventative costs A'!K530-'Preventative costs B'!K530</f>
        <v>0</v>
      </c>
      <c r="M530" s="4" t="str">
        <f t="shared" si="35"/>
        <v>$M(2015) per Mtonne</v>
      </c>
    </row>
    <row r="531" spans="1:13" s="7" customFormat="1" ht="13" thickBot="1" x14ac:dyDescent="0.3">
      <c r="A531" s="4" t="str">
        <v>LA Lin</v>
      </c>
      <c r="B531" s="35">
        <f ca="1">'Preventative costs A'!B531-'Preventative costs B'!B531</f>
        <v>0</v>
      </c>
      <c r="C531" s="35">
        <f ca="1">'Preventative costs A'!C531-'Preventative costs B'!C531</f>
        <v>0</v>
      </c>
      <c r="D531" s="35">
        <f ca="1">'Preventative costs A'!D531-'Preventative costs B'!D531</f>
        <v>0</v>
      </c>
      <c r="E531" s="35">
        <f ca="1">'Preventative costs A'!E531-'Preventative costs B'!E531</f>
        <v>0</v>
      </c>
      <c r="F531" s="35">
        <f ca="1">'Preventative costs A'!F531-'Preventative costs B'!F531</f>
        <v>0</v>
      </c>
      <c r="G531" s="35">
        <f ca="1">'Preventative costs A'!G531-'Preventative costs B'!G531</f>
        <v>0</v>
      </c>
      <c r="H531" s="35">
        <f ca="1">'Preventative costs A'!H531-'Preventative costs B'!H531</f>
        <v>0</v>
      </c>
      <c r="I531" s="35">
        <f ca="1">'Preventative costs A'!I531-'Preventative costs B'!I531</f>
        <v>0</v>
      </c>
      <c r="J531" s="35">
        <f ca="1">'Preventative costs A'!J531-'Preventative costs B'!J531</f>
        <v>0</v>
      </c>
      <c r="K531" s="35">
        <f ca="1">'Preventative costs A'!K531-'Preventative costs B'!K531</f>
        <v>0</v>
      </c>
      <c r="M531" s="4" t="str">
        <f t="shared" si="35"/>
        <v>$M(2015) per Mtonne</v>
      </c>
    </row>
    <row r="532" spans="1:13" s="2" customFormat="1" ht="15.5" thickTop="1" x14ac:dyDescent="0.4">
      <c r="A532" s="2" t="s">
        <v>344</v>
      </c>
      <c r="B532" s="2" t="s">
        <v>345</v>
      </c>
    </row>
    <row r="533" spans="1:13" s="6" customFormat="1" x14ac:dyDescent="0.25">
      <c r="A533" s="4" t="str">
        <f t="array" ref="A533:A540">R_CODE&amp;" "&amp;'Base data'!$B$12</f>
        <v>EU CO2</v>
      </c>
      <c r="B533" s="29">
        <f ca="1">'Preventative costs A'!B533-'Preventative costs B'!B533</f>
        <v>0</v>
      </c>
      <c r="C533" s="29">
        <f ca="1">'Preventative costs A'!C533-'Preventative costs B'!C533</f>
        <v>0</v>
      </c>
      <c r="D533" s="29">
        <f ca="1">'Preventative costs A'!D533-'Preventative costs B'!D533</f>
        <v>0</v>
      </c>
      <c r="E533" s="29">
        <f ca="1">'Preventative costs A'!E533-'Preventative costs B'!E533</f>
        <v>0</v>
      </c>
      <c r="F533" s="29">
        <f ca="1">'Preventative costs A'!F533-'Preventative costs B'!F533</f>
        <v>0</v>
      </c>
      <c r="G533" s="29">
        <f ca="1">'Preventative costs A'!G533-'Preventative costs B'!G533</f>
        <v>0</v>
      </c>
      <c r="H533" s="29">
        <f ca="1">'Preventative costs A'!H533-'Preventative costs B'!H533</f>
        <v>0</v>
      </c>
      <c r="I533" s="29">
        <f ca="1">'Preventative costs A'!I533-'Preventative costs B'!I533</f>
        <v>0</v>
      </c>
      <c r="J533" s="29">
        <f ca="1">'Preventative costs A'!J533-'Preventative costs B'!J533</f>
        <v>0</v>
      </c>
      <c r="K533" s="29">
        <f ca="1">'Preventative costs A'!K533-'Preventative costs B'!K533</f>
        <v>0</v>
      </c>
      <c r="M533" s="4" t="str">
        <f t="shared" ref="M533:M540" si="36">CURRENCY_NAME</f>
        <v>$M(2015)</v>
      </c>
    </row>
    <row r="534" spans="1:13" s="6" customFormat="1" x14ac:dyDescent="0.25">
      <c r="A534" s="4" t="str">
        <v>US CO2</v>
      </c>
      <c r="B534" s="26">
        <f ca="1">'Preventative costs A'!B534-'Preventative costs B'!B534</f>
        <v>0</v>
      </c>
      <c r="C534" s="26">
        <f ca="1">'Preventative costs A'!C534-'Preventative costs B'!C534</f>
        <v>0</v>
      </c>
      <c r="D534" s="26">
        <f ca="1">'Preventative costs A'!D534-'Preventative costs B'!D534</f>
        <v>0</v>
      </c>
      <c r="E534" s="26">
        <f ca="1">'Preventative costs A'!E534-'Preventative costs B'!E534</f>
        <v>0</v>
      </c>
      <c r="F534" s="26">
        <f ca="1">'Preventative costs A'!F534-'Preventative costs B'!F534</f>
        <v>0</v>
      </c>
      <c r="G534" s="26">
        <f ca="1">'Preventative costs A'!G534-'Preventative costs B'!G534</f>
        <v>0</v>
      </c>
      <c r="H534" s="26">
        <f ca="1">'Preventative costs A'!H534-'Preventative costs B'!H534</f>
        <v>0</v>
      </c>
      <c r="I534" s="26">
        <f ca="1">'Preventative costs A'!I534-'Preventative costs B'!I534</f>
        <v>0</v>
      </c>
      <c r="J534" s="26">
        <f ca="1">'Preventative costs A'!J534-'Preventative costs B'!J534</f>
        <v>0</v>
      </c>
      <c r="K534" s="26">
        <f ca="1">'Preventative costs A'!K534-'Preventative costs B'!K534</f>
        <v>0</v>
      </c>
      <c r="M534" s="4" t="str">
        <f t="shared" si="36"/>
        <v>$M(2015)</v>
      </c>
    </row>
    <row r="535" spans="1:13" s="6" customFormat="1" x14ac:dyDescent="0.25">
      <c r="A535" s="4" t="str">
        <v>OT CO2</v>
      </c>
      <c r="B535" s="26">
        <f ca="1">'Preventative costs A'!B535-'Preventative costs B'!B535</f>
        <v>0</v>
      </c>
      <c r="C535" s="26">
        <f ca="1">'Preventative costs A'!C535-'Preventative costs B'!C535</f>
        <v>0</v>
      </c>
      <c r="D535" s="26">
        <f ca="1">'Preventative costs A'!D535-'Preventative costs B'!D535</f>
        <v>0</v>
      </c>
      <c r="E535" s="26">
        <f ca="1">'Preventative costs A'!E535-'Preventative costs B'!E535</f>
        <v>0</v>
      </c>
      <c r="F535" s="26">
        <f ca="1">'Preventative costs A'!F535-'Preventative costs B'!F535</f>
        <v>0</v>
      </c>
      <c r="G535" s="26">
        <f ca="1">'Preventative costs A'!G535-'Preventative costs B'!G535</f>
        <v>0</v>
      </c>
      <c r="H535" s="26">
        <f ca="1">'Preventative costs A'!H535-'Preventative costs B'!H535</f>
        <v>0</v>
      </c>
      <c r="I535" s="26">
        <f ca="1">'Preventative costs A'!I535-'Preventative costs B'!I535</f>
        <v>0</v>
      </c>
      <c r="J535" s="26">
        <f ca="1">'Preventative costs A'!J535-'Preventative costs B'!J535</f>
        <v>0</v>
      </c>
      <c r="K535" s="26">
        <f ca="1">'Preventative costs A'!K535-'Preventative costs B'!K535</f>
        <v>0</v>
      </c>
      <c r="M535" s="4" t="str">
        <f t="shared" si="36"/>
        <v>$M(2015)</v>
      </c>
    </row>
    <row r="536" spans="1:13" s="6" customFormat="1" x14ac:dyDescent="0.25">
      <c r="A536" s="4" t="str">
        <v>EE CO2</v>
      </c>
      <c r="B536" s="26">
        <f ca="1">'Preventative costs A'!B536-'Preventative costs B'!B536</f>
        <v>0</v>
      </c>
      <c r="C536" s="26">
        <f ca="1">'Preventative costs A'!C536-'Preventative costs B'!C536</f>
        <v>0</v>
      </c>
      <c r="D536" s="26">
        <f ca="1">'Preventative costs A'!D536-'Preventative costs B'!D536</f>
        <v>0</v>
      </c>
      <c r="E536" s="26">
        <f ca="1">'Preventative costs A'!E536-'Preventative costs B'!E536</f>
        <v>0</v>
      </c>
      <c r="F536" s="26">
        <f ca="1">'Preventative costs A'!F536-'Preventative costs B'!F536</f>
        <v>0</v>
      </c>
      <c r="G536" s="26">
        <f ca="1">'Preventative costs A'!G536-'Preventative costs B'!G536</f>
        <v>0</v>
      </c>
      <c r="H536" s="26">
        <f ca="1">'Preventative costs A'!H536-'Preventative costs B'!H536</f>
        <v>0</v>
      </c>
      <c r="I536" s="26">
        <f ca="1">'Preventative costs A'!I536-'Preventative costs B'!I536</f>
        <v>0</v>
      </c>
      <c r="J536" s="26">
        <f ca="1">'Preventative costs A'!J536-'Preventative costs B'!J536</f>
        <v>0</v>
      </c>
      <c r="K536" s="26">
        <f ca="1">'Preventative costs A'!K536-'Preventative costs B'!K536</f>
        <v>0</v>
      </c>
      <c r="M536" s="4" t="str">
        <f t="shared" si="36"/>
        <v>$M(2015)</v>
      </c>
    </row>
    <row r="537" spans="1:13" s="6" customFormat="1" x14ac:dyDescent="0.25">
      <c r="A537" s="4" t="str">
        <v>CA CO2</v>
      </c>
      <c r="B537" s="26">
        <f ca="1">'Preventative costs A'!B537-'Preventative costs B'!B537</f>
        <v>0</v>
      </c>
      <c r="C537" s="26">
        <f ca="1">'Preventative costs A'!C537-'Preventative costs B'!C537</f>
        <v>0</v>
      </c>
      <c r="D537" s="26">
        <f ca="1">'Preventative costs A'!D537-'Preventative costs B'!D537</f>
        <v>0</v>
      </c>
      <c r="E537" s="26">
        <f ca="1">'Preventative costs A'!E537-'Preventative costs B'!E537</f>
        <v>0</v>
      </c>
      <c r="F537" s="26">
        <f ca="1">'Preventative costs A'!F537-'Preventative costs B'!F537</f>
        <v>0</v>
      </c>
      <c r="G537" s="26">
        <f ca="1">'Preventative costs A'!G537-'Preventative costs B'!G537</f>
        <v>0</v>
      </c>
      <c r="H537" s="26">
        <f ca="1">'Preventative costs A'!H537-'Preventative costs B'!H537</f>
        <v>0</v>
      </c>
      <c r="I537" s="26">
        <f ca="1">'Preventative costs A'!I537-'Preventative costs B'!I537</f>
        <v>0</v>
      </c>
      <c r="J537" s="26">
        <f ca="1">'Preventative costs A'!J537-'Preventative costs B'!J537</f>
        <v>0</v>
      </c>
      <c r="K537" s="26">
        <f ca="1">'Preventative costs A'!K537-'Preventative costs B'!K537</f>
        <v>0</v>
      </c>
      <c r="M537" s="4" t="str">
        <f t="shared" si="36"/>
        <v>$M(2015)</v>
      </c>
    </row>
    <row r="538" spans="1:13" s="6" customFormat="1" x14ac:dyDescent="0.25">
      <c r="A538" s="4" t="str">
        <v>IA CO2</v>
      </c>
      <c r="B538" s="26">
        <f ca="1">'Preventative costs A'!B538-'Preventative costs B'!B538</f>
        <v>0</v>
      </c>
      <c r="C538" s="26">
        <f ca="1">'Preventative costs A'!C538-'Preventative costs B'!C538</f>
        <v>0</v>
      </c>
      <c r="D538" s="26">
        <f ca="1">'Preventative costs A'!D538-'Preventative costs B'!D538</f>
        <v>0</v>
      </c>
      <c r="E538" s="26">
        <f ca="1">'Preventative costs A'!E538-'Preventative costs B'!E538</f>
        <v>0</v>
      </c>
      <c r="F538" s="26">
        <f ca="1">'Preventative costs A'!F538-'Preventative costs B'!F538</f>
        <v>0</v>
      </c>
      <c r="G538" s="26">
        <f ca="1">'Preventative costs A'!G538-'Preventative costs B'!G538</f>
        <v>0</v>
      </c>
      <c r="H538" s="26">
        <f ca="1">'Preventative costs A'!H538-'Preventative costs B'!H538</f>
        <v>0</v>
      </c>
      <c r="I538" s="26">
        <f ca="1">'Preventative costs A'!I538-'Preventative costs B'!I538</f>
        <v>0</v>
      </c>
      <c r="J538" s="26">
        <f ca="1">'Preventative costs A'!J538-'Preventative costs B'!J538</f>
        <v>0</v>
      </c>
      <c r="K538" s="26">
        <f ca="1">'Preventative costs A'!K538-'Preventative costs B'!K538</f>
        <v>0</v>
      </c>
      <c r="M538" s="4" t="str">
        <f t="shared" si="36"/>
        <v>$M(2015)</v>
      </c>
    </row>
    <row r="539" spans="1:13" s="6" customFormat="1" x14ac:dyDescent="0.25">
      <c r="A539" s="4" t="str">
        <v>AF CO2</v>
      </c>
      <c r="B539" s="26">
        <f ca="1">'Preventative costs A'!B539-'Preventative costs B'!B539</f>
        <v>0</v>
      </c>
      <c r="C539" s="26">
        <f ca="1">'Preventative costs A'!C539-'Preventative costs B'!C539</f>
        <v>0</v>
      </c>
      <c r="D539" s="26">
        <f ca="1">'Preventative costs A'!D539-'Preventative costs B'!D539</f>
        <v>0</v>
      </c>
      <c r="E539" s="26">
        <f ca="1">'Preventative costs A'!E539-'Preventative costs B'!E539</f>
        <v>0</v>
      </c>
      <c r="F539" s="26">
        <f ca="1">'Preventative costs A'!F539-'Preventative costs B'!F539</f>
        <v>0</v>
      </c>
      <c r="G539" s="26">
        <f ca="1">'Preventative costs A'!G539-'Preventative costs B'!G539</f>
        <v>0</v>
      </c>
      <c r="H539" s="26">
        <f ca="1">'Preventative costs A'!H539-'Preventative costs B'!H539</f>
        <v>0</v>
      </c>
      <c r="I539" s="26">
        <f ca="1">'Preventative costs A'!I539-'Preventative costs B'!I539</f>
        <v>0</v>
      </c>
      <c r="J539" s="26">
        <f ca="1">'Preventative costs A'!J539-'Preventative costs B'!J539</f>
        <v>0</v>
      </c>
      <c r="K539" s="26">
        <f ca="1">'Preventative costs A'!K539-'Preventative costs B'!K539</f>
        <v>0</v>
      </c>
      <c r="M539" s="4" t="str">
        <f t="shared" si="36"/>
        <v>$M(2015)</v>
      </c>
    </row>
    <row r="540" spans="1:13" s="6" customFormat="1" ht="13" thickBot="1" x14ac:dyDescent="0.3">
      <c r="A540" s="4" t="str">
        <v>LA CO2</v>
      </c>
      <c r="B540" s="35">
        <f ca="1">'Preventative costs A'!B540-'Preventative costs B'!B540</f>
        <v>0</v>
      </c>
      <c r="C540" s="35">
        <f ca="1">'Preventative costs A'!C540-'Preventative costs B'!C540</f>
        <v>0</v>
      </c>
      <c r="D540" s="35">
        <f ca="1">'Preventative costs A'!D540-'Preventative costs B'!D540</f>
        <v>0</v>
      </c>
      <c r="E540" s="35">
        <f ca="1">'Preventative costs A'!E540-'Preventative costs B'!E540</f>
        <v>0</v>
      </c>
      <c r="F540" s="35">
        <f ca="1">'Preventative costs A'!F540-'Preventative costs B'!F540</f>
        <v>0</v>
      </c>
      <c r="G540" s="35">
        <f ca="1">'Preventative costs A'!G540-'Preventative costs B'!G540</f>
        <v>0</v>
      </c>
      <c r="H540" s="35">
        <f ca="1">'Preventative costs A'!H540-'Preventative costs B'!H540</f>
        <v>0</v>
      </c>
      <c r="I540" s="35">
        <f ca="1">'Preventative costs A'!I540-'Preventative costs B'!I540</f>
        <v>0</v>
      </c>
      <c r="J540" s="35">
        <f ca="1">'Preventative costs A'!J540-'Preventative costs B'!J540</f>
        <v>0</v>
      </c>
      <c r="K540" s="35">
        <f ca="1">'Preventative costs A'!K540-'Preventative costs B'!K540</f>
        <v>0</v>
      </c>
      <c r="M540" s="4" t="str">
        <f t="shared" si="36"/>
        <v>$M(2015)</v>
      </c>
    </row>
    <row r="541" spans="1:13" s="2" customFormat="1" ht="15.5" thickTop="1" x14ac:dyDescent="0.4">
      <c r="A541" s="2" t="s">
        <v>344</v>
      </c>
      <c r="B541" s="2" t="s">
        <v>346</v>
      </c>
    </row>
    <row r="542" spans="1:13" s="6" customFormat="1" x14ac:dyDescent="0.25">
      <c r="A542" s="4" t="str">
        <f t="array" ref="A542:A549">R_CODE&amp;" "&amp;'Base data'!$C$12</f>
        <v>EU CH4</v>
      </c>
      <c r="B542" s="29">
        <f ca="1">'Preventative costs A'!B542-'Preventative costs B'!B542</f>
        <v>0</v>
      </c>
      <c r="C542" s="29">
        <f ca="1">'Preventative costs A'!C542-'Preventative costs B'!C542</f>
        <v>0</v>
      </c>
      <c r="D542" s="29">
        <f ca="1">'Preventative costs A'!D542-'Preventative costs B'!D542</f>
        <v>0</v>
      </c>
      <c r="E542" s="29">
        <f ca="1">'Preventative costs A'!E542-'Preventative costs B'!E542</f>
        <v>0</v>
      </c>
      <c r="F542" s="29">
        <f ca="1">'Preventative costs A'!F542-'Preventative costs B'!F542</f>
        <v>0</v>
      </c>
      <c r="G542" s="29">
        <f ca="1">'Preventative costs A'!G542-'Preventative costs B'!G542</f>
        <v>0</v>
      </c>
      <c r="H542" s="29">
        <f ca="1">'Preventative costs A'!H542-'Preventative costs B'!H542</f>
        <v>0</v>
      </c>
      <c r="I542" s="29">
        <f ca="1">'Preventative costs A'!I542-'Preventative costs B'!I542</f>
        <v>0</v>
      </c>
      <c r="J542" s="29">
        <f ca="1">'Preventative costs A'!J542-'Preventative costs B'!J542</f>
        <v>0</v>
      </c>
      <c r="K542" s="29">
        <f ca="1">'Preventative costs A'!K542-'Preventative costs B'!K542</f>
        <v>0</v>
      </c>
      <c r="M542" s="4" t="str">
        <f t="shared" ref="M542:M549" si="37">CURRENCY_NAME</f>
        <v>$M(2015)</v>
      </c>
    </row>
    <row r="543" spans="1:13" s="6" customFormat="1" x14ac:dyDescent="0.25">
      <c r="A543" s="4" t="str">
        <v>US CH4</v>
      </c>
      <c r="B543" s="26">
        <f ca="1">'Preventative costs A'!B543-'Preventative costs B'!B543</f>
        <v>0</v>
      </c>
      <c r="C543" s="26">
        <f ca="1">'Preventative costs A'!C543-'Preventative costs B'!C543</f>
        <v>0</v>
      </c>
      <c r="D543" s="26">
        <f ca="1">'Preventative costs A'!D543-'Preventative costs B'!D543</f>
        <v>0</v>
      </c>
      <c r="E543" s="26">
        <f ca="1">'Preventative costs A'!E543-'Preventative costs B'!E543</f>
        <v>0</v>
      </c>
      <c r="F543" s="26">
        <f ca="1">'Preventative costs A'!F543-'Preventative costs B'!F543</f>
        <v>0</v>
      </c>
      <c r="G543" s="26">
        <f ca="1">'Preventative costs A'!G543-'Preventative costs B'!G543</f>
        <v>0</v>
      </c>
      <c r="H543" s="26">
        <f ca="1">'Preventative costs A'!H543-'Preventative costs B'!H543</f>
        <v>0</v>
      </c>
      <c r="I543" s="26">
        <f ca="1">'Preventative costs A'!I543-'Preventative costs B'!I543</f>
        <v>0</v>
      </c>
      <c r="J543" s="26">
        <f ca="1">'Preventative costs A'!J543-'Preventative costs B'!J543</f>
        <v>0</v>
      </c>
      <c r="K543" s="26">
        <f ca="1">'Preventative costs A'!K543-'Preventative costs B'!K543</f>
        <v>0</v>
      </c>
      <c r="M543" s="4" t="str">
        <f t="shared" si="37"/>
        <v>$M(2015)</v>
      </c>
    </row>
    <row r="544" spans="1:13" s="6" customFormat="1" x14ac:dyDescent="0.25">
      <c r="A544" s="4" t="str">
        <v>OT CH4</v>
      </c>
      <c r="B544" s="26">
        <f ca="1">'Preventative costs A'!B544-'Preventative costs B'!B544</f>
        <v>0</v>
      </c>
      <c r="C544" s="26">
        <f ca="1">'Preventative costs A'!C544-'Preventative costs B'!C544</f>
        <v>0</v>
      </c>
      <c r="D544" s="26">
        <f ca="1">'Preventative costs A'!D544-'Preventative costs B'!D544</f>
        <v>0</v>
      </c>
      <c r="E544" s="26">
        <f ca="1">'Preventative costs A'!E544-'Preventative costs B'!E544</f>
        <v>0</v>
      </c>
      <c r="F544" s="26">
        <f ca="1">'Preventative costs A'!F544-'Preventative costs B'!F544</f>
        <v>0</v>
      </c>
      <c r="G544" s="26">
        <f ca="1">'Preventative costs A'!G544-'Preventative costs B'!G544</f>
        <v>0</v>
      </c>
      <c r="H544" s="26">
        <f ca="1">'Preventative costs A'!H544-'Preventative costs B'!H544</f>
        <v>0</v>
      </c>
      <c r="I544" s="26">
        <f ca="1">'Preventative costs A'!I544-'Preventative costs B'!I544</f>
        <v>0</v>
      </c>
      <c r="J544" s="26">
        <f ca="1">'Preventative costs A'!J544-'Preventative costs B'!J544</f>
        <v>0</v>
      </c>
      <c r="K544" s="26">
        <f ca="1">'Preventative costs A'!K544-'Preventative costs B'!K544</f>
        <v>0</v>
      </c>
      <c r="M544" s="4" t="str">
        <f t="shared" si="37"/>
        <v>$M(2015)</v>
      </c>
    </row>
    <row r="545" spans="1:13" s="6" customFormat="1" x14ac:dyDescent="0.25">
      <c r="A545" s="4" t="str">
        <v>EE CH4</v>
      </c>
      <c r="B545" s="26">
        <f ca="1">'Preventative costs A'!B545-'Preventative costs B'!B545</f>
        <v>0</v>
      </c>
      <c r="C545" s="26">
        <f ca="1">'Preventative costs A'!C545-'Preventative costs B'!C545</f>
        <v>0</v>
      </c>
      <c r="D545" s="26">
        <f ca="1">'Preventative costs A'!D545-'Preventative costs B'!D545</f>
        <v>0</v>
      </c>
      <c r="E545" s="26">
        <f ca="1">'Preventative costs A'!E545-'Preventative costs B'!E545</f>
        <v>0</v>
      </c>
      <c r="F545" s="26">
        <f ca="1">'Preventative costs A'!F545-'Preventative costs B'!F545</f>
        <v>0</v>
      </c>
      <c r="G545" s="26">
        <f ca="1">'Preventative costs A'!G545-'Preventative costs B'!G545</f>
        <v>0</v>
      </c>
      <c r="H545" s="26">
        <f ca="1">'Preventative costs A'!H545-'Preventative costs B'!H545</f>
        <v>0</v>
      </c>
      <c r="I545" s="26">
        <f ca="1">'Preventative costs A'!I545-'Preventative costs B'!I545</f>
        <v>0</v>
      </c>
      <c r="J545" s="26">
        <f ca="1">'Preventative costs A'!J545-'Preventative costs B'!J545</f>
        <v>0</v>
      </c>
      <c r="K545" s="26">
        <f ca="1">'Preventative costs A'!K545-'Preventative costs B'!K545</f>
        <v>0</v>
      </c>
      <c r="M545" s="4" t="str">
        <f t="shared" si="37"/>
        <v>$M(2015)</v>
      </c>
    </row>
    <row r="546" spans="1:13" s="6" customFormat="1" x14ac:dyDescent="0.25">
      <c r="A546" s="4" t="str">
        <v>CA CH4</v>
      </c>
      <c r="B546" s="26">
        <f ca="1">'Preventative costs A'!B546-'Preventative costs B'!B546</f>
        <v>0</v>
      </c>
      <c r="C546" s="26">
        <f ca="1">'Preventative costs A'!C546-'Preventative costs B'!C546</f>
        <v>0</v>
      </c>
      <c r="D546" s="26">
        <f ca="1">'Preventative costs A'!D546-'Preventative costs B'!D546</f>
        <v>0</v>
      </c>
      <c r="E546" s="26">
        <f ca="1">'Preventative costs A'!E546-'Preventative costs B'!E546</f>
        <v>0</v>
      </c>
      <c r="F546" s="26">
        <f ca="1">'Preventative costs A'!F546-'Preventative costs B'!F546</f>
        <v>0</v>
      </c>
      <c r="G546" s="26">
        <f ca="1">'Preventative costs A'!G546-'Preventative costs B'!G546</f>
        <v>0</v>
      </c>
      <c r="H546" s="26">
        <f ca="1">'Preventative costs A'!H546-'Preventative costs B'!H546</f>
        <v>0</v>
      </c>
      <c r="I546" s="26">
        <f ca="1">'Preventative costs A'!I546-'Preventative costs B'!I546</f>
        <v>0</v>
      </c>
      <c r="J546" s="26">
        <f ca="1">'Preventative costs A'!J546-'Preventative costs B'!J546</f>
        <v>0</v>
      </c>
      <c r="K546" s="26">
        <f ca="1">'Preventative costs A'!K546-'Preventative costs B'!K546</f>
        <v>0</v>
      </c>
      <c r="M546" s="4" t="str">
        <f t="shared" si="37"/>
        <v>$M(2015)</v>
      </c>
    </row>
    <row r="547" spans="1:13" s="6" customFormat="1" x14ac:dyDescent="0.25">
      <c r="A547" s="4" t="str">
        <v>IA CH4</v>
      </c>
      <c r="B547" s="26">
        <f ca="1">'Preventative costs A'!B547-'Preventative costs B'!B547</f>
        <v>0</v>
      </c>
      <c r="C547" s="26">
        <f ca="1">'Preventative costs A'!C547-'Preventative costs B'!C547</f>
        <v>0</v>
      </c>
      <c r="D547" s="26">
        <f ca="1">'Preventative costs A'!D547-'Preventative costs B'!D547</f>
        <v>0</v>
      </c>
      <c r="E547" s="26">
        <f ca="1">'Preventative costs A'!E547-'Preventative costs B'!E547</f>
        <v>0</v>
      </c>
      <c r="F547" s="26">
        <f ca="1">'Preventative costs A'!F547-'Preventative costs B'!F547</f>
        <v>0</v>
      </c>
      <c r="G547" s="26">
        <f ca="1">'Preventative costs A'!G547-'Preventative costs B'!G547</f>
        <v>0</v>
      </c>
      <c r="H547" s="26">
        <f ca="1">'Preventative costs A'!H547-'Preventative costs B'!H547</f>
        <v>0</v>
      </c>
      <c r="I547" s="26">
        <f ca="1">'Preventative costs A'!I547-'Preventative costs B'!I547</f>
        <v>0</v>
      </c>
      <c r="J547" s="26">
        <f ca="1">'Preventative costs A'!J547-'Preventative costs B'!J547</f>
        <v>0</v>
      </c>
      <c r="K547" s="26">
        <f ca="1">'Preventative costs A'!K547-'Preventative costs B'!K547</f>
        <v>0</v>
      </c>
      <c r="M547" s="4" t="str">
        <f t="shared" si="37"/>
        <v>$M(2015)</v>
      </c>
    </row>
    <row r="548" spans="1:13" s="6" customFormat="1" x14ac:dyDescent="0.25">
      <c r="A548" s="4" t="str">
        <v>AF CH4</v>
      </c>
      <c r="B548" s="26">
        <f ca="1">'Preventative costs A'!B548-'Preventative costs B'!B548</f>
        <v>0</v>
      </c>
      <c r="C548" s="26">
        <f ca="1">'Preventative costs A'!C548-'Preventative costs B'!C548</f>
        <v>0</v>
      </c>
      <c r="D548" s="26">
        <f ca="1">'Preventative costs A'!D548-'Preventative costs B'!D548</f>
        <v>0</v>
      </c>
      <c r="E548" s="26">
        <f ca="1">'Preventative costs A'!E548-'Preventative costs B'!E548</f>
        <v>0</v>
      </c>
      <c r="F548" s="26">
        <f ca="1">'Preventative costs A'!F548-'Preventative costs B'!F548</f>
        <v>0</v>
      </c>
      <c r="G548" s="26">
        <f ca="1">'Preventative costs A'!G548-'Preventative costs B'!G548</f>
        <v>0</v>
      </c>
      <c r="H548" s="26">
        <f ca="1">'Preventative costs A'!H548-'Preventative costs B'!H548</f>
        <v>0</v>
      </c>
      <c r="I548" s="26">
        <f ca="1">'Preventative costs A'!I548-'Preventative costs B'!I548</f>
        <v>0</v>
      </c>
      <c r="J548" s="26">
        <f ca="1">'Preventative costs A'!J548-'Preventative costs B'!J548</f>
        <v>0</v>
      </c>
      <c r="K548" s="26">
        <f ca="1">'Preventative costs A'!K548-'Preventative costs B'!K548</f>
        <v>0</v>
      </c>
      <c r="M548" s="4" t="str">
        <f t="shared" si="37"/>
        <v>$M(2015)</v>
      </c>
    </row>
    <row r="549" spans="1:13" s="6" customFormat="1" ht="13" thickBot="1" x14ac:dyDescent="0.3">
      <c r="A549" s="4" t="str">
        <v>LA CH4</v>
      </c>
      <c r="B549" s="35">
        <f ca="1">'Preventative costs A'!B549-'Preventative costs B'!B549</f>
        <v>0</v>
      </c>
      <c r="C549" s="35">
        <f ca="1">'Preventative costs A'!C549-'Preventative costs B'!C549</f>
        <v>0</v>
      </c>
      <c r="D549" s="35">
        <f ca="1">'Preventative costs A'!D549-'Preventative costs B'!D549</f>
        <v>0</v>
      </c>
      <c r="E549" s="35">
        <f ca="1">'Preventative costs A'!E549-'Preventative costs B'!E549</f>
        <v>0</v>
      </c>
      <c r="F549" s="35">
        <f ca="1">'Preventative costs A'!F549-'Preventative costs B'!F549</f>
        <v>0</v>
      </c>
      <c r="G549" s="35">
        <f ca="1">'Preventative costs A'!G549-'Preventative costs B'!G549</f>
        <v>0</v>
      </c>
      <c r="H549" s="35">
        <f ca="1">'Preventative costs A'!H549-'Preventative costs B'!H549</f>
        <v>0</v>
      </c>
      <c r="I549" s="35">
        <f ca="1">'Preventative costs A'!I549-'Preventative costs B'!I549</f>
        <v>0</v>
      </c>
      <c r="J549" s="35">
        <f ca="1">'Preventative costs A'!J549-'Preventative costs B'!J549</f>
        <v>0</v>
      </c>
      <c r="K549" s="35">
        <f ca="1">'Preventative costs A'!K549-'Preventative costs B'!K549</f>
        <v>0</v>
      </c>
      <c r="M549" s="4" t="str">
        <f t="shared" si="37"/>
        <v>$M(2015)</v>
      </c>
    </row>
    <row r="550" spans="1:13" s="2" customFormat="1" ht="15.5" thickTop="1" x14ac:dyDescent="0.4">
      <c r="A550" s="2" t="s">
        <v>344</v>
      </c>
      <c r="B550" s="2" t="s">
        <v>347</v>
      </c>
    </row>
    <row r="551" spans="1:13" s="7" customFormat="1" x14ac:dyDescent="0.25">
      <c r="A551" s="4" t="str">
        <f t="array" ref="A551:A558">R_CODE&amp;" "&amp;'Base data'!$D$12</f>
        <v>EU N2O</v>
      </c>
      <c r="B551" s="29">
        <f ca="1">'Preventative costs A'!B551-'Preventative costs B'!B551</f>
        <v>0</v>
      </c>
      <c r="C551" s="29">
        <f ca="1">'Preventative costs A'!C551-'Preventative costs B'!C551</f>
        <v>0</v>
      </c>
      <c r="D551" s="29">
        <f ca="1">'Preventative costs A'!D551-'Preventative costs B'!D551</f>
        <v>0</v>
      </c>
      <c r="E551" s="29">
        <f ca="1">'Preventative costs A'!E551-'Preventative costs B'!E551</f>
        <v>0</v>
      </c>
      <c r="F551" s="29">
        <f ca="1">'Preventative costs A'!F551-'Preventative costs B'!F551</f>
        <v>0</v>
      </c>
      <c r="G551" s="29">
        <f ca="1">'Preventative costs A'!G551-'Preventative costs B'!G551</f>
        <v>0</v>
      </c>
      <c r="H551" s="29">
        <f ca="1">'Preventative costs A'!H551-'Preventative costs B'!H551</f>
        <v>0</v>
      </c>
      <c r="I551" s="29">
        <f ca="1">'Preventative costs A'!I551-'Preventative costs B'!I551</f>
        <v>0</v>
      </c>
      <c r="J551" s="29">
        <f ca="1">'Preventative costs A'!J551-'Preventative costs B'!J551</f>
        <v>0</v>
      </c>
      <c r="K551" s="29">
        <f ca="1">'Preventative costs A'!K551-'Preventative costs B'!K551</f>
        <v>0</v>
      </c>
      <c r="M551" s="4" t="str">
        <f t="shared" ref="M551:M558" si="38">CURRENCY_NAME</f>
        <v>$M(2015)</v>
      </c>
    </row>
    <row r="552" spans="1:13" s="7" customFormat="1" x14ac:dyDescent="0.25">
      <c r="A552" s="4" t="str">
        <v>US N2O</v>
      </c>
      <c r="B552" s="26">
        <f ca="1">'Preventative costs A'!B552-'Preventative costs B'!B552</f>
        <v>0</v>
      </c>
      <c r="C552" s="26">
        <f ca="1">'Preventative costs A'!C552-'Preventative costs B'!C552</f>
        <v>0</v>
      </c>
      <c r="D552" s="26">
        <f ca="1">'Preventative costs A'!D552-'Preventative costs B'!D552</f>
        <v>0</v>
      </c>
      <c r="E552" s="26">
        <f ca="1">'Preventative costs A'!E552-'Preventative costs B'!E552</f>
        <v>0</v>
      </c>
      <c r="F552" s="26">
        <f ca="1">'Preventative costs A'!F552-'Preventative costs B'!F552</f>
        <v>0</v>
      </c>
      <c r="G552" s="26">
        <f ca="1">'Preventative costs A'!G552-'Preventative costs B'!G552</f>
        <v>0</v>
      </c>
      <c r="H552" s="26">
        <f ca="1">'Preventative costs A'!H552-'Preventative costs B'!H552</f>
        <v>0</v>
      </c>
      <c r="I552" s="26">
        <f ca="1">'Preventative costs A'!I552-'Preventative costs B'!I552</f>
        <v>0</v>
      </c>
      <c r="J552" s="26">
        <f ca="1">'Preventative costs A'!J552-'Preventative costs B'!J552</f>
        <v>0</v>
      </c>
      <c r="K552" s="26">
        <f ca="1">'Preventative costs A'!K552-'Preventative costs B'!K552</f>
        <v>0</v>
      </c>
      <c r="M552" s="4" t="str">
        <f t="shared" si="38"/>
        <v>$M(2015)</v>
      </c>
    </row>
    <row r="553" spans="1:13" s="7" customFormat="1" x14ac:dyDescent="0.25">
      <c r="A553" s="4" t="str">
        <v>OT N2O</v>
      </c>
      <c r="B553" s="26">
        <f ca="1">'Preventative costs A'!B553-'Preventative costs B'!B553</f>
        <v>0</v>
      </c>
      <c r="C553" s="26">
        <f ca="1">'Preventative costs A'!C553-'Preventative costs B'!C553</f>
        <v>0</v>
      </c>
      <c r="D553" s="26">
        <f ca="1">'Preventative costs A'!D553-'Preventative costs B'!D553</f>
        <v>0</v>
      </c>
      <c r="E553" s="26">
        <f ca="1">'Preventative costs A'!E553-'Preventative costs B'!E553</f>
        <v>0</v>
      </c>
      <c r="F553" s="26">
        <f ca="1">'Preventative costs A'!F553-'Preventative costs B'!F553</f>
        <v>0</v>
      </c>
      <c r="G553" s="26">
        <f ca="1">'Preventative costs A'!G553-'Preventative costs B'!G553</f>
        <v>0</v>
      </c>
      <c r="H553" s="26">
        <f ca="1">'Preventative costs A'!H553-'Preventative costs B'!H553</f>
        <v>0</v>
      </c>
      <c r="I553" s="26">
        <f ca="1">'Preventative costs A'!I553-'Preventative costs B'!I553</f>
        <v>0</v>
      </c>
      <c r="J553" s="26">
        <f ca="1">'Preventative costs A'!J553-'Preventative costs B'!J553</f>
        <v>0</v>
      </c>
      <c r="K553" s="26">
        <f ca="1">'Preventative costs A'!K553-'Preventative costs B'!K553</f>
        <v>0</v>
      </c>
      <c r="M553" s="4" t="str">
        <f t="shared" si="38"/>
        <v>$M(2015)</v>
      </c>
    </row>
    <row r="554" spans="1:13" s="7" customFormat="1" x14ac:dyDescent="0.25">
      <c r="A554" s="4" t="str">
        <v>EE N2O</v>
      </c>
      <c r="B554" s="26">
        <f ca="1">'Preventative costs A'!B554-'Preventative costs B'!B554</f>
        <v>0</v>
      </c>
      <c r="C554" s="26">
        <f ca="1">'Preventative costs A'!C554-'Preventative costs B'!C554</f>
        <v>0</v>
      </c>
      <c r="D554" s="26">
        <f ca="1">'Preventative costs A'!D554-'Preventative costs B'!D554</f>
        <v>0</v>
      </c>
      <c r="E554" s="26">
        <f ca="1">'Preventative costs A'!E554-'Preventative costs B'!E554</f>
        <v>0</v>
      </c>
      <c r="F554" s="26">
        <f ca="1">'Preventative costs A'!F554-'Preventative costs B'!F554</f>
        <v>0</v>
      </c>
      <c r="G554" s="26">
        <f ca="1">'Preventative costs A'!G554-'Preventative costs B'!G554</f>
        <v>0</v>
      </c>
      <c r="H554" s="26">
        <f ca="1">'Preventative costs A'!H554-'Preventative costs B'!H554</f>
        <v>0</v>
      </c>
      <c r="I554" s="26">
        <f ca="1">'Preventative costs A'!I554-'Preventative costs B'!I554</f>
        <v>0</v>
      </c>
      <c r="J554" s="26">
        <f ca="1">'Preventative costs A'!J554-'Preventative costs B'!J554</f>
        <v>0</v>
      </c>
      <c r="K554" s="26">
        <f ca="1">'Preventative costs A'!K554-'Preventative costs B'!K554</f>
        <v>0</v>
      </c>
      <c r="M554" s="4" t="str">
        <f t="shared" si="38"/>
        <v>$M(2015)</v>
      </c>
    </row>
    <row r="555" spans="1:13" s="7" customFormat="1" x14ac:dyDescent="0.25">
      <c r="A555" s="4" t="str">
        <v>CA N2O</v>
      </c>
      <c r="B555" s="26">
        <f ca="1">'Preventative costs A'!B555-'Preventative costs B'!B555</f>
        <v>0</v>
      </c>
      <c r="C555" s="26">
        <f ca="1">'Preventative costs A'!C555-'Preventative costs B'!C555</f>
        <v>0</v>
      </c>
      <c r="D555" s="26">
        <f ca="1">'Preventative costs A'!D555-'Preventative costs B'!D555</f>
        <v>0</v>
      </c>
      <c r="E555" s="26">
        <f ca="1">'Preventative costs A'!E555-'Preventative costs B'!E555</f>
        <v>0</v>
      </c>
      <c r="F555" s="26">
        <f ca="1">'Preventative costs A'!F555-'Preventative costs B'!F555</f>
        <v>0</v>
      </c>
      <c r="G555" s="26">
        <f ca="1">'Preventative costs A'!G555-'Preventative costs B'!G555</f>
        <v>0</v>
      </c>
      <c r="H555" s="26">
        <f ca="1">'Preventative costs A'!H555-'Preventative costs B'!H555</f>
        <v>0</v>
      </c>
      <c r="I555" s="26">
        <f ca="1">'Preventative costs A'!I555-'Preventative costs B'!I555</f>
        <v>0</v>
      </c>
      <c r="J555" s="26">
        <f ca="1">'Preventative costs A'!J555-'Preventative costs B'!J555</f>
        <v>0</v>
      </c>
      <c r="K555" s="26">
        <f ca="1">'Preventative costs A'!K555-'Preventative costs B'!K555</f>
        <v>0</v>
      </c>
      <c r="M555" s="4" t="str">
        <f t="shared" si="38"/>
        <v>$M(2015)</v>
      </c>
    </row>
    <row r="556" spans="1:13" s="7" customFormat="1" x14ac:dyDescent="0.25">
      <c r="A556" s="4" t="str">
        <v>IA N2O</v>
      </c>
      <c r="B556" s="26">
        <f ca="1">'Preventative costs A'!B556-'Preventative costs B'!B556</f>
        <v>0</v>
      </c>
      <c r="C556" s="26">
        <f ca="1">'Preventative costs A'!C556-'Preventative costs B'!C556</f>
        <v>0</v>
      </c>
      <c r="D556" s="26">
        <f ca="1">'Preventative costs A'!D556-'Preventative costs B'!D556</f>
        <v>0</v>
      </c>
      <c r="E556" s="26">
        <f ca="1">'Preventative costs A'!E556-'Preventative costs B'!E556</f>
        <v>0</v>
      </c>
      <c r="F556" s="26">
        <f ca="1">'Preventative costs A'!F556-'Preventative costs B'!F556</f>
        <v>0</v>
      </c>
      <c r="G556" s="26">
        <f ca="1">'Preventative costs A'!G556-'Preventative costs B'!G556</f>
        <v>0</v>
      </c>
      <c r="H556" s="26">
        <f ca="1">'Preventative costs A'!H556-'Preventative costs B'!H556</f>
        <v>0</v>
      </c>
      <c r="I556" s="26">
        <f ca="1">'Preventative costs A'!I556-'Preventative costs B'!I556</f>
        <v>0</v>
      </c>
      <c r="J556" s="26">
        <f ca="1">'Preventative costs A'!J556-'Preventative costs B'!J556</f>
        <v>0</v>
      </c>
      <c r="K556" s="26">
        <f ca="1">'Preventative costs A'!K556-'Preventative costs B'!K556</f>
        <v>0</v>
      </c>
      <c r="M556" s="4" t="str">
        <f t="shared" si="38"/>
        <v>$M(2015)</v>
      </c>
    </row>
    <row r="557" spans="1:13" s="7" customFormat="1" x14ac:dyDescent="0.25">
      <c r="A557" s="4" t="str">
        <v>AF N2O</v>
      </c>
      <c r="B557" s="26">
        <f ca="1">'Preventative costs A'!B557-'Preventative costs B'!B557</f>
        <v>0</v>
      </c>
      <c r="C557" s="26">
        <f ca="1">'Preventative costs A'!C557-'Preventative costs B'!C557</f>
        <v>0</v>
      </c>
      <c r="D557" s="26">
        <f ca="1">'Preventative costs A'!D557-'Preventative costs B'!D557</f>
        <v>0</v>
      </c>
      <c r="E557" s="26">
        <f ca="1">'Preventative costs A'!E557-'Preventative costs B'!E557</f>
        <v>0</v>
      </c>
      <c r="F557" s="26">
        <f ca="1">'Preventative costs A'!F557-'Preventative costs B'!F557</f>
        <v>0</v>
      </c>
      <c r="G557" s="26">
        <f ca="1">'Preventative costs A'!G557-'Preventative costs B'!G557</f>
        <v>0</v>
      </c>
      <c r="H557" s="26">
        <f ca="1">'Preventative costs A'!H557-'Preventative costs B'!H557</f>
        <v>0</v>
      </c>
      <c r="I557" s="26">
        <f ca="1">'Preventative costs A'!I557-'Preventative costs B'!I557</f>
        <v>0</v>
      </c>
      <c r="J557" s="26">
        <f ca="1">'Preventative costs A'!J557-'Preventative costs B'!J557</f>
        <v>0</v>
      </c>
      <c r="K557" s="26">
        <f ca="1">'Preventative costs A'!K557-'Preventative costs B'!K557</f>
        <v>0</v>
      </c>
      <c r="M557" s="4" t="str">
        <f t="shared" si="38"/>
        <v>$M(2015)</v>
      </c>
    </row>
    <row r="558" spans="1:13" s="7" customFormat="1" ht="13" thickBot="1" x14ac:dyDescent="0.3">
      <c r="A558" s="4" t="str">
        <v>LA N2O</v>
      </c>
      <c r="B558" s="35">
        <f ca="1">'Preventative costs A'!B558-'Preventative costs B'!B558</f>
        <v>0</v>
      </c>
      <c r="C558" s="35">
        <f ca="1">'Preventative costs A'!C558-'Preventative costs B'!C558</f>
        <v>0</v>
      </c>
      <c r="D558" s="35">
        <f ca="1">'Preventative costs A'!D558-'Preventative costs B'!D558</f>
        <v>0</v>
      </c>
      <c r="E558" s="35">
        <f ca="1">'Preventative costs A'!E558-'Preventative costs B'!E558</f>
        <v>0</v>
      </c>
      <c r="F558" s="35">
        <f ca="1">'Preventative costs A'!F558-'Preventative costs B'!F558</f>
        <v>0</v>
      </c>
      <c r="G558" s="35">
        <f ca="1">'Preventative costs A'!G558-'Preventative costs B'!G558</f>
        <v>0</v>
      </c>
      <c r="H558" s="35">
        <f ca="1">'Preventative costs A'!H558-'Preventative costs B'!H558</f>
        <v>0</v>
      </c>
      <c r="I558" s="35">
        <f ca="1">'Preventative costs A'!I558-'Preventative costs B'!I558</f>
        <v>0</v>
      </c>
      <c r="J558" s="35">
        <f ca="1">'Preventative costs A'!J558-'Preventative costs B'!J558</f>
        <v>0</v>
      </c>
      <c r="K558" s="35">
        <f ca="1">'Preventative costs A'!K558-'Preventative costs B'!K558</f>
        <v>0</v>
      </c>
      <c r="M558" s="4" t="str">
        <f t="shared" si="38"/>
        <v>$M(2015)</v>
      </c>
    </row>
    <row r="559" spans="1:13" s="2" customFormat="1" ht="15.5" thickTop="1" x14ac:dyDescent="0.4">
      <c r="A559" s="2" t="s">
        <v>344</v>
      </c>
      <c r="B559" s="2" t="s">
        <v>348</v>
      </c>
    </row>
    <row r="560" spans="1:13" s="7" customFormat="1" x14ac:dyDescent="0.25">
      <c r="A560" s="4" t="str">
        <f t="array" ref="A560:A567">R_CODE&amp;" "&amp;GLIN_NAME</f>
        <v>EU Lin</v>
      </c>
      <c r="B560" s="29">
        <f ca="1">'Preventative costs A'!B560-'Preventative costs B'!B560</f>
        <v>0</v>
      </c>
      <c r="C560" s="29">
        <f ca="1">'Preventative costs A'!C560-'Preventative costs B'!C560</f>
        <v>0</v>
      </c>
      <c r="D560" s="29">
        <f ca="1">'Preventative costs A'!D560-'Preventative costs B'!D560</f>
        <v>0</v>
      </c>
      <c r="E560" s="29">
        <f ca="1">'Preventative costs A'!E560-'Preventative costs B'!E560</f>
        <v>0</v>
      </c>
      <c r="F560" s="29">
        <f ca="1">'Preventative costs A'!F560-'Preventative costs B'!F560</f>
        <v>0</v>
      </c>
      <c r="G560" s="29">
        <f ca="1">'Preventative costs A'!G560-'Preventative costs B'!G560</f>
        <v>0</v>
      </c>
      <c r="H560" s="29">
        <f ca="1">'Preventative costs A'!H560-'Preventative costs B'!H560</f>
        <v>0</v>
      </c>
      <c r="I560" s="29">
        <f ca="1">'Preventative costs A'!I560-'Preventative costs B'!I560</f>
        <v>0</v>
      </c>
      <c r="J560" s="29">
        <f ca="1">'Preventative costs A'!J560-'Preventative costs B'!J560</f>
        <v>0</v>
      </c>
      <c r="K560" s="29">
        <f ca="1">'Preventative costs A'!K560-'Preventative costs B'!K560</f>
        <v>0</v>
      </c>
      <c r="M560" s="4" t="str">
        <f t="shared" ref="M560:M567" si="39">CURRENCY_NAME</f>
        <v>$M(2015)</v>
      </c>
    </row>
    <row r="561" spans="1:13" s="7" customFormat="1" x14ac:dyDescent="0.25">
      <c r="A561" s="4" t="str">
        <v>US Lin</v>
      </c>
      <c r="B561" s="26">
        <f ca="1">'Preventative costs A'!B561-'Preventative costs B'!B561</f>
        <v>0</v>
      </c>
      <c r="C561" s="26">
        <f ca="1">'Preventative costs A'!C561-'Preventative costs B'!C561</f>
        <v>0</v>
      </c>
      <c r="D561" s="26">
        <f ca="1">'Preventative costs A'!D561-'Preventative costs B'!D561</f>
        <v>0</v>
      </c>
      <c r="E561" s="26">
        <f ca="1">'Preventative costs A'!E561-'Preventative costs B'!E561</f>
        <v>0</v>
      </c>
      <c r="F561" s="26">
        <f ca="1">'Preventative costs A'!F561-'Preventative costs B'!F561</f>
        <v>0</v>
      </c>
      <c r="G561" s="26">
        <f ca="1">'Preventative costs A'!G561-'Preventative costs B'!G561</f>
        <v>0</v>
      </c>
      <c r="H561" s="26">
        <f ca="1">'Preventative costs A'!H561-'Preventative costs B'!H561</f>
        <v>0</v>
      </c>
      <c r="I561" s="26">
        <f ca="1">'Preventative costs A'!I561-'Preventative costs B'!I561</f>
        <v>0</v>
      </c>
      <c r="J561" s="26">
        <f ca="1">'Preventative costs A'!J561-'Preventative costs B'!J561</f>
        <v>0</v>
      </c>
      <c r="K561" s="26">
        <f ca="1">'Preventative costs A'!K561-'Preventative costs B'!K561</f>
        <v>0</v>
      </c>
      <c r="M561" s="4" t="str">
        <f t="shared" si="39"/>
        <v>$M(2015)</v>
      </c>
    </row>
    <row r="562" spans="1:13" s="7" customFormat="1" x14ac:dyDescent="0.25">
      <c r="A562" s="4" t="str">
        <v>OT Lin</v>
      </c>
      <c r="B562" s="26">
        <f ca="1">'Preventative costs A'!B562-'Preventative costs B'!B562</f>
        <v>0</v>
      </c>
      <c r="C562" s="26">
        <f ca="1">'Preventative costs A'!C562-'Preventative costs B'!C562</f>
        <v>0</v>
      </c>
      <c r="D562" s="26">
        <f ca="1">'Preventative costs A'!D562-'Preventative costs B'!D562</f>
        <v>0</v>
      </c>
      <c r="E562" s="26">
        <f ca="1">'Preventative costs A'!E562-'Preventative costs B'!E562</f>
        <v>0</v>
      </c>
      <c r="F562" s="26">
        <f ca="1">'Preventative costs A'!F562-'Preventative costs B'!F562</f>
        <v>0</v>
      </c>
      <c r="G562" s="26">
        <f ca="1">'Preventative costs A'!G562-'Preventative costs B'!G562</f>
        <v>0</v>
      </c>
      <c r="H562" s="26">
        <f ca="1">'Preventative costs A'!H562-'Preventative costs B'!H562</f>
        <v>0</v>
      </c>
      <c r="I562" s="26">
        <f ca="1">'Preventative costs A'!I562-'Preventative costs B'!I562</f>
        <v>0</v>
      </c>
      <c r="J562" s="26">
        <f ca="1">'Preventative costs A'!J562-'Preventative costs B'!J562</f>
        <v>0</v>
      </c>
      <c r="K562" s="26">
        <f ca="1">'Preventative costs A'!K562-'Preventative costs B'!K562</f>
        <v>0</v>
      </c>
      <c r="M562" s="4" t="str">
        <f t="shared" si="39"/>
        <v>$M(2015)</v>
      </c>
    </row>
    <row r="563" spans="1:13" s="7" customFormat="1" x14ac:dyDescent="0.25">
      <c r="A563" s="4" t="str">
        <v>EE Lin</v>
      </c>
      <c r="B563" s="26">
        <f ca="1">'Preventative costs A'!B563-'Preventative costs B'!B563</f>
        <v>0</v>
      </c>
      <c r="C563" s="26">
        <f ca="1">'Preventative costs A'!C563-'Preventative costs B'!C563</f>
        <v>0</v>
      </c>
      <c r="D563" s="26">
        <f ca="1">'Preventative costs A'!D563-'Preventative costs B'!D563</f>
        <v>0</v>
      </c>
      <c r="E563" s="26">
        <f ca="1">'Preventative costs A'!E563-'Preventative costs B'!E563</f>
        <v>0</v>
      </c>
      <c r="F563" s="26">
        <f ca="1">'Preventative costs A'!F563-'Preventative costs B'!F563</f>
        <v>0</v>
      </c>
      <c r="G563" s="26">
        <f ca="1">'Preventative costs A'!G563-'Preventative costs B'!G563</f>
        <v>0</v>
      </c>
      <c r="H563" s="26">
        <f ca="1">'Preventative costs A'!H563-'Preventative costs B'!H563</f>
        <v>0</v>
      </c>
      <c r="I563" s="26">
        <f ca="1">'Preventative costs A'!I563-'Preventative costs B'!I563</f>
        <v>0</v>
      </c>
      <c r="J563" s="26">
        <f ca="1">'Preventative costs A'!J563-'Preventative costs B'!J563</f>
        <v>0</v>
      </c>
      <c r="K563" s="26">
        <f ca="1">'Preventative costs A'!K563-'Preventative costs B'!K563</f>
        <v>0</v>
      </c>
      <c r="M563" s="4" t="str">
        <f t="shared" si="39"/>
        <v>$M(2015)</v>
      </c>
    </row>
    <row r="564" spans="1:13" s="7" customFormat="1" x14ac:dyDescent="0.25">
      <c r="A564" s="4" t="str">
        <v>CA Lin</v>
      </c>
      <c r="B564" s="26">
        <f ca="1">'Preventative costs A'!B564-'Preventative costs B'!B564</f>
        <v>0</v>
      </c>
      <c r="C564" s="26">
        <f ca="1">'Preventative costs A'!C564-'Preventative costs B'!C564</f>
        <v>0</v>
      </c>
      <c r="D564" s="26">
        <f ca="1">'Preventative costs A'!D564-'Preventative costs B'!D564</f>
        <v>0</v>
      </c>
      <c r="E564" s="26">
        <f ca="1">'Preventative costs A'!E564-'Preventative costs B'!E564</f>
        <v>0</v>
      </c>
      <c r="F564" s="26">
        <f ca="1">'Preventative costs A'!F564-'Preventative costs B'!F564</f>
        <v>0</v>
      </c>
      <c r="G564" s="26">
        <f ca="1">'Preventative costs A'!G564-'Preventative costs B'!G564</f>
        <v>0</v>
      </c>
      <c r="H564" s="26">
        <f ca="1">'Preventative costs A'!H564-'Preventative costs B'!H564</f>
        <v>0</v>
      </c>
      <c r="I564" s="26">
        <f ca="1">'Preventative costs A'!I564-'Preventative costs B'!I564</f>
        <v>0</v>
      </c>
      <c r="J564" s="26">
        <f ca="1">'Preventative costs A'!J564-'Preventative costs B'!J564</f>
        <v>0</v>
      </c>
      <c r="K564" s="26">
        <f ca="1">'Preventative costs A'!K564-'Preventative costs B'!K564</f>
        <v>0</v>
      </c>
      <c r="M564" s="4" t="str">
        <f t="shared" si="39"/>
        <v>$M(2015)</v>
      </c>
    </row>
    <row r="565" spans="1:13" s="7" customFormat="1" x14ac:dyDescent="0.25">
      <c r="A565" s="4" t="str">
        <v>IA Lin</v>
      </c>
      <c r="B565" s="26">
        <f ca="1">'Preventative costs A'!B565-'Preventative costs B'!B565</f>
        <v>0</v>
      </c>
      <c r="C565" s="26">
        <f ca="1">'Preventative costs A'!C565-'Preventative costs B'!C565</f>
        <v>0</v>
      </c>
      <c r="D565" s="26">
        <f ca="1">'Preventative costs A'!D565-'Preventative costs B'!D565</f>
        <v>0</v>
      </c>
      <c r="E565" s="26">
        <f ca="1">'Preventative costs A'!E565-'Preventative costs B'!E565</f>
        <v>0</v>
      </c>
      <c r="F565" s="26">
        <f ca="1">'Preventative costs A'!F565-'Preventative costs B'!F565</f>
        <v>0</v>
      </c>
      <c r="G565" s="26">
        <f ca="1">'Preventative costs A'!G565-'Preventative costs B'!G565</f>
        <v>0</v>
      </c>
      <c r="H565" s="26">
        <f ca="1">'Preventative costs A'!H565-'Preventative costs B'!H565</f>
        <v>0</v>
      </c>
      <c r="I565" s="26">
        <f ca="1">'Preventative costs A'!I565-'Preventative costs B'!I565</f>
        <v>0</v>
      </c>
      <c r="J565" s="26">
        <f ca="1">'Preventative costs A'!J565-'Preventative costs B'!J565</f>
        <v>0</v>
      </c>
      <c r="K565" s="26">
        <f ca="1">'Preventative costs A'!K565-'Preventative costs B'!K565</f>
        <v>0</v>
      </c>
      <c r="M565" s="4" t="str">
        <f t="shared" si="39"/>
        <v>$M(2015)</v>
      </c>
    </row>
    <row r="566" spans="1:13" s="7" customFormat="1" x14ac:dyDescent="0.25">
      <c r="A566" s="4" t="str">
        <v>AF Lin</v>
      </c>
      <c r="B566" s="26">
        <f ca="1">'Preventative costs A'!B566-'Preventative costs B'!B566</f>
        <v>0</v>
      </c>
      <c r="C566" s="26">
        <f ca="1">'Preventative costs A'!C566-'Preventative costs B'!C566</f>
        <v>0</v>
      </c>
      <c r="D566" s="26">
        <f ca="1">'Preventative costs A'!D566-'Preventative costs B'!D566</f>
        <v>0</v>
      </c>
      <c r="E566" s="26">
        <f ca="1">'Preventative costs A'!E566-'Preventative costs B'!E566</f>
        <v>0</v>
      </c>
      <c r="F566" s="26">
        <f ca="1">'Preventative costs A'!F566-'Preventative costs B'!F566</f>
        <v>0</v>
      </c>
      <c r="G566" s="26">
        <f ca="1">'Preventative costs A'!G566-'Preventative costs B'!G566</f>
        <v>0</v>
      </c>
      <c r="H566" s="26">
        <f ca="1">'Preventative costs A'!H566-'Preventative costs B'!H566</f>
        <v>0</v>
      </c>
      <c r="I566" s="26">
        <f ca="1">'Preventative costs A'!I566-'Preventative costs B'!I566</f>
        <v>0</v>
      </c>
      <c r="J566" s="26">
        <f ca="1">'Preventative costs A'!J566-'Preventative costs B'!J566</f>
        <v>0</v>
      </c>
      <c r="K566" s="26">
        <f ca="1">'Preventative costs A'!K566-'Preventative costs B'!K566</f>
        <v>0</v>
      </c>
      <c r="M566" s="4" t="str">
        <f t="shared" si="39"/>
        <v>$M(2015)</v>
      </c>
    </row>
    <row r="567" spans="1:13" s="7" customFormat="1" ht="13" thickBot="1" x14ac:dyDescent="0.3">
      <c r="A567" s="4" t="str">
        <v>LA Lin</v>
      </c>
      <c r="B567" s="35">
        <f ca="1">'Preventative costs A'!B567-'Preventative costs B'!B567</f>
        <v>0</v>
      </c>
      <c r="C567" s="35">
        <f ca="1">'Preventative costs A'!C567-'Preventative costs B'!C567</f>
        <v>0</v>
      </c>
      <c r="D567" s="35">
        <f ca="1">'Preventative costs A'!D567-'Preventative costs B'!D567</f>
        <v>0</v>
      </c>
      <c r="E567" s="35">
        <f ca="1">'Preventative costs A'!E567-'Preventative costs B'!E567</f>
        <v>0</v>
      </c>
      <c r="F567" s="35">
        <f ca="1">'Preventative costs A'!F567-'Preventative costs B'!F567</f>
        <v>0</v>
      </c>
      <c r="G567" s="35">
        <f ca="1">'Preventative costs A'!G567-'Preventative costs B'!G567</f>
        <v>0</v>
      </c>
      <c r="H567" s="35">
        <f ca="1">'Preventative costs A'!H567-'Preventative costs B'!H567</f>
        <v>0</v>
      </c>
      <c r="I567" s="35">
        <f ca="1">'Preventative costs A'!I567-'Preventative costs B'!I567</f>
        <v>0</v>
      </c>
      <c r="J567" s="35">
        <f ca="1">'Preventative costs A'!J567-'Preventative costs B'!J567</f>
        <v>0</v>
      </c>
      <c r="K567" s="35">
        <f ca="1">'Preventative costs A'!K567-'Preventative costs B'!K567</f>
        <v>0</v>
      </c>
      <c r="M567" s="4" t="str">
        <f t="shared" si="39"/>
        <v>$M(2015)</v>
      </c>
    </row>
    <row r="568" spans="1:13" s="2" customFormat="1" ht="15.5" thickTop="1" x14ac:dyDescent="0.4">
      <c r="A568" s="2" t="s">
        <v>349</v>
      </c>
      <c r="B568" s="2" t="s">
        <v>350</v>
      </c>
    </row>
    <row r="569" spans="1:13" s="6" customFormat="1" x14ac:dyDescent="0.25">
      <c r="A569" s="4" t="str">
        <f t="array" ref="A569:A576">R_CODE&amp;" "&amp;'Base data'!$B$12</f>
        <v>EU CO2</v>
      </c>
      <c r="B569" s="29">
        <f ca="1">'Preventative costs A'!B569-'Preventative costs B'!B569</f>
        <v>0</v>
      </c>
      <c r="C569" s="29">
        <f ca="1">'Preventative costs A'!C569-'Preventative costs B'!C569</f>
        <v>0</v>
      </c>
      <c r="D569" s="29">
        <f ca="1">'Preventative costs A'!D569-'Preventative costs B'!D569</f>
        <v>0</v>
      </c>
      <c r="E569" s="29">
        <f ca="1">'Preventative costs A'!E569-'Preventative costs B'!E569</f>
        <v>0</v>
      </c>
      <c r="F569" s="29">
        <f ca="1">'Preventative costs A'!F569-'Preventative costs B'!F569</f>
        <v>0</v>
      </c>
      <c r="G569" s="29">
        <f ca="1">'Preventative costs A'!G569-'Preventative costs B'!G569</f>
        <v>0</v>
      </c>
      <c r="H569" s="29">
        <f ca="1">'Preventative costs A'!H569-'Preventative costs B'!H569</f>
        <v>0</v>
      </c>
      <c r="I569" s="29">
        <f ca="1">'Preventative costs A'!I569-'Preventative costs B'!I569</f>
        <v>0</v>
      </c>
      <c r="J569" s="29">
        <f ca="1">'Preventative costs A'!J569-'Preventative costs B'!J569</f>
        <v>0</v>
      </c>
      <c r="K569" s="29">
        <f ca="1">'Preventative costs A'!K569-'Preventative costs B'!K569</f>
        <v>0</v>
      </c>
      <c r="M569" s="4" t="str">
        <f t="shared" ref="M569:M576" si="40">CURRENCY_NAME&amp;" per "&amp;EMIT_NAME</f>
        <v>$M(2015) per Mtonne</v>
      </c>
    </row>
    <row r="570" spans="1:13" s="6" customFormat="1" x14ac:dyDescent="0.25">
      <c r="A570" s="4" t="str">
        <v>US CO2</v>
      </c>
      <c r="B570" s="26">
        <f ca="1">'Preventative costs A'!B570-'Preventative costs B'!B570</f>
        <v>0</v>
      </c>
      <c r="C570" s="26">
        <f ca="1">'Preventative costs A'!C570-'Preventative costs B'!C570</f>
        <v>0</v>
      </c>
      <c r="D570" s="26">
        <f ca="1">'Preventative costs A'!D570-'Preventative costs B'!D570</f>
        <v>0</v>
      </c>
      <c r="E570" s="26">
        <f ca="1">'Preventative costs A'!E570-'Preventative costs B'!E570</f>
        <v>0</v>
      </c>
      <c r="F570" s="26">
        <f ca="1">'Preventative costs A'!F570-'Preventative costs B'!F570</f>
        <v>0</v>
      </c>
      <c r="G570" s="26">
        <f ca="1">'Preventative costs A'!G570-'Preventative costs B'!G570</f>
        <v>0</v>
      </c>
      <c r="H570" s="26">
        <f ca="1">'Preventative costs A'!H570-'Preventative costs B'!H570</f>
        <v>0</v>
      </c>
      <c r="I570" s="26">
        <f ca="1">'Preventative costs A'!I570-'Preventative costs B'!I570</f>
        <v>0</v>
      </c>
      <c r="J570" s="26">
        <f ca="1">'Preventative costs A'!J570-'Preventative costs B'!J570</f>
        <v>0</v>
      </c>
      <c r="K570" s="26">
        <f ca="1">'Preventative costs A'!K570-'Preventative costs B'!K570</f>
        <v>0</v>
      </c>
      <c r="M570" s="4" t="str">
        <f t="shared" si="40"/>
        <v>$M(2015) per Mtonne</v>
      </c>
    </row>
    <row r="571" spans="1:13" s="6" customFormat="1" x14ac:dyDescent="0.25">
      <c r="A571" s="4" t="str">
        <v>OT CO2</v>
      </c>
      <c r="B571" s="26">
        <f ca="1">'Preventative costs A'!B571-'Preventative costs B'!B571</f>
        <v>0</v>
      </c>
      <c r="C571" s="26">
        <f ca="1">'Preventative costs A'!C571-'Preventative costs B'!C571</f>
        <v>0</v>
      </c>
      <c r="D571" s="26">
        <f ca="1">'Preventative costs A'!D571-'Preventative costs B'!D571</f>
        <v>0</v>
      </c>
      <c r="E571" s="26">
        <f ca="1">'Preventative costs A'!E571-'Preventative costs B'!E571</f>
        <v>0</v>
      </c>
      <c r="F571" s="26">
        <f ca="1">'Preventative costs A'!F571-'Preventative costs B'!F571</f>
        <v>0</v>
      </c>
      <c r="G571" s="26">
        <f ca="1">'Preventative costs A'!G571-'Preventative costs B'!G571</f>
        <v>0</v>
      </c>
      <c r="H571" s="26">
        <f ca="1">'Preventative costs A'!H571-'Preventative costs B'!H571</f>
        <v>0</v>
      </c>
      <c r="I571" s="26">
        <f ca="1">'Preventative costs A'!I571-'Preventative costs B'!I571</f>
        <v>0</v>
      </c>
      <c r="J571" s="26">
        <f ca="1">'Preventative costs A'!J571-'Preventative costs B'!J571</f>
        <v>0</v>
      </c>
      <c r="K571" s="26">
        <f ca="1">'Preventative costs A'!K571-'Preventative costs B'!K571</f>
        <v>0</v>
      </c>
      <c r="M571" s="4" t="str">
        <f t="shared" si="40"/>
        <v>$M(2015) per Mtonne</v>
      </c>
    </row>
    <row r="572" spans="1:13" s="6" customFormat="1" x14ac:dyDescent="0.25">
      <c r="A572" s="4" t="str">
        <v>EE CO2</v>
      </c>
      <c r="B572" s="26">
        <f ca="1">'Preventative costs A'!B572-'Preventative costs B'!B572</f>
        <v>0</v>
      </c>
      <c r="C572" s="26">
        <f ca="1">'Preventative costs A'!C572-'Preventative costs B'!C572</f>
        <v>0</v>
      </c>
      <c r="D572" s="26">
        <f ca="1">'Preventative costs A'!D572-'Preventative costs B'!D572</f>
        <v>0</v>
      </c>
      <c r="E572" s="26">
        <f ca="1">'Preventative costs A'!E572-'Preventative costs B'!E572</f>
        <v>0</v>
      </c>
      <c r="F572" s="26">
        <f ca="1">'Preventative costs A'!F572-'Preventative costs B'!F572</f>
        <v>0</v>
      </c>
      <c r="G572" s="26">
        <f ca="1">'Preventative costs A'!G572-'Preventative costs B'!G572</f>
        <v>0</v>
      </c>
      <c r="H572" s="26">
        <f ca="1">'Preventative costs A'!H572-'Preventative costs B'!H572</f>
        <v>0</v>
      </c>
      <c r="I572" s="26">
        <f ca="1">'Preventative costs A'!I572-'Preventative costs B'!I572</f>
        <v>0</v>
      </c>
      <c r="J572" s="26">
        <f ca="1">'Preventative costs A'!J572-'Preventative costs B'!J572</f>
        <v>0</v>
      </c>
      <c r="K572" s="26">
        <f ca="1">'Preventative costs A'!K572-'Preventative costs B'!K572</f>
        <v>0</v>
      </c>
      <c r="M572" s="4" t="str">
        <f t="shared" si="40"/>
        <v>$M(2015) per Mtonne</v>
      </c>
    </row>
    <row r="573" spans="1:13" s="6" customFormat="1" x14ac:dyDescent="0.25">
      <c r="A573" s="4" t="str">
        <v>CA CO2</v>
      </c>
      <c r="B573" s="26">
        <f ca="1">'Preventative costs A'!B573-'Preventative costs B'!B573</f>
        <v>0</v>
      </c>
      <c r="C573" s="26">
        <f ca="1">'Preventative costs A'!C573-'Preventative costs B'!C573</f>
        <v>0</v>
      </c>
      <c r="D573" s="26">
        <f ca="1">'Preventative costs A'!D573-'Preventative costs B'!D573</f>
        <v>0</v>
      </c>
      <c r="E573" s="26">
        <f ca="1">'Preventative costs A'!E573-'Preventative costs B'!E573</f>
        <v>0</v>
      </c>
      <c r="F573" s="26">
        <f ca="1">'Preventative costs A'!F573-'Preventative costs B'!F573</f>
        <v>0</v>
      </c>
      <c r="G573" s="26">
        <f ca="1">'Preventative costs A'!G573-'Preventative costs B'!G573</f>
        <v>0</v>
      </c>
      <c r="H573" s="26">
        <f ca="1">'Preventative costs A'!H573-'Preventative costs B'!H573</f>
        <v>0</v>
      </c>
      <c r="I573" s="26">
        <f ca="1">'Preventative costs A'!I573-'Preventative costs B'!I573</f>
        <v>0</v>
      </c>
      <c r="J573" s="26">
        <f ca="1">'Preventative costs A'!J573-'Preventative costs B'!J573</f>
        <v>0</v>
      </c>
      <c r="K573" s="26">
        <f ca="1">'Preventative costs A'!K573-'Preventative costs B'!K573</f>
        <v>0</v>
      </c>
      <c r="M573" s="4" t="str">
        <f t="shared" si="40"/>
        <v>$M(2015) per Mtonne</v>
      </c>
    </row>
    <row r="574" spans="1:13" s="6" customFormat="1" x14ac:dyDescent="0.25">
      <c r="A574" s="4" t="str">
        <v>IA CO2</v>
      </c>
      <c r="B574" s="26">
        <f ca="1">'Preventative costs A'!B574-'Preventative costs B'!B574</f>
        <v>0</v>
      </c>
      <c r="C574" s="26">
        <f ca="1">'Preventative costs A'!C574-'Preventative costs B'!C574</f>
        <v>0</v>
      </c>
      <c r="D574" s="26">
        <f ca="1">'Preventative costs A'!D574-'Preventative costs B'!D574</f>
        <v>0</v>
      </c>
      <c r="E574" s="26">
        <f ca="1">'Preventative costs A'!E574-'Preventative costs B'!E574</f>
        <v>0</v>
      </c>
      <c r="F574" s="26">
        <f ca="1">'Preventative costs A'!F574-'Preventative costs B'!F574</f>
        <v>0</v>
      </c>
      <c r="G574" s="26">
        <f ca="1">'Preventative costs A'!G574-'Preventative costs B'!G574</f>
        <v>0</v>
      </c>
      <c r="H574" s="26">
        <f ca="1">'Preventative costs A'!H574-'Preventative costs B'!H574</f>
        <v>0</v>
      </c>
      <c r="I574" s="26">
        <f ca="1">'Preventative costs A'!I574-'Preventative costs B'!I574</f>
        <v>0</v>
      </c>
      <c r="J574" s="26">
        <f ca="1">'Preventative costs A'!J574-'Preventative costs B'!J574</f>
        <v>0</v>
      </c>
      <c r="K574" s="26">
        <f ca="1">'Preventative costs A'!K574-'Preventative costs B'!K574</f>
        <v>0</v>
      </c>
      <c r="M574" s="4" t="str">
        <f t="shared" si="40"/>
        <v>$M(2015) per Mtonne</v>
      </c>
    </row>
    <row r="575" spans="1:13" s="6" customFormat="1" x14ac:dyDescent="0.25">
      <c r="A575" s="4" t="str">
        <v>AF CO2</v>
      </c>
      <c r="B575" s="26">
        <f ca="1">'Preventative costs A'!B575-'Preventative costs B'!B575</f>
        <v>0</v>
      </c>
      <c r="C575" s="26">
        <f ca="1">'Preventative costs A'!C575-'Preventative costs B'!C575</f>
        <v>0</v>
      </c>
      <c r="D575" s="26">
        <f ca="1">'Preventative costs A'!D575-'Preventative costs B'!D575</f>
        <v>0</v>
      </c>
      <c r="E575" s="26">
        <f ca="1">'Preventative costs A'!E575-'Preventative costs B'!E575</f>
        <v>0</v>
      </c>
      <c r="F575" s="26">
        <f ca="1">'Preventative costs A'!F575-'Preventative costs B'!F575</f>
        <v>0</v>
      </c>
      <c r="G575" s="26">
        <f ca="1">'Preventative costs A'!G575-'Preventative costs B'!G575</f>
        <v>0</v>
      </c>
      <c r="H575" s="26">
        <f ca="1">'Preventative costs A'!H575-'Preventative costs B'!H575</f>
        <v>0</v>
      </c>
      <c r="I575" s="26">
        <f ca="1">'Preventative costs A'!I575-'Preventative costs B'!I575</f>
        <v>0</v>
      </c>
      <c r="J575" s="26">
        <f ca="1">'Preventative costs A'!J575-'Preventative costs B'!J575</f>
        <v>0</v>
      </c>
      <c r="K575" s="26">
        <f ca="1">'Preventative costs A'!K575-'Preventative costs B'!K575</f>
        <v>0</v>
      </c>
      <c r="M575" s="4" t="str">
        <f t="shared" si="40"/>
        <v>$M(2015) per Mtonne</v>
      </c>
    </row>
    <row r="576" spans="1:13" s="6" customFormat="1" ht="13" thickBot="1" x14ac:dyDescent="0.3">
      <c r="A576" s="4" t="str">
        <v>LA CO2</v>
      </c>
      <c r="B576" s="35">
        <f ca="1">'Preventative costs A'!B576-'Preventative costs B'!B576</f>
        <v>0</v>
      </c>
      <c r="C576" s="35">
        <f ca="1">'Preventative costs A'!C576-'Preventative costs B'!C576</f>
        <v>0</v>
      </c>
      <c r="D576" s="35">
        <f ca="1">'Preventative costs A'!D576-'Preventative costs B'!D576</f>
        <v>0</v>
      </c>
      <c r="E576" s="35">
        <f ca="1">'Preventative costs A'!E576-'Preventative costs B'!E576</f>
        <v>0</v>
      </c>
      <c r="F576" s="35">
        <f ca="1">'Preventative costs A'!F576-'Preventative costs B'!F576</f>
        <v>0</v>
      </c>
      <c r="G576" s="35">
        <f ca="1">'Preventative costs A'!G576-'Preventative costs B'!G576</f>
        <v>0</v>
      </c>
      <c r="H576" s="35">
        <f ca="1">'Preventative costs A'!H576-'Preventative costs B'!H576</f>
        <v>0</v>
      </c>
      <c r="I576" s="35">
        <f ca="1">'Preventative costs A'!I576-'Preventative costs B'!I576</f>
        <v>0</v>
      </c>
      <c r="J576" s="35">
        <f ca="1">'Preventative costs A'!J576-'Preventative costs B'!J576</f>
        <v>0</v>
      </c>
      <c r="K576" s="35">
        <f ca="1">'Preventative costs A'!K576-'Preventative costs B'!K576</f>
        <v>0</v>
      </c>
      <c r="M576" s="4" t="str">
        <f t="shared" si="40"/>
        <v>$M(2015) per Mtonne</v>
      </c>
    </row>
    <row r="577" spans="1:13" s="2" customFormat="1" ht="15.5" thickTop="1" x14ac:dyDescent="0.4">
      <c r="A577" s="2" t="s">
        <v>349</v>
      </c>
      <c r="B577" s="2" t="s">
        <v>351</v>
      </c>
    </row>
    <row r="578" spans="1:13" s="6" customFormat="1" x14ac:dyDescent="0.25">
      <c r="A578" s="4" t="str">
        <f t="array" ref="A578:A585">R_CODE&amp;" "&amp;'Base data'!$C$12</f>
        <v>EU CH4</v>
      </c>
      <c r="B578" s="29">
        <f ca="1">'Preventative costs A'!B578-'Preventative costs B'!B578</f>
        <v>0</v>
      </c>
      <c r="C578" s="29">
        <f ca="1">'Preventative costs A'!C578-'Preventative costs B'!C578</f>
        <v>0</v>
      </c>
      <c r="D578" s="29">
        <f ca="1">'Preventative costs A'!D578-'Preventative costs B'!D578</f>
        <v>0</v>
      </c>
      <c r="E578" s="29">
        <f ca="1">'Preventative costs A'!E578-'Preventative costs B'!E578</f>
        <v>0</v>
      </c>
      <c r="F578" s="29">
        <f ca="1">'Preventative costs A'!F578-'Preventative costs B'!F578</f>
        <v>0</v>
      </c>
      <c r="G578" s="29">
        <f ca="1">'Preventative costs A'!G578-'Preventative costs B'!G578</f>
        <v>0</v>
      </c>
      <c r="H578" s="29">
        <f ca="1">'Preventative costs A'!H578-'Preventative costs B'!H578</f>
        <v>0</v>
      </c>
      <c r="I578" s="29">
        <f ca="1">'Preventative costs A'!I578-'Preventative costs B'!I578</f>
        <v>0</v>
      </c>
      <c r="J578" s="29">
        <f ca="1">'Preventative costs A'!J578-'Preventative costs B'!J578</f>
        <v>0</v>
      </c>
      <c r="K578" s="29">
        <f ca="1">'Preventative costs A'!K578-'Preventative costs B'!K578</f>
        <v>0</v>
      </c>
      <c r="M578" s="4" t="str">
        <f t="shared" ref="M578:M585" si="41">CURRENCY_NAME&amp;" per "&amp;EMIT_NAME</f>
        <v>$M(2015) per Mtonne</v>
      </c>
    </row>
    <row r="579" spans="1:13" s="6" customFormat="1" x14ac:dyDescent="0.25">
      <c r="A579" s="4" t="str">
        <v>US CH4</v>
      </c>
      <c r="B579" s="26">
        <f ca="1">'Preventative costs A'!B579-'Preventative costs B'!B579</f>
        <v>0</v>
      </c>
      <c r="C579" s="26">
        <f ca="1">'Preventative costs A'!C579-'Preventative costs B'!C579</f>
        <v>0</v>
      </c>
      <c r="D579" s="26">
        <f ca="1">'Preventative costs A'!D579-'Preventative costs B'!D579</f>
        <v>0</v>
      </c>
      <c r="E579" s="26">
        <f ca="1">'Preventative costs A'!E579-'Preventative costs B'!E579</f>
        <v>0</v>
      </c>
      <c r="F579" s="26">
        <f ca="1">'Preventative costs A'!F579-'Preventative costs B'!F579</f>
        <v>0</v>
      </c>
      <c r="G579" s="26">
        <f ca="1">'Preventative costs A'!G579-'Preventative costs B'!G579</f>
        <v>0</v>
      </c>
      <c r="H579" s="26">
        <f ca="1">'Preventative costs A'!H579-'Preventative costs B'!H579</f>
        <v>0</v>
      </c>
      <c r="I579" s="26">
        <f ca="1">'Preventative costs A'!I579-'Preventative costs B'!I579</f>
        <v>0</v>
      </c>
      <c r="J579" s="26">
        <f ca="1">'Preventative costs A'!J579-'Preventative costs B'!J579</f>
        <v>0</v>
      </c>
      <c r="K579" s="26">
        <f ca="1">'Preventative costs A'!K579-'Preventative costs B'!K579</f>
        <v>0</v>
      </c>
      <c r="M579" s="4" t="str">
        <f t="shared" si="41"/>
        <v>$M(2015) per Mtonne</v>
      </c>
    </row>
    <row r="580" spans="1:13" s="6" customFormat="1" x14ac:dyDescent="0.25">
      <c r="A580" s="4" t="str">
        <v>OT CH4</v>
      </c>
      <c r="B580" s="26">
        <f ca="1">'Preventative costs A'!B580-'Preventative costs B'!B580</f>
        <v>0</v>
      </c>
      <c r="C580" s="26">
        <f ca="1">'Preventative costs A'!C580-'Preventative costs B'!C580</f>
        <v>0</v>
      </c>
      <c r="D580" s="26">
        <f ca="1">'Preventative costs A'!D580-'Preventative costs B'!D580</f>
        <v>0</v>
      </c>
      <c r="E580" s="26">
        <f ca="1">'Preventative costs A'!E580-'Preventative costs B'!E580</f>
        <v>0</v>
      </c>
      <c r="F580" s="26">
        <f ca="1">'Preventative costs A'!F580-'Preventative costs B'!F580</f>
        <v>0</v>
      </c>
      <c r="G580" s="26">
        <f ca="1">'Preventative costs A'!G580-'Preventative costs B'!G580</f>
        <v>0</v>
      </c>
      <c r="H580" s="26">
        <f ca="1">'Preventative costs A'!H580-'Preventative costs B'!H580</f>
        <v>0</v>
      </c>
      <c r="I580" s="26">
        <f ca="1">'Preventative costs A'!I580-'Preventative costs B'!I580</f>
        <v>0</v>
      </c>
      <c r="J580" s="26">
        <f ca="1">'Preventative costs A'!J580-'Preventative costs B'!J580</f>
        <v>0</v>
      </c>
      <c r="K580" s="26">
        <f ca="1">'Preventative costs A'!K580-'Preventative costs B'!K580</f>
        <v>0</v>
      </c>
      <c r="M580" s="4" t="str">
        <f t="shared" si="41"/>
        <v>$M(2015) per Mtonne</v>
      </c>
    </row>
    <row r="581" spans="1:13" s="6" customFormat="1" x14ac:dyDescent="0.25">
      <c r="A581" s="4" t="str">
        <v>EE CH4</v>
      </c>
      <c r="B581" s="26">
        <f ca="1">'Preventative costs A'!B581-'Preventative costs B'!B581</f>
        <v>0</v>
      </c>
      <c r="C581" s="26">
        <f ca="1">'Preventative costs A'!C581-'Preventative costs B'!C581</f>
        <v>0</v>
      </c>
      <c r="D581" s="26">
        <f ca="1">'Preventative costs A'!D581-'Preventative costs B'!D581</f>
        <v>0</v>
      </c>
      <c r="E581" s="26">
        <f ca="1">'Preventative costs A'!E581-'Preventative costs B'!E581</f>
        <v>0</v>
      </c>
      <c r="F581" s="26">
        <f ca="1">'Preventative costs A'!F581-'Preventative costs B'!F581</f>
        <v>0</v>
      </c>
      <c r="G581" s="26">
        <f ca="1">'Preventative costs A'!G581-'Preventative costs B'!G581</f>
        <v>0</v>
      </c>
      <c r="H581" s="26">
        <f ca="1">'Preventative costs A'!H581-'Preventative costs B'!H581</f>
        <v>0</v>
      </c>
      <c r="I581" s="26">
        <f ca="1">'Preventative costs A'!I581-'Preventative costs B'!I581</f>
        <v>0</v>
      </c>
      <c r="J581" s="26">
        <f ca="1">'Preventative costs A'!J581-'Preventative costs B'!J581</f>
        <v>0</v>
      </c>
      <c r="K581" s="26">
        <f ca="1">'Preventative costs A'!K581-'Preventative costs B'!K581</f>
        <v>0</v>
      </c>
      <c r="M581" s="4" t="str">
        <f t="shared" si="41"/>
        <v>$M(2015) per Mtonne</v>
      </c>
    </row>
    <row r="582" spans="1:13" s="6" customFormat="1" x14ac:dyDescent="0.25">
      <c r="A582" s="4" t="str">
        <v>CA CH4</v>
      </c>
      <c r="B582" s="26">
        <f ca="1">'Preventative costs A'!B582-'Preventative costs B'!B582</f>
        <v>0</v>
      </c>
      <c r="C582" s="26">
        <f ca="1">'Preventative costs A'!C582-'Preventative costs B'!C582</f>
        <v>0</v>
      </c>
      <c r="D582" s="26">
        <f ca="1">'Preventative costs A'!D582-'Preventative costs B'!D582</f>
        <v>0</v>
      </c>
      <c r="E582" s="26">
        <f ca="1">'Preventative costs A'!E582-'Preventative costs B'!E582</f>
        <v>0</v>
      </c>
      <c r="F582" s="26">
        <f ca="1">'Preventative costs A'!F582-'Preventative costs B'!F582</f>
        <v>0</v>
      </c>
      <c r="G582" s="26">
        <f ca="1">'Preventative costs A'!G582-'Preventative costs B'!G582</f>
        <v>0</v>
      </c>
      <c r="H582" s="26">
        <f ca="1">'Preventative costs A'!H582-'Preventative costs B'!H582</f>
        <v>0</v>
      </c>
      <c r="I582" s="26">
        <f ca="1">'Preventative costs A'!I582-'Preventative costs B'!I582</f>
        <v>0</v>
      </c>
      <c r="J582" s="26">
        <f ca="1">'Preventative costs A'!J582-'Preventative costs B'!J582</f>
        <v>0</v>
      </c>
      <c r="K582" s="26">
        <f ca="1">'Preventative costs A'!K582-'Preventative costs B'!K582</f>
        <v>0</v>
      </c>
      <c r="M582" s="4" t="str">
        <f t="shared" si="41"/>
        <v>$M(2015) per Mtonne</v>
      </c>
    </row>
    <row r="583" spans="1:13" s="6" customFormat="1" x14ac:dyDescent="0.25">
      <c r="A583" s="4" t="str">
        <v>IA CH4</v>
      </c>
      <c r="B583" s="26">
        <f ca="1">'Preventative costs A'!B583-'Preventative costs B'!B583</f>
        <v>0</v>
      </c>
      <c r="C583" s="26">
        <f ca="1">'Preventative costs A'!C583-'Preventative costs B'!C583</f>
        <v>0</v>
      </c>
      <c r="D583" s="26">
        <f ca="1">'Preventative costs A'!D583-'Preventative costs B'!D583</f>
        <v>0</v>
      </c>
      <c r="E583" s="26">
        <f ca="1">'Preventative costs A'!E583-'Preventative costs B'!E583</f>
        <v>0</v>
      </c>
      <c r="F583" s="26">
        <f ca="1">'Preventative costs A'!F583-'Preventative costs B'!F583</f>
        <v>0</v>
      </c>
      <c r="G583" s="26">
        <f ca="1">'Preventative costs A'!G583-'Preventative costs B'!G583</f>
        <v>0</v>
      </c>
      <c r="H583" s="26">
        <f ca="1">'Preventative costs A'!H583-'Preventative costs B'!H583</f>
        <v>0</v>
      </c>
      <c r="I583" s="26">
        <f ca="1">'Preventative costs A'!I583-'Preventative costs B'!I583</f>
        <v>0</v>
      </c>
      <c r="J583" s="26">
        <f ca="1">'Preventative costs A'!J583-'Preventative costs B'!J583</f>
        <v>0</v>
      </c>
      <c r="K583" s="26">
        <f ca="1">'Preventative costs A'!K583-'Preventative costs B'!K583</f>
        <v>0</v>
      </c>
      <c r="M583" s="4" t="str">
        <f t="shared" si="41"/>
        <v>$M(2015) per Mtonne</v>
      </c>
    </row>
    <row r="584" spans="1:13" s="6" customFormat="1" x14ac:dyDescent="0.25">
      <c r="A584" s="4" t="str">
        <v>AF CH4</v>
      </c>
      <c r="B584" s="26">
        <f ca="1">'Preventative costs A'!B584-'Preventative costs B'!B584</f>
        <v>0</v>
      </c>
      <c r="C584" s="26">
        <f ca="1">'Preventative costs A'!C584-'Preventative costs B'!C584</f>
        <v>0</v>
      </c>
      <c r="D584" s="26">
        <f ca="1">'Preventative costs A'!D584-'Preventative costs B'!D584</f>
        <v>0</v>
      </c>
      <c r="E584" s="26">
        <f ca="1">'Preventative costs A'!E584-'Preventative costs B'!E584</f>
        <v>0</v>
      </c>
      <c r="F584" s="26">
        <f ca="1">'Preventative costs A'!F584-'Preventative costs B'!F584</f>
        <v>0</v>
      </c>
      <c r="G584" s="26">
        <f ca="1">'Preventative costs A'!G584-'Preventative costs B'!G584</f>
        <v>0</v>
      </c>
      <c r="H584" s="26">
        <f ca="1">'Preventative costs A'!H584-'Preventative costs B'!H584</f>
        <v>0</v>
      </c>
      <c r="I584" s="26">
        <f ca="1">'Preventative costs A'!I584-'Preventative costs B'!I584</f>
        <v>0</v>
      </c>
      <c r="J584" s="26">
        <f ca="1">'Preventative costs A'!J584-'Preventative costs B'!J584</f>
        <v>0</v>
      </c>
      <c r="K584" s="26">
        <f ca="1">'Preventative costs A'!K584-'Preventative costs B'!K584</f>
        <v>0</v>
      </c>
      <c r="M584" s="4" t="str">
        <f t="shared" si="41"/>
        <v>$M(2015) per Mtonne</v>
      </c>
    </row>
    <row r="585" spans="1:13" s="6" customFormat="1" ht="13" thickBot="1" x14ac:dyDescent="0.3">
      <c r="A585" s="4" t="str">
        <v>LA CH4</v>
      </c>
      <c r="B585" s="35">
        <f ca="1">'Preventative costs A'!B585-'Preventative costs B'!B585</f>
        <v>0</v>
      </c>
      <c r="C585" s="35">
        <f ca="1">'Preventative costs A'!C585-'Preventative costs B'!C585</f>
        <v>0</v>
      </c>
      <c r="D585" s="35">
        <f ca="1">'Preventative costs A'!D585-'Preventative costs B'!D585</f>
        <v>0</v>
      </c>
      <c r="E585" s="35">
        <f ca="1">'Preventative costs A'!E585-'Preventative costs B'!E585</f>
        <v>0</v>
      </c>
      <c r="F585" s="35">
        <f ca="1">'Preventative costs A'!F585-'Preventative costs B'!F585</f>
        <v>0</v>
      </c>
      <c r="G585" s="35">
        <f ca="1">'Preventative costs A'!G585-'Preventative costs B'!G585</f>
        <v>0</v>
      </c>
      <c r="H585" s="35">
        <f ca="1">'Preventative costs A'!H585-'Preventative costs B'!H585</f>
        <v>0</v>
      </c>
      <c r="I585" s="35">
        <f ca="1">'Preventative costs A'!I585-'Preventative costs B'!I585</f>
        <v>0</v>
      </c>
      <c r="J585" s="35">
        <f ca="1">'Preventative costs A'!J585-'Preventative costs B'!J585</f>
        <v>0</v>
      </c>
      <c r="K585" s="35">
        <f ca="1">'Preventative costs A'!K585-'Preventative costs B'!K585</f>
        <v>0</v>
      </c>
      <c r="M585" s="4" t="str">
        <f t="shared" si="41"/>
        <v>$M(2015) per Mtonne</v>
      </c>
    </row>
    <row r="586" spans="1:13" s="2" customFormat="1" ht="15.5" thickTop="1" x14ac:dyDescent="0.4">
      <c r="A586" s="2" t="s">
        <v>349</v>
      </c>
      <c r="B586" s="2" t="s">
        <v>352</v>
      </c>
    </row>
    <row r="587" spans="1:13" s="7" customFormat="1" x14ac:dyDescent="0.25">
      <c r="A587" s="4" t="str">
        <f t="array" ref="A587:A594">R_CODE&amp;" "&amp;'Base data'!$D$12</f>
        <v>EU N2O</v>
      </c>
      <c r="B587" s="29">
        <f ca="1">'Preventative costs A'!B587-'Preventative costs B'!B587</f>
        <v>0</v>
      </c>
      <c r="C587" s="29">
        <f ca="1">'Preventative costs A'!C587-'Preventative costs B'!C587</f>
        <v>0</v>
      </c>
      <c r="D587" s="29">
        <f ca="1">'Preventative costs A'!D587-'Preventative costs B'!D587</f>
        <v>0</v>
      </c>
      <c r="E587" s="29">
        <f ca="1">'Preventative costs A'!E587-'Preventative costs B'!E587</f>
        <v>0</v>
      </c>
      <c r="F587" s="29">
        <f ca="1">'Preventative costs A'!F587-'Preventative costs B'!F587</f>
        <v>0</v>
      </c>
      <c r="G587" s="29">
        <f ca="1">'Preventative costs A'!G587-'Preventative costs B'!G587</f>
        <v>0</v>
      </c>
      <c r="H587" s="29">
        <f ca="1">'Preventative costs A'!H587-'Preventative costs B'!H587</f>
        <v>0</v>
      </c>
      <c r="I587" s="29">
        <f ca="1">'Preventative costs A'!I587-'Preventative costs B'!I587</f>
        <v>0</v>
      </c>
      <c r="J587" s="29">
        <f ca="1">'Preventative costs A'!J587-'Preventative costs B'!J587</f>
        <v>0</v>
      </c>
      <c r="K587" s="29">
        <f ca="1">'Preventative costs A'!K587-'Preventative costs B'!K587</f>
        <v>0</v>
      </c>
      <c r="M587" s="4" t="str">
        <f t="shared" ref="M587:M594" si="42">CURRENCY_NAME&amp;" per "&amp;EMIT_NAME</f>
        <v>$M(2015) per Mtonne</v>
      </c>
    </row>
    <row r="588" spans="1:13" s="7" customFormat="1" x14ac:dyDescent="0.25">
      <c r="A588" s="4" t="str">
        <v>US N2O</v>
      </c>
      <c r="B588" s="26">
        <f ca="1">'Preventative costs A'!B588-'Preventative costs B'!B588</f>
        <v>0</v>
      </c>
      <c r="C588" s="26">
        <f ca="1">'Preventative costs A'!C588-'Preventative costs B'!C588</f>
        <v>0</v>
      </c>
      <c r="D588" s="26">
        <f ca="1">'Preventative costs A'!D588-'Preventative costs B'!D588</f>
        <v>0</v>
      </c>
      <c r="E588" s="26">
        <f ca="1">'Preventative costs A'!E588-'Preventative costs B'!E588</f>
        <v>0</v>
      </c>
      <c r="F588" s="26">
        <f ca="1">'Preventative costs A'!F588-'Preventative costs B'!F588</f>
        <v>0</v>
      </c>
      <c r="G588" s="26">
        <f ca="1">'Preventative costs A'!G588-'Preventative costs B'!G588</f>
        <v>0</v>
      </c>
      <c r="H588" s="26">
        <f ca="1">'Preventative costs A'!H588-'Preventative costs B'!H588</f>
        <v>0</v>
      </c>
      <c r="I588" s="26">
        <f ca="1">'Preventative costs A'!I588-'Preventative costs B'!I588</f>
        <v>0</v>
      </c>
      <c r="J588" s="26">
        <f ca="1">'Preventative costs A'!J588-'Preventative costs B'!J588</f>
        <v>0</v>
      </c>
      <c r="K588" s="26">
        <f ca="1">'Preventative costs A'!K588-'Preventative costs B'!K588</f>
        <v>0</v>
      </c>
      <c r="M588" s="4" t="str">
        <f t="shared" si="42"/>
        <v>$M(2015) per Mtonne</v>
      </c>
    </row>
    <row r="589" spans="1:13" s="7" customFormat="1" x14ac:dyDescent="0.25">
      <c r="A589" s="4" t="str">
        <v>OT N2O</v>
      </c>
      <c r="B589" s="26">
        <f ca="1">'Preventative costs A'!B589-'Preventative costs B'!B589</f>
        <v>0</v>
      </c>
      <c r="C589" s="26">
        <f ca="1">'Preventative costs A'!C589-'Preventative costs B'!C589</f>
        <v>0</v>
      </c>
      <c r="D589" s="26">
        <f ca="1">'Preventative costs A'!D589-'Preventative costs B'!D589</f>
        <v>0</v>
      </c>
      <c r="E589" s="26">
        <f ca="1">'Preventative costs A'!E589-'Preventative costs B'!E589</f>
        <v>0</v>
      </c>
      <c r="F589" s="26">
        <f ca="1">'Preventative costs A'!F589-'Preventative costs B'!F589</f>
        <v>0</v>
      </c>
      <c r="G589" s="26">
        <f ca="1">'Preventative costs A'!G589-'Preventative costs B'!G589</f>
        <v>0</v>
      </c>
      <c r="H589" s="26">
        <f ca="1">'Preventative costs A'!H589-'Preventative costs B'!H589</f>
        <v>0</v>
      </c>
      <c r="I589" s="26">
        <f ca="1">'Preventative costs A'!I589-'Preventative costs B'!I589</f>
        <v>0</v>
      </c>
      <c r="J589" s="26">
        <f ca="1">'Preventative costs A'!J589-'Preventative costs B'!J589</f>
        <v>0</v>
      </c>
      <c r="K589" s="26">
        <f ca="1">'Preventative costs A'!K589-'Preventative costs B'!K589</f>
        <v>0</v>
      </c>
      <c r="M589" s="4" t="str">
        <f t="shared" si="42"/>
        <v>$M(2015) per Mtonne</v>
      </c>
    </row>
    <row r="590" spans="1:13" s="7" customFormat="1" x14ac:dyDescent="0.25">
      <c r="A590" s="4" t="str">
        <v>EE N2O</v>
      </c>
      <c r="B590" s="26">
        <f ca="1">'Preventative costs A'!B590-'Preventative costs B'!B590</f>
        <v>0</v>
      </c>
      <c r="C590" s="26">
        <f ca="1">'Preventative costs A'!C590-'Preventative costs B'!C590</f>
        <v>0</v>
      </c>
      <c r="D590" s="26">
        <f ca="1">'Preventative costs A'!D590-'Preventative costs B'!D590</f>
        <v>0</v>
      </c>
      <c r="E590" s="26">
        <f ca="1">'Preventative costs A'!E590-'Preventative costs B'!E590</f>
        <v>0</v>
      </c>
      <c r="F590" s="26">
        <f ca="1">'Preventative costs A'!F590-'Preventative costs B'!F590</f>
        <v>0</v>
      </c>
      <c r="G590" s="26">
        <f ca="1">'Preventative costs A'!G590-'Preventative costs B'!G590</f>
        <v>0</v>
      </c>
      <c r="H590" s="26">
        <f ca="1">'Preventative costs A'!H590-'Preventative costs B'!H590</f>
        <v>0</v>
      </c>
      <c r="I590" s="26">
        <f ca="1">'Preventative costs A'!I590-'Preventative costs B'!I590</f>
        <v>0</v>
      </c>
      <c r="J590" s="26">
        <f ca="1">'Preventative costs A'!J590-'Preventative costs B'!J590</f>
        <v>0</v>
      </c>
      <c r="K590" s="26">
        <f ca="1">'Preventative costs A'!K590-'Preventative costs B'!K590</f>
        <v>0</v>
      </c>
      <c r="M590" s="4" t="str">
        <f t="shared" si="42"/>
        <v>$M(2015) per Mtonne</v>
      </c>
    </row>
    <row r="591" spans="1:13" s="7" customFormat="1" x14ac:dyDescent="0.25">
      <c r="A591" s="4" t="str">
        <v>CA N2O</v>
      </c>
      <c r="B591" s="26">
        <f ca="1">'Preventative costs A'!B591-'Preventative costs B'!B591</f>
        <v>0</v>
      </c>
      <c r="C591" s="26">
        <f ca="1">'Preventative costs A'!C591-'Preventative costs B'!C591</f>
        <v>0</v>
      </c>
      <c r="D591" s="26">
        <f ca="1">'Preventative costs A'!D591-'Preventative costs B'!D591</f>
        <v>0</v>
      </c>
      <c r="E591" s="26">
        <f ca="1">'Preventative costs A'!E591-'Preventative costs B'!E591</f>
        <v>0</v>
      </c>
      <c r="F591" s="26">
        <f ca="1">'Preventative costs A'!F591-'Preventative costs B'!F591</f>
        <v>0</v>
      </c>
      <c r="G591" s="26">
        <f ca="1">'Preventative costs A'!G591-'Preventative costs B'!G591</f>
        <v>0</v>
      </c>
      <c r="H591" s="26">
        <f ca="1">'Preventative costs A'!H591-'Preventative costs B'!H591</f>
        <v>0</v>
      </c>
      <c r="I591" s="26">
        <f ca="1">'Preventative costs A'!I591-'Preventative costs B'!I591</f>
        <v>0</v>
      </c>
      <c r="J591" s="26">
        <f ca="1">'Preventative costs A'!J591-'Preventative costs B'!J591</f>
        <v>0</v>
      </c>
      <c r="K591" s="26">
        <f ca="1">'Preventative costs A'!K591-'Preventative costs B'!K591</f>
        <v>0</v>
      </c>
      <c r="M591" s="4" t="str">
        <f t="shared" si="42"/>
        <v>$M(2015) per Mtonne</v>
      </c>
    </row>
    <row r="592" spans="1:13" s="7" customFormat="1" x14ac:dyDescent="0.25">
      <c r="A592" s="4" t="str">
        <v>IA N2O</v>
      </c>
      <c r="B592" s="26">
        <f ca="1">'Preventative costs A'!B592-'Preventative costs B'!B592</f>
        <v>0</v>
      </c>
      <c r="C592" s="26">
        <f ca="1">'Preventative costs A'!C592-'Preventative costs B'!C592</f>
        <v>0</v>
      </c>
      <c r="D592" s="26">
        <f ca="1">'Preventative costs A'!D592-'Preventative costs B'!D592</f>
        <v>0</v>
      </c>
      <c r="E592" s="26">
        <f ca="1">'Preventative costs A'!E592-'Preventative costs B'!E592</f>
        <v>0</v>
      </c>
      <c r="F592" s="26">
        <f ca="1">'Preventative costs A'!F592-'Preventative costs B'!F592</f>
        <v>0</v>
      </c>
      <c r="G592" s="26">
        <f ca="1">'Preventative costs A'!G592-'Preventative costs B'!G592</f>
        <v>0</v>
      </c>
      <c r="H592" s="26">
        <f ca="1">'Preventative costs A'!H592-'Preventative costs B'!H592</f>
        <v>0</v>
      </c>
      <c r="I592" s="26">
        <f ca="1">'Preventative costs A'!I592-'Preventative costs B'!I592</f>
        <v>0</v>
      </c>
      <c r="J592" s="26">
        <f ca="1">'Preventative costs A'!J592-'Preventative costs B'!J592</f>
        <v>0</v>
      </c>
      <c r="K592" s="26">
        <f ca="1">'Preventative costs A'!K592-'Preventative costs B'!K592</f>
        <v>0</v>
      </c>
      <c r="M592" s="4" t="str">
        <f t="shared" si="42"/>
        <v>$M(2015) per Mtonne</v>
      </c>
    </row>
    <row r="593" spans="1:13" s="7" customFormat="1" x14ac:dyDescent="0.25">
      <c r="A593" s="4" t="str">
        <v>AF N2O</v>
      </c>
      <c r="B593" s="26">
        <f ca="1">'Preventative costs A'!B593-'Preventative costs B'!B593</f>
        <v>0</v>
      </c>
      <c r="C593" s="26">
        <f ca="1">'Preventative costs A'!C593-'Preventative costs B'!C593</f>
        <v>0</v>
      </c>
      <c r="D593" s="26">
        <f ca="1">'Preventative costs A'!D593-'Preventative costs B'!D593</f>
        <v>0</v>
      </c>
      <c r="E593" s="26">
        <f ca="1">'Preventative costs A'!E593-'Preventative costs B'!E593</f>
        <v>0</v>
      </c>
      <c r="F593" s="26">
        <f ca="1">'Preventative costs A'!F593-'Preventative costs B'!F593</f>
        <v>0</v>
      </c>
      <c r="G593" s="26">
        <f ca="1">'Preventative costs A'!G593-'Preventative costs B'!G593</f>
        <v>0</v>
      </c>
      <c r="H593" s="26">
        <f ca="1">'Preventative costs A'!H593-'Preventative costs B'!H593</f>
        <v>0</v>
      </c>
      <c r="I593" s="26">
        <f ca="1">'Preventative costs A'!I593-'Preventative costs B'!I593</f>
        <v>0</v>
      </c>
      <c r="J593" s="26">
        <f ca="1">'Preventative costs A'!J593-'Preventative costs B'!J593</f>
        <v>0</v>
      </c>
      <c r="K593" s="26">
        <f ca="1">'Preventative costs A'!K593-'Preventative costs B'!K593</f>
        <v>0</v>
      </c>
      <c r="M593" s="4" t="str">
        <f t="shared" si="42"/>
        <v>$M(2015) per Mtonne</v>
      </c>
    </row>
    <row r="594" spans="1:13" s="7" customFormat="1" ht="13" thickBot="1" x14ac:dyDescent="0.3">
      <c r="A594" s="4" t="str">
        <v>LA N2O</v>
      </c>
      <c r="B594" s="35">
        <f ca="1">'Preventative costs A'!B594-'Preventative costs B'!B594</f>
        <v>0</v>
      </c>
      <c r="C594" s="35">
        <f ca="1">'Preventative costs A'!C594-'Preventative costs B'!C594</f>
        <v>0</v>
      </c>
      <c r="D594" s="35">
        <f ca="1">'Preventative costs A'!D594-'Preventative costs B'!D594</f>
        <v>0</v>
      </c>
      <c r="E594" s="35">
        <f ca="1">'Preventative costs A'!E594-'Preventative costs B'!E594</f>
        <v>0</v>
      </c>
      <c r="F594" s="35">
        <f ca="1">'Preventative costs A'!F594-'Preventative costs B'!F594</f>
        <v>0</v>
      </c>
      <c r="G594" s="35">
        <f ca="1">'Preventative costs A'!G594-'Preventative costs B'!G594</f>
        <v>0</v>
      </c>
      <c r="H594" s="35">
        <f ca="1">'Preventative costs A'!H594-'Preventative costs B'!H594</f>
        <v>0</v>
      </c>
      <c r="I594" s="35">
        <f ca="1">'Preventative costs A'!I594-'Preventative costs B'!I594</f>
        <v>0</v>
      </c>
      <c r="J594" s="35">
        <f ca="1">'Preventative costs A'!J594-'Preventative costs B'!J594</f>
        <v>0</v>
      </c>
      <c r="K594" s="35">
        <f ca="1">'Preventative costs A'!K594-'Preventative costs B'!K594</f>
        <v>0</v>
      </c>
      <c r="M594" s="4" t="str">
        <f t="shared" si="42"/>
        <v>$M(2015) per Mtonne</v>
      </c>
    </row>
    <row r="595" spans="1:13" s="2" customFormat="1" ht="15.5" thickTop="1" x14ac:dyDescent="0.4">
      <c r="A595" s="2" t="s">
        <v>349</v>
      </c>
      <c r="B595" s="2" t="s">
        <v>353</v>
      </c>
    </row>
    <row r="596" spans="1:13" s="7" customFormat="1" x14ac:dyDescent="0.25">
      <c r="A596" s="4" t="str">
        <f t="array" ref="A596:A603">R_CODE&amp;" "&amp;GLIN_NAME</f>
        <v>EU Lin</v>
      </c>
      <c r="B596" s="29">
        <f ca="1">'Preventative costs A'!B596-'Preventative costs B'!B596</f>
        <v>0</v>
      </c>
      <c r="C596" s="29">
        <f ca="1">'Preventative costs A'!C596-'Preventative costs B'!C596</f>
        <v>0</v>
      </c>
      <c r="D596" s="29">
        <f ca="1">'Preventative costs A'!D596-'Preventative costs B'!D596</f>
        <v>0</v>
      </c>
      <c r="E596" s="29">
        <f ca="1">'Preventative costs A'!E596-'Preventative costs B'!E596</f>
        <v>0</v>
      </c>
      <c r="F596" s="29">
        <f ca="1">'Preventative costs A'!F596-'Preventative costs B'!F596</f>
        <v>0</v>
      </c>
      <c r="G596" s="29">
        <f ca="1">'Preventative costs A'!G596-'Preventative costs B'!G596</f>
        <v>0</v>
      </c>
      <c r="H596" s="29">
        <f ca="1">'Preventative costs A'!H596-'Preventative costs B'!H596</f>
        <v>0</v>
      </c>
      <c r="I596" s="29">
        <f ca="1">'Preventative costs A'!I596-'Preventative costs B'!I596</f>
        <v>0</v>
      </c>
      <c r="J596" s="29">
        <f ca="1">'Preventative costs A'!J596-'Preventative costs B'!J596</f>
        <v>0</v>
      </c>
      <c r="K596" s="29">
        <f ca="1">'Preventative costs A'!K596-'Preventative costs B'!K596</f>
        <v>0</v>
      </c>
      <c r="M596" s="4" t="str">
        <f t="shared" ref="M596:M603" si="43">CURRENCY_NAME&amp;" per "&amp;EMIT_NAME</f>
        <v>$M(2015) per Mtonne</v>
      </c>
    </row>
    <row r="597" spans="1:13" s="7" customFormat="1" x14ac:dyDescent="0.25">
      <c r="A597" s="4" t="str">
        <v>US Lin</v>
      </c>
      <c r="B597" s="26">
        <f ca="1">'Preventative costs A'!B597-'Preventative costs B'!B597</f>
        <v>0</v>
      </c>
      <c r="C597" s="26">
        <f ca="1">'Preventative costs A'!C597-'Preventative costs B'!C597</f>
        <v>0</v>
      </c>
      <c r="D597" s="26">
        <f ca="1">'Preventative costs A'!D597-'Preventative costs B'!D597</f>
        <v>0</v>
      </c>
      <c r="E597" s="26">
        <f ca="1">'Preventative costs A'!E597-'Preventative costs B'!E597</f>
        <v>0</v>
      </c>
      <c r="F597" s="26">
        <f ca="1">'Preventative costs A'!F597-'Preventative costs B'!F597</f>
        <v>0</v>
      </c>
      <c r="G597" s="26">
        <f ca="1">'Preventative costs A'!G597-'Preventative costs B'!G597</f>
        <v>0</v>
      </c>
      <c r="H597" s="26">
        <f ca="1">'Preventative costs A'!H597-'Preventative costs B'!H597</f>
        <v>0</v>
      </c>
      <c r="I597" s="26">
        <f ca="1">'Preventative costs A'!I597-'Preventative costs B'!I597</f>
        <v>0</v>
      </c>
      <c r="J597" s="26">
        <f ca="1">'Preventative costs A'!J597-'Preventative costs B'!J597</f>
        <v>0</v>
      </c>
      <c r="K597" s="26">
        <f ca="1">'Preventative costs A'!K597-'Preventative costs B'!K597</f>
        <v>0</v>
      </c>
      <c r="M597" s="4" t="str">
        <f t="shared" si="43"/>
        <v>$M(2015) per Mtonne</v>
      </c>
    </row>
    <row r="598" spans="1:13" s="7" customFormat="1" x14ac:dyDescent="0.25">
      <c r="A598" s="4" t="str">
        <v>OT Lin</v>
      </c>
      <c r="B598" s="26">
        <f ca="1">'Preventative costs A'!B598-'Preventative costs B'!B598</f>
        <v>0</v>
      </c>
      <c r="C598" s="26">
        <f ca="1">'Preventative costs A'!C598-'Preventative costs B'!C598</f>
        <v>0</v>
      </c>
      <c r="D598" s="26">
        <f ca="1">'Preventative costs A'!D598-'Preventative costs B'!D598</f>
        <v>0</v>
      </c>
      <c r="E598" s="26">
        <f ca="1">'Preventative costs A'!E598-'Preventative costs B'!E598</f>
        <v>0</v>
      </c>
      <c r="F598" s="26">
        <f ca="1">'Preventative costs A'!F598-'Preventative costs B'!F598</f>
        <v>0</v>
      </c>
      <c r="G598" s="26">
        <f ca="1">'Preventative costs A'!G598-'Preventative costs B'!G598</f>
        <v>0</v>
      </c>
      <c r="H598" s="26">
        <f ca="1">'Preventative costs A'!H598-'Preventative costs B'!H598</f>
        <v>0</v>
      </c>
      <c r="I598" s="26">
        <f ca="1">'Preventative costs A'!I598-'Preventative costs B'!I598</f>
        <v>0</v>
      </c>
      <c r="J598" s="26">
        <f ca="1">'Preventative costs A'!J598-'Preventative costs B'!J598</f>
        <v>0</v>
      </c>
      <c r="K598" s="26">
        <f ca="1">'Preventative costs A'!K598-'Preventative costs B'!K598</f>
        <v>0</v>
      </c>
      <c r="M598" s="4" t="str">
        <f t="shared" si="43"/>
        <v>$M(2015) per Mtonne</v>
      </c>
    </row>
    <row r="599" spans="1:13" s="7" customFormat="1" x14ac:dyDescent="0.25">
      <c r="A599" s="4" t="str">
        <v>EE Lin</v>
      </c>
      <c r="B599" s="26">
        <f ca="1">'Preventative costs A'!B599-'Preventative costs B'!B599</f>
        <v>0</v>
      </c>
      <c r="C599" s="26">
        <f ca="1">'Preventative costs A'!C599-'Preventative costs B'!C599</f>
        <v>0</v>
      </c>
      <c r="D599" s="26">
        <f ca="1">'Preventative costs A'!D599-'Preventative costs B'!D599</f>
        <v>0</v>
      </c>
      <c r="E599" s="26">
        <f ca="1">'Preventative costs A'!E599-'Preventative costs B'!E599</f>
        <v>0</v>
      </c>
      <c r="F599" s="26">
        <f ca="1">'Preventative costs A'!F599-'Preventative costs B'!F599</f>
        <v>0</v>
      </c>
      <c r="G599" s="26">
        <f ca="1">'Preventative costs A'!G599-'Preventative costs B'!G599</f>
        <v>0</v>
      </c>
      <c r="H599" s="26">
        <f ca="1">'Preventative costs A'!H599-'Preventative costs B'!H599</f>
        <v>0</v>
      </c>
      <c r="I599" s="26">
        <f ca="1">'Preventative costs A'!I599-'Preventative costs B'!I599</f>
        <v>0</v>
      </c>
      <c r="J599" s="26">
        <f ca="1">'Preventative costs A'!J599-'Preventative costs B'!J599</f>
        <v>0</v>
      </c>
      <c r="K599" s="26">
        <f ca="1">'Preventative costs A'!K599-'Preventative costs B'!K599</f>
        <v>0</v>
      </c>
      <c r="M599" s="4" t="str">
        <f t="shared" si="43"/>
        <v>$M(2015) per Mtonne</v>
      </c>
    </row>
    <row r="600" spans="1:13" s="7" customFormat="1" x14ac:dyDescent="0.25">
      <c r="A600" s="4" t="str">
        <v>CA Lin</v>
      </c>
      <c r="B600" s="26">
        <f ca="1">'Preventative costs A'!B600-'Preventative costs B'!B600</f>
        <v>0</v>
      </c>
      <c r="C600" s="26">
        <f ca="1">'Preventative costs A'!C600-'Preventative costs B'!C600</f>
        <v>0</v>
      </c>
      <c r="D600" s="26">
        <f ca="1">'Preventative costs A'!D600-'Preventative costs B'!D600</f>
        <v>0</v>
      </c>
      <c r="E600" s="26">
        <f ca="1">'Preventative costs A'!E600-'Preventative costs B'!E600</f>
        <v>0</v>
      </c>
      <c r="F600" s="26">
        <f ca="1">'Preventative costs A'!F600-'Preventative costs B'!F600</f>
        <v>0</v>
      </c>
      <c r="G600" s="26">
        <f ca="1">'Preventative costs A'!G600-'Preventative costs B'!G600</f>
        <v>0</v>
      </c>
      <c r="H600" s="26">
        <f ca="1">'Preventative costs A'!H600-'Preventative costs B'!H600</f>
        <v>0</v>
      </c>
      <c r="I600" s="26">
        <f ca="1">'Preventative costs A'!I600-'Preventative costs B'!I600</f>
        <v>0</v>
      </c>
      <c r="J600" s="26">
        <f ca="1">'Preventative costs A'!J600-'Preventative costs B'!J600</f>
        <v>0</v>
      </c>
      <c r="K600" s="26">
        <f ca="1">'Preventative costs A'!K600-'Preventative costs B'!K600</f>
        <v>0</v>
      </c>
      <c r="M600" s="4" t="str">
        <f t="shared" si="43"/>
        <v>$M(2015) per Mtonne</v>
      </c>
    </row>
    <row r="601" spans="1:13" s="7" customFormat="1" x14ac:dyDescent="0.25">
      <c r="A601" s="4" t="str">
        <v>IA Lin</v>
      </c>
      <c r="B601" s="26">
        <f ca="1">'Preventative costs A'!B601-'Preventative costs B'!B601</f>
        <v>0</v>
      </c>
      <c r="C601" s="26">
        <f ca="1">'Preventative costs A'!C601-'Preventative costs B'!C601</f>
        <v>0</v>
      </c>
      <c r="D601" s="26">
        <f ca="1">'Preventative costs A'!D601-'Preventative costs B'!D601</f>
        <v>0</v>
      </c>
      <c r="E601" s="26">
        <f ca="1">'Preventative costs A'!E601-'Preventative costs B'!E601</f>
        <v>0</v>
      </c>
      <c r="F601" s="26">
        <f ca="1">'Preventative costs A'!F601-'Preventative costs B'!F601</f>
        <v>0</v>
      </c>
      <c r="G601" s="26">
        <f ca="1">'Preventative costs A'!G601-'Preventative costs B'!G601</f>
        <v>0</v>
      </c>
      <c r="H601" s="26">
        <f ca="1">'Preventative costs A'!H601-'Preventative costs B'!H601</f>
        <v>0</v>
      </c>
      <c r="I601" s="26">
        <f ca="1">'Preventative costs A'!I601-'Preventative costs B'!I601</f>
        <v>0</v>
      </c>
      <c r="J601" s="26">
        <f ca="1">'Preventative costs A'!J601-'Preventative costs B'!J601</f>
        <v>0</v>
      </c>
      <c r="K601" s="26">
        <f ca="1">'Preventative costs A'!K601-'Preventative costs B'!K601</f>
        <v>0</v>
      </c>
      <c r="M601" s="4" t="str">
        <f t="shared" si="43"/>
        <v>$M(2015) per Mtonne</v>
      </c>
    </row>
    <row r="602" spans="1:13" s="7" customFormat="1" x14ac:dyDescent="0.25">
      <c r="A602" s="4" t="str">
        <v>AF Lin</v>
      </c>
      <c r="B602" s="26">
        <f ca="1">'Preventative costs A'!B602-'Preventative costs B'!B602</f>
        <v>0</v>
      </c>
      <c r="C602" s="26">
        <f ca="1">'Preventative costs A'!C602-'Preventative costs B'!C602</f>
        <v>0</v>
      </c>
      <c r="D602" s="26">
        <f ca="1">'Preventative costs A'!D602-'Preventative costs B'!D602</f>
        <v>0</v>
      </c>
      <c r="E602" s="26">
        <f ca="1">'Preventative costs A'!E602-'Preventative costs B'!E602</f>
        <v>0</v>
      </c>
      <c r="F602" s="26">
        <f ca="1">'Preventative costs A'!F602-'Preventative costs B'!F602</f>
        <v>0</v>
      </c>
      <c r="G602" s="26">
        <f ca="1">'Preventative costs A'!G602-'Preventative costs B'!G602</f>
        <v>0</v>
      </c>
      <c r="H602" s="26">
        <f ca="1">'Preventative costs A'!H602-'Preventative costs B'!H602</f>
        <v>0</v>
      </c>
      <c r="I602" s="26">
        <f ca="1">'Preventative costs A'!I602-'Preventative costs B'!I602</f>
        <v>0</v>
      </c>
      <c r="J602" s="26">
        <f ca="1">'Preventative costs A'!J602-'Preventative costs B'!J602</f>
        <v>0</v>
      </c>
      <c r="K602" s="26">
        <f ca="1">'Preventative costs A'!K602-'Preventative costs B'!K602</f>
        <v>0</v>
      </c>
      <c r="M602" s="4" t="str">
        <f t="shared" si="43"/>
        <v>$M(2015) per Mtonne</v>
      </c>
    </row>
    <row r="603" spans="1:13" s="7" customFormat="1" ht="13" thickBot="1" x14ac:dyDescent="0.3">
      <c r="A603" s="4" t="str">
        <v>LA Lin</v>
      </c>
      <c r="B603" s="35">
        <f ca="1">'Preventative costs A'!B603-'Preventative costs B'!B603</f>
        <v>0</v>
      </c>
      <c r="C603" s="35">
        <f ca="1">'Preventative costs A'!C603-'Preventative costs B'!C603</f>
        <v>0</v>
      </c>
      <c r="D603" s="35">
        <f ca="1">'Preventative costs A'!D603-'Preventative costs B'!D603</f>
        <v>0</v>
      </c>
      <c r="E603" s="35">
        <f ca="1">'Preventative costs A'!E603-'Preventative costs B'!E603</f>
        <v>0</v>
      </c>
      <c r="F603" s="35">
        <f ca="1">'Preventative costs A'!F603-'Preventative costs B'!F603</f>
        <v>0</v>
      </c>
      <c r="G603" s="35">
        <f ca="1">'Preventative costs A'!G603-'Preventative costs B'!G603</f>
        <v>0</v>
      </c>
      <c r="H603" s="35">
        <f ca="1">'Preventative costs A'!H603-'Preventative costs B'!H603</f>
        <v>0</v>
      </c>
      <c r="I603" s="35">
        <f ca="1">'Preventative costs A'!I603-'Preventative costs B'!I603</f>
        <v>0</v>
      </c>
      <c r="J603" s="35">
        <f ca="1">'Preventative costs A'!J603-'Preventative costs B'!J603</f>
        <v>0</v>
      </c>
      <c r="K603" s="35">
        <f ca="1">'Preventative costs A'!K603-'Preventative costs B'!K603</f>
        <v>0</v>
      </c>
      <c r="M603" s="4" t="str">
        <f t="shared" si="43"/>
        <v>$M(2015) per Mtonne</v>
      </c>
    </row>
    <row r="604" spans="1:13" s="2" customFormat="1" ht="15.5" thickTop="1" x14ac:dyDescent="0.4">
      <c r="A604" s="2" t="s">
        <v>354</v>
      </c>
      <c r="B604" s="2" t="s">
        <v>355</v>
      </c>
    </row>
    <row r="605" spans="1:13" s="6" customFormat="1" x14ac:dyDescent="0.25">
      <c r="A605" s="4" t="str">
        <f t="array" ref="A605:A612">R_CODE&amp;" "&amp;'Base data'!$B$12</f>
        <v>EU CO2</v>
      </c>
      <c r="B605" s="29">
        <f ca="1">'Preventative costs A'!B605-'Preventative costs B'!B605</f>
        <v>0</v>
      </c>
      <c r="C605" s="29">
        <f ca="1">'Preventative costs A'!C605-'Preventative costs B'!C605</f>
        <v>0</v>
      </c>
      <c r="D605" s="29">
        <f ca="1">'Preventative costs A'!D605-'Preventative costs B'!D605</f>
        <v>0</v>
      </c>
      <c r="E605" s="29">
        <f ca="1">'Preventative costs A'!E605-'Preventative costs B'!E605</f>
        <v>0</v>
      </c>
      <c r="F605" s="29">
        <f ca="1">'Preventative costs A'!F605-'Preventative costs B'!F605</f>
        <v>0</v>
      </c>
      <c r="G605" s="29">
        <f ca="1">'Preventative costs A'!G605-'Preventative costs B'!G605</f>
        <v>0</v>
      </c>
      <c r="H605" s="29">
        <f ca="1">'Preventative costs A'!H605-'Preventative costs B'!H605</f>
        <v>0</v>
      </c>
      <c r="I605" s="29">
        <f ca="1">'Preventative costs A'!I605-'Preventative costs B'!I605</f>
        <v>0</v>
      </c>
      <c r="J605" s="29">
        <f ca="1">'Preventative costs A'!J605-'Preventative costs B'!J605</f>
        <v>0</v>
      </c>
      <c r="K605" s="29">
        <f ca="1">'Preventative costs A'!K605-'Preventative costs B'!K605</f>
        <v>0</v>
      </c>
      <c r="M605" s="4" t="str">
        <f t="shared" ref="M605:M612" si="44">CURRENCY_NAME</f>
        <v>$M(2015)</v>
      </c>
    </row>
    <row r="606" spans="1:13" s="6" customFormat="1" x14ac:dyDescent="0.25">
      <c r="A606" s="4" t="str">
        <v>US CO2</v>
      </c>
      <c r="B606" s="26">
        <f ca="1">'Preventative costs A'!B606-'Preventative costs B'!B606</f>
        <v>0</v>
      </c>
      <c r="C606" s="26">
        <f ca="1">'Preventative costs A'!C606-'Preventative costs B'!C606</f>
        <v>0</v>
      </c>
      <c r="D606" s="26">
        <f ca="1">'Preventative costs A'!D606-'Preventative costs B'!D606</f>
        <v>0</v>
      </c>
      <c r="E606" s="26">
        <f ca="1">'Preventative costs A'!E606-'Preventative costs B'!E606</f>
        <v>0</v>
      </c>
      <c r="F606" s="26">
        <f ca="1">'Preventative costs A'!F606-'Preventative costs B'!F606</f>
        <v>0</v>
      </c>
      <c r="G606" s="26">
        <f ca="1">'Preventative costs A'!G606-'Preventative costs B'!G606</f>
        <v>0</v>
      </c>
      <c r="H606" s="26">
        <f ca="1">'Preventative costs A'!H606-'Preventative costs B'!H606</f>
        <v>0</v>
      </c>
      <c r="I606" s="26">
        <f ca="1">'Preventative costs A'!I606-'Preventative costs B'!I606</f>
        <v>0</v>
      </c>
      <c r="J606" s="26">
        <f ca="1">'Preventative costs A'!J606-'Preventative costs B'!J606</f>
        <v>0</v>
      </c>
      <c r="K606" s="26">
        <f ca="1">'Preventative costs A'!K606-'Preventative costs B'!K606</f>
        <v>0</v>
      </c>
      <c r="M606" s="4" t="str">
        <f t="shared" si="44"/>
        <v>$M(2015)</v>
      </c>
    </row>
    <row r="607" spans="1:13" s="6" customFormat="1" x14ac:dyDescent="0.25">
      <c r="A607" s="4" t="str">
        <v>OT CO2</v>
      </c>
      <c r="B607" s="26">
        <f ca="1">'Preventative costs A'!B607-'Preventative costs B'!B607</f>
        <v>0</v>
      </c>
      <c r="C607" s="26">
        <f ca="1">'Preventative costs A'!C607-'Preventative costs B'!C607</f>
        <v>0</v>
      </c>
      <c r="D607" s="26">
        <f ca="1">'Preventative costs A'!D607-'Preventative costs B'!D607</f>
        <v>0</v>
      </c>
      <c r="E607" s="26">
        <f ca="1">'Preventative costs A'!E607-'Preventative costs B'!E607</f>
        <v>0</v>
      </c>
      <c r="F607" s="26">
        <f ca="1">'Preventative costs A'!F607-'Preventative costs B'!F607</f>
        <v>0</v>
      </c>
      <c r="G607" s="26">
        <f ca="1">'Preventative costs A'!G607-'Preventative costs B'!G607</f>
        <v>0</v>
      </c>
      <c r="H607" s="26">
        <f ca="1">'Preventative costs A'!H607-'Preventative costs B'!H607</f>
        <v>0</v>
      </c>
      <c r="I607" s="26">
        <f ca="1">'Preventative costs A'!I607-'Preventative costs B'!I607</f>
        <v>0</v>
      </c>
      <c r="J607" s="26">
        <f ca="1">'Preventative costs A'!J607-'Preventative costs B'!J607</f>
        <v>0</v>
      </c>
      <c r="K607" s="26">
        <f ca="1">'Preventative costs A'!K607-'Preventative costs B'!K607</f>
        <v>0</v>
      </c>
      <c r="M607" s="4" t="str">
        <f t="shared" si="44"/>
        <v>$M(2015)</v>
      </c>
    </row>
    <row r="608" spans="1:13" s="6" customFormat="1" x14ac:dyDescent="0.25">
      <c r="A608" s="4" t="str">
        <v>EE CO2</v>
      </c>
      <c r="B608" s="26">
        <f ca="1">'Preventative costs A'!B608-'Preventative costs B'!B608</f>
        <v>0</v>
      </c>
      <c r="C608" s="26">
        <f ca="1">'Preventative costs A'!C608-'Preventative costs B'!C608</f>
        <v>0</v>
      </c>
      <c r="D608" s="26">
        <f ca="1">'Preventative costs A'!D608-'Preventative costs B'!D608</f>
        <v>0</v>
      </c>
      <c r="E608" s="26">
        <f ca="1">'Preventative costs A'!E608-'Preventative costs B'!E608</f>
        <v>0</v>
      </c>
      <c r="F608" s="26">
        <f ca="1">'Preventative costs A'!F608-'Preventative costs B'!F608</f>
        <v>0</v>
      </c>
      <c r="G608" s="26">
        <f ca="1">'Preventative costs A'!G608-'Preventative costs B'!G608</f>
        <v>0</v>
      </c>
      <c r="H608" s="26">
        <f ca="1">'Preventative costs A'!H608-'Preventative costs B'!H608</f>
        <v>0</v>
      </c>
      <c r="I608" s="26">
        <f ca="1">'Preventative costs A'!I608-'Preventative costs B'!I608</f>
        <v>0</v>
      </c>
      <c r="J608" s="26">
        <f ca="1">'Preventative costs A'!J608-'Preventative costs B'!J608</f>
        <v>0</v>
      </c>
      <c r="K608" s="26">
        <f ca="1">'Preventative costs A'!K608-'Preventative costs B'!K608</f>
        <v>0</v>
      </c>
      <c r="M608" s="4" t="str">
        <f t="shared" si="44"/>
        <v>$M(2015)</v>
      </c>
    </row>
    <row r="609" spans="1:13" s="6" customFormat="1" x14ac:dyDescent="0.25">
      <c r="A609" s="4" t="str">
        <v>CA CO2</v>
      </c>
      <c r="B609" s="26">
        <f ca="1">'Preventative costs A'!B609-'Preventative costs B'!B609</f>
        <v>0</v>
      </c>
      <c r="C609" s="26">
        <f ca="1">'Preventative costs A'!C609-'Preventative costs B'!C609</f>
        <v>0</v>
      </c>
      <c r="D609" s="26">
        <f ca="1">'Preventative costs A'!D609-'Preventative costs B'!D609</f>
        <v>0</v>
      </c>
      <c r="E609" s="26">
        <f ca="1">'Preventative costs A'!E609-'Preventative costs B'!E609</f>
        <v>0</v>
      </c>
      <c r="F609" s="26">
        <f ca="1">'Preventative costs A'!F609-'Preventative costs B'!F609</f>
        <v>0</v>
      </c>
      <c r="G609" s="26">
        <f ca="1">'Preventative costs A'!G609-'Preventative costs B'!G609</f>
        <v>0</v>
      </c>
      <c r="H609" s="26">
        <f ca="1">'Preventative costs A'!H609-'Preventative costs B'!H609</f>
        <v>0</v>
      </c>
      <c r="I609" s="26">
        <f ca="1">'Preventative costs A'!I609-'Preventative costs B'!I609</f>
        <v>0</v>
      </c>
      <c r="J609" s="26">
        <f ca="1">'Preventative costs A'!J609-'Preventative costs B'!J609</f>
        <v>0</v>
      </c>
      <c r="K609" s="26">
        <f ca="1">'Preventative costs A'!K609-'Preventative costs B'!K609</f>
        <v>0</v>
      </c>
      <c r="M609" s="4" t="str">
        <f t="shared" si="44"/>
        <v>$M(2015)</v>
      </c>
    </row>
    <row r="610" spans="1:13" s="6" customFormat="1" x14ac:dyDescent="0.25">
      <c r="A610" s="4" t="str">
        <v>IA CO2</v>
      </c>
      <c r="B610" s="26">
        <f ca="1">'Preventative costs A'!B610-'Preventative costs B'!B610</f>
        <v>0</v>
      </c>
      <c r="C610" s="26">
        <f ca="1">'Preventative costs A'!C610-'Preventative costs B'!C610</f>
        <v>0</v>
      </c>
      <c r="D610" s="26">
        <f ca="1">'Preventative costs A'!D610-'Preventative costs B'!D610</f>
        <v>0</v>
      </c>
      <c r="E610" s="26">
        <f ca="1">'Preventative costs A'!E610-'Preventative costs B'!E610</f>
        <v>0</v>
      </c>
      <c r="F610" s="26">
        <f ca="1">'Preventative costs A'!F610-'Preventative costs B'!F610</f>
        <v>0</v>
      </c>
      <c r="G610" s="26">
        <f ca="1">'Preventative costs A'!G610-'Preventative costs B'!G610</f>
        <v>0</v>
      </c>
      <c r="H610" s="26">
        <f ca="1">'Preventative costs A'!H610-'Preventative costs B'!H610</f>
        <v>0</v>
      </c>
      <c r="I610" s="26">
        <f ca="1">'Preventative costs A'!I610-'Preventative costs B'!I610</f>
        <v>0</v>
      </c>
      <c r="J610" s="26">
        <f ca="1">'Preventative costs A'!J610-'Preventative costs B'!J610</f>
        <v>0</v>
      </c>
      <c r="K610" s="26">
        <f ca="1">'Preventative costs A'!K610-'Preventative costs B'!K610</f>
        <v>0</v>
      </c>
      <c r="M610" s="4" t="str">
        <f t="shared" si="44"/>
        <v>$M(2015)</v>
      </c>
    </row>
    <row r="611" spans="1:13" s="6" customFormat="1" x14ac:dyDescent="0.25">
      <c r="A611" s="4" t="str">
        <v>AF CO2</v>
      </c>
      <c r="B611" s="26">
        <f ca="1">'Preventative costs A'!B611-'Preventative costs B'!B611</f>
        <v>0</v>
      </c>
      <c r="C611" s="26">
        <f ca="1">'Preventative costs A'!C611-'Preventative costs B'!C611</f>
        <v>0</v>
      </c>
      <c r="D611" s="26">
        <f ca="1">'Preventative costs A'!D611-'Preventative costs B'!D611</f>
        <v>0</v>
      </c>
      <c r="E611" s="26">
        <f ca="1">'Preventative costs A'!E611-'Preventative costs B'!E611</f>
        <v>0</v>
      </c>
      <c r="F611" s="26">
        <f ca="1">'Preventative costs A'!F611-'Preventative costs B'!F611</f>
        <v>0</v>
      </c>
      <c r="G611" s="26">
        <f ca="1">'Preventative costs A'!G611-'Preventative costs B'!G611</f>
        <v>0</v>
      </c>
      <c r="H611" s="26">
        <f ca="1">'Preventative costs A'!H611-'Preventative costs B'!H611</f>
        <v>0</v>
      </c>
      <c r="I611" s="26">
        <f ca="1">'Preventative costs A'!I611-'Preventative costs B'!I611</f>
        <v>0</v>
      </c>
      <c r="J611" s="26">
        <f ca="1">'Preventative costs A'!J611-'Preventative costs B'!J611</f>
        <v>0</v>
      </c>
      <c r="K611" s="26">
        <f ca="1">'Preventative costs A'!K611-'Preventative costs B'!K611</f>
        <v>0</v>
      </c>
      <c r="M611" s="4" t="str">
        <f t="shared" si="44"/>
        <v>$M(2015)</v>
      </c>
    </row>
    <row r="612" spans="1:13" s="6" customFormat="1" ht="13" thickBot="1" x14ac:dyDescent="0.3">
      <c r="A612" s="4" t="str">
        <v>LA CO2</v>
      </c>
      <c r="B612" s="35">
        <f ca="1">'Preventative costs A'!B612-'Preventative costs B'!B612</f>
        <v>0</v>
      </c>
      <c r="C612" s="35">
        <f ca="1">'Preventative costs A'!C612-'Preventative costs B'!C612</f>
        <v>0</v>
      </c>
      <c r="D612" s="35">
        <f ca="1">'Preventative costs A'!D612-'Preventative costs B'!D612</f>
        <v>0</v>
      </c>
      <c r="E612" s="35">
        <f ca="1">'Preventative costs A'!E612-'Preventative costs B'!E612</f>
        <v>0</v>
      </c>
      <c r="F612" s="35">
        <f ca="1">'Preventative costs A'!F612-'Preventative costs B'!F612</f>
        <v>0</v>
      </c>
      <c r="G612" s="35">
        <f ca="1">'Preventative costs A'!G612-'Preventative costs B'!G612</f>
        <v>0</v>
      </c>
      <c r="H612" s="35">
        <f ca="1">'Preventative costs A'!H612-'Preventative costs B'!H612</f>
        <v>0</v>
      </c>
      <c r="I612" s="35">
        <f ca="1">'Preventative costs A'!I612-'Preventative costs B'!I612</f>
        <v>0</v>
      </c>
      <c r="J612" s="35">
        <f ca="1">'Preventative costs A'!J612-'Preventative costs B'!J612</f>
        <v>0</v>
      </c>
      <c r="K612" s="35">
        <f ca="1">'Preventative costs A'!K612-'Preventative costs B'!K612</f>
        <v>0</v>
      </c>
      <c r="M612" s="4" t="str">
        <f t="shared" si="44"/>
        <v>$M(2015)</v>
      </c>
    </row>
    <row r="613" spans="1:13" s="2" customFormat="1" ht="15.5" thickTop="1" x14ac:dyDescent="0.4">
      <c r="A613" s="2" t="s">
        <v>354</v>
      </c>
      <c r="B613" s="2" t="s">
        <v>356</v>
      </c>
    </row>
    <row r="614" spans="1:13" s="6" customFormat="1" x14ac:dyDescent="0.25">
      <c r="A614" s="4" t="str">
        <f t="array" ref="A614:A621">R_CODE&amp;" "&amp;'Base data'!$C$12</f>
        <v>EU CH4</v>
      </c>
      <c r="B614" s="29">
        <f ca="1">'Preventative costs A'!B614-'Preventative costs B'!B614</f>
        <v>0</v>
      </c>
      <c r="C614" s="29">
        <f ca="1">'Preventative costs A'!C614-'Preventative costs B'!C614</f>
        <v>0</v>
      </c>
      <c r="D614" s="29">
        <f ca="1">'Preventative costs A'!D614-'Preventative costs B'!D614</f>
        <v>0</v>
      </c>
      <c r="E614" s="29">
        <f ca="1">'Preventative costs A'!E614-'Preventative costs B'!E614</f>
        <v>0</v>
      </c>
      <c r="F614" s="29">
        <f ca="1">'Preventative costs A'!F614-'Preventative costs B'!F614</f>
        <v>0</v>
      </c>
      <c r="G614" s="29">
        <f ca="1">'Preventative costs A'!G614-'Preventative costs B'!G614</f>
        <v>0</v>
      </c>
      <c r="H614" s="29">
        <f ca="1">'Preventative costs A'!H614-'Preventative costs B'!H614</f>
        <v>0</v>
      </c>
      <c r="I614" s="29">
        <f ca="1">'Preventative costs A'!I614-'Preventative costs B'!I614</f>
        <v>0</v>
      </c>
      <c r="J614" s="29">
        <f ca="1">'Preventative costs A'!J614-'Preventative costs B'!J614</f>
        <v>0</v>
      </c>
      <c r="K614" s="29">
        <f ca="1">'Preventative costs A'!K614-'Preventative costs B'!K614</f>
        <v>0</v>
      </c>
      <c r="M614" s="4" t="str">
        <f t="shared" ref="M614:M621" si="45">CURRENCY_NAME</f>
        <v>$M(2015)</v>
      </c>
    </row>
    <row r="615" spans="1:13" s="6" customFormat="1" x14ac:dyDescent="0.25">
      <c r="A615" s="4" t="str">
        <v>US CH4</v>
      </c>
      <c r="B615" s="26">
        <f ca="1">'Preventative costs A'!B615-'Preventative costs B'!B615</f>
        <v>0</v>
      </c>
      <c r="C615" s="26">
        <f ca="1">'Preventative costs A'!C615-'Preventative costs B'!C615</f>
        <v>0</v>
      </c>
      <c r="D615" s="26">
        <f ca="1">'Preventative costs A'!D615-'Preventative costs B'!D615</f>
        <v>0</v>
      </c>
      <c r="E615" s="26">
        <f ca="1">'Preventative costs A'!E615-'Preventative costs B'!E615</f>
        <v>0</v>
      </c>
      <c r="F615" s="26">
        <f ca="1">'Preventative costs A'!F615-'Preventative costs B'!F615</f>
        <v>0</v>
      </c>
      <c r="G615" s="26">
        <f ca="1">'Preventative costs A'!G615-'Preventative costs B'!G615</f>
        <v>0</v>
      </c>
      <c r="H615" s="26">
        <f ca="1">'Preventative costs A'!H615-'Preventative costs B'!H615</f>
        <v>0</v>
      </c>
      <c r="I615" s="26">
        <f ca="1">'Preventative costs A'!I615-'Preventative costs B'!I615</f>
        <v>0</v>
      </c>
      <c r="J615" s="26">
        <f ca="1">'Preventative costs A'!J615-'Preventative costs B'!J615</f>
        <v>0</v>
      </c>
      <c r="K615" s="26">
        <f ca="1">'Preventative costs A'!K615-'Preventative costs B'!K615</f>
        <v>0</v>
      </c>
      <c r="M615" s="4" t="str">
        <f t="shared" si="45"/>
        <v>$M(2015)</v>
      </c>
    </row>
    <row r="616" spans="1:13" s="6" customFormat="1" x14ac:dyDescent="0.25">
      <c r="A616" s="4" t="str">
        <v>OT CH4</v>
      </c>
      <c r="B616" s="26">
        <f ca="1">'Preventative costs A'!B616-'Preventative costs B'!B616</f>
        <v>0</v>
      </c>
      <c r="C616" s="26">
        <f ca="1">'Preventative costs A'!C616-'Preventative costs B'!C616</f>
        <v>0</v>
      </c>
      <c r="D616" s="26">
        <f ca="1">'Preventative costs A'!D616-'Preventative costs B'!D616</f>
        <v>0</v>
      </c>
      <c r="E616" s="26">
        <f ca="1">'Preventative costs A'!E616-'Preventative costs B'!E616</f>
        <v>0</v>
      </c>
      <c r="F616" s="26">
        <f ca="1">'Preventative costs A'!F616-'Preventative costs B'!F616</f>
        <v>0</v>
      </c>
      <c r="G616" s="26">
        <f ca="1">'Preventative costs A'!G616-'Preventative costs B'!G616</f>
        <v>0</v>
      </c>
      <c r="H616" s="26">
        <f ca="1">'Preventative costs A'!H616-'Preventative costs B'!H616</f>
        <v>0</v>
      </c>
      <c r="I616" s="26">
        <f ca="1">'Preventative costs A'!I616-'Preventative costs B'!I616</f>
        <v>0</v>
      </c>
      <c r="J616" s="26">
        <f ca="1">'Preventative costs A'!J616-'Preventative costs B'!J616</f>
        <v>0</v>
      </c>
      <c r="K616" s="26">
        <f ca="1">'Preventative costs A'!K616-'Preventative costs B'!K616</f>
        <v>0</v>
      </c>
      <c r="M616" s="4" t="str">
        <f t="shared" si="45"/>
        <v>$M(2015)</v>
      </c>
    </row>
    <row r="617" spans="1:13" s="6" customFormat="1" x14ac:dyDescent="0.25">
      <c r="A617" s="4" t="str">
        <v>EE CH4</v>
      </c>
      <c r="B617" s="26">
        <f ca="1">'Preventative costs A'!B617-'Preventative costs B'!B617</f>
        <v>0</v>
      </c>
      <c r="C617" s="26">
        <f ca="1">'Preventative costs A'!C617-'Preventative costs B'!C617</f>
        <v>0</v>
      </c>
      <c r="D617" s="26">
        <f ca="1">'Preventative costs A'!D617-'Preventative costs B'!D617</f>
        <v>0</v>
      </c>
      <c r="E617" s="26">
        <f ca="1">'Preventative costs A'!E617-'Preventative costs B'!E617</f>
        <v>0</v>
      </c>
      <c r="F617" s="26">
        <f ca="1">'Preventative costs A'!F617-'Preventative costs B'!F617</f>
        <v>0</v>
      </c>
      <c r="G617" s="26">
        <f ca="1">'Preventative costs A'!G617-'Preventative costs B'!G617</f>
        <v>0</v>
      </c>
      <c r="H617" s="26">
        <f ca="1">'Preventative costs A'!H617-'Preventative costs B'!H617</f>
        <v>0</v>
      </c>
      <c r="I617" s="26">
        <f ca="1">'Preventative costs A'!I617-'Preventative costs B'!I617</f>
        <v>0</v>
      </c>
      <c r="J617" s="26">
        <f ca="1">'Preventative costs A'!J617-'Preventative costs B'!J617</f>
        <v>0</v>
      </c>
      <c r="K617" s="26">
        <f ca="1">'Preventative costs A'!K617-'Preventative costs B'!K617</f>
        <v>0</v>
      </c>
      <c r="M617" s="4" t="str">
        <f t="shared" si="45"/>
        <v>$M(2015)</v>
      </c>
    </row>
    <row r="618" spans="1:13" s="6" customFormat="1" x14ac:dyDescent="0.25">
      <c r="A618" s="4" t="str">
        <v>CA CH4</v>
      </c>
      <c r="B618" s="26">
        <f ca="1">'Preventative costs A'!B618-'Preventative costs B'!B618</f>
        <v>0</v>
      </c>
      <c r="C618" s="26">
        <f ca="1">'Preventative costs A'!C618-'Preventative costs B'!C618</f>
        <v>0</v>
      </c>
      <c r="D618" s="26">
        <f ca="1">'Preventative costs A'!D618-'Preventative costs B'!D618</f>
        <v>0</v>
      </c>
      <c r="E618" s="26">
        <f ca="1">'Preventative costs A'!E618-'Preventative costs B'!E618</f>
        <v>0</v>
      </c>
      <c r="F618" s="26">
        <f ca="1">'Preventative costs A'!F618-'Preventative costs B'!F618</f>
        <v>0</v>
      </c>
      <c r="G618" s="26">
        <f ca="1">'Preventative costs A'!G618-'Preventative costs B'!G618</f>
        <v>0</v>
      </c>
      <c r="H618" s="26">
        <f ca="1">'Preventative costs A'!H618-'Preventative costs B'!H618</f>
        <v>0</v>
      </c>
      <c r="I618" s="26">
        <f ca="1">'Preventative costs A'!I618-'Preventative costs B'!I618</f>
        <v>0</v>
      </c>
      <c r="J618" s="26">
        <f ca="1">'Preventative costs A'!J618-'Preventative costs B'!J618</f>
        <v>0</v>
      </c>
      <c r="K618" s="26">
        <f ca="1">'Preventative costs A'!K618-'Preventative costs B'!K618</f>
        <v>0</v>
      </c>
      <c r="M618" s="4" t="str">
        <f t="shared" si="45"/>
        <v>$M(2015)</v>
      </c>
    </row>
    <row r="619" spans="1:13" s="6" customFormat="1" x14ac:dyDescent="0.25">
      <c r="A619" s="4" t="str">
        <v>IA CH4</v>
      </c>
      <c r="B619" s="26">
        <f ca="1">'Preventative costs A'!B619-'Preventative costs B'!B619</f>
        <v>0</v>
      </c>
      <c r="C619" s="26">
        <f ca="1">'Preventative costs A'!C619-'Preventative costs B'!C619</f>
        <v>0</v>
      </c>
      <c r="D619" s="26">
        <f ca="1">'Preventative costs A'!D619-'Preventative costs B'!D619</f>
        <v>0</v>
      </c>
      <c r="E619" s="26">
        <f ca="1">'Preventative costs A'!E619-'Preventative costs B'!E619</f>
        <v>0</v>
      </c>
      <c r="F619" s="26">
        <f ca="1">'Preventative costs A'!F619-'Preventative costs B'!F619</f>
        <v>0</v>
      </c>
      <c r="G619" s="26">
        <f ca="1">'Preventative costs A'!G619-'Preventative costs B'!G619</f>
        <v>0</v>
      </c>
      <c r="H619" s="26">
        <f ca="1">'Preventative costs A'!H619-'Preventative costs B'!H619</f>
        <v>0</v>
      </c>
      <c r="I619" s="26">
        <f ca="1">'Preventative costs A'!I619-'Preventative costs B'!I619</f>
        <v>0</v>
      </c>
      <c r="J619" s="26">
        <f ca="1">'Preventative costs A'!J619-'Preventative costs B'!J619</f>
        <v>0</v>
      </c>
      <c r="K619" s="26">
        <f ca="1">'Preventative costs A'!K619-'Preventative costs B'!K619</f>
        <v>0</v>
      </c>
      <c r="M619" s="4" t="str">
        <f t="shared" si="45"/>
        <v>$M(2015)</v>
      </c>
    </row>
    <row r="620" spans="1:13" s="6" customFormat="1" x14ac:dyDescent="0.25">
      <c r="A620" s="4" t="str">
        <v>AF CH4</v>
      </c>
      <c r="B620" s="26">
        <f ca="1">'Preventative costs A'!B620-'Preventative costs B'!B620</f>
        <v>0</v>
      </c>
      <c r="C620" s="26">
        <f ca="1">'Preventative costs A'!C620-'Preventative costs B'!C620</f>
        <v>0</v>
      </c>
      <c r="D620" s="26">
        <f ca="1">'Preventative costs A'!D620-'Preventative costs B'!D620</f>
        <v>0</v>
      </c>
      <c r="E620" s="26">
        <f ca="1">'Preventative costs A'!E620-'Preventative costs B'!E620</f>
        <v>0</v>
      </c>
      <c r="F620" s="26">
        <f ca="1">'Preventative costs A'!F620-'Preventative costs B'!F620</f>
        <v>0</v>
      </c>
      <c r="G620" s="26">
        <f ca="1">'Preventative costs A'!G620-'Preventative costs B'!G620</f>
        <v>0</v>
      </c>
      <c r="H620" s="26">
        <f ca="1">'Preventative costs A'!H620-'Preventative costs B'!H620</f>
        <v>0</v>
      </c>
      <c r="I620" s="26">
        <f ca="1">'Preventative costs A'!I620-'Preventative costs B'!I620</f>
        <v>0</v>
      </c>
      <c r="J620" s="26">
        <f ca="1">'Preventative costs A'!J620-'Preventative costs B'!J620</f>
        <v>0</v>
      </c>
      <c r="K620" s="26">
        <f ca="1">'Preventative costs A'!K620-'Preventative costs B'!K620</f>
        <v>0</v>
      </c>
      <c r="M620" s="4" t="str">
        <f t="shared" si="45"/>
        <v>$M(2015)</v>
      </c>
    </row>
    <row r="621" spans="1:13" s="6" customFormat="1" ht="13" thickBot="1" x14ac:dyDescent="0.3">
      <c r="A621" s="4" t="str">
        <v>LA CH4</v>
      </c>
      <c r="B621" s="35">
        <f ca="1">'Preventative costs A'!B621-'Preventative costs B'!B621</f>
        <v>0</v>
      </c>
      <c r="C621" s="35">
        <f ca="1">'Preventative costs A'!C621-'Preventative costs B'!C621</f>
        <v>0</v>
      </c>
      <c r="D621" s="35">
        <f ca="1">'Preventative costs A'!D621-'Preventative costs B'!D621</f>
        <v>0</v>
      </c>
      <c r="E621" s="35">
        <f ca="1">'Preventative costs A'!E621-'Preventative costs B'!E621</f>
        <v>0</v>
      </c>
      <c r="F621" s="35">
        <f ca="1">'Preventative costs A'!F621-'Preventative costs B'!F621</f>
        <v>0</v>
      </c>
      <c r="G621" s="35">
        <f ca="1">'Preventative costs A'!G621-'Preventative costs B'!G621</f>
        <v>0</v>
      </c>
      <c r="H621" s="35">
        <f ca="1">'Preventative costs A'!H621-'Preventative costs B'!H621</f>
        <v>0</v>
      </c>
      <c r="I621" s="35">
        <f ca="1">'Preventative costs A'!I621-'Preventative costs B'!I621</f>
        <v>0</v>
      </c>
      <c r="J621" s="35">
        <f ca="1">'Preventative costs A'!J621-'Preventative costs B'!J621</f>
        <v>0</v>
      </c>
      <c r="K621" s="35">
        <f ca="1">'Preventative costs A'!K621-'Preventative costs B'!K621</f>
        <v>0</v>
      </c>
      <c r="M621" s="4" t="str">
        <f t="shared" si="45"/>
        <v>$M(2015)</v>
      </c>
    </row>
    <row r="622" spans="1:13" s="2" customFormat="1" ht="15.5" thickTop="1" x14ac:dyDescent="0.4">
      <c r="A622" s="2" t="s">
        <v>354</v>
      </c>
      <c r="B622" s="2" t="s">
        <v>357</v>
      </c>
    </row>
    <row r="623" spans="1:13" s="7" customFormat="1" x14ac:dyDescent="0.25">
      <c r="A623" s="4" t="str">
        <f t="array" ref="A623:A630">R_CODE&amp;" "&amp;'Base data'!$D$12</f>
        <v>EU N2O</v>
      </c>
      <c r="B623" s="29">
        <f ca="1">'Preventative costs A'!B623-'Preventative costs B'!B623</f>
        <v>0</v>
      </c>
      <c r="C623" s="29">
        <f ca="1">'Preventative costs A'!C623-'Preventative costs B'!C623</f>
        <v>0</v>
      </c>
      <c r="D623" s="29">
        <f ca="1">'Preventative costs A'!D623-'Preventative costs B'!D623</f>
        <v>0</v>
      </c>
      <c r="E623" s="29">
        <f ca="1">'Preventative costs A'!E623-'Preventative costs B'!E623</f>
        <v>0</v>
      </c>
      <c r="F623" s="29">
        <f ca="1">'Preventative costs A'!F623-'Preventative costs B'!F623</f>
        <v>0</v>
      </c>
      <c r="G623" s="29">
        <f ca="1">'Preventative costs A'!G623-'Preventative costs B'!G623</f>
        <v>0</v>
      </c>
      <c r="H623" s="29">
        <f ca="1">'Preventative costs A'!H623-'Preventative costs B'!H623</f>
        <v>0</v>
      </c>
      <c r="I623" s="29">
        <f ca="1">'Preventative costs A'!I623-'Preventative costs B'!I623</f>
        <v>0</v>
      </c>
      <c r="J623" s="29">
        <f ca="1">'Preventative costs A'!J623-'Preventative costs B'!J623</f>
        <v>0</v>
      </c>
      <c r="K623" s="29">
        <f ca="1">'Preventative costs A'!K623-'Preventative costs B'!K623</f>
        <v>0</v>
      </c>
      <c r="M623" s="4" t="str">
        <f t="shared" ref="M623:M630" si="46">CURRENCY_NAME</f>
        <v>$M(2015)</v>
      </c>
    </row>
    <row r="624" spans="1:13" s="7" customFormat="1" x14ac:dyDescent="0.25">
      <c r="A624" s="4" t="str">
        <v>US N2O</v>
      </c>
      <c r="B624" s="26">
        <f ca="1">'Preventative costs A'!B624-'Preventative costs B'!B624</f>
        <v>0</v>
      </c>
      <c r="C624" s="26">
        <f ca="1">'Preventative costs A'!C624-'Preventative costs B'!C624</f>
        <v>0</v>
      </c>
      <c r="D624" s="26">
        <f ca="1">'Preventative costs A'!D624-'Preventative costs B'!D624</f>
        <v>0</v>
      </c>
      <c r="E624" s="26">
        <f ca="1">'Preventative costs A'!E624-'Preventative costs B'!E624</f>
        <v>0</v>
      </c>
      <c r="F624" s="26">
        <f ca="1">'Preventative costs A'!F624-'Preventative costs B'!F624</f>
        <v>0</v>
      </c>
      <c r="G624" s="26">
        <f ca="1">'Preventative costs A'!G624-'Preventative costs B'!G624</f>
        <v>0</v>
      </c>
      <c r="H624" s="26">
        <f ca="1">'Preventative costs A'!H624-'Preventative costs B'!H624</f>
        <v>0</v>
      </c>
      <c r="I624" s="26">
        <f ca="1">'Preventative costs A'!I624-'Preventative costs B'!I624</f>
        <v>0</v>
      </c>
      <c r="J624" s="26">
        <f ca="1">'Preventative costs A'!J624-'Preventative costs B'!J624</f>
        <v>0</v>
      </c>
      <c r="K624" s="26">
        <f ca="1">'Preventative costs A'!K624-'Preventative costs B'!K624</f>
        <v>0</v>
      </c>
      <c r="M624" s="4" t="str">
        <f t="shared" si="46"/>
        <v>$M(2015)</v>
      </c>
    </row>
    <row r="625" spans="1:13" s="7" customFormat="1" x14ac:dyDescent="0.25">
      <c r="A625" s="4" t="str">
        <v>OT N2O</v>
      </c>
      <c r="B625" s="26">
        <f ca="1">'Preventative costs A'!B625-'Preventative costs B'!B625</f>
        <v>0</v>
      </c>
      <c r="C625" s="26">
        <f ca="1">'Preventative costs A'!C625-'Preventative costs B'!C625</f>
        <v>0</v>
      </c>
      <c r="D625" s="26">
        <f ca="1">'Preventative costs A'!D625-'Preventative costs B'!D625</f>
        <v>0</v>
      </c>
      <c r="E625" s="26">
        <f ca="1">'Preventative costs A'!E625-'Preventative costs B'!E625</f>
        <v>0</v>
      </c>
      <c r="F625" s="26">
        <f ca="1">'Preventative costs A'!F625-'Preventative costs B'!F625</f>
        <v>0</v>
      </c>
      <c r="G625" s="26">
        <f ca="1">'Preventative costs A'!G625-'Preventative costs B'!G625</f>
        <v>0</v>
      </c>
      <c r="H625" s="26">
        <f ca="1">'Preventative costs A'!H625-'Preventative costs B'!H625</f>
        <v>0</v>
      </c>
      <c r="I625" s="26">
        <f ca="1">'Preventative costs A'!I625-'Preventative costs B'!I625</f>
        <v>0</v>
      </c>
      <c r="J625" s="26">
        <f ca="1">'Preventative costs A'!J625-'Preventative costs B'!J625</f>
        <v>0</v>
      </c>
      <c r="K625" s="26">
        <f ca="1">'Preventative costs A'!K625-'Preventative costs B'!K625</f>
        <v>0</v>
      </c>
      <c r="M625" s="4" t="str">
        <f t="shared" si="46"/>
        <v>$M(2015)</v>
      </c>
    </row>
    <row r="626" spans="1:13" s="7" customFormat="1" x14ac:dyDescent="0.25">
      <c r="A626" s="4" t="str">
        <v>EE N2O</v>
      </c>
      <c r="B626" s="26">
        <f ca="1">'Preventative costs A'!B626-'Preventative costs B'!B626</f>
        <v>0</v>
      </c>
      <c r="C626" s="26">
        <f ca="1">'Preventative costs A'!C626-'Preventative costs B'!C626</f>
        <v>0</v>
      </c>
      <c r="D626" s="26">
        <f ca="1">'Preventative costs A'!D626-'Preventative costs B'!D626</f>
        <v>0</v>
      </c>
      <c r="E626" s="26">
        <f ca="1">'Preventative costs A'!E626-'Preventative costs B'!E626</f>
        <v>0</v>
      </c>
      <c r="F626" s="26">
        <f ca="1">'Preventative costs A'!F626-'Preventative costs B'!F626</f>
        <v>0</v>
      </c>
      <c r="G626" s="26">
        <f ca="1">'Preventative costs A'!G626-'Preventative costs B'!G626</f>
        <v>0</v>
      </c>
      <c r="H626" s="26">
        <f ca="1">'Preventative costs A'!H626-'Preventative costs B'!H626</f>
        <v>0</v>
      </c>
      <c r="I626" s="26">
        <f ca="1">'Preventative costs A'!I626-'Preventative costs B'!I626</f>
        <v>0</v>
      </c>
      <c r="J626" s="26">
        <f ca="1">'Preventative costs A'!J626-'Preventative costs B'!J626</f>
        <v>0</v>
      </c>
      <c r="K626" s="26">
        <f ca="1">'Preventative costs A'!K626-'Preventative costs B'!K626</f>
        <v>0</v>
      </c>
      <c r="M626" s="4" t="str">
        <f t="shared" si="46"/>
        <v>$M(2015)</v>
      </c>
    </row>
    <row r="627" spans="1:13" s="7" customFormat="1" x14ac:dyDescent="0.25">
      <c r="A627" s="4" t="str">
        <v>CA N2O</v>
      </c>
      <c r="B627" s="26">
        <f ca="1">'Preventative costs A'!B627-'Preventative costs B'!B627</f>
        <v>0</v>
      </c>
      <c r="C627" s="26">
        <f ca="1">'Preventative costs A'!C627-'Preventative costs B'!C627</f>
        <v>0</v>
      </c>
      <c r="D627" s="26">
        <f ca="1">'Preventative costs A'!D627-'Preventative costs B'!D627</f>
        <v>0</v>
      </c>
      <c r="E627" s="26">
        <f ca="1">'Preventative costs A'!E627-'Preventative costs B'!E627</f>
        <v>0</v>
      </c>
      <c r="F627" s="26">
        <f ca="1">'Preventative costs A'!F627-'Preventative costs B'!F627</f>
        <v>0</v>
      </c>
      <c r="G627" s="26">
        <f ca="1">'Preventative costs A'!G627-'Preventative costs B'!G627</f>
        <v>0</v>
      </c>
      <c r="H627" s="26">
        <f ca="1">'Preventative costs A'!H627-'Preventative costs B'!H627</f>
        <v>0</v>
      </c>
      <c r="I627" s="26">
        <f ca="1">'Preventative costs A'!I627-'Preventative costs B'!I627</f>
        <v>0</v>
      </c>
      <c r="J627" s="26">
        <f ca="1">'Preventative costs A'!J627-'Preventative costs B'!J627</f>
        <v>0</v>
      </c>
      <c r="K627" s="26">
        <f ca="1">'Preventative costs A'!K627-'Preventative costs B'!K627</f>
        <v>0</v>
      </c>
      <c r="M627" s="4" t="str">
        <f t="shared" si="46"/>
        <v>$M(2015)</v>
      </c>
    </row>
    <row r="628" spans="1:13" s="7" customFormat="1" x14ac:dyDescent="0.25">
      <c r="A628" s="4" t="str">
        <v>IA N2O</v>
      </c>
      <c r="B628" s="26">
        <f ca="1">'Preventative costs A'!B628-'Preventative costs B'!B628</f>
        <v>0</v>
      </c>
      <c r="C628" s="26">
        <f ca="1">'Preventative costs A'!C628-'Preventative costs B'!C628</f>
        <v>0</v>
      </c>
      <c r="D628" s="26">
        <f ca="1">'Preventative costs A'!D628-'Preventative costs B'!D628</f>
        <v>0</v>
      </c>
      <c r="E628" s="26">
        <f ca="1">'Preventative costs A'!E628-'Preventative costs B'!E628</f>
        <v>0</v>
      </c>
      <c r="F628" s="26">
        <f ca="1">'Preventative costs A'!F628-'Preventative costs B'!F628</f>
        <v>0</v>
      </c>
      <c r="G628" s="26">
        <f ca="1">'Preventative costs A'!G628-'Preventative costs B'!G628</f>
        <v>0</v>
      </c>
      <c r="H628" s="26">
        <f ca="1">'Preventative costs A'!H628-'Preventative costs B'!H628</f>
        <v>0</v>
      </c>
      <c r="I628" s="26">
        <f ca="1">'Preventative costs A'!I628-'Preventative costs B'!I628</f>
        <v>0</v>
      </c>
      <c r="J628" s="26">
        <f ca="1">'Preventative costs A'!J628-'Preventative costs B'!J628</f>
        <v>0</v>
      </c>
      <c r="K628" s="26">
        <f ca="1">'Preventative costs A'!K628-'Preventative costs B'!K628</f>
        <v>0</v>
      </c>
      <c r="M628" s="4" t="str">
        <f t="shared" si="46"/>
        <v>$M(2015)</v>
      </c>
    </row>
    <row r="629" spans="1:13" s="7" customFormat="1" x14ac:dyDescent="0.25">
      <c r="A629" s="4" t="str">
        <v>AF N2O</v>
      </c>
      <c r="B629" s="26">
        <f ca="1">'Preventative costs A'!B629-'Preventative costs B'!B629</f>
        <v>0</v>
      </c>
      <c r="C629" s="26">
        <f ca="1">'Preventative costs A'!C629-'Preventative costs B'!C629</f>
        <v>0</v>
      </c>
      <c r="D629" s="26">
        <f ca="1">'Preventative costs A'!D629-'Preventative costs B'!D629</f>
        <v>0</v>
      </c>
      <c r="E629" s="26">
        <f ca="1">'Preventative costs A'!E629-'Preventative costs B'!E629</f>
        <v>0</v>
      </c>
      <c r="F629" s="26">
        <f ca="1">'Preventative costs A'!F629-'Preventative costs B'!F629</f>
        <v>0</v>
      </c>
      <c r="G629" s="26">
        <f ca="1">'Preventative costs A'!G629-'Preventative costs B'!G629</f>
        <v>0</v>
      </c>
      <c r="H629" s="26">
        <f ca="1">'Preventative costs A'!H629-'Preventative costs B'!H629</f>
        <v>0</v>
      </c>
      <c r="I629" s="26">
        <f ca="1">'Preventative costs A'!I629-'Preventative costs B'!I629</f>
        <v>0</v>
      </c>
      <c r="J629" s="26">
        <f ca="1">'Preventative costs A'!J629-'Preventative costs B'!J629</f>
        <v>0</v>
      </c>
      <c r="K629" s="26">
        <f ca="1">'Preventative costs A'!K629-'Preventative costs B'!K629</f>
        <v>0</v>
      </c>
      <c r="M629" s="4" t="str">
        <f t="shared" si="46"/>
        <v>$M(2015)</v>
      </c>
    </row>
    <row r="630" spans="1:13" s="7" customFormat="1" ht="13" thickBot="1" x14ac:dyDescent="0.3">
      <c r="A630" s="4" t="str">
        <v>LA N2O</v>
      </c>
      <c r="B630" s="35">
        <f ca="1">'Preventative costs A'!B630-'Preventative costs B'!B630</f>
        <v>0</v>
      </c>
      <c r="C630" s="35">
        <f ca="1">'Preventative costs A'!C630-'Preventative costs B'!C630</f>
        <v>0</v>
      </c>
      <c r="D630" s="35">
        <f ca="1">'Preventative costs A'!D630-'Preventative costs B'!D630</f>
        <v>0</v>
      </c>
      <c r="E630" s="35">
        <f ca="1">'Preventative costs A'!E630-'Preventative costs B'!E630</f>
        <v>0</v>
      </c>
      <c r="F630" s="35">
        <f ca="1">'Preventative costs A'!F630-'Preventative costs B'!F630</f>
        <v>0</v>
      </c>
      <c r="G630" s="35">
        <f ca="1">'Preventative costs A'!G630-'Preventative costs B'!G630</f>
        <v>0</v>
      </c>
      <c r="H630" s="35">
        <f ca="1">'Preventative costs A'!H630-'Preventative costs B'!H630</f>
        <v>0</v>
      </c>
      <c r="I630" s="35">
        <f ca="1">'Preventative costs A'!I630-'Preventative costs B'!I630</f>
        <v>0</v>
      </c>
      <c r="J630" s="35">
        <f ca="1">'Preventative costs A'!J630-'Preventative costs B'!J630</f>
        <v>0</v>
      </c>
      <c r="K630" s="35">
        <f ca="1">'Preventative costs A'!K630-'Preventative costs B'!K630</f>
        <v>0</v>
      </c>
      <c r="M630" s="4" t="str">
        <f t="shared" si="46"/>
        <v>$M(2015)</v>
      </c>
    </row>
    <row r="631" spans="1:13" s="2" customFormat="1" ht="15.5" thickTop="1" x14ac:dyDescent="0.4">
      <c r="A631" s="2" t="s">
        <v>354</v>
      </c>
      <c r="B631" s="2" t="s">
        <v>358</v>
      </c>
    </row>
    <row r="632" spans="1:13" s="7" customFormat="1" x14ac:dyDescent="0.25">
      <c r="A632" s="4" t="str">
        <f t="array" ref="A632:A639">R_CODE&amp;" "&amp;GLIN_NAME</f>
        <v>EU Lin</v>
      </c>
      <c r="B632" s="29">
        <f ca="1">'Preventative costs A'!B632-'Preventative costs B'!B632</f>
        <v>0</v>
      </c>
      <c r="C632" s="29">
        <f ca="1">'Preventative costs A'!C632-'Preventative costs B'!C632</f>
        <v>0</v>
      </c>
      <c r="D632" s="29">
        <f ca="1">'Preventative costs A'!D632-'Preventative costs B'!D632</f>
        <v>0</v>
      </c>
      <c r="E632" s="29">
        <f ca="1">'Preventative costs A'!E632-'Preventative costs B'!E632</f>
        <v>0</v>
      </c>
      <c r="F632" s="29">
        <f ca="1">'Preventative costs A'!F632-'Preventative costs B'!F632</f>
        <v>0</v>
      </c>
      <c r="G632" s="29">
        <f ca="1">'Preventative costs A'!G632-'Preventative costs B'!G632</f>
        <v>0</v>
      </c>
      <c r="H632" s="29">
        <f ca="1">'Preventative costs A'!H632-'Preventative costs B'!H632</f>
        <v>0</v>
      </c>
      <c r="I632" s="29">
        <f ca="1">'Preventative costs A'!I632-'Preventative costs B'!I632</f>
        <v>0</v>
      </c>
      <c r="J632" s="29">
        <f ca="1">'Preventative costs A'!J632-'Preventative costs B'!J632</f>
        <v>0</v>
      </c>
      <c r="K632" s="29">
        <f ca="1">'Preventative costs A'!K632-'Preventative costs B'!K632</f>
        <v>0</v>
      </c>
      <c r="M632" s="4" t="str">
        <f t="shared" ref="M632:M639" si="47">CURRENCY_NAME</f>
        <v>$M(2015)</v>
      </c>
    </row>
    <row r="633" spans="1:13" s="7" customFormat="1" x14ac:dyDescent="0.25">
      <c r="A633" s="4" t="str">
        <v>US Lin</v>
      </c>
      <c r="B633" s="26">
        <f ca="1">'Preventative costs A'!B633-'Preventative costs B'!B633</f>
        <v>0</v>
      </c>
      <c r="C633" s="26">
        <f ca="1">'Preventative costs A'!C633-'Preventative costs B'!C633</f>
        <v>0</v>
      </c>
      <c r="D633" s="26">
        <f ca="1">'Preventative costs A'!D633-'Preventative costs B'!D633</f>
        <v>0</v>
      </c>
      <c r="E633" s="26">
        <f ca="1">'Preventative costs A'!E633-'Preventative costs B'!E633</f>
        <v>0</v>
      </c>
      <c r="F633" s="26">
        <f ca="1">'Preventative costs A'!F633-'Preventative costs B'!F633</f>
        <v>0</v>
      </c>
      <c r="G633" s="26">
        <f ca="1">'Preventative costs A'!G633-'Preventative costs B'!G633</f>
        <v>0</v>
      </c>
      <c r="H633" s="26">
        <f ca="1">'Preventative costs A'!H633-'Preventative costs B'!H633</f>
        <v>0</v>
      </c>
      <c r="I633" s="26">
        <f ca="1">'Preventative costs A'!I633-'Preventative costs B'!I633</f>
        <v>0</v>
      </c>
      <c r="J633" s="26">
        <f ca="1">'Preventative costs A'!J633-'Preventative costs B'!J633</f>
        <v>0</v>
      </c>
      <c r="K633" s="26">
        <f ca="1">'Preventative costs A'!K633-'Preventative costs B'!K633</f>
        <v>0</v>
      </c>
      <c r="M633" s="4" t="str">
        <f t="shared" si="47"/>
        <v>$M(2015)</v>
      </c>
    </row>
    <row r="634" spans="1:13" s="7" customFormat="1" x14ac:dyDescent="0.25">
      <c r="A634" s="4" t="str">
        <v>OT Lin</v>
      </c>
      <c r="B634" s="26">
        <f ca="1">'Preventative costs A'!B634-'Preventative costs B'!B634</f>
        <v>0</v>
      </c>
      <c r="C634" s="26">
        <f ca="1">'Preventative costs A'!C634-'Preventative costs B'!C634</f>
        <v>0</v>
      </c>
      <c r="D634" s="26">
        <f ca="1">'Preventative costs A'!D634-'Preventative costs B'!D634</f>
        <v>0</v>
      </c>
      <c r="E634" s="26">
        <f ca="1">'Preventative costs A'!E634-'Preventative costs B'!E634</f>
        <v>0</v>
      </c>
      <c r="F634" s="26">
        <f ca="1">'Preventative costs A'!F634-'Preventative costs B'!F634</f>
        <v>0</v>
      </c>
      <c r="G634" s="26">
        <f ca="1">'Preventative costs A'!G634-'Preventative costs B'!G634</f>
        <v>0</v>
      </c>
      <c r="H634" s="26">
        <f ca="1">'Preventative costs A'!H634-'Preventative costs B'!H634</f>
        <v>0</v>
      </c>
      <c r="I634" s="26">
        <f ca="1">'Preventative costs A'!I634-'Preventative costs B'!I634</f>
        <v>0</v>
      </c>
      <c r="J634" s="26">
        <f ca="1">'Preventative costs A'!J634-'Preventative costs B'!J634</f>
        <v>0</v>
      </c>
      <c r="K634" s="26">
        <f ca="1">'Preventative costs A'!K634-'Preventative costs B'!K634</f>
        <v>0</v>
      </c>
      <c r="M634" s="4" t="str">
        <f t="shared" si="47"/>
        <v>$M(2015)</v>
      </c>
    </row>
    <row r="635" spans="1:13" s="7" customFormat="1" x14ac:dyDescent="0.25">
      <c r="A635" s="4" t="str">
        <v>EE Lin</v>
      </c>
      <c r="B635" s="26">
        <f ca="1">'Preventative costs A'!B635-'Preventative costs B'!B635</f>
        <v>0</v>
      </c>
      <c r="C635" s="26">
        <f ca="1">'Preventative costs A'!C635-'Preventative costs B'!C635</f>
        <v>0</v>
      </c>
      <c r="D635" s="26">
        <f ca="1">'Preventative costs A'!D635-'Preventative costs B'!D635</f>
        <v>0</v>
      </c>
      <c r="E635" s="26">
        <f ca="1">'Preventative costs A'!E635-'Preventative costs B'!E635</f>
        <v>0</v>
      </c>
      <c r="F635" s="26">
        <f ca="1">'Preventative costs A'!F635-'Preventative costs B'!F635</f>
        <v>0</v>
      </c>
      <c r="G635" s="26">
        <f ca="1">'Preventative costs A'!G635-'Preventative costs B'!G635</f>
        <v>0</v>
      </c>
      <c r="H635" s="26">
        <f ca="1">'Preventative costs A'!H635-'Preventative costs B'!H635</f>
        <v>0</v>
      </c>
      <c r="I635" s="26">
        <f ca="1">'Preventative costs A'!I635-'Preventative costs B'!I635</f>
        <v>0</v>
      </c>
      <c r="J635" s="26">
        <f ca="1">'Preventative costs A'!J635-'Preventative costs B'!J635</f>
        <v>0</v>
      </c>
      <c r="K635" s="26">
        <f ca="1">'Preventative costs A'!K635-'Preventative costs B'!K635</f>
        <v>0</v>
      </c>
      <c r="M635" s="4" t="str">
        <f t="shared" si="47"/>
        <v>$M(2015)</v>
      </c>
    </row>
    <row r="636" spans="1:13" s="7" customFormat="1" x14ac:dyDescent="0.25">
      <c r="A636" s="4" t="str">
        <v>CA Lin</v>
      </c>
      <c r="B636" s="26">
        <f ca="1">'Preventative costs A'!B636-'Preventative costs B'!B636</f>
        <v>0</v>
      </c>
      <c r="C636" s="26">
        <f ca="1">'Preventative costs A'!C636-'Preventative costs B'!C636</f>
        <v>0</v>
      </c>
      <c r="D636" s="26">
        <f ca="1">'Preventative costs A'!D636-'Preventative costs B'!D636</f>
        <v>0</v>
      </c>
      <c r="E636" s="26">
        <f ca="1">'Preventative costs A'!E636-'Preventative costs B'!E636</f>
        <v>0</v>
      </c>
      <c r="F636" s="26">
        <f ca="1">'Preventative costs A'!F636-'Preventative costs B'!F636</f>
        <v>0</v>
      </c>
      <c r="G636" s="26">
        <f ca="1">'Preventative costs A'!G636-'Preventative costs B'!G636</f>
        <v>0</v>
      </c>
      <c r="H636" s="26">
        <f ca="1">'Preventative costs A'!H636-'Preventative costs B'!H636</f>
        <v>0</v>
      </c>
      <c r="I636" s="26">
        <f ca="1">'Preventative costs A'!I636-'Preventative costs B'!I636</f>
        <v>0</v>
      </c>
      <c r="J636" s="26">
        <f ca="1">'Preventative costs A'!J636-'Preventative costs B'!J636</f>
        <v>0</v>
      </c>
      <c r="K636" s="26">
        <f ca="1">'Preventative costs A'!K636-'Preventative costs B'!K636</f>
        <v>0</v>
      </c>
      <c r="M636" s="4" t="str">
        <f t="shared" si="47"/>
        <v>$M(2015)</v>
      </c>
    </row>
    <row r="637" spans="1:13" s="7" customFormat="1" x14ac:dyDescent="0.25">
      <c r="A637" s="4" t="str">
        <v>IA Lin</v>
      </c>
      <c r="B637" s="26">
        <f ca="1">'Preventative costs A'!B637-'Preventative costs B'!B637</f>
        <v>0</v>
      </c>
      <c r="C637" s="26">
        <f ca="1">'Preventative costs A'!C637-'Preventative costs B'!C637</f>
        <v>0</v>
      </c>
      <c r="D637" s="26">
        <f ca="1">'Preventative costs A'!D637-'Preventative costs B'!D637</f>
        <v>0</v>
      </c>
      <c r="E637" s="26">
        <f ca="1">'Preventative costs A'!E637-'Preventative costs B'!E637</f>
        <v>0</v>
      </c>
      <c r="F637" s="26">
        <f ca="1">'Preventative costs A'!F637-'Preventative costs B'!F637</f>
        <v>0</v>
      </c>
      <c r="G637" s="26">
        <f ca="1">'Preventative costs A'!G637-'Preventative costs B'!G637</f>
        <v>0</v>
      </c>
      <c r="H637" s="26">
        <f ca="1">'Preventative costs A'!H637-'Preventative costs B'!H637</f>
        <v>0</v>
      </c>
      <c r="I637" s="26">
        <f ca="1">'Preventative costs A'!I637-'Preventative costs B'!I637</f>
        <v>0</v>
      </c>
      <c r="J637" s="26">
        <f ca="1">'Preventative costs A'!J637-'Preventative costs B'!J637</f>
        <v>0</v>
      </c>
      <c r="K637" s="26">
        <f ca="1">'Preventative costs A'!K637-'Preventative costs B'!K637</f>
        <v>0</v>
      </c>
      <c r="M637" s="4" t="str">
        <f t="shared" si="47"/>
        <v>$M(2015)</v>
      </c>
    </row>
    <row r="638" spans="1:13" s="7" customFormat="1" x14ac:dyDescent="0.25">
      <c r="A638" s="4" t="str">
        <v>AF Lin</v>
      </c>
      <c r="B638" s="26">
        <f ca="1">'Preventative costs A'!B638-'Preventative costs B'!B638</f>
        <v>0</v>
      </c>
      <c r="C638" s="26">
        <f ca="1">'Preventative costs A'!C638-'Preventative costs B'!C638</f>
        <v>0</v>
      </c>
      <c r="D638" s="26">
        <f ca="1">'Preventative costs A'!D638-'Preventative costs B'!D638</f>
        <v>0</v>
      </c>
      <c r="E638" s="26">
        <f ca="1">'Preventative costs A'!E638-'Preventative costs B'!E638</f>
        <v>0</v>
      </c>
      <c r="F638" s="26">
        <f ca="1">'Preventative costs A'!F638-'Preventative costs B'!F638</f>
        <v>0</v>
      </c>
      <c r="G638" s="26">
        <f ca="1">'Preventative costs A'!G638-'Preventative costs B'!G638</f>
        <v>0</v>
      </c>
      <c r="H638" s="26">
        <f ca="1">'Preventative costs A'!H638-'Preventative costs B'!H638</f>
        <v>0</v>
      </c>
      <c r="I638" s="26">
        <f ca="1">'Preventative costs A'!I638-'Preventative costs B'!I638</f>
        <v>0</v>
      </c>
      <c r="J638" s="26">
        <f ca="1">'Preventative costs A'!J638-'Preventative costs B'!J638</f>
        <v>0</v>
      </c>
      <c r="K638" s="26">
        <f ca="1">'Preventative costs A'!K638-'Preventative costs B'!K638</f>
        <v>0</v>
      </c>
      <c r="M638" s="4" t="str">
        <f t="shared" si="47"/>
        <v>$M(2015)</v>
      </c>
    </row>
    <row r="639" spans="1:13" s="7" customFormat="1" ht="13" thickBot="1" x14ac:dyDescent="0.3">
      <c r="A639" s="4" t="str">
        <v>LA Lin</v>
      </c>
      <c r="B639" s="35">
        <f ca="1">'Preventative costs A'!B639-'Preventative costs B'!B639</f>
        <v>0</v>
      </c>
      <c r="C639" s="35">
        <f ca="1">'Preventative costs A'!C639-'Preventative costs B'!C639</f>
        <v>0</v>
      </c>
      <c r="D639" s="35">
        <f ca="1">'Preventative costs A'!D639-'Preventative costs B'!D639</f>
        <v>0</v>
      </c>
      <c r="E639" s="35">
        <f ca="1">'Preventative costs A'!E639-'Preventative costs B'!E639</f>
        <v>0</v>
      </c>
      <c r="F639" s="35">
        <f ca="1">'Preventative costs A'!F639-'Preventative costs B'!F639</f>
        <v>0</v>
      </c>
      <c r="G639" s="35">
        <f ca="1">'Preventative costs A'!G639-'Preventative costs B'!G639</f>
        <v>0</v>
      </c>
      <c r="H639" s="35">
        <f ca="1">'Preventative costs A'!H639-'Preventative costs B'!H639</f>
        <v>0</v>
      </c>
      <c r="I639" s="35">
        <f ca="1">'Preventative costs A'!I639-'Preventative costs B'!I639</f>
        <v>0</v>
      </c>
      <c r="J639" s="35">
        <f ca="1">'Preventative costs A'!J639-'Preventative costs B'!J639</f>
        <v>0</v>
      </c>
      <c r="K639" s="35">
        <f ca="1">'Preventative costs A'!K639-'Preventative costs B'!K639</f>
        <v>0</v>
      </c>
      <c r="M639" s="4" t="str">
        <f t="shared" si="47"/>
        <v>$M(2015)</v>
      </c>
    </row>
    <row r="640" spans="1:13" s="2" customFormat="1" ht="15.5" thickTop="1" x14ac:dyDescent="0.4">
      <c r="A640" s="2" t="s">
        <v>354</v>
      </c>
      <c r="B640" s="2" t="s">
        <v>394</v>
      </c>
    </row>
    <row r="641" spans="1:13" s="7" customFormat="1" x14ac:dyDescent="0.25">
      <c r="A641" s="4" t="str">
        <f t="array" ref="A641:A648">R_CODE</f>
        <v>EU</v>
      </c>
      <c r="B641" s="29">
        <f ca="1">'Preventative costs A'!B641-'Preventative costs B'!B641</f>
        <v>0</v>
      </c>
      <c r="C641" s="29">
        <f ca="1">'Preventative costs A'!C641-'Preventative costs B'!C641</f>
        <v>0</v>
      </c>
      <c r="D641" s="29">
        <f ca="1">'Preventative costs A'!D641-'Preventative costs B'!D641</f>
        <v>0</v>
      </c>
      <c r="E641" s="29">
        <f ca="1">'Preventative costs A'!E641-'Preventative costs B'!E641</f>
        <v>0</v>
      </c>
      <c r="F641" s="29">
        <f ca="1">'Preventative costs A'!F641-'Preventative costs B'!F641</f>
        <v>0</v>
      </c>
      <c r="G641" s="29">
        <f ca="1">'Preventative costs A'!G641-'Preventative costs B'!G641</f>
        <v>0</v>
      </c>
      <c r="H641" s="29">
        <f ca="1">'Preventative costs A'!H641-'Preventative costs B'!H641</f>
        <v>0</v>
      </c>
      <c r="I641" s="29">
        <f ca="1">'Preventative costs A'!I641-'Preventative costs B'!I641</f>
        <v>0</v>
      </c>
      <c r="J641" s="29">
        <f ca="1">'Preventative costs A'!J641-'Preventative costs B'!J641</f>
        <v>0</v>
      </c>
      <c r="K641" s="29">
        <f ca="1">'Preventative costs A'!K641-'Preventative costs B'!K641</f>
        <v>0</v>
      </c>
      <c r="M641" s="4" t="str">
        <f t="shared" ref="M641:M648" si="48">CURRENCY_NAME</f>
        <v>$M(2015)</v>
      </c>
    </row>
    <row r="642" spans="1:13" s="7" customFormat="1" x14ac:dyDescent="0.25">
      <c r="A642" s="4" t="str">
        <v>US</v>
      </c>
      <c r="B642" s="26">
        <f ca="1">'Preventative costs A'!B642-'Preventative costs B'!B642</f>
        <v>0</v>
      </c>
      <c r="C642" s="26">
        <f ca="1">'Preventative costs A'!C642-'Preventative costs B'!C642</f>
        <v>0</v>
      </c>
      <c r="D642" s="26">
        <f ca="1">'Preventative costs A'!D642-'Preventative costs B'!D642</f>
        <v>0</v>
      </c>
      <c r="E642" s="26">
        <f ca="1">'Preventative costs A'!E642-'Preventative costs B'!E642</f>
        <v>0</v>
      </c>
      <c r="F642" s="26">
        <f ca="1">'Preventative costs A'!F642-'Preventative costs B'!F642</f>
        <v>0</v>
      </c>
      <c r="G642" s="26">
        <f ca="1">'Preventative costs A'!G642-'Preventative costs B'!G642</f>
        <v>0</v>
      </c>
      <c r="H642" s="26">
        <f ca="1">'Preventative costs A'!H642-'Preventative costs B'!H642</f>
        <v>0</v>
      </c>
      <c r="I642" s="26">
        <f ca="1">'Preventative costs A'!I642-'Preventative costs B'!I642</f>
        <v>0</v>
      </c>
      <c r="J642" s="26">
        <f ca="1">'Preventative costs A'!J642-'Preventative costs B'!J642</f>
        <v>0</v>
      </c>
      <c r="K642" s="26">
        <f ca="1">'Preventative costs A'!K642-'Preventative costs B'!K642</f>
        <v>0</v>
      </c>
      <c r="M642" s="4" t="str">
        <f t="shared" si="48"/>
        <v>$M(2015)</v>
      </c>
    </row>
    <row r="643" spans="1:13" s="7" customFormat="1" x14ac:dyDescent="0.25">
      <c r="A643" s="4" t="str">
        <v>OT</v>
      </c>
      <c r="B643" s="26">
        <f ca="1">'Preventative costs A'!B643-'Preventative costs B'!B643</f>
        <v>0</v>
      </c>
      <c r="C643" s="26">
        <f ca="1">'Preventative costs A'!C643-'Preventative costs B'!C643</f>
        <v>0</v>
      </c>
      <c r="D643" s="26">
        <f ca="1">'Preventative costs A'!D643-'Preventative costs B'!D643</f>
        <v>0</v>
      </c>
      <c r="E643" s="26">
        <f ca="1">'Preventative costs A'!E643-'Preventative costs B'!E643</f>
        <v>0</v>
      </c>
      <c r="F643" s="26">
        <f ca="1">'Preventative costs A'!F643-'Preventative costs B'!F643</f>
        <v>0</v>
      </c>
      <c r="G643" s="26">
        <f ca="1">'Preventative costs A'!G643-'Preventative costs B'!G643</f>
        <v>0</v>
      </c>
      <c r="H643" s="26">
        <f ca="1">'Preventative costs A'!H643-'Preventative costs B'!H643</f>
        <v>0</v>
      </c>
      <c r="I643" s="26">
        <f ca="1">'Preventative costs A'!I643-'Preventative costs B'!I643</f>
        <v>0</v>
      </c>
      <c r="J643" s="26">
        <f ca="1">'Preventative costs A'!J643-'Preventative costs B'!J643</f>
        <v>0</v>
      </c>
      <c r="K643" s="26">
        <f ca="1">'Preventative costs A'!K643-'Preventative costs B'!K643</f>
        <v>0</v>
      </c>
      <c r="M643" s="4" t="str">
        <f t="shared" si="48"/>
        <v>$M(2015)</v>
      </c>
    </row>
    <row r="644" spans="1:13" s="7" customFormat="1" x14ac:dyDescent="0.25">
      <c r="A644" s="4" t="str">
        <v>EE</v>
      </c>
      <c r="B644" s="26">
        <f ca="1">'Preventative costs A'!B644-'Preventative costs B'!B644</f>
        <v>0</v>
      </c>
      <c r="C644" s="26">
        <f ca="1">'Preventative costs A'!C644-'Preventative costs B'!C644</f>
        <v>0</v>
      </c>
      <c r="D644" s="26">
        <f ca="1">'Preventative costs A'!D644-'Preventative costs B'!D644</f>
        <v>0</v>
      </c>
      <c r="E644" s="26">
        <f ca="1">'Preventative costs A'!E644-'Preventative costs B'!E644</f>
        <v>0</v>
      </c>
      <c r="F644" s="26">
        <f ca="1">'Preventative costs A'!F644-'Preventative costs B'!F644</f>
        <v>0</v>
      </c>
      <c r="G644" s="26">
        <f ca="1">'Preventative costs A'!G644-'Preventative costs B'!G644</f>
        <v>0</v>
      </c>
      <c r="H644" s="26">
        <f ca="1">'Preventative costs A'!H644-'Preventative costs B'!H644</f>
        <v>0</v>
      </c>
      <c r="I644" s="26">
        <f ca="1">'Preventative costs A'!I644-'Preventative costs B'!I644</f>
        <v>0</v>
      </c>
      <c r="J644" s="26">
        <f ca="1">'Preventative costs A'!J644-'Preventative costs B'!J644</f>
        <v>0</v>
      </c>
      <c r="K644" s="26">
        <f ca="1">'Preventative costs A'!K644-'Preventative costs B'!K644</f>
        <v>0</v>
      </c>
      <c r="M644" s="4" t="str">
        <f t="shared" si="48"/>
        <v>$M(2015)</v>
      </c>
    </row>
    <row r="645" spans="1:13" s="7" customFormat="1" x14ac:dyDescent="0.25">
      <c r="A645" s="4" t="str">
        <v>CA</v>
      </c>
      <c r="B645" s="26">
        <f ca="1">'Preventative costs A'!B645-'Preventative costs B'!B645</f>
        <v>0</v>
      </c>
      <c r="C645" s="26">
        <f ca="1">'Preventative costs A'!C645-'Preventative costs B'!C645</f>
        <v>0</v>
      </c>
      <c r="D645" s="26">
        <f ca="1">'Preventative costs A'!D645-'Preventative costs B'!D645</f>
        <v>0</v>
      </c>
      <c r="E645" s="26">
        <f ca="1">'Preventative costs A'!E645-'Preventative costs B'!E645</f>
        <v>0</v>
      </c>
      <c r="F645" s="26">
        <f ca="1">'Preventative costs A'!F645-'Preventative costs B'!F645</f>
        <v>0</v>
      </c>
      <c r="G645" s="26">
        <f ca="1">'Preventative costs A'!G645-'Preventative costs B'!G645</f>
        <v>0</v>
      </c>
      <c r="H645" s="26">
        <f ca="1">'Preventative costs A'!H645-'Preventative costs B'!H645</f>
        <v>0</v>
      </c>
      <c r="I645" s="26">
        <f ca="1">'Preventative costs A'!I645-'Preventative costs B'!I645</f>
        <v>0</v>
      </c>
      <c r="J645" s="26">
        <f ca="1">'Preventative costs A'!J645-'Preventative costs B'!J645</f>
        <v>0</v>
      </c>
      <c r="K645" s="26">
        <f ca="1">'Preventative costs A'!K645-'Preventative costs B'!K645</f>
        <v>0</v>
      </c>
      <c r="M645" s="4" t="str">
        <f t="shared" si="48"/>
        <v>$M(2015)</v>
      </c>
    </row>
    <row r="646" spans="1:13" s="7" customFormat="1" x14ac:dyDescent="0.25">
      <c r="A646" s="4" t="str">
        <v>IA</v>
      </c>
      <c r="B646" s="26">
        <f ca="1">'Preventative costs A'!B646-'Preventative costs B'!B646</f>
        <v>0</v>
      </c>
      <c r="C646" s="26">
        <f ca="1">'Preventative costs A'!C646-'Preventative costs B'!C646</f>
        <v>0</v>
      </c>
      <c r="D646" s="26">
        <f ca="1">'Preventative costs A'!D646-'Preventative costs B'!D646</f>
        <v>0</v>
      </c>
      <c r="E646" s="26">
        <f ca="1">'Preventative costs A'!E646-'Preventative costs B'!E646</f>
        <v>0</v>
      </c>
      <c r="F646" s="26">
        <f ca="1">'Preventative costs A'!F646-'Preventative costs B'!F646</f>
        <v>0</v>
      </c>
      <c r="G646" s="26">
        <f ca="1">'Preventative costs A'!G646-'Preventative costs B'!G646</f>
        <v>0</v>
      </c>
      <c r="H646" s="26">
        <f ca="1">'Preventative costs A'!H646-'Preventative costs B'!H646</f>
        <v>0</v>
      </c>
      <c r="I646" s="26">
        <f ca="1">'Preventative costs A'!I646-'Preventative costs B'!I646</f>
        <v>0</v>
      </c>
      <c r="J646" s="26">
        <f ca="1">'Preventative costs A'!J646-'Preventative costs B'!J646</f>
        <v>0</v>
      </c>
      <c r="K646" s="26">
        <f ca="1">'Preventative costs A'!K646-'Preventative costs B'!K646</f>
        <v>0</v>
      </c>
      <c r="M646" s="4" t="str">
        <f t="shared" si="48"/>
        <v>$M(2015)</v>
      </c>
    </row>
    <row r="647" spans="1:13" s="7" customFormat="1" x14ac:dyDescent="0.25">
      <c r="A647" s="4" t="str">
        <v>AF</v>
      </c>
      <c r="B647" s="26">
        <f ca="1">'Preventative costs A'!B647-'Preventative costs B'!B647</f>
        <v>0</v>
      </c>
      <c r="C647" s="26">
        <f ca="1">'Preventative costs A'!C647-'Preventative costs B'!C647</f>
        <v>0</v>
      </c>
      <c r="D647" s="26">
        <f ca="1">'Preventative costs A'!D647-'Preventative costs B'!D647</f>
        <v>0</v>
      </c>
      <c r="E647" s="26">
        <f ca="1">'Preventative costs A'!E647-'Preventative costs B'!E647</f>
        <v>0</v>
      </c>
      <c r="F647" s="26">
        <f ca="1">'Preventative costs A'!F647-'Preventative costs B'!F647</f>
        <v>0</v>
      </c>
      <c r="G647" s="26">
        <f ca="1">'Preventative costs A'!G647-'Preventative costs B'!G647</f>
        <v>0</v>
      </c>
      <c r="H647" s="26">
        <f ca="1">'Preventative costs A'!H647-'Preventative costs B'!H647</f>
        <v>0</v>
      </c>
      <c r="I647" s="26">
        <f ca="1">'Preventative costs A'!I647-'Preventative costs B'!I647</f>
        <v>0</v>
      </c>
      <c r="J647" s="26">
        <f ca="1">'Preventative costs A'!J647-'Preventative costs B'!J647</f>
        <v>0</v>
      </c>
      <c r="K647" s="26">
        <f ca="1">'Preventative costs A'!K647-'Preventative costs B'!K647</f>
        <v>0</v>
      </c>
      <c r="M647" s="4" t="str">
        <f t="shared" si="48"/>
        <v>$M(2015)</v>
      </c>
    </row>
    <row r="648" spans="1:13" s="7" customFormat="1" ht="13" thickBot="1" x14ac:dyDescent="0.3">
      <c r="A648" s="4" t="str">
        <v>LA</v>
      </c>
      <c r="B648" s="35">
        <f ca="1">'Preventative costs A'!B648-'Preventative costs B'!B648</f>
        <v>0</v>
      </c>
      <c r="C648" s="35">
        <f ca="1">'Preventative costs A'!C648-'Preventative costs B'!C648</f>
        <v>0</v>
      </c>
      <c r="D648" s="35">
        <f ca="1">'Preventative costs A'!D648-'Preventative costs B'!D648</f>
        <v>0</v>
      </c>
      <c r="E648" s="35">
        <f ca="1">'Preventative costs A'!E648-'Preventative costs B'!E648</f>
        <v>0</v>
      </c>
      <c r="F648" s="35">
        <f ca="1">'Preventative costs A'!F648-'Preventative costs B'!F648</f>
        <v>0</v>
      </c>
      <c r="G648" s="35">
        <f ca="1">'Preventative costs A'!G648-'Preventative costs B'!G648</f>
        <v>0</v>
      </c>
      <c r="H648" s="35">
        <f ca="1">'Preventative costs A'!H648-'Preventative costs B'!H648</f>
        <v>0</v>
      </c>
      <c r="I648" s="35">
        <f ca="1">'Preventative costs A'!I648-'Preventative costs B'!I648</f>
        <v>0</v>
      </c>
      <c r="J648" s="35">
        <f ca="1">'Preventative costs A'!J648-'Preventative costs B'!J648</f>
        <v>0</v>
      </c>
      <c r="K648" s="35">
        <f ca="1">'Preventative costs A'!K648-'Preventative costs B'!K648</f>
        <v>0</v>
      </c>
      <c r="M648" s="4" t="str">
        <f t="shared" si="48"/>
        <v>$M(2015)</v>
      </c>
    </row>
    <row r="649" spans="1:13" s="2" customFormat="1" ht="15.5" thickTop="1" x14ac:dyDescent="0.4">
      <c r="A649" s="2" t="s">
        <v>359</v>
      </c>
      <c r="B649" s="2" t="s">
        <v>397</v>
      </c>
    </row>
    <row r="650" spans="1:13" s="7" customFormat="1" x14ac:dyDescent="0.25">
      <c r="A650" s="4" t="str">
        <f t="array" ref="A650:A657">R_CODE</f>
        <v>EU</v>
      </c>
      <c r="B650" s="29">
        <f ca="1">'Preventative costs A'!B650-'Preventative costs B'!B650</f>
        <v>0</v>
      </c>
      <c r="C650" s="29">
        <f ca="1">'Preventative costs A'!C650-'Preventative costs B'!C650</f>
        <v>0</v>
      </c>
      <c r="D650" s="29">
        <f ca="1">'Preventative costs A'!D650-'Preventative costs B'!D650</f>
        <v>0</v>
      </c>
      <c r="E650" s="29">
        <f ca="1">'Preventative costs A'!E650-'Preventative costs B'!E650</f>
        <v>0</v>
      </c>
      <c r="F650" s="29">
        <f ca="1">'Preventative costs A'!F650-'Preventative costs B'!F650</f>
        <v>0</v>
      </c>
      <c r="G650" s="29">
        <f ca="1">'Preventative costs A'!G650-'Preventative costs B'!G650</f>
        <v>0</v>
      </c>
      <c r="H650" s="29">
        <f ca="1">'Preventative costs A'!H650-'Preventative costs B'!H650</f>
        <v>0</v>
      </c>
      <c r="I650" s="29">
        <f ca="1">'Preventative costs A'!I650-'Preventative costs B'!I650</f>
        <v>0</v>
      </c>
      <c r="J650" s="29">
        <f ca="1">'Preventative costs A'!J650-'Preventative costs B'!J650</f>
        <v>0</v>
      </c>
      <c r="K650" s="29">
        <f ca="1">'Preventative costs A'!K650-'Preventative costs B'!K650</f>
        <v>0</v>
      </c>
      <c r="M650" s="1" t="str">
        <f t="shared" ref="M650:M657" si="49">CURRENCY_NAME&amp;"/"&amp;POP_UNIT_NAME</f>
        <v>$M(2015)/million</v>
      </c>
    </row>
    <row r="651" spans="1:13" s="7" customFormat="1" x14ac:dyDescent="0.25">
      <c r="A651" s="4" t="str">
        <v>US</v>
      </c>
      <c r="B651" s="26">
        <f ca="1">'Preventative costs A'!B651-'Preventative costs B'!B651</f>
        <v>0</v>
      </c>
      <c r="C651" s="26">
        <f ca="1">'Preventative costs A'!C651-'Preventative costs B'!C651</f>
        <v>0</v>
      </c>
      <c r="D651" s="26">
        <f ca="1">'Preventative costs A'!D651-'Preventative costs B'!D651</f>
        <v>0</v>
      </c>
      <c r="E651" s="26">
        <f ca="1">'Preventative costs A'!E651-'Preventative costs B'!E651</f>
        <v>0</v>
      </c>
      <c r="F651" s="26">
        <f ca="1">'Preventative costs A'!F651-'Preventative costs B'!F651</f>
        <v>0</v>
      </c>
      <c r="G651" s="26">
        <f ca="1">'Preventative costs A'!G651-'Preventative costs B'!G651</f>
        <v>0</v>
      </c>
      <c r="H651" s="26">
        <f ca="1">'Preventative costs A'!H651-'Preventative costs B'!H651</f>
        <v>0</v>
      </c>
      <c r="I651" s="26">
        <f ca="1">'Preventative costs A'!I651-'Preventative costs B'!I651</f>
        <v>0</v>
      </c>
      <c r="J651" s="26">
        <f ca="1">'Preventative costs A'!J651-'Preventative costs B'!J651</f>
        <v>0</v>
      </c>
      <c r="K651" s="26">
        <f ca="1">'Preventative costs A'!K651-'Preventative costs B'!K651</f>
        <v>0</v>
      </c>
      <c r="M651" s="1" t="str">
        <f t="shared" si="49"/>
        <v>$M(2015)/million</v>
      </c>
    </row>
    <row r="652" spans="1:13" s="7" customFormat="1" x14ac:dyDescent="0.25">
      <c r="A652" s="4" t="str">
        <v>OT</v>
      </c>
      <c r="B652" s="26">
        <f ca="1">'Preventative costs A'!B652-'Preventative costs B'!B652</f>
        <v>0</v>
      </c>
      <c r="C652" s="26">
        <f ca="1">'Preventative costs A'!C652-'Preventative costs B'!C652</f>
        <v>0</v>
      </c>
      <c r="D652" s="26">
        <f ca="1">'Preventative costs A'!D652-'Preventative costs B'!D652</f>
        <v>0</v>
      </c>
      <c r="E652" s="26">
        <f ca="1">'Preventative costs A'!E652-'Preventative costs B'!E652</f>
        <v>0</v>
      </c>
      <c r="F652" s="26">
        <f ca="1">'Preventative costs A'!F652-'Preventative costs B'!F652</f>
        <v>0</v>
      </c>
      <c r="G652" s="26">
        <f ca="1">'Preventative costs A'!G652-'Preventative costs B'!G652</f>
        <v>0</v>
      </c>
      <c r="H652" s="26">
        <f ca="1">'Preventative costs A'!H652-'Preventative costs B'!H652</f>
        <v>0</v>
      </c>
      <c r="I652" s="26">
        <f ca="1">'Preventative costs A'!I652-'Preventative costs B'!I652</f>
        <v>0</v>
      </c>
      <c r="J652" s="26">
        <f ca="1">'Preventative costs A'!J652-'Preventative costs B'!J652</f>
        <v>0</v>
      </c>
      <c r="K652" s="26">
        <f ca="1">'Preventative costs A'!K652-'Preventative costs B'!K652</f>
        <v>0</v>
      </c>
      <c r="M652" s="1" t="str">
        <f t="shared" si="49"/>
        <v>$M(2015)/million</v>
      </c>
    </row>
    <row r="653" spans="1:13" s="7" customFormat="1" x14ac:dyDescent="0.25">
      <c r="A653" s="4" t="str">
        <v>EE</v>
      </c>
      <c r="B653" s="26">
        <f ca="1">'Preventative costs A'!B653-'Preventative costs B'!B653</f>
        <v>0</v>
      </c>
      <c r="C653" s="26">
        <f ca="1">'Preventative costs A'!C653-'Preventative costs B'!C653</f>
        <v>0</v>
      </c>
      <c r="D653" s="26">
        <f ca="1">'Preventative costs A'!D653-'Preventative costs B'!D653</f>
        <v>0</v>
      </c>
      <c r="E653" s="26">
        <f ca="1">'Preventative costs A'!E653-'Preventative costs B'!E653</f>
        <v>0</v>
      </c>
      <c r="F653" s="26">
        <f ca="1">'Preventative costs A'!F653-'Preventative costs B'!F653</f>
        <v>0</v>
      </c>
      <c r="G653" s="26">
        <f ca="1">'Preventative costs A'!G653-'Preventative costs B'!G653</f>
        <v>0</v>
      </c>
      <c r="H653" s="26">
        <f ca="1">'Preventative costs A'!H653-'Preventative costs B'!H653</f>
        <v>0</v>
      </c>
      <c r="I653" s="26">
        <f ca="1">'Preventative costs A'!I653-'Preventative costs B'!I653</f>
        <v>0</v>
      </c>
      <c r="J653" s="26">
        <f ca="1">'Preventative costs A'!J653-'Preventative costs B'!J653</f>
        <v>0</v>
      </c>
      <c r="K653" s="26">
        <f ca="1">'Preventative costs A'!K653-'Preventative costs B'!K653</f>
        <v>0</v>
      </c>
      <c r="M653" s="1" t="str">
        <f t="shared" si="49"/>
        <v>$M(2015)/million</v>
      </c>
    </row>
    <row r="654" spans="1:13" s="7" customFormat="1" x14ac:dyDescent="0.25">
      <c r="A654" s="4" t="str">
        <v>CA</v>
      </c>
      <c r="B654" s="26">
        <f ca="1">'Preventative costs A'!B654-'Preventative costs B'!B654</f>
        <v>0</v>
      </c>
      <c r="C654" s="26">
        <f ca="1">'Preventative costs A'!C654-'Preventative costs B'!C654</f>
        <v>0</v>
      </c>
      <c r="D654" s="26">
        <f ca="1">'Preventative costs A'!D654-'Preventative costs B'!D654</f>
        <v>0</v>
      </c>
      <c r="E654" s="26">
        <f ca="1">'Preventative costs A'!E654-'Preventative costs B'!E654</f>
        <v>0</v>
      </c>
      <c r="F654" s="26">
        <f ca="1">'Preventative costs A'!F654-'Preventative costs B'!F654</f>
        <v>0</v>
      </c>
      <c r="G654" s="26">
        <f ca="1">'Preventative costs A'!G654-'Preventative costs B'!G654</f>
        <v>0</v>
      </c>
      <c r="H654" s="26">
        <f ca="1">'Preventative costs A'!H654-'Preventative costs B'!H654</f>
        <v>0</v>
      </c>
      <c r="I654" s="26">
        <f ca="1">'Preventative costs A'!I654-'Preventative costs B'!I654</f>
        <v>0</v>
      </c>
      <c r="J654" s="26">
        <f ca="1">'Preventative costs A'!J654-'Preventative costs B'!J654</f>
        <v>0</v>
      </c>
      <c r="K654" s="26">
        <f ca="1">'Preventative costs A'!K654-'Preventative costs B'!K654</f>
        <v>0</v>
      </c>
      <c r="M654" s="1" t="str">
        <f t="shared" si="49"/>
        <v>$M(2015)/million</v>
      </c>
    </row>
    <row r="655" spans="1:13" s="7" customFormat="1" x14ac:dyDescent="0.25">
      <c r="A655" s="4" t="str">
        <v>IA</v>
      </c>
      <c r="B655" s="26">
        <f ca="1">'Preventative costs A'!B655-'Preventative costs B'!B655</f>
        <v>0</v>
      </c>
      <c r="C655" s="26">
        <f ca="1">'Preventative costs A'!C655-'Preventative costs B'!C655</f>
        <v>0</v>
      </c>
      <c r="D655" s="26">
        <f ca="1">'Preventative costs A'!D655-'Preventative costs B'!D655</f>
        <v>0</v>
      </c>
      <c r="E655" s="26">
        <f ca="1">'Preventative costs A'!E655-'Preventative costs B'!E655</f>
        <v>0</v>
      </c>
      <c r="F655" s="26">
        <f ca="1">'Preventative costs A'!F655-'Preventative costs B'!F655</f>
        <v>0</v>
      </c>
      <c r="G655" s="26">
        <f ca="1">'Preventative costs A'!G655-'Preventative costs B'!G655</f>
        <v>0</v>
      </c>
      <c r="H655" s="26">
        <f ca="1">'Preventative costs A'!H655-'Preventative costs B'!H655</f>
        <v>0</v>
      </c>
      <c r="I655" s="26">
        <f ca="1">'Preventative costs A'!I655-'Preventative costs B'!I655</f>
        <v>0</v>
      </c>
      <c r="J655" s="26">
        <f ca="1">'Preventative costs A'!J655-'Preventative costs B'!J655</f>
        <v>0</v>
      </c>
      <c r="K655" s="26">
        <f ca="1">'Preventative costs A'!K655-'Preventative costs B'!K655</f>
        <v>0</v>
      </c>
      <c r="M655" s="1" t="str">
        <f t="shared" si="49"/>
        <v>$M(2015)/million</v>
      </c>
    </row>
    <row r="656" spans="1:13" s="7" customFormat="1" x14ac:dyDescent="0.25">
      <c r="A656" s="4" t="str">
        <v>AF</v>
      </c>
      <c r="B656" s="26">
        <f ca="1">'Preventative costs A'!B656-'Preventative costs B'!B656</f>
        <v>0</v>
      </c>
      <c r="C656" s="26">
        <f ca="1">'Preventative costs A'!C656-'Preventative costs B'!C656</f>
        <v>0</v>
      </c>
      <c r="D656" s="26">
        <f ca="1">'Preventative costs A'!D656-'Preventative costs B'!D656</f>
        <v>0</v>
      </c>
      <c r="E656" s="26">
        <f ca="1">'Preventative costs A'!E656-'Preventative costs B'!E656</f>
        <v>0</v>
      </c>
      <c r="F656" s="26">
        <f ca="1">'Preventative costs A'!F656-'Preventative costs B'!F656</f>
        <v>0</v>
      </c>
      <c r="G656" s="26">
        <f ca="1">'Preventative costs A'!G656-'Preventative costs B'!G656</f>
        <v>0</v>
      </c>
      <c r="H656" s="26">
        <f ca="1">'Preventative costs A'!H656-'Preventative costs B'!H656</f>
        <v>0</v>
      </c>
      <c r="I656" s="26">
        <f ca="1">'Preventative costs A'!I656-'Preventative costs B'!I656</f>
        <v>0</v>
      </c>
      <c r="J656" s="26">
        <f ca="1">'Preventative costs A'!J656-'Preventative costs B'!J656</f>
        <v>0</v>
      </c>
      <c r="K656" s="26">
        <f ca="1">'Preventative costs A'!K656-'Preventative costs B'!K656</f>
        <v>0</v>
      </c>
      <c r="M656" s="1" t="str">
        <f t="shared" si="49"/>
        <v>$M(2015)/million</v>
      </c>
    </row>
    <row r="657" spans="1:13" s="7" customFormat="1" ht="13" thickBot="1" x14ac:dyDescent="0.3">
      <c r="A657" s="4" t="str">
        <v>LA</v>
      </c>
      <c r="B657" s="35">
        <f ca="1">'Preventative costs A'!B657-'Preventative costs B'!B657</f>
        <v>0</v>
      </c>
      <c r="C657" s="35">
        <f ca="1">'Preventative costs A'!C657-'Preventative costs B'!C657</f>
        <v>0</v>
      </c>
      <c r="D657" s="35">
        <f ca="1">'Preventative costs A'!D657-'Preventative costs B'!D657</f>
        <v>0</v>
      </c>
      <c r="E657" s="35">
        <f ca="1">'Preventative costs A'!E657-'Preventative costs B'!E657</f>
        <v>0</v>
      </c>
      <c r="F657" s="35">
        <f ca="1">'Preventative costs A'!F657-'Preventative costs B'!F657</f>
        <v>0</v>
      </c>
      <c r="G657" s="35">
        <f ca="1">'Preventative costs A'!G657-'Preventative costs B'!G657</f>
        <v>0</v>
      </c>
      <c r="H657" s="35">
        <f ca="1">'Preventative costs A'!H657-'Preventative costs B'!H657</f>
        <v>0</v>
      </c>
      <c r="I657" s="35">
        <f ca="1">'Preventative costs A'!I657-'Preventative costs B'!I657</f>
        <v>0</v>
      </c>
      <c r="J657" s="35">
        <f ca="1">'Preventative costs A'!J657-'Preventative costs B'!J657</f>
        <v>0</v>
      </c>
      <c r="K657" s="35">
        <f ca="1">'Preventative costs A'!K657-'Preventative costs B'!K657</f>
        <v>0</v>
      </c>
      <c r="M657" s="1" t="str">
        <f t="shared" si="49"/>
        <v>$M(2015)/million</v>
      </c>
    </row>
    <row r="658" spans="1:13" s="2" customFormat="1" ht="15.5" thickTop="1" x14ac:dyDescent="0.4">
      <c r="A658" s="2" t="s">
        <v>360</v>
      </c>
      <c r="B658" s="2" t="s">
        <v>398</v>
      </c>
    </row>
    <row r="659" spans="1:13" s="7" customFormat="1" x14ac:dyDescent="0.25">
      <c r="A659" s="4" t="str">
        <f t="array" ref="A659:A666">R_CODE</f>
        <v>EU</v>
      </c>
      <c r="B659" s="29">
        <f ca="1">'Preventative costs A'!B659-'Preventative costs B'!B659</f>
        <v>0</v>
      </c>
      <c r="C659" s="29">
        <f ca="1">'Preventative costs A'!C659-'Preventative costs B'!C659</f>
        <v>0</v>
      </c>
      <c r="D659" s="29">
        <f ca="1">'Preventative costs A'!D659-'Preventative costs B'!D659</f>
        <v>0</v>
      </c>
      <c r="E659" s="29">
        <f ca="1">'Preventative costs A'!E659-'Preventative costs B'!E659</f>
        <v>0</v>
      </c>
      <c r="F659" s="29">
        <f ca="1">'Preventative costs A'!F659-'Preventative costs B'!F659</f>
        <v>0</v>
      </c>
      <c r="G659" s="29">
        <f ca="1">'Preventative costs A'!G659-'Preventative costs B'!G659</f>
        <v>0</v>
      </c>
      <c r="H659" s="29">
        <f ca="1">'Preventative costs A'!H659-'Preventative costs B'!H659</f>
        <v>0</v>
      </c>
      <c r="I659" s="29">
        <f ca="1">'Preventative costs A'!I659-'Preventative costs B'!I659</f>
        <v>0</v>
      </c>
      <c r="J659" s="29">
        <f ca="1">'Preventative costs A'!J659-'Preventative costs B'!J659</f>
        <v>0</v>
      </c>
      <c r="K659" s="29">
        <f ca="1">'Preventative costs A'!K659-'Preventative costs B'!K659</f>
        <v>0</v>
      </c>
      <c r="M659" s="1" t="str">
        <f t="shared" ref="M659:M666" si="50">CURRENCY_NAME&amp;"/"&amp;POP_UNIT_NAME</f>
        <v>$M(2015)/million</v>
      </c>
    </row>
    <row r="660" spans="1:13" s="7" customFormat="1" x14ac:dyDescent="0.25">
      <c r="A660" s="4" t="str">
        <v>US</v>
      </c>
      <c r="B660" s="26">
        <f ca="1">'Preventative costs A'!B660-'Preventative costs B'!B660</f>
        <v>0</v>
      </c>
      <c r="C660" s="26">
        <f ca="1">'Preventative costs A'!C660-'Preventative costs B'!C660</f>
        <v>0</v>
      </c>
      <c r="D660" s="26">
        <f ca="1">'Preventative costs A'!D660-'Preventative costs B'!D660</f>
        <v>0</v>
      </c>
      <c r="E660" s="26">
        <f ca="1">'Preventative costs A'!E660-'Preventative costs B'!E660</f>
        <v>0</v>
      </c>
      <c r="F660" s="26">
        <f ca="1">'Preventative costs A'!F660-'Preventative costs B'!F660</f>
        <v>0</v>
      </c>
      <c r="G660" s="26">
        <f ca="1">'Preventative costs A'!G660-'Preventative costs B'!G660</f>
        <v>0</v>
      </c>
      <c r="H660" s="26">
        <f ca="1">'Preventative costs A'!H660-'Preventative costs B'!H660</f>
        <v>0</v>
      </c>
      <c r="I660" s="26">
        <f ca="1">'Preventative costs A'!I660-'Preventative costs B'!I660</f>
        <v>0</v>
      </c>
      <c r="J660" s="26">
        <f ca="1">'Preventative costs A'!J660-'Preventative costs B'!J660</f>
        <v>0</v>
      </c>
      <c r="K660" s="26">
        <f ca="1">'Preventative costs A'!K660-'Preventative costs B'!K660</f>
        <v>0</v>
      </c>
      <c r="M660" s="1" t="str">
        <f t="shared" si="50"/>
        <v>$M(2015)/million</v>
      </c>
    </row>
    <row r="661" spans="1:13" s="7" customFormat="1" x14ac:dyDescent="0.25">
      <c r="A661" s="4" t="str">
        <v>OT</v>
      </c>
      <c r="B661" s="26">
        <f ca="1">'Preventative costs A'!B661-'Preventative costs B'!B661</f>
        <v>0</v>
      </c>
      <c r="C661" s="26">
        <f ca="1">'Preventative costs A'!C661-'Preventative costs B'!C661</f>
        <v>0</v>
      </c>
      <c r="D661" s="26">
        <f ca="1">'Preventative costs A'!D661-'Preventative costs B'!D661</f>
        <v>0</v>
      </c>
      <c r="E661" s="26">
        <f ca="1">'Preventative costs A'!E661-'Preventative costs B'!E661</f>
        <v>0</v>
      </c>
      <c r="F661" s="26">
        <f ca="1">'Preventative costs A'!F661-'Preventative costs B'!F661</f>
        <v>0</v>
      </c>
      <c r="G661" s="26">
        <f ca="1">'Preventative costs A'!G661-'Preventative costs B'!G661</f>
        <v>0</v>
      </c>
      <c r="H661" s="26">
        <f ca="1">'Preventative costs A'!H661-'Preventative costs B'!H661</f>
        <v>0</v>
      </c>
      <c r="I661" s="26">
        <f ca="1">'Preventative costs A'!I661-'Preventative costs B'!I661</f>
        <v>0</v>
      </c>
      <c r="J661" s="26">
        <f ca="1">'Preventative costs A'!J661-'Preventative costs B'!J661</f>
        <v>0</v>
      </c>
      <c r="K661" s="26">
        <f ca="1">'Preventative costs A'!K661-'Preventative costs B'!K661</f>
        <v>0</v>
      </c>
      <c r="M661" s="1" t="str">
        <f t="shared" si="50"/>
        <v>$M(2015)/million</v>
      </c>
    </row>
    <row r="662" spans="1:13" s="7" customFormat="1" x14ac:dyDescent="0.25">
      <c r="A662" s="4" t="str">
        <v>EE</v>
      </c>
      <c r="B662" s="26">
        <f ca="1">'Preventative costs A'!B662-'Preventative costs B'!B662</f>
        <v>0</v>
      </c>
      <c r="C662" s="26">
        <f ca="1">'Preventative costs A'!C662-'Preventative costs B'!C662</f>
        <v>0</v>
      </c>
      <c r="D662" s="26">
        <f ca="1">'Preventative costs A'!D662-'Preventative costs B'!D662</f>
        <v>0</v>
      </c>
      <c r="E662" s="26">
        <f ca="1">'Preventative costs A'!E662-'Preventative costs B'!E662</f>
        <v>0</v>
      </c>
      <c r="F662" s="26">
        <f ca="1">'Preventative costs A'!F662-'Preventative costs B'!F662</f>
        <v>0</v>
      </c>
      <c r="G662" s="26">
        <f ca="1">'Preventative costs A'!G662-'Preventative costs B'!G662</f>
        <v>0</v>
      </c>
      <c r="H662" s="26">
        <f ca="1">'Preventative costs A'!H662-'Preventative costs B'!H662</f>
        <v>0</v>
      </c>
      <c r="I662" s="26">
        <f ca="1">'Preventative costs A'!I662-'Preventative costs B'!I662</f>
        <v>0</v>
      </c>
      <c r="J662" s="26">
        <f ca="1">'Preventative costs A'!J662-'Preventative costs B'!J662</f>
        <v>0</v>
      </c>
      <c r="K662" s="26">
        <f ca="1">'Preventative costs A'!K662-'Preventative costs B'!K662</f>
        <v>0</v>
      </c>
      <c r="M662" s="1" t="str">
        <f t="shared" si="50"/>
        <v>$M(2015)/million</v>
      </c>
    </row>
    <row r="663" spans="1:13" s="7" customFormat="1" x14ac:dyDescent="0.25">
      <c r="A663" s="4" t="str">
        <v>CA</v>
      </c>
      <c r="B663" s="26">
        <f ca="1">'Preventative costs A'!B663-'Preventative costs B'!B663</f>
        <v>0</v>
      </c>
      <c r="C663" s="26">
        <f ca="1">'Preventative costs A'!C663-'Preventative costs B'!C663</f>
        <v>0</v>
      </c>
      <c r="D663" s="26">
        <f ca="1">'Preventative costs A'!D663-'Preventative costs B'!D663</f>
        <v>0</v>
      </c>
      <c r="E663" s="26">
        <f ca="1">'Preventative costs A'!E663-'Preventative costs B'!E663</f>
        <v>0</v>
      </c>
      <c r="F663" s="26">
        <f ca="1">'Preventative costs A'!F663-'Preventative costs B'!F663</f>
        <v>0</v>
      </c>
      <c r="G663" s="26">
        <f ca="1">'Preventative costs A'!G663-'Preventative costs B'!G663</f>
        <v>0</v>
      </c>
      <c r="H663" s="26">
        <f ca="1">'Preventative costs A'!H663-'Preventative costs B'!H663</f>
        <v>0</v>
      </c>
      <c r="I663" s="26">
        <f ca="1">'Preventative costs A'!I663-'Preventative costs B'!I663</f>
        <v>0</v>
      </c>
      <c r="J663" s="26">
        <f ca="1">'Preventative costs A'!J663-'Preventative costs B'!J663</f>
        <v>0</v>
      </c>
      <c r="K663" s="26">
        <f ca="1">'Preventative costs A'!K663-'Preventative costs B'!K663</f>
        <v>0</v>
      </c>
      <c r="M663" s="1" t="str">
        <f t="shared" si="50"/>
        <v>$M(2015)/million</v>
      </c>
    </row>
    <row r="664" spans="1:13" s="7" customFormat="1" x14ac:dyDescent="0.25">
      <c r="A664" s="4" t="str">
        <v>IA</v>
      </c>
      <c r="B664" s="26">
        <f ca="1">'Preventative costs A'!B664-'Preventative costs B'!B664</f>
        <v>0</v>
      </c>
      <c r="C664" s="26">
        <f ca="1">'Preventative costs A'!C664-'Preventative costs B'!C664</f>
        <v>0</v>
      </c>
      <c r="D664" s="26">
        <f ca="1">'Preventative costs A'!D664-'Preventative costs B'!D664</f>
        <v>0</v>
      </c>
      <c r="E664" s="26">
        <f ca="1">'Preventative costs A'!E664-'Preventative costs B'!E664</f>
        <v>0</v>
      </c>
      <c r="F664" s="26">
        <f ca="1">'Preventative costs A'!F664-'Preventative costs B'!F664</f>
        <v>0</v>
      </c>
      <c r="G664" s="26">
        <f ca="1">'Preventative costs A'!G664-'Preventative costs B'!G664</f>
        <v>0</v>
      </c>
      <c r="H664" s="26">
        <f ca="1">'Preventative costs A'!H664-'Preventative costs B'!H664</f>
        <v>0</v>
      </c>
      <c r="I664" s="26">
        <f ca="1">'Preventative costs A'!I664-'Preventative costs B'!I664</f>
        <v>0</v>
      </c>
      <c r="J664" s="26">
        <f ca="1">'Preventative costs A'!J664-'Preventative costs B'!J664</f>
        <v>0</v>
      </c>
      <c r="K664" s="26">
        <f ca="1">'Preventative costs A'!K664-'Preventative costs B'!K664</f>
        <v>0</v>
      </c>
      <c r="M664" s="1" t="str">
        <f t="shared" si="50"/>
        <v>$M(2015)/million</v>
      </c>
    </row>
    <row r="665" spans="1:13" s="7" customFormat="1" x14ac:dyDescent="0.25">
      <c r="A665" s="4" t="str">
        <v>AF</v>
      </c>
      <c r="B665" s="26">
        <f ca="1">'Preventative costs A'!B665-'Preventative costs B'!B665</f>
        <v>0</v>
      </c>
      <c r="C665" s="26">
        <f ca="1">'Preventative costs A'!C665-'Preventative costs B'!C665</f>
        <v>0</v>
      </c>
      <c r="D665" s="26">
        <f ca="1">'Preventative costs A'!D665-'Preventative costs B'!D665</f>
        <v>0</v>
      </c>
      <c r="E665" s="26">
        <f ca="1">'Preventative costs A'!E665-'Preventative costs B'!E665</f>
        <v>0</v>
      </c>
      <c r="F665" s="26">
        <f ca="1">'Preventative costs A'!F665-'Preventative costs B'!F665</f>
        <v>0</v>
      </c>
      <c r="G665" s="26">
        <f ca="1">'Preventative costs A'!G665-'Preventative costs B'!G665</f>
        <v>0</v>
      </c>
      <c r="H665" s="26">
        <f ca="1">'Preventative costs A'!H665-'Preventative costs B'!H665</f>
        <v>0</v>
      </c>
      <c r="I665" s="26">
        <f ca="1">'Preventative costs A'!I665-'Preventative costs B'!I665</f>
        <v>0</v>
      </c>
      <c r="J665" s="26">
        <f ca="1">'Preventative costs A'!J665-'Preventative costs B'!J665</f>
        <v>0</v>
      </c>
      <c r="K665" s="26">
        <f ca="1">'Preventative costs A'!K665-'Preventative costs B'!K665</f>
        <v>0</v>
      </c>
      <c r="M665" s="1" t="str">
        <f t="shared" si="50"/>
        <v>$M(2015)/million</v>
      </c>
    </row>
    <row r="666" spans="1:13" s="7" customFormat="1" ht="13" thickBot="1" x14ac:dyDescent="0.3">
      <c r="A666" s="4" t="str">
        <v>LA</v>
      </c>
      <c r="B666" s="35">
        <f ca="1">'Preventative costs A'!B666-'Preventative costs B'!B666</f>
        <v>0</v>
      </c>
      <c r="C666" s="35">
        <f ca="1">'Preventative costs A'!C666-'Preventative costs B'!C666</f>
        <v>0</v>
      </c>
      <c r="D666" s="35">
        <f ca="1">'Preventative costs A'!D666-'Preventative costs B'!D666</f>
        <v>0</v>
      </c>
      <c r="E666" s="35">
        <f ca="1">'Preventative costs A'!E666-'Preventative costs B'!E666</f>
        <v>0</v>
      </c>
      <c r="F666" s="35">
        <f ca="1">'Preventative costs A'!F666-'Preventative costs B'!F666</f>
        <v>0</v>
      </c>
      <c r="G666" s="35">
        <f ca="1">'Preventative costs A'!G666-'Preventative costs B'!G666</f>
        <v>0</v>
      </c>
      <c r="H666" s="35">
        <f ca="1">'Preventative costs A'!H666-'Preventative costs B'!H666</f>
        <v>0</v>
      </c>
      <c r="I666" s="35">
        <f ca="1">'Preventative costs A'!I666-'Preventative costs B'!I666</f>
        <v>0</v>
      </c>
      <c r="J666" s="35">
        <f ca="1">'Preventative costs A'!J666-'Preventative costs B'!J666</f>
        <v>0</v>
      </c>
      <c r="K666" s="35">
        <f ca="1">'Preventative costs A'!K666-'Preventative costs B'!K666</f>
        <v>0</v>
      </c>
      <c r="M666" s="1" t="str">
        <f t="shared" si="50"/>
        <v>$M(2015)/million</v>
      </c>
    </row>
    <row r="667" spans="1:13" s="2" customFormat="1" ht="15.5" thickTop="1" x14ac:dyDescent="0.4">
      <c r="A667" s="2" t="s">
        <v>361</v>
      </c>
      <c r="B667" s="2" t="s">
        <v>399</v>
      </c>
    </row>
    <row r="668" spans="1:13" s="7" customFormat="1" x14ac:dyDescent="0.25">
      <c r="A668" s="4" t="str">
        <f t="array" ref="A668:A675">R_CODE</f>
        <v>EU</v>
      </c>
      <c r="B668" s="29">
        <f ca="1">'Preventative costs A'!B668-'Preventative costs B'!B668</f>
        <v>0</v>
      </c>
      <c r="C668" s="29">
        <f ca="1">'Preventative costs A'!C668-'Preventative costs B'!C668</f>
        <v>0</v>
      </c>
      <c r="D668" s="29">
        <f ca="1">'Preventative costs A'!D668-'Preventative costs B'!D668</f>
        <v>0</v>
      </c>
      <c r="E668" s="29">
        <f ca="1">'Preventative costs A'!E668-'Preventative costs B'!E668</f>
        <v>0</v>
      </c>
      <c r="F668" s="29">
        <f ca="1">'Preventative costs A'!F668-'Preventative costs B'!F668</f>
        <v>0</v>
      </c>
      <c r="G668" s="29">
        <f ca="1">'Preventative costs A'!G668-'Preventative costs B'!G668</f>
        <v>0</v>
      </c>
      <c r="H668" s="29">
        <f ca="1">'Preventative costs A'!H668-'Preventative costs B'!H668</f>
        <v>0</v>
      </c>
      <c r="I668" s="29">
        <f ca="1">'Preventative costs A'!I668-'Preventative costs B'!I668</f>
        <v>0</v>
      </c>
      <c r="J668" s="29">
        <f ca="1">'Preventative costs A'!J668-'Preventative costs B'!J668</f>
        <v>0</v>
      </c>
      <c r="K668" s="29">
        <f ca="1">'Preventative costs A'!K668-'Preventative costs B'!K668</f>
        <v>0</v>
      </c>
      <c r="M668" s="1" t="str">
        <f t="shared" ref="M668:M675" si="51">CURRENCY_NAME&amp;"/"&amp;POP_UNIT_NAME</f>
        <v>$M(2015)/million</v>
      </c>
    </row>
    <row r="669" spans="1:13" s="7" customFormat="1" x14ac:dyDescent="0.25">
      <c r="A669" s="4" t="str">
        <v>US</v>
      </c>
      <c r="B669" s="26">
        <f ca="1">'Preventative costs A'!B669-'Preventative costs B'!B669</f>
        <v>0</v>
      </c>
      <c r="C669" s="26">
        <f ca="1">'Preventative costs A'!C669-'Preventative costs B'!C669</f>
        <v>0</v>
      </c>
      <c r="D669" s="26">
        <f ca="1">'Preventative costs A'!D669-'Preventative costs B'!D669</f>
        <v>0</v>
      </c>
      <c r="E669" s="26">
        <f ca="1">'Preventative costs A'!E669-'Preventative costs B'!E669</f>
        <v>0</v>
      </c>
      <c r="F669" s="26">
        <f ca="1">'Preventative costs A'!F669-'Preventative costs B'!F669</f>
        <v>0</v>
      </c>
      <c r="G669" s="26">
        <f ca="1">'Preventative costs A'!G669-'Preventative costs B'!G669</f>
        <v>0</v>
      </c>
      <c r="H669" s="26">
        <f ca="1">'Preventative costs A'!H669-'Preventative costs B'!H669</f>
        <v>0</v>
      </c>
      <c r="I669" s="26">
        <f ca="1">'Preventative costs A'!I669-'Preventative costs B'!I669</f>
        <v>0</v>
      </c>
      <c r="J669" s="26">
        <f ca="1">'Preventative costs A'!J669-'Preventative costs B'!J669</f>
        <v>0</v>
      </c>
      <c r="K669" s="26">
        <f ca="1">'Preventative costs A'!K669-'Preventative costs B'!K669</f>
        <v>0</v>
      </c>
      <c r="M669" s="1" t="str">
        <f t="shared" si="51"/>
        <v>$M(2015)/million</v>
      </c>
    </row>
    <row r="670" spans="1:13" s="7" customFormat="1" x14ac:dyDescent="0.25">
      <c r="A670" s="4" t="str">
        <v>OT</v>
      </c>
      <c r="B670" s="26">
        <f ca="1">'Preventative costs A'!B670-'Preventative costs B'!B670</f>
        <v>0</v>
      </c>
      <c r="C670" s="26">
        <f ca="1">'Preventative costs A'!C670-'Preventative costs B'!C670</f>
        <v>0</v>
      </c>
      <c r="D670" s="26">
        <f ca="1">'Preventative costs A'!D670-'Preventative costs B'!D670</f>
        <v>0</v>
      </c>
      <c r="E670" s="26">
        <f ca="1">'Preventative costs A'!E670-'Preventative costs B'!E670</f>
        <v>0</v>
      </c>
      <c r="F670" s="26">
        <f ca="1">'Preventative costs A'!F670-'Preventative costs B'!F670</f>
        <v>0</v>
      </c>
      <c r="G670" s="26">
        <f ca="1">'Preventative costs A'!G670-'Preventative costs B'!G670</f>
        <v>0</v>
      </c>
      <c r="H670" s="26">
        <f ca="1">'Preventative costs A'!H670-'Preventative costs B'!H670</f>
        <v>0</v>
      </c>
      <c r="I670" s="26">
        <f ca="1">'Preventative costs A'!I670-'Preventative costs B'!I670</f>
        <v>0</v>
      </c>
      <c r="J670" s="26">
        <f ca="1">'Preventative costs A'!J670-'Preventative costs B'!J670</f>
        <v>0</v>
      </c>
      <c r="K670" s="26">
        <f ca="1">'Preventative costs A'!K670-'Preventative costs B'!K670</f>
        <v>0</v>
      </c>
      <c r="M670" s="1" t="str">
        <f t="shared" si="51"/>
        <v>$M(2015)/million</v>
      </c>
    </row>
    <row r="671" spans="1:13" s="7" customFormat="1" x14ac:dyDescent="0.25">
      <c r="A671" s="4" t="str">
        <v>EE</v>
      </c>
      <c r="B671" s="26">
        <f ca="1">'Preventative costs A'!B671-'Preventative costs B'!B671</f>
        <v>0</v>
      </c>
      <c r="C671" s="26">
        <f ca="1">'Preventative costs A'!C671-'Preventative costs B'!C671</f>
        <v>0</v>
      </c>
      <c r="D671" s="26">
        <f ca="1">'Preventative costs A'!D671-'Preventative costs B'!D671</f>
        <v>0</v>
      </c>
      <c r="E671" s="26">
        <f ca="1">'Preventative costs A'!E671-'Preventative costs B'!E671</f>
        <v>0</v>
      </c>
      <c r="F671" s="26">
        <f ca="1">'Preventative costs A'!F671-'Preventative costs B'!F671</f>
        <v>0</v>
      </c>
      <c r="G671" s="26">
        <f ca="1">'Preventative costs A'!G671-'Preventative costs B'!G671</f>
        <v>0</v>
      </c>
      <c r="H671" s="26">
        <f ca="1">'Preventative costs A'!H671-'Preventative costs B'!H671</f>
        <v>0</v>
      </c>
      <c r="I671" s="26">
        <f ca="1">'Preventative costs A'!I671-'Preventative costs B'!I671</f>
        <v>0</v>
      </c>
      <c r="J671" s="26">
        <f ca="1">'Preventative costs A'!J671-'Preventative costs B'!J671</f>
        <v>0</v>
      </c>
      <c r="K671" s="26">
        <f ca="1">'Preventative costs A'!K671-'Preventative costs B'!K671</f>
        <v>0</v>
      </c>
      <c r="M671" s="1" t="str">
        <f t="shared" si="51"/>
        <v>$M(2015)/million</v>
      </c>
    </row>
    <row r="672" spans="1:13" s="7" customFormat="1" x14ac:dyDescent="0.25">
      <c r="A672" s="4" t="str">
        <v>CA</v>
      </c>
      <c r="B672" s="26">
        <f ca="1">'Preventative costs A'!B672-'Preventative costs B'!B672</f>
        <v>0</v>
      </c>
      <c r="C672" s="26">
        <f ca="1">'Preventative costs A'!C672-'Preventative costs B'!C672</f>
        <v>0</v>
      </c>
      <c r="D672" s="26">
        <f ca="1">'Preventative costs A'!D672-'Preventative costs B'!D672</f>
        <v>0</v>
      </c>
      <c r="E672" s="26">
        <f ca="1">'Preventative costs A'!E672-'Preventative costs B'!E672</f>
        <v>0</v>
      </c>
      <c r="F672" s="26">
        <f ca="1">'Preventative costs A'!F672-'Preventative costs B'!F672</f>
        <v>0</v>
      </c>
      <c r="G672" s="26">
        <f ca="1">'Preventative costs A'!G672-'Preventative costs B'!G672</f>
        <v>0</v>
      </c>
      <c r="H672" s="26">
        <f ca="1">'Preventative costs A'!H672-'Preventative costs B'!H672</f>
        <v>0</v>
      </c>
      <c r="I672" s="26">
        <f ca="1">'Preventative costs A'!I672-'Preventative costs B'!I672</f>
        <v>0</v>
      </c>
      <c r="J672" s="26">
        <f ca="1">'Preventative costs A'!J672-'Preventative costs B'!J672</f>
        <v>0</v>
      </c>
      <c r="K672" s="26">
        <f ca="1">'Preventative costs A'!K672-'Preventative costs B'!K672</f>
        <v>0</v>
      </c>
      <c r="M672" s="1" t="str">
        <f t="shared" si="51"/>
        <v>$M(2015)/million</v>
      </c>
    </row>
    <row r="673" spans="1:13" s="7" customFormat="1" x14ac:dyDescent="0.25">
      <c r="A673" s="4" t="str">
        <v>IA</v>
      </c>
      <c r="B673" s="26">
        <f ca="1">'Preventative costs A'!B673-'Preventative costs B'!B673</f>
        <v>0</v>
      </c>
      <c r="C673" s="26">
        <f ca="1">'Preventative costs A'!C673-'Preventative costs B'!C673</f>
        <v>0</v>
      </c>
      <c r="D673" s="26">
        <f ca="1">'Preventative costs A'!D673-'Preventative costs B'!D673</f>
        <v>0</v>
      </c>
      <c r="E673" s="26">
        <f ca="1">'Preventative costs A'!E673-'Preventative costs B'!E673</f>
        <v>0</v>
      </c>
      <c r="F673" s="26">
        <f ca="1">'Preventative costs A'!F673-'Preventative costs B'!F673</f>
        <v>0</v>
      </c>
      <c r="G673" s="26">
        <f ca="1">'Preventative costs A'!G673-'Preventative costs B'!G673</f>
        <v>0</v>
      </c>
      <c r="H673" s="26">
        <f ca="1">'Preventative costs A'!H673-'Preventative costs B'!H673</f>
        <v>0</v>
      </c>
      <c r="I673" s="26">
        <f ca="1">'Preventative costs A'!I673-'Preventative costs B'!I673</f>
        <v>0</v>
      </c>
      <c r="J673" s="26">
        <f ca="1">'Preventative costs A'!J673-'Preventative costs B'!J673</f>
        <v>0</v>
      </c>
      <c r="K673" s="26">
        <f ca="1">'Preventative costs A'!K673-'Preventative costs B'!K673</f>
        <v>0</v>
      </c>
      <c r="M673" s="1" t="str">
        <f t="shared" si="51"/>
        <v>$M(2015)/million</v>
      </c>
    </row>
    <row r="674" spans="1:13" s="7" customFormat="1" x14ac:dyDescent="0.25">
      <c r="A674" s="4" t="str">
        <v>AF</v>
      </c>
      <c r="B674" s="26">
        <f ca="1">'Preventative costs A'!B674-'Preventative costs B'!B674</f>
        <v>0</v>
      </c>
      <c r="C674" s="26">
        <f ca="1">'Preventative costs A'!C674-'Preventative costs B'!C674</f>
        <v>0</v>
      </c>
      <c r="D674" s="26">
        <f ca="1">'Preventative costs A'!D674-'Preventative costs B'!D674</f>
        <v>0</v>
      </c>
      <c r="E674" s="26">
        <f ca="1">'Preventative costs A'!E674-'Preventative costs B'!E674</f>
        <v>0</v>
      </c>
      <c r="F674" s="26">
        <f ca="1">'Preventative costs A'!F674-'Preventative costs B'!F674</f>
        <v>0</v>
      </c>
      <c r="G674" s="26">
        <f ca="1">'Preventative costs A'!G674-'Preventative costs B'!G674</f>
        <v>0</v>
      </c>
      <c r="H674" s="26">
        <f ca="1">'Preventative costs A'!H674-'Preventative costs B'!H674</f>
        <v>0</v>
      </c>
      <c r="I674" s="26">
        <f ca="1">'Preventative costs A'!I674-'Preventative costs B'!I674</f>
        <v>0</v>
      </c>
      <c r="J674" s="26">
        <f ca="1">'Preventative costs A'!J674-'Preventative costs B'!J674</f>
        <v>0</v>
      </c>
      <c r="K674" s="26">
        <f ca="1">'Preventative costs A'!K674-'Preventative costs B'!K674</f>
        <v>0</v>
      </c>
      <c r="M674" s="1" t="str">
        <f t="shared" si="51"/>
        <v>$M(2015)/million</v>
      </c>
    </row>
    <row r="675" spans="1:13" s="7" customFormat="1" ht="13" thickBot="1" x14ac:dyDescent="0.3">
      <c r="A675" s="4" t="str">
        <v>LA</v>
      </c>
      <c r="B675" s="35">
        <f ca="1">'Preventative costs A'!B675-'Preventative costs B'!B675</f>
        <v>0</v>
      </c>
      <c r="C675" s="35">
        <f ca="1">'Preventative costs A'!C675-'Preventative costs B'!C675</f>
        <v>0</v>
      </c>
      <c r="D675" s="35">
        <f ca="1">'Preventative costs A'!D675-'Preventative costs B'!D675</f>
        <v>0</v>
      </c>
      <c r="E675" s="35">
        <f ca="1">'Preventative costs A'!E675-'Preventative costs B'!E675</f>
        <v>0</v>
      </c>
      <c r="F675" s="35">
        <f ca="1">'Preventative costs A'!F675-'Preventative costs B'!F675</f>
        <v>0</v>
      </c>
      <c r="G675" s="35">
        <f ca="1">'Preventative costs A'!G675-'Preventative costs B'!G675</f>
        <v>0</v>
      </c>
      <c r="H675" s="35">
        <f ca="1">'Preventative costs A'!H675-'Preventative costs B'!H675</f>
        <v>0</v>
      </c>
      <c r="I675" s="35">
        <f ca="1">'Preventative costs A'!I675-'Preventative costs B'!I675</f>
        <v>0</v>
      </c>
      <c r="J675" s="35">
        <f ca="1">'Preventative costs A'!J675-'Preventative costs B'!J675</f>
        <v>0</v>
      </c>
      <c r="K675" s="35">
        <f ca="1">'Preventative costs A'!K675-'Preventative costs B'!K675</f>
        <v>0</v>
      </c>
      <c r="M675" s="1" t="str">
        <f t="shared" si="51"/>
        <v>$M(2015)/million</v>
      </c>
    </row>
    <row r="676" spans="1:13" s="2" customFormat="1" ht="15.5" thickTop="1" x14ac:dyDescent="0.4">
      <c r="A676" s="2" t="s">
        <v>46</v>
      </c>
      <c r="B676" s="2" t="s">
        <v>364</v>
      </c>
    </row>
    <row r="677" spans="1:13" x14ac:dyDescent="0.25">
      <c r="A677" s="4" t="str">
        <f t="array" ref="A677:A684">R_CODE</f>
        <v>EU</v>
      </c>
      <c r="B677" s="29">
        <f ca="1">'Preventative costs A'!B677-'Preventative costs B'!B677</f>
        <v>0</v>
      </c>
      <c r="C677" s="29">
        <f ca="1">'Preventative costs A'!C677-'Preventative costs B'!C677</f>
        <v>0</v>
      </c>
      <c r="D677" s="29">
        <f ca="1">'Preventative costs A'!D677-'Preventative costs B'!D677</f>
        <v>0</v>
      </c>
      <c r="E677" s="29">
        <f ca="1">'Preventative costs A'!E677-'Preventative costs B'!E677</f>
        <v>0</v>
      </c>
      <c r="F677" s="29">
        <f ca="1">'Preventative costs A'!F677-'Preventative costs B'!F677</f>
        <v>0</v>
      </c>
      <c r="G677" s="29">
        <f ca="1">'Preventative costs A'!G677-'Preventative costs B'!G677</f>
        <v>0</v>
      </c>
      <c r="H677" s="29">
        <f ca="1">'Preventative costs A'!H677-'Preventative costs B'!H677</f>
        <v>0</v>
      </c>
      <c r="I677" s="29">
        <f ca="1">'Preventative costs A'!I677-'Preventative costs B'!I677</f>
        <v>0</v>
      </c>
      <c r="J677" s="29">
        <f ca="1">'Preventative costs A'!J677-'Preventative costs B'!J677</f>
        <v>0</v>
      </c>
      <c r="K677" s="29">
        <f ca="1">'Preventative costs A'!K677-'Preventative costs B'!K677</f>
        <v>0</v>
      </c>
      <c r="M677" s="4" t="str">
        <f t="shared" ref="M677:M685" si="52">CURRENCY_NAME</f>
        <v>$M(2015)</v>
      </c>
    </row>
    <row r="678" spans="1:13" x14ac:dyDescent="0.25">
      <c r="A678" s="4" t="str">
        <v>US</v>
      </c>
      <c r="B678" s="26">
        <f ca="1">'Preventative costs A'!B678-'Preventative costs B'!B678</f>
        <v>0</v>
      </c>
      <c r="C678" s="26">
        <f ca="1">'Preventative costs A'!C678-'Preventative costs B'!C678</f>
        <v>0</v>
      </c>
      <c r="D678" s="26">
        <f ca="1">'Preventative costs A'!D678-'Preventative costs B'!D678</f>
        <v>0</v>
      </c>
      <c r="E678" s="26">
        <f ca="1">'Preventative costs A'!E678-'Preventative costs B'!E678</f>
        <v>0</v>
      </c>
      <c r="F678" s="26">
        <f ca="1">'Preventative costs A'!F678-'Preventative costs B'!F678</f>
        <v>0</v>
      </c>
      <c r="G678" s="26">
        <f ca="1">'Preventative costs A'!G678-'Preventative costs B'!G678</f>
        <v>0</v>
      </c>
      <c r="H678" s="26">
        <f ca="1">'Preventative costs A'!H678-'Preventative costs B'!H678</f>
        <v>0</v>
      </c>
      <c r="I678" s="26">
        <f ca="1">'Preventative costs A'!I678-'Preventative costs B'!I678</f>
        <v>0</v>
      </c>
      <c r="J678" s="26">
        <f ca="1">'Preventative costs A'!J678-'Preventative costs B'!J678</f>
        <v>0</v>
      </c>
      <c r="K678" s="26">
        <f ca="1">'Preventative costs A'!K678-'Preventative costs B'!K678</f>
        <v>0</v>
      </c>
      <c r="M678" s="4" t="str">
        <f t="shared" si="52"/>
        <v>$M(2015)</v>
      </c>
    </row>
    <row r="679" spans="1:13" x14ac:dyDescent="0.25">
      <c r="A679" s="4" t="str">
        <v>OT</v>
      </c>
      <c r="B679" s="26">
        <f ca="1">'Preventative costs A'!B679-'Preventative costs B'!B679</f>
        <v>0</v>
      </c>
      <c r="C679" s="26">
        <f ca="1">'Preventative costs A'!C679-'Preventative costs B'!C679</f>
        <v>0</v>
      </c>
      <c r="D679" s="26">
        <f ca="1">'Preventative costs A'!D679-'Preventative costs B'!D679</f>
        <v>0</v>
      </c>
      <c r="E679" s="26">
        <f ca="1">'Preventative costs A'!E679-'Preventative costs B'!E679</f>
        <v>0</v>
      </c>
      <c r="F679" s="26">
        <f ca="1">'Preventative costs A'!F679-'Preventative costs B'!F679</f>
        <v>0</v>
      </c>
      <c r="G679" s="26">
        <f ca="1">'Preventative costs A'!G679-'Preventative costs B'!G679</f>
        <v>0</v>
      </c>
      <c r="H679" s="26">
        <f ca="1">'Preventative costs A'!H679-'Preventative costs B'!H679</f>
        <v>0</v>
      </c>
      <c r="I679" s="26">
        <f ca="1">'Preventative costs A'!I679-'Preventative costs B'!I679</f>
        <v>0</v>
      </c>
      <c r="J679" s="26">
        <f ca="1">'Preventative costs A'!J679-'Preventative costs B'!J679</f>
        <v>0</v>
      </c>
      <c r="K679" s="26">
        <f ca="1">'Preventative costs A'!K679-'Preventative costs B'!K679</f>
        <v>0</v>
      </c>
      <c r="M679" s="4" t="str">
        <f t="shared" si="52"/>
        <v>$M(2015)</v>
      </c>
    </row>
    <row r="680" spans="1:13" x14ac:dyDescent="0.25">
      <c r="A680" s="4" t="str">
        <v>EE</v>
      </c>
      <c r="B680" s="26">
        <f ca="1">'Preventative costs A'!B680-'Preventative costs B'!B680</f>
        <v>0</v>
      </c>
      <c r="C680" s="26">
        <f ca="1">'Preventative costs A'!C680-'Preventative costs B'!C680</f>
        <v>0</v>
      </c>
      <c r="D680" s="26">
        <f ca="1">'Preventative costs A'!D680-'Preventative costs B'!D680</f>
        <v>0</v>
      </c>
      <c r="E680" s="26">
        <f ca="1">'Preventative costs A'!E680-'Preventative costs B'!E680</f>
        <v>0</v>
      </c>
      <c r="F680" s="26">
        <f ca="1">'Preventative costs A'!F680-'Preventative costs B'!F680</f>
        <v>0</v>
      </c>
      <c r="G680" s="26">
        <f ca="1">'Preventative costs A'!G680-'Preventative costs B'!G680</f>
        <v>0</v>
      </c>
      <c r="H680" s="26">
        <f ca="1">'Preventative costs A'!H680-'Preventative costs B'!H680</f>
        <v>0</v>
      </c>
      <c r="I680" s="26">
        <f ca="1">'Preventative costs A'!I680-'Preventative costs B'!I680</f>
        <v>0</v>
      </c>
      <c r="J680" s="26">
        <f ca="1">'Preventative costs A'!J680-'Preventative costs B'!J680</f>
        <v>0</v>
      </c>
      <c r="K680" s="26">
        <f ca="1">'Preventative costs A'!K680-'Preventative costs B'!K680</f>
        <v>0</v>
      </c>
      <c r="M680" s="4" t="str">
        <f t="shared" si="52"/>
        <v>$M(2015)</v>
      </c>
    </row>
    <row r="681" spans="1:13" x14ac:dyDescent="0.25">
      <c r="A681" s="4" t="str">
        <v>CA</v>
      </c>
      <c r="B681" s="26">
        <f ca="1">'Preventative costs A'!B681-'Preventative costs B'!B681</f>
        <v>0</v>
      </c>
      <c r="C681" s="26">
        <f ca="1">'Preventative costs A'!C681-'Preventative costs B'!C681</f>
        <v>0</v>
      </c>
      <c r="D681" s="26">
        <f ca="1">'Preventative costs A'!D681-'Preventative costs B'!D681</f>
        <v>0</v>
      </c>
      <c r="E681" s="26">
        <f ca="1">'Preventative costs A'!E681-'Preventative costs B'!E681</f>
        <v>0</v>
      </c>
      <c r="F681" s="26">
        <f ca="1">'Preventative costs A'!F681-'Preventative costs B'!F681</f>
        <v>0</v>
      </c>
      <c r="G681" s="26">
        <f ca="1">'Preventative costs A'!G681-'Preventative costs B'!G681</f>
        <v>0</v>
      </c>
      <c r="H681" s="26">
        <f ca="1">'Preventative costs A'!H681-'Preventative costs B'!H681</f>
        <v>0</v>
      </c>
      <c r="I681" s="26">
        <f ca="1">'Preventative costs A'!I681-'Preventative costs B'!I681</f>
        <v>0</v>
      </c>
      <c r="J681" s="26">
        <f ca="1">'Preventative costs A'!J681-'Preventative costs B'!J681</f>
        <v>0</v>
      </c>
      <c r="K681" s="26">
        <f ca="1">'Preventative costs A'!K681-'Preventative costs B'!K681</f>
        <v>0</v>
      </c>
      <c r="M681" s="4" t="str">
        <f t="shared" si="52"/>
        <v>$M(2015)</v>
      </c>
    </row>
    <row r="682" spans="1:13" x14ac:dyDescent="0.25">
      <c r="A682" s="4" t="str">
        <v>IA</v>
      </c>
      <c r="B682" s="26">
        <f ca="1">'Preventative costs A'!B682-'Preventative costs B'!B682</f>
        <v>0</v>
      </c>
      <c r="C682" s="26">
        <f ca="1">'Preventative costs A'!C682-'Preventative costs B'!C682</f>
        <v>0</v>
      </c>
      <c r="D682" s="26">
        <f ca="1">'Preventative costs A'!D682-'Preventative costs B'!D682</f>
        <v>0</v>
      </c>
      <c r="E682" s="26">
        <f ca="1">'Preventative costs A'!E682-'Preventative costs B'!E682</f>
        <v>0</v>
      </c>
      <c r="F682" s="26">
        <f ca="1">'Preventative costs A'!F682-'Preventative costs B'!F682</f>
        <v>0</v>
      </c>
      <c r="G682" s="26">
        <f ca="1">'Preventative costs A'!G682-'Preventative costs B'!G682</f>
        <v>0</v>
      </c>
      <c r="H682" s="26">
        <f ca="1">'Preventative costs A'!H682-'Preventative costs B'!H682</f>
        <v>0</v>
      </c>
      <c r="I682" s="26">
        <f ca="1">'Preventative costs A'!I682-'Preventative costs B'!I682</f>
        <v>0</v>
      </c>
      <c r="J682" s="26">
        <f ca="1">'Preventative costs A'!J682-'Preventative costs B'!J682</f>
        <v>0</v>
      </c>
      <c r="K682" s="26">
        <f ca="1">'Preventative costs A'!K682-'Preventative costs B'!K682</f>
        <v>0</v>
      </c>
      <c r="M682" s="4" t="str">
        <f t="shared" si="52"/>
        <v>$M(2015)</v>
      </c>
    </row>
    <row r="683" spans="1:13" x14ac:dyDescent="0.25">
      <c r="A683" s="4" t="str">
        <v>AF</v>
      </c>
      <c r="B683" s="26">
        <f ca="1">'Preventative costs A'!B683-'Preventative costs B'!B683</f>
        <v>0</v>
      </c>
      <c r="C683" s="26">
        <f ca="1">'Preventative costs A'!C683-'Preventative costs B'!C683</f>
        <v>0</v>
      </c>
      <c r="D683" s="26">
        <f ca="1">'Preventative costs A'!D683-'Preventative costs B'!D683</f>
        <v>0</v>
      </c>
      <c r="E683" s="26">
        <f ca="1">'Preventative costs A'!E683-'Preventative costs B'!E683</f>
        <v>0</v>
      </c>
      <c r="F683" s="26">
        <f ca="1">'Preventative costs A'!F683-'Preventative costs B'!F683</f>
        <v>0</v>
      </c>
      <c r="G683" s="26">
        <f ca="1">'Preventative costs A'!G683-'Preventative costs B'!G683</f>
        <v>0</v>
      </c>
      <c r="H683" s="26">
        <f ca="1">'Preventative costs A'!H683-'Preventative costs B'!H683</f>
        <v>0</v>
      </c>
      <c r="I683" s="26">
        <f ca="1">'Preventative costs A'!I683-'Preventative costs B'!I683</f>
        <v>0</v>
      </c>
      <c r="J683" s="26">
        <f ca="1">'Preventative costs A'!J683-'Preventative costs B'!J683</f>
        <v>0</v>
      </c>
      <c r="K683" s="26">
        <f ca="1">'Preventative costs A'!K683-'Preventative costs B'!K683</f>
        <v>0</v>
      </c>
      <c r="M683" s="4" t="str">
        <f t="shared" si="52"/>
        <v>$M(2015)</v>
      </c>
    </row>
    <row r="684" spans="1:13" ht="13" thickBot="1" x14ac:dyDescent="0.3">
      <c r="A684" s="4" t="str">
        <v>LA</v>
      </c>
      <c r="B684" s="35">
        <f ca="1">'Preventative costs A'!B684-'Preventative costs B'!B684</f>
        <v>0</v>
      </c>
      <c r="C684" s="35">
        <f ca="1">'Preventative costs A'!C684-'Preventative costs B'!C684</f>
        <v>0</v>
      </c>
      <c r="D684" s="35">
        <f ca="1">'Preventative costs A'!D684-'Preventative costs B'!D684</f>
        <v>0</v>
      </c>
      <c r="E684" s="35">
        <f ca="1">'Preventative costs A'!E684-'Preventative costs B'!E684</f>
        <v>0</v>
      </c>
      <c r="F684" s="35">
        <f ca="1">'Preventative costs A'!F684-'Preventative costs B'!F684</f>
        <v>0</v>
      </c>
      <c r="G684" s="35">
        <f ca="1">'Preventative costs A'!G684-'Preventative costs B'!G684</f>
        <v>0</v>
      </c>
      <c r="H684" s="35">
        <f ca="1">'Preventative costs A'!H684-'Preventative costs B'!H684</f>
        <v>0</v>
      </c>
      <c r="I684" s="35">
        <f ca="1">'Preventative costs A'!I684-'Preventative costs B'!I684</f>
        <v>0</v>
      </c>
      <c r="J684" s="35">
        <f ca="1">'Preventative costs A'!J684-'Preventative costs B'!J684</f>
        <v>0</v>
      </c>
      <c r="K684" s="35">
        <f ca="1">'Preventative costs A'!K684-'Preventative costs B'!K684</f>
        <v>0</v>
      </c>
      <c r="M684" s="4" t="str">
        <f t="shared" si="52"/>
        <v>$M(2015)</v>
      </c>
    </row>
    <row r="685" spans="1:13" ht="14" thickTop="1" thickBot="1" x14ac:dyDescent="0.35">
      <c r="A685" s="2" t="s">
        <v>206</v>
      </c>
      <c r="B685" s="42">
        <f ca="1">'Preventative costs A'!B685-'Preventative costs B'!B685</f>
        <v>0</v>
      </c>
      <c r="C685" s="42">
        <f ca="1">'Preventative costs A'!C685-'Preventative costs B'!C685</f>
        <v>0</v>
      </c>
      <c r="D685" s="42">
        <f ca="1">'Preventative costs A'!D685-'Preventative costs B'!D685</f>
        <v>0</v>
      </c>
      <c r="E685" s="42">
        <f ca="1">'Preventative costs A'!E685-'Preventative costs B'!E685</f>
        <v>0</v>
      </c>
      <c r="F685" s="42">
        <f ca="1">'Preventative costs A'!F685-'Preventative costs B'!F685</f>
        <v>0</v>
      </c>
      <c r="G685" s="42">
        <f ca="1">'Preventative costs A'!G685-'Preventative costs B'!G685</f>
        <v>0</v>
      </c>
      <c r="H685" s="42">
        <f ca="1">'Preventative costs A'!H685-'Preventative costs B'!H685</f>
        <v>0</v>
      </c>
      <c r="I685" s="42">
        <f ca="1">'Preventative costs A'!I685-'Preventative costs B'!I685</f>
        <v>0</v>
      </c>
      <c r="J685" s="42">
        <f ca="1">'Preventative costs A'!J685-'Preventative costs B'!J685</f>
        <v>0</v>
      </c>
      <c r="K685" s="42">
        <f ca="1">'Preventative costs A'!K685-'Preventative costs B'!K685</f>
        <v>0</v>
      </c>
      <c r="L685" s="1"/>
      <c r="M685" s="4" t="str">
        <f t="shared" si="52"/>
        <v>$M(2015)</v>
      </c>
    </row>
    <row r="686" spans="1:13" ht="15.5" thickTop="1" x14ac:dyDescent="0.4">
      <c r="A686" s="2" t="s">
        <v>114</v>
      </c>
      <c r="B686" s="53" t="s">
        <v>363</v>
      </c>
      <c r="C686" s="1"/>
      <c r="D686" s="1"/>
      <c r="E686" s="1"/>
      <c r="F686" s="1"/>
      <c r="G686" s="1"/>
      <c r="H686" s="1"/>
      <c r="I686" s="1"/>
      <c r="J686" s="1"/>
      <c r="K686" s="1"/>
      <c r="L686" s="1"/>
      <c r="M686" s="1"/>
    </row>
    <row r="687" spans="1:13" x14ac:dyDescent="0.25">
      <c r="A687" s="1" t="str">
        <f t="array" ref="A687:A694">R_CODE&amp;" total"</f>
        <v>EU total</v>
      </c>
      <c r="B687" s="27">
        <f ca="1">'Preventative costs A'!B687-'Preventative costs B'!B687</f>
        <v>0</v>
      </c>
      <c r="C687" s="27">
        <f ca="1">'Preventative costs A'!C687-'Preventative costs B'!C687</f>
        <v>0</v>
      </c>
      <c r="D687" s="27">
        <f ca="1">'Preventative costs A'!D687-'Preventative costs B'!D687</f>
        <v>0</v>
      </c>
      <c r="E687" s="27">
        <f ca="1">'Preventative costs A'!E687-'Preventative costs B'!E687</f>
        <v>0</v>
      </c>
      <c r="F687" s="27">
        <f ca="1">'Preventative costs A'!F687-'Preventative costs B'!F687</f>
        <v>0</v>
      </c>
      <c r="G687" s="27">
        <f ca="1">'Preventative costs A'!G687-'Preventative costs B'!G687</f>
        <v>0</v>
      </c>
      <c r="H687" s="27">
        <f ca="1">'Preventative costs A'!H687-'Preventative costs B'!H687</f>
        <v>0</v>
      </c>
      <c r="I687" s="27">
        <f ca="1">'Preventative costs A'!I687-'Preventative costs B'!I687</f>
        <v>0</v>
      </c>
      <c r="J687" s="27">
        <f ca="1">'Preventative costs A'!J687-'Preventative costs B'!J687</f>
        <v>0</v>
      </c>
      <c r="K687" s="27">
        <f ca="1">'Preventative costs A'!K687-'Preventative costs B'!K687</f>
        <v>0</v>
      </c>
      <c r="L687" s="1"/>
      <c r="M687" s="4" t="str">
        <f t="shared" ref="M687:M695" si="53">CURRENCY_NAME</f>
        <v>$M(2015)</v>
      </c>
    </row>
    <row r="688" spans="1:13" x14ac:dyDescent="0.25">
      <c r="A688" s="1" t="str">
        <v>US total</v>
      </c>
      <c r="B688" s="28">
        <f ca="1">'Preventative costs A'!B688-'Preventative costs B'!B688</f>
        <v>0</v>
      </c>
      <c r="C688" s="28">
        <f ca="1">'Preventative costs A'!C688-'Preventative costs B'!C688</f>
        <v>0</v>
      </c>
      <c r="D688" s="28">
        <f ca="1">'Preventative costs A'!D688-'Preventative costs B'!D688</f>
        <v>0</v>
      </c>
      <c r="E688" s="28">
        <f ca="1">'Preventative costs A'!E688-'Preventative costs B'!E688</f>
        <v>0</v>
      </c>
      <c r="F688" s="28">
        <f ca="1">'Preventative costs A'!F688-'Preventative costs B'!F688</f>
        <v>0</v>
      </c>
      <c r="G688" s="28">
        <f ca="1">'Preventative costs A'!G688-'Preventative costs B'!G688</f>
        <v>0</v>
      </c>
      <c r="H688" s="28">
        <f ca="1">'Preventative costs A'!H688-'Preventative costs B'!H688</f>
        <v>0</v>
      </c>
      <c r="I688" s="28">
        <f ca="1">'Preventative costs A'!I688-'Preventative costs B'!I688</f>
        <v>0</v>
      </c>
      <c r="J688" s="28">
        <f ca="1">'Preventative costs A'!J688-'Preventative costs B'!J688</f>
        <v>0</v>
      </c>
      <c r="K688" s="28">
        <f ca="1">'Preventative costs A'!K688-'Preventative costs B'!K688</f>
        <v>0</v>
      </c>
      <c r="L688" s="1"/>
      <c r="M688" s="4" t="str">
        <f t="shared" si="53"/>
        <v>$M(2015)</v>
      </c>
    </row>
    <row r="689" spans="1:13" x14ac:dyDescent="0.25">
      <c r="A689" s="1" t="str">
        <v>OT total</v>
      </c>
      <c r="B689" s="28">
        <f ca="1">'Preventative costs A'!B689-'Preventative costs B'!B689</f>
        <v>0</v>
      </c>
      <c r="C689" s="28">
        <f ca="1">'Preventative costs A'!C689-'Preventative costs B'!C689</f>
        <v>0</v>
      </c>
      <c r="D689" s="28">
        <f ca="1">'Preventative costs A'!D689-'Preventative costs B'!D689</f>
        <v>0</v>
      </c>
      <c r="E689" s="28">
        <f ca="1">'Preventative costs A'!E689-'Preventative costs B'!E689</f>
        <v>0</v>
      </c>
      <c r="F689" s="28">
        <f ca="1">'Preventative costs A'!F689-'Preventative costs B'!F689</f>
        <v>0</v>
      </c>
      <c r="G689" s="28">
        <f ca="1">'Preventative costs A'!G689-'Preventative costs B'!G689</f>
        <v>0</v>
      </c>
      <c r="H689" s="28">
        <f ca="1">'Preventative costs A'!H689-'Preventative costs B'!H689</f>
        <v>0</v>
      </c>
      <c r="I689" s="28">
        <f ca="1">'Preventative costs A'!I689-'Preventative costs B'!I689</f>
        <v>0</v>
      </c>
      <c r="J689" s="28">
        <f ca="1">'Preventative costs A'!J689-'Preventative costs B'!J689</f>
        <v>0</v>
      </c>
      <c r="K689" s="28">
        <f ca="1">'Preventative costs A'!K689-'Preventative costs B'!K689</f>
        <v>0</v>
      </c>
      <c r="L689" s="1"/>
      <c r="M689" s="4" t="str">
        <f t="shared" si="53"/>
        <v>$M(2015)</v>
      </c>
    </row>
    <row r="690" spans="1:13" x14ac:dyDescent="0.25">
      <c r="A690" s="1" t="str">
        <v>EE total</v>
      </c>
      <c r="B690" s="28">
        <f ca="1">'Preventative costs A'!B690-'Preventative costs B'!B690</f>
        <v>0</v>
      </c>
      <c r="C690" s="28">
        <f ca="1">'Preventative costs A'!C690-'Preventative costs B'!C690</f>
        <v>0</v>
      </c>
      <c r="D690" s="28">
        <f ca="1">'Preventative costs A'!D690-'Preventative costs B'!D690</f>
        <v>0</v>
      </c>
      <c r="E690" s="28">
        <f ca="1">'Preventative costs A'!E690-'Preventative costs B'!E690</f>
        <v>0</v>
      </c>
      <c r="F690" s="28">
        <f ca="1">'Preventative costs A'!F690-'Preventative costs B'!F690</f>
        <v>0</v>
      </c>
      <c r="G690" s="28">
        <f ca="1">'Preventative costs A'!G690-'Preventative costs B'!G690</f>
        <v>0</v>
      </c>
      <c r="H690" s="28">
        <f ca="1">'Preventative costs A'!H690-'Preventative costs B'!H690</f>
        <v>0</v>
      </c>
      <c r="I690" s="28">
        <f ca="1">'Preventative costs A'!I690-'Preventative costs B'!I690</f>
        <v>0</v>
      </c>
      <c r="J690" s="28">
        <f ca="1">'Preventative costs A'!J690-'Preventative costs B'!J690</f>
        <v>0</v>
      </c>
      <c r="K690" s="28">
        <f ca="1">'Preventative costs A'!K690-'Preventative costs B'!K690</f>
        <v>0</v>
      </c>
      <c r="L690" s="1"/>
      <c r="M690" s="4" t="str">
        <f t="shared" si="53"/>
        <v>$M(2015)</v>
      </c>
    </row>
    <row r="691" spans="1:13" x14ac:dyDescent="0.25">
      <c r="A691" s="1" t="str">
        <v>CA total</v>
      </c>
      <c r="B691" s="28">
        <f ca="1">'Preventative costs A'!B691-'Preventative costs B'!B691</f>
        <v>0</v>
      </c>
      <c r="C691" s="28">
        <f ca="1">'Preventative costs A'!C691-'Preventative costs B'!C691</f>
        <v>0</v>
      </c>
      <c r="D691" s="28">
        <f ca="1">'Preventative costs A'!D691-'Preventative costs B'!D691</f>
        <v>0</v>
      </c>
      <c r="E691" s="28">
        <f ca="1">'Preventative costs A'!E691-'Preventative costs B'!E691</f>
        <v>0</v>
      </c>
      <c r="F691" s="28">
        <f ca="1">'Preventative costs A'!F691-'Preventative costs B'!F691</f>
        <v>0</v>
      </c>
      <c r="G691" s="28">
        <f ca="1">'Preventative costs A'!G691-'Preventative costs B'!G691</f>
        <v>0</v>
      </c>
      <c r="H691" s="28">
        <f ca="1">'Preventative costs A'!H691-'Preventative costs B'!H691</f>
        <v>0</v>
      </c>
      <c r="I691" s="28">
        <f ca="1">'Preventative costs A'!I691-'Preventative costs B'!I691</f>
        <v>0</v>
      </c>
      <c r="J691" s="28">
        <f ca="1">'Preventative costs A'!J691-'Preventative costs B'!J691</f>
        <v>0</v>
      </c>
      <c r="K691" s="28">
        <f ca="1">'Preventative costs A'!K691-'Preventative costs B'!K691</f>
        <v>0</v>
      </c>
      <c r="L691" s="1"/>
      <c r="M691" s="4" t="str">
        <f t="shared" si="53"/>
        <v>$M(2015)</v>
      </c>
    </row>
    <row r="692" spans="1:13" x14ac:dyDescent="0.25">
      <c r="A692" s="1" t="str">
        <v>IA total</v>
      </c>
      <c r="B692" s="28">
        <f ca="1">'Preventative costs A'!B692-'Preventative costs B'!B692</f>
        <v>0</v>
      </c>
      <c r="C692" s="28">
        <f ca="1">'Preventative costs A'!C692-'Preventative costs B'!C692</f>
        <v>0</v>
      </c>
      <c r="D692" s="28">
        <f ca="1">'Preventative costs A'!D692-'Preventative costs B'!D692</f>
        <v>0</v>
      </c>
      <c r="E692" s="28">
        <f ca="1">'Preventative costs A'!E692-'Preventative costs B'!E692</f>
        <v>0</v>
      </c>
      <c r="F692" s="28">
        <f ca="1">'Preventative costs A'!F692-'Preventative costs B'!F692</f>
        <v>0</v>
      </c>
      <c r="G692" s="28">
        <f ca="1">'Preventative costs A'!G692-'Preventative costs B'!G692</f>
        <v>0</v>
      </c>
      <c r="H692" s="28">
        <f ca="1">'Preventative costs A'!H692-'Preventative costs B'!H692</f>
        <v>0</v>
      </c>
      <c r="I692" s="28">
        <f ca="1">'Preventative costs A'!I692-'Preventative costs B'!I692</f>
        <v>0</v>
      </c>
      <c r="J692" s="28">
        <f ca="1">'Preventative costs A'!J692-'Preventative costs B'!J692</f>
        <v>0</v>
      </c>
      <c r="K692" s="28">
        <f ca="1">'Preventative costs A'!K692-'Preventative costs B'!K692</f>
        <v>0</v>
      </c>
      <c r="L692" s="1"/>
      <c r="M692" s="4" t="str">
        <f t="shared" si="53"/>
        <v>$M(2015)</v>
      </c>
    </row>
    <row r="693" spans="1:13" x14ac:dyDescent="0.25">
      <c r="A693" s="1" t="str">
        <v>AF total</v>
      </c>
      <c r="B693" s="28">
        <f ca="1">'Preventative costs A'!B693-'Preventative costs B'!B693</f>
        <v>0</v>
      </c>
      <c r="C693" s="28">
        <f ca="1">'Preventative costs A'!C693-'Preventative costs B'!C693</f>
        <v>0</v>
      </c>
      <c r="D693" s="28">
        <f ca="1">'Preventative costs A'!D693-'Preventative costs B'!D693</f>
        <v>0</v>
      </c>
      <c r="E693" s="28">
        <f ca="1">'Preventative costs A'!E693-'Preventative costs B'!E693</f>
        <v>0</v>
      </c>
      <c r="F693" s="28">
        <f ca="1">'Preventative costs A'!F693-'Preventative costs B'!F693</f>
        <v>0</v>
      </c>
      <c r="G693" s="28">
        <f ca="1">'Preventative costs A'!G693-'Preventative costs B'!G693</f>
        <v>0</v>
      </c>
      <c r="H693" s="28">
        <f ca="1">'Preventative costs A'!H693-'Preventative costs B'!H693</f>
        <v>0</v>
      </c>
      <c r="I693" s="28">
        <f ca="1">'Preventative costs A'!I693-'Preventative costs B'!I693</f>
        <v>0</v>
      </c>
      <c r="J693" s="28">
        <f ca="1">'Preventative costs A'!J693-'Preventative costs B'!J693</f>
        <v>0</v>
      </c>
      <c r="K693" s="28">
        <f ca="1">'Preventative costs A'!K693-'Preventative costs B'!K693</f>
        <v>0</v>
      </c>
      <c r="L693" s="1"/>
      <c r="M693" s="4" t="str">
        <f t="shared" si="53"/>
        <v>$M(2015)</v>
      </c>
    </row>
    <row r="694" spans="1:13" x14ac:dyDescent="0.25">
      <c r="A694" s="1" t="str">
        <v>LA total</v>
      </c>
      <c r="B694" s="28">
        <f ca="1">'Preventative costs A'!B694-'Preventative costs B'!B694</f>
        <v>0</v>
      </c>
      <c r="C694" s="28">
        <f ca="1">'Preventative costs A'!C694-'Preventative costs B'!C694</f>
        <v>0</v>
      </c>
      <c r="D694" s="28">
        <f ca="1">'Preventative costs A'!D694-'Preventative costs B'!D694</f>
        <v>0</v>
      </c>
      <c r="E694" s="28">
        <f ca="1">'Preventative costs A'!E694-'Preventative costs B'!E694</f>
        <v>0</v>
      </c>
      <c r="F694" s="28">
        <f ca="1">'Preventative costs A'!F694-'Preventative costs B'!F694</f>
        <v>0</v>
      </c>
      <c r="G694" s="28">
        <f ca="1">'Preventative costs A'!G694-'Preventative costs B'!G694</f>
        <v>0</v>
      </c>
      <c r="H694" s="28">
        <f ca="1">'Preventative costs A'!H694-'Preventative costs B'!H694</f>
        <v>0</v>
      </c>
      <c r="I694" s="28">
        <f ca="1">'Preventative costs A'!I694-'Preventative costs B'!I694</f>
        <v>0</v>
      </c>
      <c r="J694" s="28">
        <f ca="1">'Preventative costs A'!J694-'Preventative costs B'!J694</f>
        <v>0</v>
      </c>
      <c r="K694" s="28">
        <f ca="1">'Preventative costs A'!K694-'Preventative costs B'!K694</f>
        <v>0</v>
      </c>
      <c r="L694" s="1"/>
      <c r="M694" s="4" t="str">
        <f t="shared" si="53"/>
        <v>$M(2015)</v>
      </c>
    </row>
    <row r="695" spans="1:13" ht="13" x14ac:dyDescent="0.3">
      <c r="A695" s="2" t="s">
        <v>257</v>
      </c>
      <c r="B695" s="40">
        <f ca="1">'Preventative costs A'!B695-'Preventative costs B'!B695</f>
        <v>0</v>
      </c>
      <c r="C695" s="40">
        <f ca="1">'Preventative costs A'!C695-'Preventative costs B'!C695</f>
        <v>0</v>
      </c>
      <c r="D695" s="40">
        <f ca="1">'Preventative costs A'!D695-'Preventative costs B'!D695</f>
        <v>0</v>
      </c>
      <c r="E695" s="40">
        <f ca="1">'Preventative costs A'!E695-'Preventative costs B'!E695</f>
        <v>0</v>
      </c>
      <c r="F695" s="40">
        <f ca="1">'Preventative costs A'!F695-'Preventative costs B'!F695</f>
        <v>0</v>
      </c>
      <c r="G695" s="40">
        <f ca="1">'Preventative costs A'!G695-'Preventative costs B'!G695</f>
        <v>0</v>
      </c>
      <c r="H695" s="40">
        <f ca="1">'Preventative costs A'!H695-'Preventative costs B'!H695</f>
        <v>0</v>
      </c>
      <c r="I695" s="40">
        <f ca="1">'Preventative costs A'!I695-'Preventative costs B'!I695</f>
        <v>0</v>
      </c>
      <c r="J695" s="40">
        <f ca="1">'Preventative costs A'!J695-'Preventative costs B'!J695</f>
        <v>0</v>
      </c>
      <c r="K695" s="40">
        <f ca="1">'Preventative costs A'!K695-'Preventative costs B'!K695</f>
        <v>0</v>
      </c>
      <c r="L695" s="1"/>
      <c r="M695" s="4" t="str">
        <f t="shared" si="53"/>
        <v>$M(2015)</v>
      </c>
    </row>
    <row r="696" spans="1:13" s="2" customFormat="1" ht="15" x14ac:dyDescent="0.4">
      <c r="A696" s="2" t="s">
        <v>113</v>
      </c>
      <c r="B696" s="2" t="s">
        <v>365</v>
      </c>
      <c r="L696" s="2" t="s">
        <v>88</v>
      </c>
    </row>
    <row r="697" spans="1:13" x14ac:dyDescent="0.25">
      <c r="A697" s="1" t="str">
        <f t="array" ref="A697:A704">R_CODE&amp;" total"</f>
        <v>EU total</v>
      </c>
      <c r="B697" s="27">
        <f ca="1">'Preventative costs A'!B697-'Preventative costs B'!B697</f>
        <v>0</v>
      </c>
      <c r="C697" s="27">
        <f ca="1">'Preventative costs A'!C697-'Preventative costs B'!C697</f>
        <v>0</v>
      </c>
      <c r="D697" s="27">
        <f ca="1">'Preventative costs A'!D697-'Preventative costs B'!D697</f>
        <v>0</v>
      </c>
      <c r="E697" s="27">
        <f ca="1">'Preventative costs A'!E697-'Preventative costs B'!E697</f>
        <v>0</v>
      </c>
      <c r="F697" s="27">
        <f ca="1">'Preventative costs A'!F697-'Preventative costs B'!F697</f>
        <v>0</v>
      </c>
      <c r="G697" s="27">
        <f ca="1">'Preventative costs A'!G697-'Preventative costs B'!G697</f>
        <v>0</v>
      </c>
      <c r="H697" s="27">
        <f ca="1">'Preventative costs A'!H697-'Preventative costs B'!H697</f>
        <v>0</v>
      </c>
      <c r="I697" s="27">
        <f ca="1">'Preventative costs A'!I697-'Preventative costs B'!I697</f>
        <v>0</v>
      </c>
      <c r="J697" s="27">
        <f ca="1">'Preventative costs A'!J697-'Preventative costs B'!J697</f>
        <v>0</v>
      </c>
      <c r="K697" s="27">
        <f ca="1">'Preventative costs A'!K697-'Preventative costs B'!K697</f>
        <v>0</v>
      </c>
      <c r="L697" s="40">
        <f ca="1">'Preventative costs A'!L697-'Preventative costs B'!L697</f>
        <v>0</v>
      </c>
      <c r="M697" s="4" t="str">
        <f t="shared" ref="M697:M706" si="54">CURRENCY_NAME</f>
        <v>$M(2015)</v>
      </c>
    </row>
    <row r="698" spans="1:13" x14ac:dyDescent="0.25">
      <c r="A698" s="1" t="str">
        <v>US total</v>
      </c>
      <c r="B698" s="28">
        <f ca="1">'Preventative costs A'!B698-'Preventative costs B'!B698</f>
        <v>0</v>
      </c>
      <c r="C698" s="28">
        <f ca="1">'Preventative costs A'!C698-'Preventative costs B'!C698</f>
        <v>0</v>
      </c>
      <c r="D698" s="28">
        <f ca="1">'Preventative costs A'!D698-'Preventative costs B'!D698</f>
        <v>0</v>
      </c>
      <c r="E698" s="28">
        <f ca="1">'Preventative costs A'!E698-'Preventative costs B'!E698</f>
        <v>0</v>
      </c>
      <c r="F698" s="28">
        <f ca="1">'Preventative costs A'!F698-'Preventative costs B'!F698</f>
        <v>0</v>
      </c>
      <c r="G698" s="28">
        <f ca="1">'Preventative costs A'!G698-'Preventative costs B'!G698</f>
        <v>0</v>
      </c>
      <c r="H698" s="28">
        <f ca="1">'Preventative costs A'!H698-'Preventative costs B'!H698</f>
        <v>0</v>
      </c>
      <c r="I698" s="28">
        <f ca="1">'Preventative costs A'!I698-'Preventative costs B'!I698</f>
        <v>0</v>
      </c>
      <c r="J698" s="28">
        <f ca="1">'Preventative costs A'!J698-'Preventative costs B'!J698</f>
        <v>0</v>
      </c>
      <c r="K698" s="28">
        <f ca="1">'Preventative costs A'!K698-'Preventative costs B'!K698</f>
        <v>0</v>
      </c>
      <c r="L698" s="40">
        <f ca="1">'Preventative costs A'!L698-'Preventative costs B'!L698</f>
        <v>0</v>
      </c>
      <c r="M698" s="4" t="str">
        <f t="shared" si="54"/>
        <v>$M(2015)</v>
      </c>
    </row>
    <row r="699" spans="1:13" x14ac:dyDescent="0.25">
      <c r="A699" s="1" t="str">
        <v>OT total</v>
      </c>
      <c r="B699" s="28">
        <f ca="1">'Preventative costs A'!B699-'Preventative costs B'!B699</f>
        <v>0</v>
      </c>
      <c r="C699" s="28">
        <f ca="1">'Preventative costs A'!C699-'Preventative costs B'!C699</f>
        <v>0</v>
      </c>
      <c r="D699" s="28">
        <f ca="1">'Preventative costs A'!D699-'Preventative costs B'!D699</f>
        <v>0</v>
      </c>
      <c r="E699" s="28">
        <f ca="1">'Preventative costs A'!E699-'Preventative costs B'!E699</f>
        <v>0</v>
      </c>
      <c r="F699" s="28">
        <f ca="1">'Preventative costs A'!F699-'Preventative costs B'!F699</f>
        <v>0</v>
      </c>
      <c r="G699" s="28">
        <f ca="1">'Preventative costs A'!G699-'Preventative costs B'!G699</f>
        <v>0</v>
      </c>
      <c r="H699" s="28">
        <f ca="1">'Preventative costs A'!H699-'Preventative costs B'!H699</f>
        <v>0</v>
      </c>
      <c r="I699" s="28">
        <f ca="1">'Preventative costs A'!I699-'Preventative costs B'!I699</f>
        <v>0</v>
      </c>
      <c r="J699" s="28">
        <f ca="1">'Preventative costs A'!J699-'Preventative costs B'!J699</f>
        <v>0</v>
      </c>
      <c r="K699" s="28">
        <f ca="1">'Preventative costs A'!K699-'Preventative costs B'!K699</f>
        <v>0</v>
      </c>
      <c r="L699" s="40">
        <f ca="1">'Preventative costs A'!L699-'Preventative costs B'!L699</f>
        <v>0</v>
      </c>
      <c r="M699" s="4" t="str">
        <f t="shared" si="54"/>
        <v>$M(2015)</v>
      </c>
    </row>
    <row r="700" spans="1:13" x14ac:dyDescent="0.25">
      <c r="A700" s="1" t="str">
        <v>EE total</v>
      </c>
      <c r="B700" s="28">
        <f ca="1">'Preventative costs A'!B700-'Preventative costs B'!B700</f>
        <v>0</v>
      </c>
      <c r="C700" s="28">
        <f ca="1">'Preventative costs A'!C700-'Preventative costs B'!C700</f>
        <v>0</v>
      </c>
      <c r="D700" s="28">
        <f ca="1">'Preventative costs A'!D700-'Preventative costs B'!D700</f>
        <v>0</v>
      </c>
      <c r="E700" s="28">
        <f ca="1">'Preventative costs A'!E700-'Preventative costs B'!E700</f>
        <v>0</v>
      </c>
      <c r="F700" s="28">
        <f ca="1">'Preventative costs A'!F700-'Preventative costs B'!F700</f>
        <v>0</v>
      </c>
      <c r="G700" s="28">
        <f ca="1">'Preventative costs A'!G700-'Preventative costs B'!G700</f>
        <v>0</v>
      </c>
      <c r="H700" s="28">
        <f ca="1">'Preventative costs A'!H700-'Preventative costs B'!H700</f>
        <v>0</v>
      </c>
      <c r="I700" s="28">
        <f ca="1">'Preventative costs A'!I700-'Preventative costs B'!I700</f>
        <v>0</v>
      </c>
      <c r="J700" s="28">
        <f ca="1">'Preventative costs A'!J700-'Preventative costs B'!J700</f>
        <v>0</v>
      </c>
      <c r="K700" s="28">
        <f ca="1">'Preventative costs A'!K700-'Preventative costs B'!K700</f>
        <v>0</v>
      </c>
      <c r="L700" s="40">
        <f ca="1">'Preventative costs A'!L700-'Preventative costs B'!L700</f>
        <v>0</v>
      </c>
      <c r="M700" s="4" t="str">
        <f t="shared" si="54"/>
        <v>$M(2015)</v>
      </c>
    </row>
    <row r="701" spans="1:13" x14ac:dyDescent="0.25">
      <c r="A701" s="1" t="str">
        <v>CA total</v>
      </c>
      <c r="B701" s="28">
        <f ca="1">'Preventative costs A'!B701-'Preventative costs B'!B701</f>
        <v>0</v>
      </c>
      <c r="C701" s="28">
        <f ca="1">'Preventative costs A'!C701-'Preventative costs B'!C701</f>
        <v>0</v>
      </c>
      <c r="D701" s="28">
        <f ca="1">'Preventative costs A'!D701-'Preventative costs B'!D701</f>
        <v>0</v>
      </c>
      <c r="E701" s="28">
        <f ca="1">'Preventative costs A'!E701-'Preventative costs B'!E701</f>
        <v>0</v>
      </c>
      <c r="F701" s="28">
        <f ca="1">'Preventative costs A'!F701-'Preventative costs B'!F701</f>
        <v>0</v>
      </c>
      <c r="G701" s="28">
        <f ca="1">'Preventative costs A'!G701-'Preventative costs B'!G701</f>
        <v>0</v>
      </c>
      <c r="H701" s="28">
        <f ca="1">'Preventative costs A'!H701-'Preventative costs B'!H701</f>
        <v>0</v>
      </c>
      <c r="I701" s="28">
        <f ca="1">'Preventative costs A'!I701-'Preventative costs B'!I701</f>
        <v>0</v>
      </c>
      <c r="J701" s="28">
        <f ca="1">'Preventative costs A'!J701-'Preventative costs B'!J701</f>
        <v>0</v>
      </c>
      <c r="K701" s="28">
        <f ca="1">'Preventative costs A'!K701-'Preventative costs B'!K701</f>
        <v>0</v>
      </c>
      <c r="L701" s="40">
        <f ca="1">'Preventative costs A'!L701-'Preventative costs B'!L701</f>
        <v>0</v>
      </c>
      <c r="M701" s="4" t="str">
        <f t="shared" si="54"/>
        <v>$M(2015)</v>
      </c>
    </row>
    <row r="702" spans="1:13" x14ac:dyDescent="0.25">
      <c r="A702" s="1" t="str">
        <v>IA total</v>
      </c>
      <c r="B702" s="28">
        <f ca="1">'Preventative costs A'!B702-'Preventative costs B'!B702</f>
        <v>0</v>
      </c>
      <c r="C702" s="28">
        <f ca="1">'Preventative costs A'!C702-'Preventative costs B'!C702</f>
        <v>0</v>
      </c>
      <c r="D702" s="28">
        <f ca="1">'Preventative costs A'!D702-'Preventative costs B'!D702</f>
        <v>0</v>
      </c>
      <c r="E702" s="28">
        <f ca="1">'Preventative costs A'!E702-'Preventative costs B'!E702</f>
        <v>0</v>
      </c>
      <c r="F702" s="28">
        <f ca="1">'Preventative costs A'!F702-'Preventative costs B'!F702</f>
        <v>0</v>
      </c>
      <c r="G702" s="28">
        <f ca="1">'Preventative costs A'!G702-'Preventative costs B'!G702</f>
        <v>0</v>
      </c>
      <c r="H702" s="28">
        <f ca="1">'Preventative costs A'!H702-'Preventative costs B'!H702</f>
        <v>0</v>
      </c>
      <c r="I702" s="28">
        <f ca="1">'Preventative costs A'!I702-'Preventative costs B'!I702</f>
        <v>0</v>
      </c>
      <c r="J702" s="28">
        <f ca="1">'Preventative costs A'!J702-'Preventative costs B'!J702</f>
        <v>0</v>
      </c>
      <c r="K702" s="28">
        <f ca="1">'Preventative costs A'!K702-'Preventative costs B'!K702</f>
        <v>0</v>
      </c>
      <c r="L702" s="40">
        <f ca="1">'Preventative costs A'!L702-'Preventative costs B'!L702</f>
        <v>0</v>
      </c>
      <c r="M702" s="4" t="str">
        <f t="shared" si="54"/>
        <v>$M(2015)</v>
      </c>
    </row>
    <row r="703" spans="1:13" x14ac:dyDescent="0.25">
      <c r="A703" s="1" t="str">
        <v>AF total</v>
      </c>
      <c r="B703" s="28">
        <f ca="1">'Preventative costs A'!B703-'Preventative costs B'!B703</f>
        <v>0</v>
      </c>
      <c r="C703" s="28">
        <f ca="1">'Preventative costs A'!C703-'Preventative costs B'!C703</f>
        <v>0</v>
      </c>
      <c r="D703" s="28">
        <f ca="1">'Preventative costs A'!D703-'Preventative costs B'!D703</f>
        <v>0</v>
      </c>
      <c r="E703" s="28">
        <f ca="1">'Preventative costs A'!E703-'Preventative costs B'!E703</f>
        <v>0</v>
      </c>
      <c r="F703" s="28">
        <f ca="1">'Preventative costs A'!F703-'Preventative costs B'!F703</f>
        <v>0</v>
      </c>
      <c r="G703" s="28">
        <f ca="1">'Preventative costs A'!G703-'Preventative costs B'!G703</f>
        <v>0</v>
      </c>
      <c r="H703" s="28">
        <f ca="1">'Preventative costs A'!H703-'Preventative costs B'!H703</f>
        <v>0</v>
      </c>
      <c r="I703" s="28">
        <f ca="1">'Preventative costs A'!I703-'Preventative costs B'!I703</f>
        <v>0</v>
      </c>
      <c r="J703" s="28">
        <f ca="1">'Preventative costs A'!J703-'Preventative costs B'!J703</f>
        <v>0</v>
      </c>
      <c r="K703" s="28">
        <f ca="1">'Preventative costs A'!K703-'Preventative costs B'!K703</f>
        <v>0</v>
      </c>
      <c r="L703" s="40">
        <f ca="1">'Preventative costs A'!L703-'Preventative costs B'!L703</f>
        <v>0</v>
      </c>
      <c r="M703" s="4" t="str">
        <f t="shared" si="54"/>
        <v>$M(2015)</v>
      </c>
    </row>
    <row r="704" spans="1:13" x14ac:dyDescent="0.25">
      <c r="A704" s="1" t="str">
        <v>LA total</v>
      </c>
      <c r="B704" s="28">
        <f ca="1">'Preventative costs A'!B704-'Preventative costs B'!B704</f>
        <v>0</v>
      </c>
      <c r="C704" s="28">
        <f ca="1">'Preventative costs A'!C704-'Preventative costs B'!C704</f>
        <v>0</v>
      </c>
      <c r="D704" s="28">
        <f ca="1">'Preventative costs A'!D704-'Preventative costs B'!D704</f>
        <v>0</v>
      </c>
      <c r="E704" s="28">
        <f ca="1">'Preventative costs A'!E704-'Preventative costs B'!E704</f>
        <v>0</v>
      </c>
      <c r="F704" s="28">
        <f ca="1">'Preventative costs A'!F704-'Preventative costs B'!F704</f>
        <v>0</v>
      </c>
      <c r="G704" s="28">
        <f ca="1">'Preventative costs A'!G704-'Preventative costs B'!G704</f>
        <v>0</v>
      </c>
      <c r="H704" s="28">
        <f ca="1">'Preventative costs A'!H704-'Preventative costs B'!H704</f>
        <v>0</v>
      </c>
      <c r="I704" s="28">
        <f ca="1">'Preventative costs A'!I704-'Preventative costs B'!I704</f>
        <v>0</v>
      </c>
      <c r="J704" s="28">
        <f ca="1">'Preventative costs A'!J704-'Preventative costs B'!J704</f>
        <v>0</v>
      </c>
      <c r="K704" s="28">
        <f ca="1">'Preventative costs A'!K704-'Preventative costs B'!K704</f>
        <v>0</v>
      </c>
      <c r="L704" s="40">
        <f ca="1">'Preventative costs A'!L704-'Preventative costs B'!L704</f>
        <v>0</v>
      </c>
      <c r="M704" s="4" t="str">
        <f t="shared" si="54"/>
        <v>$M(2015)</v>
      </c>
    </row>
    <row r="705" spans="1:13" ht="13" x14ac:dyDescent="0.3">
      <c r="A705" s="2" t="s">
        <v>257</v>
      </c>
      <c r="B705" s="40">
        <f ca="1">'Preventative costs A'!B705-'Preventative costs B'!B705</f>
        <v>0</v>
      </c>
      <c r="C705" s="40">
        <f ca="1">'Preventative costs A'!C705-'Preventative costs B'!C705</f>
        <v>0</v>
      </c>
      <c r="D705" s="40">
        <f ca="1">'Preventative costs A'!D705-'Preventative costs B'!D705</f>
        <v>0</v>
      </c>
      <c r="E705" s="40">
        <f ca="1">'Preventative costs A'!E705-'Preventative costs B'!E705</f>
        <v>0</v>
      </c>
      <c r="F705" s="40">
        <f ca="1">'Preventative costs A'!F705-'Preventative costs B'!F705</f>
        <v>0</v>
      </c>
      <c r="G705" s="40">
        <f ca="1">'Preventative costs A'!G705-'Preventative costs B'!G705</f>
        <v>0</v>
      </c>
      <c r="H705" s="40">
        <f ca="1">'Preventative costs A'!H705-'Preventative costs B'!H705</f>
        <v>0</v>
      </c>
      <c r="I705" s="40">
        <f ca="1">'Preventative costs A'!I705-'Preventative costs B'!I705</f>
        <v>0</v>
      </c>
      <c r="J705" s="40">
        <f ca="1">'Preventative costs A'!J705-'Preventative costs B'!J705</f>
        <v>0</v>
      </c>
      <c r="K705" s="40">
        <f ca="1">'Preventative costs A'!K705-'Preventative costs B'!K705</f>
        <v>0</v>
      </c>
      <c r="L705" s="40">
        <f ca="1">'Preventative costs A'!L705-'Preventative costs B'!L705</f>
        <v>0</v>
      </c>
      <c r="M705" s="4" t="str">
        <f t="shared" si="54"/>
        <v>$M(2015)</v>
      </c>
    </row>
    <row r="706" spans="1:13" ht="13.5" thickBot="1" x14ac:dyDescent="0.35">
      <c r="A706" s="2" t="s">
        <v>366</v>
      </c>
      <c r="L706" s="42">
        <f ca="1">'Preventative costs A'!L706-'Preventative costs B'!L706</f>
        <v>0</v>
      </c>
      <c r="M706" s="4" t="str">
        <f t="shared" si="54"/>
        <v>$M(2015)</v>
      </c>
    </row>
    <row r="707" spans="1:13" ht="13" thickTop="1" x14ac:dyDescent="0.25"/>
  </sheetData>
  <pageMargins left="0.75" right="0.75" top="1" bottom="1" header="0.5" footer="0.5"/>
  <pageSetup paperSize="9" orientation="portrait" horizontalDpi="4294967293"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N180"/>
  <sheetViews>
    <sheetView topLeftCell="A132" workbookViewId="0">
      <selection activeCell="B132" sqref="B132"/>
    </sheetView>
  </sheetViews>
  <sheetFormatPr defaultRowHeight="12.5" x14ac:dyDescent="0.25"/>
  <cols>
    <col min="1" max="1" width="25.54296875" bestFit="1" customWidth="1"/>
    <col min="2" max="2" width="9.453125" bestFit="1" customWidth="1"/>
    <col min="3" max="4" width="9.1796875" bestFit="1" customWidth="1"/>
    <col min="5" max="5" width="9.453125" bestFit="1" customWidth="1"/>
    <col min="6" max="13" width="9" bestFit="1" customWidth="1"/>
  </cols>
  <sheetData>
    <row r="1" spans="1:13" ht="13" x14ac:dyDescent="0.3">
      <c r="A1" s="2" t="str">
        <f>MODEL_NAME</f>
        <v>PAGE-ICE Nonlinear Arctic Feedbacks</v>
      </c>
      <c r="B1" t="s">
        <v>39</v>
      </c>
      <c r="C1" s="51" t="str">
        <f>VERSION</f>
        <v>6.22</v>
      </c>
    </row>
    <row r="2" spans="1:13" ht="13" x14ac:dyDescent="0.3">
      <c r="A2" s="2" t="s">
        <v>90</v>
      </c>
      <c r="B2" s="3" t="s">
        <v>368</v>
      </c>
      <c r="C2" s="3" t="s">
        <v>368</v>
      </c>
      <c r="D2" s="3" t="str">
        <f>I_1_NAME</f>
        <v>Economic</v>
      </c>
      <c r="E2" s="3" t="str">
        <f>I_1_NAME</f>
        <v>Economic</v>
      </c>
      <c r="F2" s="3" t="str">
        <f>I_2_NAME</f>
        <v>Non-econ</v>
      </c>
      <c r="G2" s="3" t="str">
        <f>I_2_NAME</f>
        <v>Non-econ</v>
      </c>
    </row>
    <row r="3" spans="1:13" x14ac:dyDescent="0.25">
      <c r="B3" s="3" t="s">
        <v>49</v>
      </c>
      <c r="C3" s="3" t="s">
        <v>369</v>
      </c>
      <c r="D3" s="3" t="s">
        <v>49</v>
      </c>
      <c r="E3" s="3" t="s">
        <v>369</v>
      </c>
      <c r="F3" s="3" t="s">
        <v>49</v>
      </c>
      <c r="G3" s="3" t="s">
        <v>369</v>
      </c>
    </row>
    <row r="4" spans="1:13" ht="15.5" x14ac:dyDescent="0.4">
      <c r="B4" s="3" t="s">
        <v>370</v>
      </c>
      <c r="C4" s="3" t="s">
        <v>371</v>
      </c>
      <c r="D4" s="3" t="s">
        <v>91</v>
      </c>
      <c r="E4" s="3" t="s">
        <v>92</v>
      </c>
      <c r="F4" s="3" t="s">
        <v>93</v>
      </c>
      <c r="G4" s="3" t="s">
        <v>94</v>
      </c>
    </row>
    <row r="5" spans="1:13" x14ac:dyDescent="0.25">
      <c r="A5" t="str">
        <f t="array" ref="A5:A12">R_CODE</f>
        <v>EU</v>
      </c>
      <c r="B5" s="11">
        <f ca="1">CP_S_1</f>
        <v>2.3333333333333334E-2</v>
      </c>
      <c r="C5" s="11">
        <f ca="1">CI_S_1</f>
        <v>1.1666666666666668E-3</v>
      </c>
      <c r="D5" s="11">
        <f ca="1">CP_1_1</f>
        <v>1.1666666666666667E-2</v>
      </c>
      <c r="E5" s="11">
        <f ca="1">CI_1_1</f>
        <v>4.0000000000000001E-3</v>
      </c>
      <c r="F5" s="11">
        <f ca="1">CP_2_1</f>
        <v>2.3333333333333334E-2</v>
      </c>
      <c r="G5" s="11">
        <f ca="1">CI_2_1</f>
        <v>5.6666666666666671E-3</v>
      </c>
    </row>
    <row r="6" spans="1:13" x14ac:dyDescent="0.25">
      <c r="A6" t="str">
        <v>US</v>
      </c>
      <c r="B6" s="13">
        <f t="array" aca="1" ref="B6:B12" ca="1">CP_S_1*CF</f>
        <v>1.8666666666666665E-2</v>
      </c>
      <c r="C6" s="13">
        <f t="array" aca="1" ref="C6:C12" ca="1">CI_S_1*CF</f>
        <v>9.3333333333333332E-4</v>
      </c>
      <c r="D6" s="13">
        <f t="array" aca="1" ref="D6:D12" ca="1">CP_1_1*CF</f>
        <v>9.3333333333333324E-3</v>
      </c>
      <c r="E6" s="13">
        <f t="array" aca="1" ref="E6:E12" ca="1">CI_1_1*CF</f>
        <v>3.1999999999999997E-3</v>
      </c>
      <c r="F6" s="13">
        <f t="array" aca="1" ref="F6:F12" ca="1">CP_2_1*CF</f>
        <v>1.8666666666666665E-2</v>
      </c>
      <c r="G6" s="13">
        <f t="array" aca="1" ref="G6:G12" ca="1">CI_2_1*CF</f>
        <v>4.5333333333333337E-3</v>
      </c>
    </row>
    <row r="7" spans="1:13" x14ac:dyDescent="0.25">
      <c r="A7" t="str">
        <v>OT</v>
      </c>
      <c r="B7" s="13">
        <f ca="1"/>
        <v>1.8666666666666672E-2</v>
      </c>
      <c r="C7" s="13">
        <f ca="1"/>
        <v>9.3333333333333354E-4</v>
      </c>
      <c r="D7" s="13">
        <f ca="1"/>
        <v>9.3333333333333358E-3</v>
      </c>
      <c r="E7" s="13">
        <f ca="1"/>
        <v>3.2000000000000006E-3</v>
      </c>
      <c r="F7" s="13">
        <f ca="1"/>
        <v>1.8666666666666672E-2</v>
      </c>
      <c r="G7" s="13">
        <f ca="1"/>
        <v>4.5333333333333345E-3</v>
      </c>
    </row>
    <row r="8" spans="1:13" x14ac:dyDescent="0.25">
      <c r="A8" t="str">
        <v>EE</v>
      </c>
      <c r="B8" s="13">
        <f ca="1"/>
        <v>9.3333333333333358E-3</v>
      </c>
      <c r="C8" s="13">
        <f ca="1"/>
        <v>4.6666666666666677E-4</v>
      </c>
      <c r="D8" s="13">
        <f ca="1"/>
        <v>4.6666666666666679E-3</v>
      </c>
      <c r="E8" s="13">
        <f ca="1"/>
        <v>1.6000000000000003E-3</v>
      </c>
      <c r="F8" s="13">
        <f ca="1"/>
        <v>9.3333333333333358E-3</v>
      </c>
      <c r="G8" s="13">
        <f ca="1"/>
        <v>2.2666666666666673E-3</v>
      </c>
    </row>
    <row r="9" spans="1:13" x14ac:dyDescent="0.25">
      <c r="A9" t="str">
        <v>CA</v>
      </c>
      <c r="B9" s="13">
        <f ca="1"/>
        <v>1.8666666666666672E-2</v>
      </c>
      <c r="C9" s="13">
        <f ca="1"/>
        <v>9.3333333333333354E-4</v>
      </c>
      <c r="D9" s="13">
        <f ca="1"/>
        <v>9.3333333333333358E-3</v>
      </c>
      <c r="E9" s="13">
        <f ca="1"/>
        <v>3.2000000000000006E-3</v>
      </c>
      <c r="F9" s="13">
        <f ca="1"/>
        <v>1.8666666666666672E-2</v>
      </c>
      <c r="G9" s="13">
        <f ca="1"/>
        <v>4.5333333333333345E-3</v>
      </c>
    </row>
    <row r="10" spans="1:13" x14ac:dyDescent="0.25">
      <c r="A10" t="str">
        <v>IA</v>
      </c>
      <c r="B10" s="13">
        <f ca="1"/>
        <v>1.8666666666666672E-2</v>
      </c>
      <c r="C10" s="13">
        <f ca="1"/>
        <v>9.3333333333333354E-4</v>
      </c>
      <c r="D10" s="13">
        <f ca="1"/>
        <v>9.3333333333333358E-3</v>
      </c>
      <c r="E10" s="13">
        <f ca="1"/>
        <v>3.2000000000000006E-3</v>
      </c>
      <c r="F10" s="13">
        <f ca="1"/>
        <v>1.8666666666666672E-2</v>
      </c>
      <c r="G10" s="13">
        <f ca="1"/>
        <v>4.5333333333333345E-3</v>
      </c>
    </row>
    <row r="11" spans="1:13" x14ac:dyDescent="0.25">
      <c r="A11" t="str">
        <v>AF</v>
      </c>
      <c r="B11" s="13">
        <f ca="1"/>
        <v>1.4E-2</v>
      </c>
      <c r="C11" s="13">
        <f ca="1"/>
        <v>6.9999999999999999E-4</v>
      </c>
      <c r="D11" s="13">
        <f ca="1"/>
        <v>7.0000000000000001E-3</v>
      </c>
      <c r="E11" s="13">
        <f ca="1"/>
        <v>2.3999999999999998E-3</v>
      </c>
      <c r="F11" s="13">
        <f ca="1"/>
        <v>1.4E-2</v>
      </c>
      <c r="G11" s="13">
        <f ca="1"/>
        <v>3.4000000000000002E-3</v>
      </c>
    </row>
    <row r="12" spans="1:13" ht="13" thickBot="1" x14ac:dyDescent="0.3">
      <c r="A12" t="str">
        <v>LA</v>
      </c>
      <c r="B12" s="15">
        <f ca="1"/>
        <v>1.4E-2</v>
      </c>
      <c r="C12" s="15">
        <f ca="1"/>
        <v>6.9999999999999999E-4</v>
      </c>
      <c r="D12" s="15">
        <f ca="1"/>
        <v>7.0000000000000001E-3</v>
      </c>
      <c r="E12" s="15">
        <f ca="1"/>
        <v>2.3999999999999998E-3</v>
      </c>
      <c r="F12" s="15">
        <f ca="1"/>
        <v>1.4E-2</v>
      </c>
      <c r="G12" s="15">
        <f ca="1"/>
        <v>3.4000000000000002E-3</v>
      </c>
    </row>
    <row r="13" spans="1:13" ht="13" thickTop="1" x14ac:dyDescent="0.25">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5">
      <c r="B15">
        <f t="array" ref="B15:K15">Y</f>
        <v>2020</v>
      </c>
      <c r="C15">
        <v>2030</v>
      </c>
      <c r="D15">
        <v>2040</v>
      </c>
      <c r="E15">
        <v>2050</v>
      </c>
      <c r="F15">
        <v>2075</v>
      </c>
      <c r="G15">
        <v>2100</v>
      </c>
      <c r="H15">
        <v>2150</v>
      </c>
      <c r="I15">
        <v>2200</v>
      </c>
      <c r="J15">
        <v>2250</v>
      </c>
      <c r="K15">
        <v>2300</v>
      </c>
    </row>
    <row r="16" spans="1:13" s="4" customFormat="1" x14ac:dyDescent="0.25">
      <c r="A16" s="4" t="s">
        <v>59</v>
      </c>
      <c r="B16" s="12">
        <f t="array" ref="B16:K16">YP</f>
        <v>5</v>
      </c>
      <c r="C16" s="12">
        <v>10</v>
      </c>
      <c r="D16" s="12">
        <v>10</v>
      </c>
      <c r="E16" s="12">
        <v>10</v>
      </c>
      <c r="F16" s="12">
        <v>25</v>
      </c>
      <c r="G16" s="12">
        <v>25</v>
      </c>
      <c r="H16" s="12">
        <v>50</v>
      </c>
      <c r="I16" s="12">
        <v>50</v>
      </c>
      <c r="J16" s="12">
        <v>50</v>
      </c>
      <c r="K16" s="12">
        <v>50</v>
      </c>
      <c r="M16" s="4" t="s">
        <v>41</v>
      </c>
    </row>
    <row r="17" spans="1:13" s="4" customFormat="1" x14ac:dyDescent="0.25">
      <c r="A17" s="4" t="s">
        <v>84</v>
      </c>
      <c r="B17" s="14">
        <f t="array" ref="B17:K17">Y_HI</f>
        <v>2025</v>
      </c>
      <c r="C17" s="14">
        <v>2035</v>
      </c>
      <c r="D17" s="14">
        <v>2045</v>
      </c>
      <c r="E17" s="14">
        <v>2062.5</v>
      </c>
      <c r="F17" s="14">
        <v>2087.5</v>
      </c>
      <c r="G17" s="14">
        <v>2125</v>
      </c>
      <c r="H17" s="14">
        <v>2175</v>
      </c>
      <c r="I17" s="14">
        <v>2225</v>
      </c>
      <c r="J17" s="14">
        <v>2275</v>
      </c>
      <c r="K17" s="14">
        <v>2300</v>
      </c>
    </row>
    <row r="18" spans="1:13" s="4" customFormat="1" x14ac:dyDescent="0.25">
      <c r="A18" s="4" t="s">
        <v>85</v>
      </c>
      <c r="B18" s="14">
        <f t="array" ref="B18:K18">Y_LO</f>
        <v>2015</v>
      </c>
      <c r="C18" s="14">
        <v>2025</v>
      </c>
      <c r="D18" s="14">
        <v>2035</v>
      </c>
      <c r="E18" s="14">
        <v>2045</v>
      </c>
      <c r="F18" s="14">
        <v>2062.5</v>
      </c>
      <c r="G18" s="14">
        <v>2087.5</v>
      </c>
      <c r="H18" s="14">
        <v>2125</v>
      </c>
      <c r="I18" s="14">
        <v>2175</v>
      </c>
      <c r="J18" s="14">
        <v>2225</v>
      </c>
      <c r="K18" s="14">
        <v>2275</v>
      </c>
    </row>
    <row r="19" spans="1:13" s="4" customFormat="1" ht="13" thickBot="1" x14ac:dyDescent="0.3">
      <c r="A19" s="4" t="s">
        <v>83</v>
      </c>
      <c r="B19" s="16">
        <f t="array" ref="B19:K19">YAGG</f>
        <v>10</v>
      </c>
      <c r="C19" s="16">
        <v>10</v>
      </c>
      <c r="D19" s="16">
        <v>10</v>
      </c>
      <c r="E19" s="16">
        <v>17.5</v>
      </c>
      <c r="F19" s="16">
        <v>25</v>
      </c>
      <c r="G19" s="16">
        <v>37.5</v>
      </c>
      <c r="H19" s="16">
        <v>50</v>
      </c>
      <c r="I19" s="16">
        <v>50</v>
      </c>
      <c r="J19" s="16">
        <v>50</v>
      </c>
      <c r="K19" s="16">
        <v>25</v>
      </c>
      <c r="M19" s="4" t="s">
        <v>41</v>
      </c>
    </row>
    <row r="20" spans="1:13" ht="13" thickTop="1" x14ac:dyDescent="0.25"/>
    <row r="21" spans="1:13" s="2" customFormat="1" ht="15" x14ac:dyDescent="0.4">
      <c r="A21" s="2" t="s">
        <v>372</v>
      </c>
      <c r="B21" s="2" t="s">
        <v>373</v>
      </c>
    </row>
    <row r="22" spans="1:13" s="4" customFormat="1" x14ac:dyDescent="0.25">
      <c r="A22" t="str">
        <f t="array" ref="A22:A29">R_CODE&amp;" sea level"</f>
        <v>EU sea level</v>
      </c>
      <c r="B22" s="27">
        <f t="array" aca="1" ref="B22:K29" ca="1">atl_s*CP_S*GDP/100*AUTOFAC</f>
        <v>426.1303562069221</v>
      </c>
      <c r="C22" s="27">
        <f ca="1"/>
        <v>709.33348348176969</v>
      </c>
      <c r="D22" s="27">
        <f ca="1"/>
        <v>1062.0241182727252</v>
      </c>
      <c r="E22" s="27">
        <f ca="1"/>
        <v>1481.9245917496412</v>
      </c>
      <c r="F22" s="27">
        <f ca="1"/>
        <v>1898.9840456585923</v>
      </c>
      <c r="G22" s="27">
        <f ca="1"/>
        <v>2350.8883025868126</v>
      </c>
      <c r="H22" s="27">
        <f ca="1"/>
        <v>3489.0998051319411</v>
      </c>
      <c r="I22" s="27">
        <f ca="1"/>
        <v>4620.3525602070104</v>
      </c>
      <c r="J22" s="27">
        <f ca="1"/>
        <v>5569.1515316779878</v>
      </c>
      <c r="K22" s="27">
        <f ca="1"/>
        <v>6211.8461229761233</v>
      </c>
      <c r="M22" s="4" t="str">
        <f t="shared" ref="M22:M30" si="0">CURRENCY_NAME</f>
        <v>$M(2015)</v>
      </c>
    </row>
    <row r="23" spans="1:13" s="4" customFormat="1" x14ac:dyDescent="0.25">
      <c r="A23" t="str">
        <v>US sea level</v>
      </c>
      <c r="B23" s="28">
        <f ca="1"/>
        <v>348.39981823986346</v>
      </c>
      <c r="C23" s="28">
        <f ca="1"/>
        <v>611.52808379162946</v>
      </c>
      <c r="D23" s="28">
        <f ca="1"/>
        <v>919.19671721926898</v>
      </c>
      <c r="E23" s="28">
        <f ca="1"/>
        <v>1276.329504659735</v>
      </c>
      <c r="F23" s="28">
        <f ca="1"/>
        <v>1643.6032074933159</v>
      </c>
      <c r="G23" s="28">
        <f ca="1"/>
        <v>2075.2612698751132</v>
      </c>
      <c r="H23" s="28">
        <f ca="1"/>
        <v>3246.383487363054</v>
      </c>
      <c r="I23" s="28">
        <f ca="1"/>
        <v>4730.674320553464</v>
      </c>
      <c r="J23" s="28">
        <f ca="1"/>
        <v>6467.5868364550906</v>
      </c>
      <c r="K23" s="28">
        <f ca="1"/>
        <v>8349.27409821726</v>
      </c>
      <c r="M23" s="4" t="str">
        <f t="shared" si="0"/>
        <v>$M(2015)</v>
      </c>
    </row>
    <row r="24" spans="1:13" s="4" customFormat="1" x14ac:dyDescent="0.25">
      <c r="A24" t="str">
        <v>OT sea level</v>
      </c>
      <c r="B24" s="28">
        <f ca="1"/>
        <v>190.92154730639442</v>
      </c>
      <c r="C24" s="28">
        <f ca="1"/>
        <v>329.57651205953312</v>
      </c>
      <c r="D24" s="28">
        <f ca="1"/>
        <v>493.4466125937808</v>
      </c>
      <c r="E24" s="28">
        <f ca="1"/>
        <v>683.14293669282222</v>
      </c>
      <c r="F24" s="28">
        <f ca="1"/>
        <v>837.40811524426044</v>
      </c>
      <c r="G24" s="28">
        <f ca="1"/>
        <v>960.27147770121985</v>
      </c>
      <c r="H24" s="28">
        <f ca="1"/>
        <v>1193.6177474935055</v>
      </c>
      <c r="I24" s="28">
        <f ca="1"/>
        <v>1250.1127624736966</v>
      </c>
      <c r="J24" s="28">
        <f ca="1"/>
        <v>1173.9506064428554</v>
      </c>
      <c r="K24" s="28">
        <f ca="1"/>
        <v>1028.4873471708377</v>
      </c>
      <c r="M24" s="4" t="str">
        <f t="shared" si="0"/>
        <v>$M(2015)</v>
      </c>
    </row>
    <row r="25" spans="1:13" s="4" customFormat="1" x14ac:dyDescent="0.25">
      <c r="A25" t="str">
        <v>EE sea level</v>
      </c>
      <c r="B25" s="28">
        <f ca="1"/>
        <v>46.567259950288289</v>
      </c>
      <c r="C25" s="28">
        <f ca="1"/>
        <v>97.158580211709776</v>
      </c>
      <c r="D25" s="28">
        <f ca="1"/>
        <v>165.17281787153721</v>
      </c>
      <c r="E25" s="28">
        <f ca="1"/>
        <v>233.90318892808469</v>
      </c>
      <c r="F25" s="28">
        <f ca="1"/>
        <v>276.2978695998853</v>
      </c>
      <c r="G25" s="28">
        <f ca="1"/>
        <v>295.60440633521029</v>
      </c>
      <c r="H25" s="28">
        <f ca="1"/>
        <v>314.72546031761641</v>
      </c>
      <c r="I25" s="28">
        <f ca="1"/>
        <v>280.52253547520769</v>
      </c>
      <c r="J25" s="28">
        <f ca="1"/>
        <v>231.30860781829068</v>
      </c>
      <c r="K25" s="28">
        <f ca="1"/>
        <v>184.34248164128149</v>
      </c>
      <c r="M25" s="4" t="str">
        <f t="shared" si="0"/>
        <v>$M(2015)</v>
      </c>
    </row>
    <row r="26" spans="1:13" s="4" customFormat="1" x14ac:dyDescent="0.25">
      <c r="A26" t="str">
        <v>CA sea level</v>
      </c>
      <c r="B26" s="28">
        <f ca="1"/>
        <v>222.90882356622993</v>
      </c>
      <c r="C26" s="28">
        <f ca="1"/>
        <v>590.49525814109438</v>
      </c>
      <c r="D26" s="28">
        <f ca="1"/>
        <v>1100.4092453966387</v>
      </c>
      <c r="E26" s="28">
        <f ca="1"/>
        <v>1641.3847245620925</v>
      </c>
      <c r="F26" s="28">
        <f ca="1"/>
        <v>2550.4724912689558</v>
      </c>
      <c r="G26" s="28">
        <f ca="1"/>
        <v>2207.965817666593</v>
      </c>
      <c r="H26" s="28">
        <f ca="1"/>
        <v>1654.7628013290268</v>
      </c>
      <c r="I26" s="28">
        <f ca="1"/>
        <v>1240.1640943681348</v>
      </c>
      <c r="J26" s="28">
        <f ca="1"/>
        <v>929.44256404886642</v>
      </c>
      <c r="K26" s="28">
        <f ca="1"/>
        <v>696.57191640100734</v>
      </c>
      <c r="M26" s="4" t="str">
        <f t="shared" si="0"/>
        <v>$M(2015)</v>
      </c>
    </row>
    <row r="27" spans="1:13" s="4" customFormat="1" x14ac:dyDescent="0.25">
      <c r="A27" t="str">
        <v>IA sea level</v>
      </c>
      <c r="B27" s="28">
        <f ca="1"/>
        <v>157.32439393512314</v>
      </c>
      <c r="C27" s="28">
        <f ca="1"/>
        <v>412.47021255025578</v>
      </c>
      <c r="D27" s="28">
        <f ca="1"/>
        <v>892.9882204734555</v>
      </c>
      <c r="E27" s="28">
        <f ca="1"/>
        <v>1636.8102266128783</v>
      </c>
      <c r="F27" s="28">
        <f ca="1"/>
        <v>4356.28018575226</v>
      </c>
      <c r="G27" s="28">
        <f ca="1"/>
        <v>5473.3214932404144</v>
      </c>
      <c r="H27" s="28">
        <f ca="1"/>
        <v>7037.7290091345503</v>
      </c>
      <c r="I27" s="28">
        <f ca="1"/>
        <v>6211.1807412491662</v>
      </c>
      <c r="J27" s="28">
        <f ca="1"/>
        <v>4980.6045837984102</v>
      </c>
      <c r="K27" s="28">
        <f ca="1"/>
        <v>3897.8194423407949</v>
      </c>
      <c r="M27" s="4" t="str">
        <f t="shared" si="0"/>
        <v>$M(2015)</v>
      </c>
    </row>
    <row r="28" spans="1:13" s="4" customFormat="1" x14ac:dyDescent="0.25">
      <c r="A28" t="str">
        <v>AF sea level</v>
      </c>
      <c r="B28" s="28">
        <f ca="1"/>
        <v>65.063916925493857</v>
      </c>
      <c r="C28" s="28">
        <f ca="1"/>
        <v>148.688413805061</v>
      </c>
      <c r="D28" s="28">
        <f ca="1"/>
        <v>311.38554061441789</v>
      </c>
      <c r="E28" s="28">
        <f ca="1"/>
        <v>609.60958066853823</v>
      </c>
      <c r="F28" s="28">
        <f ca="1"/>
        <v>2479.7601284226903</v>
      </c>
      <c r="G28" s="28">
        <f ca="1"/>
        <v>4813.1416238255943</v>
      </c>
      <c r="H28" s="28">
        <f ca="1"/>
        <v>14027.780988528515</v>
      </c>
      <c r="I28" s="28">
        <f ca="1"/>
        <v>20828.17385898975</v>
      </c>
      <c r="J28" s="28">
        <f ca="1"/>
        <v>22194.236778807837</v>
      </c>
      <c r="K28" s="28">
        <f ca="1"/>
        <v>20105.902622070116</v>
      </c>
      <c r="M28" s="4" t="str">
        <f t="shared" si="0"/>
        <v>$M(2015)</v>
      </c>
    </row>
    <row r="29" spans="1:13" s="4" customFormat="1" x14ac:dyDescent="0.25">
      <c r="A29" t="str">
        <v>LA sea level</v>
      </c>
      <c r="B29" s="28">
        <f ca="1"/>
        <v>67.818249185647446</v>
      </c>
      <c r="C29" s="28">
        <f ca="1"/>
        <v>139.33259330315022</v>
      </c>
      <c r="D29" s="28">
        <f ca="1"/>
        <v>250.55419663488163</v>
      </c>
      <c r="E29" s="28">
        <f ca="1"/>
        <v>406.36363418612012</v>
      </c>
      <c r="F29" s="28">
        <f ca="1"/>
        <v>973.95695864767504</v>
      </c>
      <c r="G29" s="28">
        <f ca="1"/>
        <v>1251.135965662703</v>
      </c>
      <c r="H29" s="28">
        <f ca="1"/>
        <v>1769.3375500046036</v>
      </c>
      <c r="I29" s="28">
        <f ca="1"/>
        <v>1744.9434348793957</v>
      </c>
      <c r="J29" s="28">
        <f ca="1"/>
        <v>1489.9400003056924</v>
      </c>
      <c r="K29" s="28">
        <f ca="1"/>
        <v>1201.1881389714615</v>
      </c>
      <c r="M29" s="4" t="str">
        <f t="shared" si="0"/>
        <v>$M(2015)</v>
      </c>
    </row>
    <row r="30" spans="1:13" ht="13.5" thickBot="1" x14ac:dyDescent="0.35">
      <c r="A30" s="2" t="s">
        <v>376</v>
      </c>
      <c r="B30" s="42">
        <f ca="1">SUM(B22:B29)</f>
        <v>1525.1343653159627</v>
      </c>
      <c r="C30" s="42">
        <f t="shared" ref="C30:K30" ca="1" si="1">SUM(C22:C29)</f>
        <v>3038.5831373442029</v>
      </c>
      <c r="D30" s="42">
        <f t="shared" ca="1" si="1"/>
        <v>5195.1774690767061</v>
      </c>
      <c r="E30" s="42">
        <f t="shared" ca="1" si="1"/>
        <v>7969.4683880599114</v>
      </c>
      <c r="F30" s="42">
        <f t="shared" ca="1" si="1"/>
        <v>15016.763002087635</v>
      </c>
      <c r="G30" s="42">
        <f t="shared" ca="1" si="1"/>
        <v>19427.590356893659</v>
      </c>
      <c r="H30" s="42">
        <f t="shared" ca="1" si="1"/>
        <v>32733.436849302809</v>
      </c>
      <c r="I30" s="42">
        <f t="shared" ca="1" si="1"/>
        <v>40906.124308195824</v>
      </c>
      <c r="J30" s="42">
        <f t="shared" ca="1" si="1"/>
        <v>43036.221509355033</v>
      </c>
      <c r="K30" s="42">
        <f t="shared" ca="1" si="1"/>
        <v>41675.432169788881</v>
      </c>
      <c r="L30" s="1"/>
      <c r="M30" s="4" t="str">
        <f t="shared" si="0"/>
        <v>$M(2015)</v>
      </c>
    </row>
    <row r="31" spans="1:13" s="2" customFormat="1" ht="15.5" thickTop="1" x14ac:dyDescent="0.4">
      <c r="A31" s="2" t="s">
        <v>374</v>
      </c>
      <c r="B31" s="2" t="s">
        <v>375</v>
      </c>
    </row>
    <row r="32" spans="1:13" x14ac:dyDescent="0.25">
      <c r="A32" t="str">
        <f t="array" ref="A32:A39">R_CODE&amp;" sea level"</f>
        <v>EU sea level</v>
      </c>
      <c r="B32" s="27">
        <f t="array" ref="B32:K39" ca="1">imp_s*CI_S*GDP/100*impmax_s_a*AUTOFAC</f>
        <v>0</v>
      </c>
      <c r="C32" s="27">
        <f ca="1"/>
        <v>2364.4449449392323</v>
      </c>
      <c r="D32" s="27">
        <f ca="1"/>
        <v>5310.120591363625</v>
      </c>
      <c r="E32" s="27">
        <f ca="1"/>
        <v>8891.5475504978476</v>
      </c>
      <c r="F32" s="27">
        <f ca="1"/>
        <v>18989.840456585924</v>
      </c>
      <c r="G32" s="27">
        <f ca="1"/>
        <v>23508.883025868126</v>
      </c>
      <c r="H32" s="27">
        <f ca="1"/>
        <v>34890.998051319417</v>
      </c>
      <c r="I32" s="27">
        <f ca="1"/>
        <v>46203.525602070098</v>
      </c>
      <c r="J32" s="27">
        <f ca="1"/>
        <v>55691.515316779885</v>
      </c>
      <c r="K32" s="27">
        <f ca="1"/>
        <v>62118.461229761233</v>
      </c>
      <c r="M32" s="4" t="str">
        <f t="shared" ref="M32:M40" si="2">CURRENCY_NAME</f>
        <v>$M(2015)</v>
      </c>
    </row>
    <row r="33" spans="1:13" x14ac:dyDescent="0.25">
      <c r="A33" t="str">
        <v>US sea level</v>
      </c>
      <c r="B33" s="28">
        <f ca="1"/>
        <v>0</v>
      </c>
      <c r="C33" s="28">
        <f ca="1"/>
        <v>2038.4269459720983</v>
      </c>
      <c r="D33" s="28">
        <f ca="1"/>
        <v>4595.9835860963449</v>
      </c>
      <c r="E33" s="28">
        <f ca="1"/>
        <v>7657.97702795841</v>
      </c>
      <c r="F33" s="28">
        <f ca="1"/>
        <v>16436.032074933159</v>
      </c>
      <c r="G33" s="28">
        <f ca="1"/>
        <v>20752.612698751134</v>
      </c>
      <c r="H33" s="28">
        <f ca="1"/>
        <v>32463.834873630542</v>
      </c>
      <c r="I33" s="28">
        <f ca="1"/>
        <v>47306.743205534643</v>
      </c>
      <c r="J33" s="28">
        <f ca="1"/>
        <v>64675.868364550915</v>
      </c>
      <c r="K33" s="28">
        <f ca="1"/>
        <v>83492.740982172603</v>
      </c>
      <c r="M33" s="4" t="str">
        <f t="shared" si="2"/>
        <v>$M(2015)</v>
      </c>
    </row>
    <row r="34" spans="1:13" x14ac:dyDescent="0.25">
      <c r="A34" t="str">
        <v>OT sea level</v>
      </c>
      <c r="B34" s="28">
        <f ca="1"/>
        <v>0</v>
      </c>
      <c r="C34" s="28">
        <f ca="1"/>
        <v>1098.5883735317771</v>
      </c>
      <c r="D34" s="28">
        <f ca="1"/>
        <v>2467.2330629689036</v>
      </c>
      <c r="E34" s="28">
        <f ca="1"/>
        <v>4098.8576201569331</v>
      </c>
      <c r="F34" s="28">
        <f ca="1"/>
        <v>8374.0811524426026</v>
      </c>
      <c r="G34" s="28">
        <f ca="1"/>
        <v>9602.7147770121956</v>
      </c>
      <c r="H34" s="28">
        <f ca="1"/>
        <v>11936.177474935053</v>
      </c>
      <c r="I34" s="28">
        <f ca="1"/>
        <v>12501.127624736966</v>
      </c>
      <c r="J34" s="28">
        <f ca="1"/>
        <v>11739.506064428553</v>
      </c>
      <c r="K34" s="28">
        <f ca="1"/>
        <v>10284.873471708377</v>
      </c>
      <c r="M34" s="4" t="str">
        <f t="shared" si="2"/>
        <v>$M(2015)</v>
      </c>
    </row>
    <row r="35" spans="1:13" x14ac:dyDescent="0.25">
      <c r="A35" t="str">
        <v>EE sea level</v>
      </c>
      <c r="B35" s="28">
        <f ca="1"/>
        <v>0</v>
      </c>
      <c r="C35" s="28">
        <f ca="1"/>
        <v>323.86193403903252</v>
      </c>
      <c r="D35" s="28">
        <f ca="1"/>
        <v>825.86408935768611</v>
      </c>
      <c r="E35" s="28">
        <f ca="1"/>
        <v>1403.4191335685082</v>
      </c>
      <c r="F35" s="28">
        <f ca="1"/>
        <v>2762.9786959988533</v>
      </c>
      <c r="G35" s="28">
        <f ca="1"/>
        <v>2956.0440633521021</v>
      </c>
      <c r="H35" s="28">
        <f ca="1"/>
        <v>3147.2546031761635</v>
      </c>
      <c r="I35" s="28">
        <f ca="1"/>
        <v>2805.2253547520768</v>
      </c>
      <c r="J35" s="28">
        <f ca="1"/>
        <v>2313.0860781829069</v>
      </c>
      <c r="K35" s="28">
        <f ca="1"/>
        <v>1843.4248164128146</v>
      </c>
      <c r="M35" s="4" t="str">
        <f t="shared" si="2"/>
        <v>$M(2015)</v>
      </c>
    </row>
    <row r="36" spans="1:13" x14ac:dyDescent="0.25">
      <c r="A36" t="str">
        <v>CA sea level</v>
      </c>
      <c r="B36" s="28">
        <f ca="1"/>
        <v>0</v>
      </c>
      <c r="C36" s="28">
        <f ca="1"/>
        <v>1230.198454460613</v>
      </c>
      <c r="D36" s="28">
        <f ca="1"/>
        <v>3438.7788918644956</v>
      </c>
      <c r="E36" s="28">
        <f ca="1"/>
        <v>6155.1927171078478</v>
      </c>
      <c r="F36" s="28">
        <f ca="1"/>
        <v>11689.665584982713</v>
      </c>
      <c r="G36" s="28">
        <f ca="1"/>
        <v>13799.786360416205</v>
      </c>
      <c r="H36" s="28">
        <f ca="1"/>
        <v>10342.267508306417</v>
      </c>
      <c r="I36" s="28">
        <f ca="1"/>
        <v>7751.0255898008409</v>
      </c>
      <c r="J36" s="28">
        <f ca="1"/>
        <v>5809.0160253054137</v>
      </c>
      <c r="K36" s="28">
        <f ca="1"/>
        <v>4353.5744775062949</v>
      </c>
      <c r="M36" s="4" t="str">
        <f t="shared" si="2"/>
        <v>$M(2015)</v>
      </c>
    </row>
    <row r="37" spans="1:13" x14ac:dyDescent="0.25">
      <c r="A37" t="str">
        <v>IA sea level</v>
      </c>
      <c r="B37" s="28">
        <f ca="1"/>
        <v>0</v>
      </c>
      <c r="C37" s="28">
        <f ca="1"/>
        <v>859.31294281303269</v>
      </c>
      <c r="D37" s="28">
        <f ca="1"/>
        <v>2790.5881889795478</v>
      </c>
      <c r="E37" s="28">
        <f ca="1"/>
        <v>6138.0383497982939</v>
      </c>
      <c r="F37" s="28">
        <f ca="1"/>
        <v>19966.284184697855</v>
      </c>
      <c r="G37" s="28">
        <f ca="1"/>
        <v>34208.259332752583</v>
      </c>
      <c r="H37" s="28">
        <f ca="1"/>
        <v>43985.806307090927</v>
      </c>
      <c r="I37" s="28">
        <f ca="1"/>
        <v>38819.879632807286</v>
      </c>
      <c r="J37" s="28">
        <f ca="1"/>
        <v>31128.778648740059</v>
      </c>
      <c r="K37" s="28">
        <f ca="1"/>
        <v>24361.371514629969</v>
      </c>
      <c r="M37" s="4" t="str">
        <f t="shared" si="2"/>
        <v>$M(2015)</v>
      </c>
    </row>
    <row r="38" spans="1:13" x14ac:dyDescent="0.25">
      <c r="A38" t="str">
        <v>AF sea level</v>
      </c>
      <c r="B38" s="28">
        <f ca="1"/>
        <v>0</v>
      </c>
      <c r="C38" s="28">
        <f ca="1"/>
        <v>309.76752876054371</v>
      </c>
      <c r="D38" s="28">
        <f ca="1"/>
        <v>973.07981442005587</v>
      </c>
      <c r="E38" s="28">
        <f ca="1"/>
        <v>2286.0359275070186</v>
      </c>
      <c r="F38" s="28">
        <f ca="1"/>
        <v>11365.56725527066</v>
      </c>
      <c r="G38" s="28">
        <f ca="1"/>
        <v>30082.135148909962</v>
      </c>
      <c r="H38" s="28">
        <f ca="1"/>
        <v>87673.631178303185</v>
      </c>
      <c r="I38" s="28">
        <f ca="1"/>
        <v>130176.08661868589</v>
      </c>
      <c r="J38" s="28">
        <f ca="1"/>
        <v>138713.97986754897</v>
      </c>
      <c r="K38" s="28">
        <f ca="1"/>
        <v>125661.8913879382</v>
      </c>
      <c r="M38" s="4" t="str">
        <f t="shared" si="2"/>
        <v>$M(2015)</v>
      </c>
    </row>
    <row r="39" spans="1:13" x14ac:dyDescent="0.25">
      <c r="A39" t="str">
        <v>LA sea level</v>
      </c>
      <c r="B39" s="28">
        <f ca="1"/>
        <v>0</v>
      </c>
      <c r="C39" s="28">
        <f ca="1"/>
        <v>290.27623604822958</v>
      </c>
      <c r="D39" s="28">
        <f ca="1"/>
        <v>782.98186448400497</v>
      </c>
      <c r="E39" s="28">
        <f ca="1"/>
        <v>1523.8636281979502</v>
      </c>
      <c r="F39" s="28">
        <f ca="1"/>
        <v>4463.9693938018427</v>
      </c>
      <c r="G39" s="28">
        <f ca="1"/>
        <v>7819.5997853918934</v>
      </c>
      <c r="H39" s="28">
        <f ca="1"/>
        <v>11058.359687528769</v>
      </c>
      <c r="I39" s="28">
        <f ca="1"/>
        <v>10905.896467996219</v>
      </c>
      <c r="J39" s="28">
        <f ca="1"/>
        <v>9312.1250019105737</v>
      </c>
      <c r="K39" s="28">
        <f ca="1"/>
        <v>7507.4258685716322</v>
      </c>
      <c r="M39" s="4" t="str">
        <f t="shared" si="2"/>
        <v>$M(2015)</v>
      </c>
    </row>
    <row r="40" spans="1:13" ht="13.5" thickBot="1" x14ac:dyDescent="0.35">
      <c r="A40" s="2" t="s">
        <v>376</v>
      </c>
      <c r="B40" s="42">
        <f t="shared" ref="B40:K40" ca="1" si="3">SUM(B32:B39)</f>
        <v>0</v>
      </c>
      <c r="C40" s="42">
        <f t="shared" ca="1" si="3"/>
        <v>8514.8773605645583</v>
      </c>
      <c r="D40" s="42">
        <f t="shared" ca="1" si="3"/>
        <v>21184.630089534665</v>
      </c>
      <c r="E40" s="42">
        <f t="shared" ca="1" si="3"/>
        <v>38154.93195479281</v>
      </c>
      <c r="F40" s="42">
        <f t="shared" ca="1" si="3"/>
        <v>94048.418798713625</v>
      </c>
      <c r="G40" s="42">
        <f t="shared" ca="1" si="3"/>
        <v>142730.03519245418</v>
      </c>
      <c r="H40" s="42">
        <f t="shared" ca="1" si="3"/>
        <v>235498.32968429051</v>
      </c>
      <c r="I40" s="42">
        <f t="shared" ca="1" si="3"/>
        <v>296469.51009638404</v>
      </c>
      <c r="J40" s="42">
        <f t="shared" ca="1" si="3"/>
        <v>319383.87536744721</v>
      </c>
      <c r="K40" s="42">
        <f t="shared" ca="1" si="3"/>
        <v>319623.7637487012</v>
      </c>
      <c r="L40" s="1"/>
      <c r="M40" s="4" t="str">
        <f t="shared" si="2"/>
        <v>$M(2015)</v>
      </c>
    </row>
    <row r="41" spans="1:13" ht="15.5" thickTop="1" x14ac:dyDescent="0.4">
      <c r="A41" s="44" t="s">
        <v>112</v>
      </c>
      <c r="B41" s="2" t="s">
        <v>381</v>
      </c>
      <c r="C41" s="1"/>
      <c r="D41" s="1"/>
      <c r="E41" s="1"/>
      <c r="F41" s="1"/>
      <c r="G41" s="1"/>
      <c r="H41" s="1"/>
      <c r="I41" s="1"/>
      <c r="J41" s="1"/>
      <c r="K41" s="1"/>
      <c r="L41" s="1"/>
      <c r="M41" s="1"/>
    </row>
    <row r="42" spans="1:13" x14ac:dyDescent="0.25">
      <c r="A42" t="str">
        <f t="array" ref="A42:A49">R_CODE&amp;" sea level"</f>
        <v>EU sea level</v>
      </c>
      <c r="B42" s="28">
        <f t="array" aca="1" ref="B42:K49" ca="1">acp_s+aci_s</f>
        <v>426.1303562069221</v>
      </c>
      <c r="C42" s="28">
        <f ca="1"/>
        <v>3073.778428421002</v>
      </c>
      <c r="D42" s="28">
        <f ca="1"/>
        <v>6372.1447096363499</v>
      </c>
      <c r="E42" s="28">
        <f ca="1"/>
        <v>10373.472142247489</v>
      </c>
      <c r="F42" s="28">
        <f ca="1"/>
        <v>20888.824502244515</v>
      </c>
      <c r="G42" s="28">
        <f ca="1"/>
        <v>25859.771328454939</v>
      </c>
      <c r="H42" s="28">
        <f ca="1"/>
        <v>38380.097856451357</v>
      </c>
      <c r="I42" s="28">
        <f ca="1"/>
        <v>50823.878162277106</v>
      </c>
      <c r="J42" s="28">
        <f ca="1"/>
        <v>61260.666848457869</v>
      </c>
      <c r="K42" s="28">
        <f ca="1"/>
        <v>68330.307352737349</v>
      </c>
      <c r="L42" s="1"/>
      <c r="M42" s="4" t="str">
        <f t="shared" ref="M42:M50" si="4">CURRENCY_NAME</f>
        <v>$M(2015)</v>
      </c>
    </row>
    <row r="43" spans="1:13" x14ac:dyDescent="0.25">
      <c r="A43" t="str">
        <v>US sea level</v>
      </c>
      <c r="B43" s="28">
        <f ca="1"/>
        <v>348.39981823986346</v>
      </c>
      <c r="C43" s="28">
        <f ca="1"/>
        <v>2649.9550297637279</v>
      </c>
      <c r="D43" s="28">
        <f ca="1"/>
        <v>5515.1803033156139</v>
      </c>
      <c r="E43" s="28">
        <f ca="1"/>
        <v>8934.3065326181459</v>
      </c>
      <c r="F43" s="28">
        <f ca="1"/>
        <v>18079.635282426476</v>
      </c>
      <c r="G43" s="28">
        <f ca="1"/>
        <v>22827.873968626249</v>
      </c>
      <c r="H43" s="28">
        <f ca="1"/>
        <v>35710.218360993596</v>
      </c>
      <c r="I43" s="28">
        <f ca="1"/>
        <v>52037.417526088109</v>
      </c>
      <c r="J43" s="28">
        <f ca="1"/>
        <v>71143.455201006</v>
      </c>
      <c r="K43" s="28">
        <f ca="1"/>
        <v>91842.015080389858</v>
      </c>
      <c r="L43" s="1"/>
      <c r="M43" s="4" t="str">
        <f t="shared" si="4"/>
        <v>$M(2015)</v>
      </c>
    </row>
    <row r="44" spans="1:13" x14ac:dyDescent="0.25">
      <c r="A44" t="str">
        <v>OT sea level</v>
      </c>
      <c r="B44" s="28">
        <f ca="1"/>
        <v>190.92154730639442</v>
      </c>
      <c r="C44" s="28">
        <f ca="1"/>
        <v>1428.1648855913102</v>
      </c>
      <c r="D44" s="28">
        <f ca="1"/>
        <v>2960.6796755626842</v>
      </c>
      <c r="E44" s="28">
        <f ca="1"/>
        <v>4782.0005568497554</v>
      </c>
      <c r="F44" s="28">
        <f ca="1"/>
        <v>9211.4892676868621</v>
      </c>
      <c r="G44" s="28">
        <f ca="1"/>
        <v>10562.986254713416</v>
      </c>
      <c r="H44" s="28">
        <f ca="1"/>
        <v>13129.795222428558</v>
      </c>
      <c r="I44" s="28">
        <f ca="1"/>
        <v>13751.240387210662</v>
      </c>
      <c r="J44" s="28">
        <f ca="1"/>
        <v>12913.456670871408</v>
      </c>
      <c r="K44" s="28">
        <f ca="1"/>
        <v>11313.360818879215</v>
      </c>
      <c r="L44" s="1"/>
      <c r="M44" s="4" t="str">
        <f t="shared" si="4"/>
        <v>$M(2015)</v>
      </c>
    </row>
    <row r="45" spans="1:13" x14ac:dyDescent="0.25">
      <c r="A45" t="str">
        <v>EE sea level</v>
      </c>
      <c r="B45" s="28">
        <f ca="1"/>
        <v>46.567259950288289</v>
      </c>
      <c r="C45" s="28">
        <f ca="1"/>
        <v>421.02051425074228</v>
      </c>
      <c r="D45" s="28">
        <f ca="1"/>
        <v>991.03690722922329</v>
      </c>
      <c r="E45" s="28">
        <f ca="1"/>
        <v>1637.322322496593</v>
      </c>
      <c r="F45" s="28">
        <f ca="1"/>
        <v>3039.2765655987387</v>
      </c>
      <c r="G45" s="28">
        <f ca="1"/>
        <v>3251.6484696873122</v>
      </c>
      <c r="H45" s="28">
        <f ca="1"/>
        <v>3461.9800634937801</v>
      </c>
      <c r="I45" s="28">
        <f ca="1"/>
        <v>3085.7478902272846</v>
      </c>
      <c r="J45" s="28">
        <f ca="1"/>
        <v>2544.3946860011974</v>
      </c>
      <c r="K45" s="28">
        <f ca="1"/>
        <v>2027.767298054096</v>
      </c>
      <c r="L45" s="1"/>
      <c r="M45" s="4" t="str">
        <f t="shared" si="4"/>
        <v>$M(2015)</v>
      </c>
    </row>
    <row r="46" spans="1:13" x14ac:dyDescent="0.25">
      <c r="A46" t="str">
        <v>CA sea level</v>
      </c>
      <c r="B46" s="28">
        <f ca="1"/>
        <v>222.90882356622993</v>
      </c>
      <c r="C46" s="28">
        <f ca="1"/>
        <v>1820.6937126017074</v>
      </c>
      <c r="D46" s="28">
        <f ca="1"/>
        <v>4539.1881372611342</v>
      </c>
      <c r="E46" s="28">
        <f ca="1"/>
        <v>7796.5774416699405</v>
      </c>
      <c r="F46" s="28">
        <f ca="1"/>
        <v>14240.138076251669</v>
      </c>
      <c r="G46" s="28">
        <f ca="1"/>
        <v>16007.752178082797</v>
      </c>
      <c r="H46" s="28">
        <f ca="1"/>
        <v>11997.030309635444</v>
      </c>
      <c r="I46" s="28">
        <f ca="1"/>
        <v>8991.1896841689759</v>
      </c>
      <c r="J46" s="28">
        <f ca="1"/>
        <v>6738.4585893542799</v>
      </c>
      <c r="K46" s="28">
        <f ca="1"/>
        <v>5050.1463939073019</v>
      </c>
      <c r="L46" s="1"/>
      <c r="M46" s="4" t="str">
        <f t="shared" si="4"/>
        <v>$M(2015)</v>
      </c>
    </row>
    <row r="47" spans="1:13" x14ac:dyDescent="0.25">
      <c r="A47" t="str">
        <v>IA sea level</v>
      </c>
      <c r="B47" s="28">
        <f ca="1"/>
        <v>157.32439393512314</v>
      </c>
      <c r="C47" s="28">
        <f ca="1"/>
        <v>1271.7831553632884</v>
      </c>
      <c r="D47" s="28">
        <f ca="1"/>
        <v>3683.5764094530032</v>
      </c>
      <c r="E47" s="28">
        <f ca="1"/>
        <v>7774.848576411172</v>
      </c>
      <c r="F47" s="28">
        <f ca="1"/>
        <v>24322.564370450116</v>
      </c>
      <c r="G47" s="28">
        <f ca="1"/>
        <v>39681.580825992998</v>
      </c>
      <c r="H47" s="28">
        <f ca="1"/>
        <v>51023.535316225476</v>
      </c>
      <c r="I47" s="28">
        <f ca="1"/>
        <v>45031.060374056455</v>
      </c>
      <c r="J47" s="28">
        <f ca="1"/>
        <v>36109.383232538472</v>
      </c>
      <c r="K47" s="28">
        <f ca="1"/>
        <v>28259.190956970764</v>
      </c>
      <c r="L47" s="1"/>
      <c r="M47" s="4" t="str">
        <f t="shared" si="4"/>
        <v>$M(2015)</v>
      </c>
    </row>
    <row r="48" spans="1:13" x14ac:dyDescent="0.25">
      <c r="A48" t="str">
        <v>AF sea level</v>
      </c>
      <c r="B48" s="28">
        <f ca="1"/>
        <v>65.063916925493857</v>
      </c>
      <c r="C48" s="28">
        <f ca="1"/>
        <v>458.45594256560469</v>
      </c>
      <c r="D48" s="28">
        <f ca="1"/>
        <v>1284.4653550344738</v>
      </c>
      <c r="E48" s="28">
        <f ca="1"/>
        <v>2895.6455081755566</v>
      </c>
      <c r="F48" s="28">
        <f ca="1"/>
        <v>13845.327383693351</v>
      </c>
      <c r="G48" s="28">
        <f ca="1"/>
        <v>34895.276772735553</v>
      </c>
      <c r="H48" s="28">
        <f ca="1"/>
        <v>101701.41216683169</v>
      </c>
      <c r="I48" s="28">
        <f ca="1"/>
        <v>151004.26047767565</v>
      </c>
      <c r="J48" s="28">
        <f ca="1"/>
        <v>160908.2166463568</v>
      </c>
      <c r="K48" s="28">
        <f ca="1"/>
        <v>145767.79401000831</v>
      </c>
      <c r="L48" s="1"/>
      <c r="M48" s="4" t="str">
        <f t="shared" si="4"/>
        <v>$M(2015)</v>
      </c>
    </row>
    <row r="49" spans="1:13" x14ac:dyDescent="0.25">
      <c r="A49" t="str">
        <v>LA sea level</v>
      </c>
      <c r="B49" s="28">
        <f ca="1"/>
        <v>67.818249185647446</v>
      </c>
      <c r="C49" s="28">
        <f ca="1"/>
        <v>429.60882935137977</v>
      </c>
      <c r="D49" s="28">
        <f ca="1"/>
        <v>1033.5360611188867</v>
      </c>
      <c r="E49" s="28">
        <f ca="1"/>
        <v>1930.2272623840704</v>
      </c>
      <c r="F49" s="28">
        <f ca="1"/>
        <v>5437.9263524495182</v>
      </c>
      <c r="G49" s="28">
        <f ca="1"/>
        <v>9070.7357510545971</v>
      </c>
      <c r="H49" s="28">
        <f ca="1"/>
        <v>12827.697237533373</v>
      </c>
      <c r="I49" s="28">
        <f ca="1"/>
        <v>12650.839902875614</v>
      </c>
      <c r="J49" s="28">
        <f ca="1"/>
        <v>10802.065002216266</v>
      </c>
      <c r="K49" s="28">
        <f ca="1"/>
        <v>8708.614007543094</v>
      </c>
      <c r="L49" s="1"/>
      <c r="M49" s="4" t="str">
        <f t="shared" si="4"/>
        <v>$M(2015)</v>
      </c>
    </row>
    <row r="50" spans="1:13" ht="13.5" thickBot="1" x14ac:dyDescent="0.35">
      <c r="A50" s="2" t="s">
        <v>376</v>
      </c>
      <c r="B50" s="42">
        <f t="shared" ref="B50:K50" ca="1" si="5">SUM(B42:B49)</f>
        <v>1525.1343653159627</v>
      </c>
      <c r="C50" s="42">
        <f t="shared" ca="1" si="5"/>
        <v>11553.460497908762</v>
      </c>
      <c r="D50" s="42">
        <f t="shared" ca="1" si="5"/>
        <v>26379.80755861137</v>
      </c>
      <c r="E50" s="42">
        <f t="shared" ca="1" si="5"/>
        <v>46124.400342852721</v>
      </c>
      <c r="F50" s="42">
        <f t="shared" ca="1" si="5"/>
        <v>109065.18180080125</v>
      </c>
      <c r="G50" s="42">
        <f t="shared" ca="1" si="5"/>
        <v>162157.62554934787</v>
      </c>
      <c r="H50" s="42">
        <f t="shared" ca="1" si="5"/>
        <v>268231.7665335933</v>
      </c>
      <c r="I50" s="42">
        <f t="shared" ca="1" si="5"/>
        <v>337375.63440457982</v>
      </c>
      <c r="J50" s="42">
        <f t="shared" ca="1" si="5"/>
        <v>362420.09687680227</v>
      </c>
      <c r="K50" s="42">
        <f t="shared" ca="1" si="5"/>
        <v>361299.19591848995</v>
      </c>
      <c r="L50" s="1"/>
      <c r="M50" s="4" t="str">
        <f t="shared" si="4"/>
        <v>$M(2015)</v>
      </c>
    </row>
    <row r="51" spans="1:13" s="2" customFormat="1" ht="15.5" thickTop="1" x14ac:dyDescent="0.4">
      <c r="A51" s="2" t="s">
        <v>372</v>
      </c>
      <c r="B51" s="2" t="s">
        <v>377</v>
      </c>
    </row>
    <row r="52" spans="1:13" s="4" customFormat="1" x14ac:dyDescent="0.25">
      <c r="A52" t="str">
        <f t="array" ref="A52:A59">R_CODE&amp;" "&amp;I_1_NAME</f>
        <v>EU Economic</v>
      </c>
      <c r="B52" s="27">
        <f t="array" ref="B52:K59" ca="1">atl_1*CP_1*GDP/100*AUTOFAC</f>
        <v>0</v>
      </c>
      <c r="C52" s="27">
        <f ca="1"/>
        <v>0</v>
      </c>
      <c r="D52" s="27">
        <f ca="1"/>
        <v>0</v>
      </c>
      <c r="E52" s="27">
        <f ca="1"/>
        <v>0</v>
      </c>
      <c r="F52" s="27">
        <f ca="1"/>
        <v>0</v>
      </c>
      <c r="G52" s="27">
        <f ca="1"/>
        <v>0</v>
      </c>
      <c r="H52" s="27">
        <f ca="1"/>
        <v>0</v>
      </c>
      <c r="I52" s="27">
        <f ca="1"/>
        <v>0</v>
      </c>
      <c r="J52" s="27">
        <f ca="1"/>
        <v>0</v>
      </c>
      <c r="K52" s="27">
        <f ca="1"/>
        <v>0</v>
      </c>
      <c r="M52" s="4" t="str">
        <f t="shared" ref="M52:M60" si="6">CURRENCY_NAME</f>
        <v>$M(2015)</v>
      </c>
    </row>
    <row r="53" spans="1:13" s="4" customFormat="1" x14ac:dyDescent="0.25">
      <c r="A53" t="str">
        <v>US Economic</v>
      </c>
      <c r="B53" s="28">
        <f ca="1"/>
        <v>0</v>
      </c>
      <c r="C53" s="28">
        <f ca="1"/>
        <v>0</v>
      </c>
      <c r="D53" s="28">
        <f ca="1"/>
        <v>0</v>
      </c>
      <c r="E53" s="28">
        <f ca="1"/>
        <v>0</v>
      </c>
      <c r="F53" s="28">
        <f ca="1"/>
        <v>0</v>
      </c>
      <c r="G53" s="28">
        <f ca="1"/>
        <v>0</v>
      </c>
      <c r="H53" s="28">
        <f ca="1"/>
        <v>0</v>
      </c>
      <c r="I53" s="28">
        <f ca="1"/>
        <v>0</v>
      </c>
      <c r="J53" s="28">
        <f ca="1"/>
        <v>0</v>
      </c>
      <c r="K53" s="28">
        <f ca="1"/>
        <v>0</v>
      </c>
      <c r="M53" s="4" t="str">
        <f t="shared" si="6"/>
        <v>$M(2015)</v>
      </c>
    </row>
    <row r="54" spans="1:13" s="4" customFormat="1" x14ac:dyDescent="0.25">
      <c r="A54" t="str">
        <v>OT Economic</v>
      </c>
      <c r="B54" s="28">
        <f ca="1"/>
        <v>0</v>
      </c>
      <c r="C54" s="28">
        <f ca="1"/>
        <v>0</v>
      </c>
      <c r="D54" s="28">
        <f ca="1"/>
        <v>0</v>
      </c>
      <c r="E54" s="28">
        <f ca="1"/>
        <v>0</v>
      </c>
      <c r="F54" s="28">
        <f ca="1"/>
        <v>0</v>
      </c>
      <c r="G54" s="28">
        <f ca="1"/>
        <v>0</v>
      </c>
      <c r="H54" s="28">
        <f ca="1"/>
        <v>0</v>
      </c>
      <c r="I54" s="28">
        <f ca="1"/>
        <v>0</v>
      </c>
      <c r="J54" s="28">
        <f ca="1"/>
        <v>0</v>
      </c>
      <c r="K54" s="28">
        <f ca="1"/>
        <v>0</v>
      </c>
      <c r="M54" s="4" t="str">
        <f t="shared" si="6"/>
        <v>$M(2015)</v>
      </c>
    </row>
    <row r="55" spans="1:13" s="4" customFormat="1" x14ac:dyDescent="0.25">
      <c r="A55" t="str">
        <v>EE Economic</v>
      </c>
      <c r="B55" s="28">
        <f ca="1"/>
        <v>0</v>
      </c>
      <c r="C55" s="28">
        <f ca="1"/>
        <v>0</v>
      </c>
      <c r="D55" s="28">
        <f ca="1"/>
        <v>0</v>
      </c>
      <c r="E55" s="28">
        <f ca="1"/>
        <v>0</v>
      </c>
      <c r="F55" s="28">
        <f ca="1"/>
        <v>0</v>
      </c>
      <c r="G55" s="28">
        <f ca="1"/>
        <v>0</v>
      </c>
      <c r="H55" s="28">
        <f ca="1"/>
        <v>0</v>
      </c>
      <c r="I55" s="28">
        <f ca="1"/>
        <v>0</v>
      </c>
      <c r="J55" s="28">
        <f ca="1"/>
        <v>0</v>
      </c>
      <c r="K55" s="28">
        <f ca="1"/>
        <v>0</v>
      </c>
      <c r="M55" s="4" t="str">
        <f t="shared" si="6"/>
        <v>$M(2015)</v>
      </c>
    </row>
    <row r="56" spans="1:13" s="4" customFormat="1" x14ac:dyDescent="0.25">
      <c r="A56" t="str">
        <v>CA Economic</v>
      </c>
      <c r="B56" s="28">
        <f ca="1"/>
        <v>0</v>
      </c>
      <c r="C56" s="28">
        <f ca="1"/>
        <v>0</v>
      </c>
      <c r="D56" s="28">
        <f ca="1"/>
        <v>0</v>
      </c>
      <c r="E56" s="28">
        <f ca="1"/>
        <v>0</v>
      </c>
      <c r="F56" s="28">
        <f ca="1"/>
        <v>0</v>
      </c>
      <c r="G56" s="28">
        <f ca="1"/>
        <v>0</v>
      </c>
      <c r="H56" s="28">
        <f ca="1"/>
        <v>0</v>
      </c>
      <c r="I56" s="28">
        <f ca="1"/>
        <v>0</v>
      </c>
      <c r="J56" s="28">
        <f ca="1"/>
        <v>0</v>
      </c>
      <c r="K56" s="28">
        <f ca="1"/>
        <v>0</v>
      </c>
      <c r="M56" s="4" t="str">
        <f t="shared" si="6"/>
        <v>$M(2015)</v>
      </c>
    </row>
    <row r="57" spans="1:13" s="4" customFormat="1" x14ac:dyDescent="0.25">
      <c r="A57" t="str">
        <v>IA Economic</v>
      </c>
      <c r="B57" s="28">
        <f ca="1"/>
        <v>0</v>
      </c>
      <c r="C57" s="28">
        <f ca="1"/>
        <v>0</v>
      </c>
      <c r="D57" s="28">
        <f ca="1"/>
        <v>0</v>
      </c>
      <c r="E57" s="28">
        <f ca="1"/>
        <v>0</v>
      </c>
      <c r="F57" s="28">
        <f ca="1"/>
        <v>0</v>
      </c>
      <c r="G57" s="28">
        <f ca="1"/>
        <v>0</v>
      </c>
      <c r="H57" s="28">
        <f ca="1"/>
        <v>0</v>
      </c>
      <c r="I57" s="28">
        <f ca="1"/>
        <v>0</v>
      </c>
      <c r="J57" s="28">
        <f ca="1"/>
        <v>0</v>
      </c>
      <c r="K57" s="28">
        <f ca="1"/>
        <v>0</v>
      </c>
      <c r="M57" s="4" t="str">
        <f t="shared" si="6"/>
        <v>$M(2015)</v>
      </c>
    </row>
    <row r="58" spans="1:13" s="4" customFormat="1" x14ac:dyDescent="0.25">
      <c r="A58" t="str">
        <v>AF Economic</v>
      </c>
      <c r="B58" s="28">
        <f ca="1"/>
        <v>0</v>
      </c>
      <c r="C58" s="28">
        <f ca="1"/>
        <v>0</v>
      </c>
      <c r="D58" s="28">
        <f ca="1"/>
        <v>0</v>
      </c>
      <c r="E58" s="28">
        <f ca="1"/>
        <v>0</v>
      </c>
      <c r="F58" s="28">
        <f ca="1"/>
        <v>0</v>
      </c>
      <c r="G58" s="28">
        <f ca="1"/>
        <v>0</v>
      </c>
      <c r="H58" s="28">
        <f ca="1"/>
        <v>0</v>
      </c>
      <c r="I58" s="28">
        <f ca="1"/>
        <v>0</v>
      </c>
      <c r="J58" s="28">
        <f ca="1"/>
        <v>0</v>
      </c>
      <c r="K58" s="28">
        <f ca="1"/>
        <v>0</v>
      </c>
      <c r="M58" s="4" t="str">
        <f t="shared" si="6"/>
        <v>$M(2015)</v>
      </c>
    </row>
    <row r="59" spans="1:13" s="4" customFormat="1" x14ac:dyDescent="0.25">
      <c r="A59" t="str">
        <v>LA Economic</v>
      </c>
      <c r="B59" s="28">
        <f ca="1"/>
        <v>0</v>
      </c>
      <c r="C59" s="28">
        <f ca="1"/>
        <v>0</v>
      </c>
      <c r="D59" s="28">
        <f ca="1"/>
        <v>0</v>
      </c>
      <c r="E59" s="28">
        <f ca="1"/>
        <v>0</v>
      </c>
      <c r="F59" s="28">
        <f ca="1"/>
        <v>0</v>
      </c>
      <c r="G59" s="28">
        <f ca="1"/>
        <v>0</v>
      </c>
      <c r="H59" s="28">
        <f ca="1"/>
        <v>0</v>
      </c>
      <c r="I59" s="28">
        <f ca="1"/>
        <v>0</v>
      </c>
      <c r="J59" s="28">
        <f ca="1"/>
        <v>0</v>
      </c>
      <c r="K59" s="28">
        <f ca="1"/>
        <v>0</v>
      </c>
      <c r="M59" s="4" t="str">
        <f t="shared" si="6"/>
        <v>$M(2015)</v>
      </c>
    </row>
    <row r="60" spans="1:13" ht="13.5" thickBot="1" x14ac:dyDescent="0.35">
      <c r="A60" s="2" t="str">
        <f>"Global "&amp;I_1_NAME</f>
        <v>Global Economic</v>
      </c>
      <c r="B60" s="42">
        <f ca="1">SUM(B52:B59)</f>
        <v>0</v>
      </c>
      <c r="C60" s="42">
        <f t="shared" ref="C60:K60" ca="1" si="7">SUM(C52:C59)</f>
        <v>0</v>
      </c>
      <c r="D60" s="42">
        <f t="shared" ca="1" si="7"/>
        <v>0</v>
      </c>
      <c r="E60" s="42">
        <f t="shared" ca="1" si="7"/>
        <v>0</v>
      </c>
      <c r="F60" s="42">
        <f t="shared" ca="1" si="7"/>
        <v>0</v>
      </c>
      <c r="G60" s="42">
        <f t="shared" ca="1" si="7"/>
        <v>0</v>
      </c>
      <c r="H60" s="42">
        <f t="shared" ca="1" si="7"/>
        <v>0</v>
      </c>
      <c r="I60" s="42">
        <f t="shared" ca="1" si="7"/>
        <v>0</v>
      </c>
      <c r="J60" s="42">
        <f t="shared" ca="1" si="7"/>
        <v>0</v>
      </c>
      <c r="K60" s="42">
        <f t="shared" ca="1" si="7"/>
        <v>0</v>
      </c>
      <c r="L60" s="1"/>
      <c r="M60" s="4" t="str">
        <f t="shared" si="6"/>
        <v>$M(2015)</v>
      </c>
    </row>
    <row r="61" spans="1:13" s="2" customFormat="1" ht="15.5" thickTop="1" x14ac:dyDescent="0.4">
      <c r="A61" s="2" t="s">
        <v>374</v>
      </c>
      <c r="B61" s="2" t="s">
        <v>378</v>
      </c>
    </row>
    <row r="62" spans="1:13" x14ac:dyDescent="0.25">
      <c r="A62" t="str">
        <f t="array" ref="A62:A69">R_CODE&amp;" "&amp;I_1_NAME</f>
        <v>EU Economic</v>
      </c>
      <c r="B62" s="27">
        <f t="array" aca="1" ref="B62:K69" ca="1">imp_1*CI_1*GDP/100*impmax_1_a*AUTOFAC</f>
        <v>0</v>
      </c>
      <c r="C62" s="27">
        <f ca="1"/>
        <v>0</v>
      </c>
      <c r="D62" s="27">
        <f ca="1"/>
        <v>0</v>
      </c>
      <c r="E62" s="27">
        <f ca="1"/>
        <v>0</v>
      </c>
      <c r="F62" s="27">
        <f ca="1"/>
        <v>0</v>
      </c>
      <c r="G62" s="27">
        <f ca="1"/>
        <v>0</v>
      </c>
      <c r="H62" s="27">
        <f ca="1"/>
        <v>0</v>
      </c>
      <c r="I62" s="27">
        <f ca="1"/>
        <v>0</v>
      </c>
      <c r="J62" s="27">
        <f ca="1"/>
        <v>0</v>
      </c>
      <c r="K62" s="27">
        <f ca="1"/>
        <v>0</v>
      </c>
      <c r="M62" s="4" t="str">
        <f t="shared" ref="M62:M70" si="8">CURRENCY_NAME</f>
        <v>$M(2015)</v>
      </c>
    </row>
    <row r="63" spans="1:13" x14ac:dyDescent="0.25">
      <c r="A63" t="str">
        <v>US Economic</v>
      </c>
      <c r="B63" s="28">
        <f ca="1"/>
        <v>0</v>
      </c>
      <c r="C63" s="28">
        <f ca="1"/>
        <v>0</v>
      </c>
      <c r="D63" s="28">
        <f ca="1"/>
        <v>0</v>
      </c>
      <c r="E63" s="28">
        <f ca="1"/>
        <v>0</v>
      </c>
      <c r="F63" s="28">
        <f ca="1"/>
        <v>0</v>
      </c>
      <c r="G63" s="28">
        <f ca="1"/>
        <v>0</v>
      </c>
      <c r="H63" s="28">
        <f ca="1"/>
        <v>0</v>
      </c>
      <c r="I63" s="28">
        <f ca="1"/>
        <v>0</v>
      </c>
      <c r="J63" s="28">
        <f ca="1"/>
        <v>0</v>
      </c>
      <c r="K63" s="28">
        <f ca="1"/>
        <v>0</v>
      </c>
      <c r="M63" s="4" t="str">
        <f t="shared" si="8"/>
        <v>$M(2015)</v>
      </c>
    </row>
    <row r="64" spans="1:13" x14ac:dyDescent="0.25">
      <c r="A64" t="str">
        <v>OT Economic</v>
      </c>
      <c r="B64" s="28">
        <f ca="1"/>
        <v>0</v>
      </c>
      <c r="C64" s="28">
        <f ca="1"/>
        <v>0</v>
      </c>
      <c r="D64" s="28">
        <f ca="1"/>
        <v>0</v>
      </c>
      <c r="E64" s="28">
        <f ca="1"/>
        <v>0</v>
      </c>
      <c r="F64" s="28">
        <f ca="1"/>
        <v>0</v>
      </c>
      <c r="G64" s="28">
        <f ca="1"/>
        <v>0</v>
      </c>
      <c r="H64" s="28">
        <f ca="1"/>
        <v>0</v>
      </c>
      <c r="I64" s="28">
        <f ca="1"/>
        <v>0</v>
      </c>
      <c r="J64" s="28">
        <f ca="1"/>
        <v>0</v>
      </c>
      <c r="K64" s="28">
        <f ca="1"/>
        <v>0</v>
      </c>
      <c r="M64" s="4" t="str">
        <f t="shared" si="8"/>
        <v>$M(2015)</v>
      </c>
    </row>
    <row r="65" spans="1:13" x14ac:dyDescent="0.25">
      <c r="A65" t="str">
        <v>EE Economic</v>
      </c>
      <c r="B65" s="28">
        <f ca="1"/>
        <v>0</v>
      </c>
      <c r="C65" s="28">
        <f ca="1"/>
        <v>0</v>
      </c>
      <c r="D65" s="28">
        <f ca="1"/>
        <v>0</v>
      </c>
      <c r="E65" s="28">
        <f ca="1"/>
        <v>0</v>
      </c>
      <c r="F65" s="28">
        <f ca="1"/>
        <v>0</v>
      </c>
      <c r="G65" s="28">
        <f ca="1"/>
        <v>0</v>
      </c>
      <c r="H65" s="28">
        <f ca="1"/>
        <v>0</v>
      </c>
      <c r="I65" s="28">
        <f ca="1"/>
        <v>0</v>
      </c>
      <c r="J65" s="28">
        <f ca="1"/>
        <v>0</v>
      </c>
      <c r="K65" s="28">
        <f ca="1"/>
        <v>0</v>
      </c>
      <c r="M65" s="4" t="str">
        <f t="shared" si="8"/>
        <v>$M(2015)</v>
      </c>
    </row>
    <row r="66" spans="1:13" x14ac:dyDescent="0.25">
      <c r="A66" t="str">
        <v>CA Economic</v>
      </c>
      <c r="B66" s="28">
        <f ca="1"/>
        <v>0</v>
      </c>
      <c r="C66" s="28">
        <f ca="1"/>
        <v>0</v>
      </c>
      <c r="D66" s="28">
        <f ca="1"/>
        <v>0</v>
      </c>
      <c r="E66" s="28">
        <f ca="1"/>
        <v>0</v>
      </c>
      <c r="F66" s="28">
        <f ca="1"/>
        <v>0</v>
      </c>
      <c r="G66" s="28">
        <f ca="1"/>
        <v>0</v>
      </c>
      <c r="H66" s="28">
        <f ca="1"/>
        <v>0</v>
      </c>
      <c r="I66" s="28">
        <f ca="1"/>
        <v>0</v>
      </c>
      <c r="J66" s="28">
        <f ca="1"/>
        <v>0</v>
      </c>
      <c r="K66" s="28">
        <f ca="1"/>
        <v>0</v>
      </c>
      <c r="M66" s="4" t="str">
        <f t="shared" si="8"/>
        <v>$M(2015)</v>
      </c>
    </row>
    <row r="67" spans="1:13" x14ac:dyDescent="0.25">
      <c r="A67" t="str">
        <v>IA Economic</v>
      </c>
      <c r="B67" s="28">
        <f ca="1"/>
        <v>0</v>
      </c>
      <c r="C67" s="28">
        <f ca="1"/>
        <v>0</v>
      </c>
      <c r="D67" s="28">
        <f ca="1"/>
        <v>0</v>
      </c>
      <c r="E67" s="28">
        <f ca="1"/>
        <v>0</v>
      </c>
      <c r="F67" s="28">
        <f ca="1"/>
        <v>0</v>
      </c>
      <c r="G67" s="28">
        <f ca="1"/>
        <v>0</v>
      </c>
      <c r="H67" s="28">
        <f ca="1"/>
        <v>0</v>
      </c>
      <c r="I67" s="28">
        <f ca="1"/>
        <v>0</v>
      </c>
      <c r="J67" s="28">
        <f ca="1"/>
        <v>0</v>
      </c>
      <c r="K67" s="28">
        <f ca="1"/>
        <v>0</v>
      </c>
      <c r="M67" s="4" t="str">
        <f t="shared" si="8"/>
        <v>$M(2015)</v>
      </c>
    </row>
    <row r="68" spans="1:13" x14ac:dyDescent="0.25">
      <c r="A68" t="str">
        <v>AF Economic</v>
      </c>
      <c r="B68" s="28">
        <f ca="1"/>
        <v>0</v>
      </c>
      <c r="C68" s="28">
        <f ca="1"/>
        <v>0</v>
      </c>
      <c r="D68" s="28">
        <f ca="1"/>
        <v>0</v>
      </c>
      <c r="E68" s="28">
        <f ca="1"/>
        <v>0</v>
      </c>
      <c r="F68" s="28">
        <f ca="1"/>
        <v>0</v>
      </c>
      <c r="G68" s="28">
        <f ca="1"/>
        <v>0</v>
      </c>
      <c r="H68" s="28">
        <f ca="1"/>
        <v>0</v>
      </c>
      <c r="I68" s="28">
        <f ca="1"/>
        <v>0</v>
      </c>
      <c r="J68" s="28">
        <f ca="1"/>
        <v>0</v>
      </c>
      <c r="K68" s="28">
        <f ca="1"/>
        <v>0</v>
      </c>
      <c r="M68" s="4" t="str">
        <f t="shared" si="8"/>
        <v>$M(2015)</v>
      </c>
    </row>
    <row r="69" spans="1:13" x14ac:dyDescent="0.25">
      <c r="A69" t="str">
        <v>LA Economic</v>
      </c>
      <c r="B69" s="28">
        <f ca="1"/>
        <v>0</v>
      </c>
      <c r="C69" s="28">
        <f ca="1"/>
        <v>0</v>
      </c>
      <c r="D69" s="28">
        <f ca="1"/>
        <v>0</v>
      </c>
      <c r="E69" s="28">
        <f ca="1"/>
        <v>0</v>
      </c>
      <c r="F69" s="28">
        <f ca="1"/>
        <v>0</v>
      </c>
      <c r="G69" s="28">
        <f ca="1"/>
        <v>0</v>
      </c>
      <c r="H69" s="28">
        <f ca="1"/>
        <v>0</v>
      </c>
      <c r="I69" s="28">
        <f ca="1"/>
        <v>0</v>
      </c>
      <c r="J69" s="28">
        <f ca="1"/>
        <v>0</v>
      </c>
      <c r="K69" s="28">
        <f ca="1"/>
        <v>0</v>
      </c>
      <c r="M69" s="4" t="str">
        <f t="shared" si="8"/>
        <v>$M(2015)</v>
      </c>
    </row>
    <row r="70" spans="1:13" ht="13.5" thickBot="1" x14ac:dyDescent="0.35">
      <c r="A70" s="2" t="str">
        <f>"Global "&amp;I_1_NAME</f>
        <v>Global Economic</v>
      </c>
      <c r="B70" s="42">
        <f t="shared" ref="B70:K70" ca="1" si="9">SUM(B62:B69)</f>
        <v>0</v>
      </c>
      <c r="C70" s="42">
        <f t="shared" ca="1" si="9"/>
        <v>0</v>
      </c>
      <c r="D70" s="42">
        <f t="shared" ca="1" si="9"/>
        <v>0</v>
      </c>
      <c r="E70" s="42">
        <f t="shared" ca="1" si="9"/>
        <v>0</v>
      </c>
      <c r="F70" s="42">
        <f t="shared" ca="1" si="9"/>
        <v>0</v>
      </c>
      <c r="G70" s="42">
        <f t="shared" ca="1" si="9"/>
        <v>0</v>
      </c>
      <c r="H70" s="42">
        <f t="shared" ca="1" si="9"/>
        <v>0</v>
      </c>
      <c r="I70" s="42">
        <f t="shared" ca="1" si="9"/>
        <v>0</v>
      </c>
      <c r="J70" s="42">
        <f t="shared" ca="1" si="9"/>
        <v>0</v>
      </c>
      <c r="K70" s="42">
        <f t="shared" ca="1" si="9"/>
        <v>0</v>
      </c>
      <c r="L70" s="1"/>
      <c r="M70" s="4" t="str">
        <f t="shared" si="8"/>
        <v>$M(2015)</v>
      </c>
    </row>
    <row r="71" spans="1:13" ht="15.5" thickTop="1" x14ac:dyDescent="0.4">
      <c r="A71" s="44" t="s">
        <v>112</v>
      </c>
      <c r="B71" s="2" t="s">
        <v>95</v>
      </c>
      <c r="C71" s="1"/>
      <c r="D71" s="1"/>
      <c r="E71" s="1"/>
      <c r="F71" s="1"/>
      <c r="G71" s="1"/>
      <c r="H71" s="1"/>
      <c r="I71" s="1"/>
      <c r="J71" s="1"/>
      <c r="K71" s="1"/>
      <c r="L71" s="1"/>
      <c r="M71" s="1"/>
    </row>
    <row r="72" spans="1:13" x14ac:dyDescent="0.25">
      <c r="A72" t="str">
        <f t="array" ref="A72:A79">R_CODE&amp;" "&amp;I_1_NAME</f>
        <v>EU Economic</v>
      </c>
      <c r="B72" s="28">
        <f t="array" aca="1" ref="B72:K79" ca="1">acp_1+aci_1</f>
        <v>0</v>
      </c>
      <c r="C72" s="28">
        <f ca="1"/>
        <v>0</v>
      </c>
      <c r="D72" s="28">
        <f ca="1"/>
        <v>0</v>
      </c>
      <c r="E72" s="28">
        <f ca="1"/>
        <v>0</v>
      </c>
      <c r="F72" s="28">
        <f ca="1"/>
        <v>0</v>
      </c>
      <c r="G72" s="28">
        <f ca="1"/>
        <v>0</v>
      </c>
      <c r="H72" s="28">
        <f ca="1"/>
        <v>0</v>
      </c>
      <c r="I72" s="28">
        <f ca="1"/>
        <v>0</v>
      </c>
      <c r="J72" s="28">
        <f ca="1"/>
        <v>0</v>
      </c>
      <c r="K72" s="28">
        <f ca="1"/>
        <v>0</v>
      </c>
      <c r="L72" s="1"/>
      <c r="M72" s="4" t="str">
        <f t="shared" ref="M72:M80" si="10">CURRENCY_NAME</f>
        <v>$M(2015)</v>
      </c>
    </row>
    <row r="73" spans="1:13" x14ac:dyDescent="0.25">
      <c r="A73" t="str">
        <v>US Economic</v>
      </c>
      <c r="B73" s="28">
        <f ca="1"/>
        <v>0</v>
      </c>
      <c r="C73" s="28">
        <f ca="1"/>
        <v>0</v>
      </c>
      <c r="D73" s="28">
        <f ca="1"/>
        <v>0</v>
      </c>
      <c r="E73" s="28">
        <f ca="1"/>
        <v>0</v>
      </c>
      <c r="F73" s="28">
        <f ca="1"/>
        <v>0</v>
      </c>
      <c r="G73" s="28">
        <f ca="1"/>
        <v>0</v>
      </c>
      <c r="H73" s="28">
        <f ca="1"/>
        <v>0</v>
      </c>
      <c r="I73" s="28">
        <f ca="1"/>
        <v>0</v>
      </c>
      <c r="J73" s="28">
        <f ca="1"/>
        <v>0</v>
      </c>
      <c r="K73" s="28">
        <f ca="1"/>
        <v>0</v>
      </c>
      <c r="L73" s="1"/>
      <c r="M73" s="4" t="str">
        <f t="shared" si="10"/>
        <v>$M(2015)</v>
      </c>
    </row>
    <row r="74" spans="1:13" x14ac:dyDescent="0.25">
      <c r="A74" t="str">
        <v>OT Economic</v>
      </c>
      <c r="B74" s="28">
        <f ca="1"/>
        <v>0</v>
      </c>
      <c r="C74" s="28">
        <f ca="1"/>
        <v>0</v>
      </c>
      <c r="D74" s="28">
        <f ca="1"/>
        <v>0</v>
      </c>
      <c r="E74" s="28">
        <f ca="1"/>
        <v>0</v>
      </c>
      <c r="F74" s="28">
        <f ca="1"/>
        <v>0</v>
      </c>
      <c r="G74" s="28">
        <f ca="1"/>
        <v>0</v>
      </c>
      <c r="H74" s="28">
        <f ca="1"/>
        <v>0</v>
      </c>
      <c r="I74" s="28">
        <f ca="1"/>
        <v>0</v>
      </c>
      <c r="J74" s="28">
        <f ca="1"/>
        <v>0</v>
      </c>
      <c r="K74" s="28">
        <f ca="1"/>
        <v>0</v>
      </c>
      <c r="L74" s="1"/>
      <c r="M74" s="4" t="str">
        <f t="shared" si="10"/>
        <v>$M(2015)</v>
      </c>
    </row>
    <row r="75" spans="1:13" x14ac:dyDescent="0.25">
      <c r="A75" t="str">
        <v>EE Economic</v>
      </c>
      <c r="B75" s="28">
        <f ca="1"/>
        <v>0</v>
      </c>
      <c r="C75" s="28">
        <f ca="1"/>
        <v>0</v>
      </c>
      <c r="D75" s="28">
        <f ca="1"/>
        <v>0</v>
      </c>
      <c r="E75" s="28">
        <f ca="1"/>
        <v>0</v>
      </c>
      <c r="F75" s="28">
        <f ca="1"/>
        <v>0</v>
      </c>
      <c r="G75" s="28">
        <f ca="1"/>
        <v>0</v>
      </c>
      <c r="H75" s="28">
        <f ca="1"/>
        <v>0</v>
      </c>
      <c r="I75" s="28">
        <f ca="1"/>
        <v>0</v>
      </c>
      <c r="J75" s="28">
        <f ca="1"/>
        <v>0</v>
      </c>
      <c r="K75" s="28">
        <f ca="1"/>
        <v>0</v>
      </c>
      <c r="L75" s="1"/>
      <c r="M75" s="4" t="str">
        <f t="shared" si="10"/>
        <v>$M(2015)</v>
      </c>
    </row>
    <row r="76" spans="1:13" x14ac:dyDescent="0.25">
      <c r="A76" t="str">
        <v>CA Economic</v>
      </c>
      <c r="B76" s="28">
        <f ca="1"/>
        <v>0</v>
      </c>
      <c r="C76" s="28">
        <f ca="1"/>
        <v>0</v>
      </c>
      <c r="D76" s="28">
        <f ca="1"/>
        <v>0</v>
      </c>
      <c r="E76" s="28">
        <f ca="1"/>
        <v>0</v>
      </c>
      <c r="F76" s="28">
        <f ca="1"/>
        <v>0</v>
      </c>
      <c r="G76" s="28">
        <f ca="1"/>
        <v>0</v>
      </c>
      <c r="H76" s="28">
        <f ca="1"/>
        <v>0</v>
      </c>
      <c r="I76" s="28">
        <f ca="1"/>
        <v>0</v>
      </c>
      <c r="J76" s="28">
        <f ca="1"/>
        <v>0</v>
      </c>
      <c r="K76" s="28">
        <f ca="1"/>
        <v>0</v>
      </c>
      <c r="L76" s="1"/>
      <c r="M76" s="4" t="str">
        <f t="shared" si="10"/>
        <v>$M(2015)</v>
      </c>
    </row>
    <row r="77" spans="1:13" x14ac:dyDescent="0.25">
      <c r="A77" t="str">
        <v>IA Economic</v>
      </c>
      <c r="B77" s="28">
        <f ca="1"/>
        <v>0</v>
      </c>
      <c r="C77" s="28">
        <f ca="1"/>
        <v>0</v>
      </c>
      <c r="D77" s="28">
        <f ca="1"/>
        <v>0</v>
      </c>
      <c r="E77" s="28">
        <f ca="1"/>
        <v>0</v>
      </c>
      <c r="F77" s="28">
        <f ca="1"/>
        <v>0</v>
      </c>
      <c r="G77" s="28">
        <f ca="1"/>
        <v>0</v>
      </c>
      <c r="H77" s="28">
        <f ca="1"/>
        <v>0</v>
      </c>
      <c r="I77" s="28">
        <f ca="1"/>
        <v>0</v>
      </c>
      <c r="J77" s="28">
        <f ca="1"/>
        <v>0</v>
      </c>
      <c r="K77" s="28">
        <f ca="1"/>
        <v>0</v>
      </c>
      <c r="L77" s="1"/>
      <c r="M77" s="4" t="str">
        <f t="shared" si="10"/>
        <v>$M(2015)</v>
      </c>
    </row>
    <row r="78" spans="1:13" x14ac:dyDescent="0.25">
      <c r="A78" t="str">
        <v>AF Economic</v>
      </c>
      <c r="B78" s="28">
        <f ca="1"/>
        <v>0</v>
      </c>
      <c r="C78" s="28">
        <f ca="1"/>
        <v>0</v>
      </c>
      <c r="D78" s="28">
        <f ca="1"/>
        <v>0</v>
      </c>
      <c r="E78" s="28">
        <f ca="1"/>
        <v>0</v>
      </c>
      <c r="F78" s="28">
        <f ca="1"/>
        <v>0</v>
      </c>
      <c r="G78" s="28">
        <f ca="1"/>
        <v>0</v>
      </c>
      <c r="H78" s="28">
        <f ca="1"/>
        <v>0</v>
      </c>
      <c r="I78" s="28">
        <f ca="1"/>
        <v>0</v>
      </c>
      <c r="J78" s="28">
        <f ca="1"/>
        <v>0</v>
      </c>
      <c r="K78" s="28">
        <f ca="1"/>
        <v>0</v>
      </c>
      <c r="L78" s="1"/>
      <c r="M78" s="4" t="str">
        <f t="shared" si="10"/>
        <v>$M(2015)</v>
      </c>
    </row>
    <row r="79" spans="1:13" x14ac:dyDescent="0.25">
      <c r="A79" t="str">
        <v>LA Economic</v>
      </c>
      <c r="B79" s="28">
        <f ca="1"/>
        <v>0</v>
      </c>
      <c r="C79" s="28">
        <f ca="1"/>
        <v>0</v>
      </c>
      <c r="D79" s="28">
        <f ca="1"/>
        <v>0</v>
      </c>
      <c r="E79" s="28">
        <f ca="1"/>
        <v>0</v>
      </c>
      <c r="F79" s="28">
        <f ca="1"/>
        <v>0</v>
      </c>
      <c r="G79" s="28">
        <f ca="1"/>
        <v>0</v>
      </c>
      <c r="H79" s="28">
        <f ca="1"/>
        <v>0</v>
      </c>
      <c r="I79" s="28">
        <f ca="1"/>
        <v>0</v>
      </c>
      <c r="J79" s="28">
        <f ca="1"/>
        <v>0</v>
      </c>
      <c r="K79" s="28">
        <f ca="1"/>
        <v>0</v>
      </c>
      <c r="L79" s="1"/>
      <c r="M79" s="4" t="str">
        <f t="shared" si="10"/>
        <v>$M(2015)</v>
      </c>
    </row>
    <row r="80" spans="1:13" ht="13.5" thickBot="1" x14ac:dyDescent="0.35">
      <c r="A80" s="2" t="str">
        <f>"Global "&amp;I_1_NAME</f>
        <v>Global Economic</v>
      </c>
      <c r="B80" s="42">
        <f t="shared" ref="B80:K80" ca="1" si="11">SUM(B72:B79)</f>
        <v>0</v>
      </c>
      <c r="C80" s="42">
        <f t="shared" ca="1" si="11"/>
        <v>0</v>
      </c>
      <c r="D80" s="42">
        <f t="shared" ca="1" si="11"/>
        <v>0</v>
      </c>
      <c r="E80" s="42">
        <f t="shared" ca="1" si="11"/>
        <v>0</v>
      </c>
      <c r="F80" s="42">
        <f t="shared" ca="1" si="11"/>
        <v>0</v>
      </c>
      <c r="G80" s="42">
        <f t="shared" ca="1" si="11"/>
        <v>0</v>
      </c>
      <c r="H80" s="42">
        <f t="shared" ca="1" si="11"/>
        <v>0</v>
      </c>
      <c r="I80" s="42">
        <f t="shared" ca="1" si="11"/>
        <v>0</v>
      </c>
      <c r="J80" s="42">
        <f t="shared" ca="1" si="11"/>
        <v>0</v>
      </c>
      <c r="K80" s="42">
        <f t="shared" ca="1" si="11"/>
        <v>0</v>
      </c>
      <c r="L80" s="1"/>
      <c r="M80" s="4" t="str">
        <f t="shared" si="10"/>
        <v>$M(2015)</v>
      </c>
    </row>
    <row r="81" spans="1:13" s="2" customFormat="1" ht="15.5" thickTop="1" x14ac:dyDescent="0.4">
      <c r="A81" s="2" t="s">
        <v>372</v>
      </c>
      <c r="B81" s="2" t="s">
        <v>379</v>
      </c>
    </row>
    <row r="82" spans="1:13" s="4" customFormat="1" x14ac:dyDescent="0.25">
      <c r="A82" t="str">
        <f t="array" ref="A82:A89">R_CODE&amp;" "&amp;I_2_NAME</f>
        <v>EU Non-econ</v>
      </c>
      <c r="B82" s="27">
        <f t="array" ref="B82:K89" ca="1">atl_2*CP_2*GDP/100*AUTOFAC</f>
        <v>0</v>
      </c>
      <c r="C82" s="27">
        <f ca="1"/>
        <v>0</v>
      </c>
      <c r="D82" s="27">
        <f ca="1"/>
        <v>0</v>
      </c>
      <c r="E82" s="27">
        <f ca="1"/>
        <v>0</v>
      </c>
      <c r="F82" s="27">
        <f ca="1"/>
        <v>0</v>
      </c>
      <c r="G82" s="27">
        <f ca="1"/>
        <v>0</v>
      </c>
      <c r="H82" s="27">
        <f ca="1"/>
        <v>0</v>
      </c>
      <c r="I82" s="27">
        <f ca="1"/>
        <v>0</v>
      </c>
      <c r="J82" s="27">
        <f ca="1"/>
        <v>0</v>
      </c>
      <c r="K82" s="27">
        <f ca="1"/>
        <v>0</v>
      </c>
      <c r="M82" s="4" t="str">
        <f t="shared" ref="M82:M90" si="12">CURRENCY_NAME</f>
        <v>$M(2015)</v>
      </c>
    </row>
    <row r="83" spans="1:13" s="4" customFormat="1" x14ac:dyDescent="0.25">
      <c r="A83" t="str">
        <v>US Non-econ</v>
      </c>
      <c r="B83" s="28">
        <f ca="1"/>
        <v>0</v>
      </c>
      <c r="C83" s="28">
        <f ca="1"/>
        <v>0</v>
      </c>
      <c r="D83" s="28">
        <f ca="1"/>
        <v>0</v>
      </c>
      <c r="E83" s="28">
        <f ca="1"/>
        <v>0</v>
      </c>
      <c r="F83" s="28">
        <f ca="1"/>
        <v>0</v>
      </c>
      <c r="G83" s="28">
        <f ca="1"/>
        <v>0</v>
      </c>
      <c r="H83" s="28">
        <f ca="1"/>
        <v>0</v>
      </c>
      <c r="I83" s="28">
        <f ca="1"/>
        <v>0</v>
      </c>
      <c r="J83" s="28">
        <f ca="1"/>
        <v>0</v>
      </c>
      <c r="K83" s="28">
        <f ca="1"/>
        <v>0</v>
      </c>
      <c r="M83" s="4" t="str">
        <f t="shared" si="12"/>
        <v>$M(2015)</v>
      </c>
    </row>
    <row r="84" spans="1:13" s="4" customFormat="1" x14ac:dyDescent="0.25">
      <c r="A84" t="str">
        <v>OT Non-econ</v>
      </c>
      <c r="B84" s="28">
        <f ca="1"/>
        <v>0</v>
      </c>
      <c r="C84" s="28">
        <f ca="1"/>
        <v>0</v>
      </c>
      <c r="D84" s="28">
        <f ca="1"/>
        <v>0</v>
      </c>
      <c r="E84" s="28">
        <f ca="1"/>
        <v>0</v>
      </c>
      <c r="F84" s="28">
        <f ca="1"/>
        <v>0</v>
      </c>
      <c r="G84" s="28">
        <f ca="1"/>
        <v>0</v>
      </c>
      <c r="H84" s="28">
        <f ca="1"/>
        <v>0</v>
      </c>
      <c r="I84" s="28">
        <f ca="1"/>
        <v>0</v>
      </c>
      <c r="J84" s="28">
        <f ca="1"/>
        <v>0</v>
      </c>
      <c r="K84" s="28">
        <f ca="1"/>
        <v>0</v>
      </c>
      <c r="M84" s="4" t="str">
        <f t="shared" si="12"/>
        <v>$M(2015)</v>
      </c>
    </row>
    <row r="85" spans="1:13" s="4" customFormat="1" x14ac:dyDescent="0.25">
      <c r="A85" t="str">
        <v>EE Non-econ</v>
      </c>
      <c r="B85" s="28">
        <f ca="1"/>
        <v>0</v>
      </c>
      <c r="C85" s="28">
        <f ca="1"/>
        <v>0</v>
      </c>
      <c r="D85" s="28">
        <f ca="1"/>
        <v>0</v>
      </c>
      <c r="E85" s="28">
        <f ca="1"/>
        <v>0</v>
      </c>
      <c r="F85" s="28">
        <f ca="1"/>
        <v>0</v>
      </c>
      <c r="G85" s="28">
        <f ca="1"/>
        <v>0</v>
      </c>
      <c r="H85" s="28">
        <f ca="1"/>
        <v>0</v>
      </c>
      <c r="I85" s="28">
        <f ca="1"/>
        <v>0</v>
      </c>
      <c r="J85" s="28">
        <f ca="1"/>
        <v>0</v>
      </c>
      <c r="K85" s="28">
        <f ca="1"/>
        <v>0</v>
      </c>
      <c r="M85" s="4" t="str">
        <f t="shared" si="12"/>
        <v>$M(2015)</v>
      </c>
    </row>
    <row r="86" spans="1:13" s="4" customFormat="1" x14ac:dyDescent="0.25">
      <c r="A86" t="str">
        <v>CA Non-econ</v>
      </c>
      <c r="B86" s="28">
        <f ca="1"/>
        <v>0</v>
      </c>
      <c r="C86" s="28">
        <f ca="1"/>
        <v>0</v>
      </c>
      <c r="D86" s="28">
        <f ca="1"/>
        <v>0</v>
      </c>
      <c r="E86" s="28">
        <f ca="1"/>
        <v>0</v>
      </c>
      <c r="F86" s="28">
        <f ca="1"/>
        <v>0</v>
      </c>
      <c r="G86" s="28">
        <f ca="1"/>
        <v>0</v>
      </c>
      <c r="H86" s="28">
        <f ca="1"/>
        <v>0</v>
      </c>
      <c r="I86" s="28">
        <f ca="1"/>
        <v>0</v>
      </c>
      <c r="J86" s="28">
        <f ca="1"/>
        <v>0</v>
      </c>
      <c r="K86" s="28">
        <f ca="1"/>
        <v>0</v>
      </c>
      <c r="M86" s="4" t="str">
        <f t="shared" si="12"/>
        <v>$M(2015)</v>
      </c>
    </row>
    <row r="87" spans="1:13" s="4" customFormat="1" x14ac:dyDescent="0.25">
      <c r="A87" t="str">
        <v>IA Non-econ</v>
      </c>
      <c r="B87" s="28">
        <f ca="1"/>
        <v>0</v>
      </c>
      <c r="C87" s="28">
        <f ca="1"/>
        <v>0</v>
      </c>
      <c r="D87" s="28">
        <f ca="1"/>
        <v>0</v>
      </c>
      <c r="E87" s="28">
        <f ca="1"/>
        <v>0</v>
      </c>
      <c r="F87" s="28">
        <f ca="1"/>
        <v>0</v>
      </c>
      <c r="G87" s="28">
        <f ca="1"/>
        <v>0</v>
      </c>
      <c r="H87" s="28">
        <f ca="1"/>
        <v>0</v>
      </c>
      <c r="I87" s="28">
        <f ca="1"/>
        <v>0</v>
      </c>
      <c r="J87" s="28">
        <f ca="1"/>
        <v>0</v>
      </c>
      <c r="K87" s="28">
        <f ca="1"/>
        <v>0</v>
      </c>
      <c r="M87" s="4" t="str">
        <f t="shared" si="12"/>
        <v>$M(2015)</v>
      </c>
    </row>
    <row r="88" spans="1:13" s="4" customFormat="1" x14ac:dyDescent="0.25">
      <c r="A88" t="str">
        <v>AF Non-econ</v>
      </c>
      <c r="B88" s="28">
        <f ca="1"/>
        <v>0</v>
      </c>
      <c r="C88" s="28">
        <f ca="1"/>
        <v>0</v>
      </c>
      <c r="D88" s="28">
        <f ca="1"/>
        <v>0</v>
      </c>
      <c r="E88" s="28">
        <f ca="1"/>
        <v>0</v>
      </c>
      <c r="F88" s="28">
        <f ca="1"/>
        <v>0</v>
      </c>
      <c r="G88" s="28">
        <f ca="1"/>
        <v>0</v>
      </c>
      <c r="H88" s="28">
        <f ca="1"/>
        <v>0</v>
      </c>
      <c r="I88" s="28">
        <f ca="1"/>
        <v>0</v>
      </c>
      <c r="J88" s="28">
        <f ca="1"/>
        <v>0</v>
      </c>
      <c r="K88" s="28">
        <f ca="1"/>
        <v>0</v>
      </c>
      <c r="M88" s="4" t="str">
        <f t="shared" si="12"/>
        <v>$M(2015)</v>
      </c>
    </row>
    <row r="89" spans="1:13" s="4" customFormat="1" x14ac:dyDescent="0.25">
      <c r="A89" t="str">
        <v>LA Non-econ</v>
      </c>
      <c r="B89" s="28">
        <f ca="1"/>
        <v>0</v>
      </c>
      <c r="C89" s="28">
        <f ca="1"/>
        <v>0</v>
      </c>
      <c r="D89" s="28">
        <f ca="1"/>
        <v>0</v>
      </c>
      <c r="E89" s="28">
        <f ca="1"/>
        <v>0</v>
      </c>
      <c r="F89" s="28">
        <f ca="1"/>
        <v>0</v>
      </c>
      <c r="G89" s="28">
        <f ca="1"/>
        <v>0</v>
      </c>
      <c r="H89" s="28">
        <f ca="1"/>
        <v>0</v>
      </c>
      <c r="I89" s="28">
        <f ca="1"/>
        <v>0</v>
      </c>
      <c r="J89" s="28">
        <f ca="1"/>
        <v>0</v>
      </c>
      <c r="K89" s="28">
        <f ca="1"/>
        <v>0</v>
      </c>
      <c r="M89" s="4" t="str">
        <f t="shared" si="12"/>
        <v>$M(2015)</v>
      </c>
    </row>
    <row r="90" spans="1:13" ht="13.5" thickBot="1" x14ac:dyDescent="0.35">
      <c r="A90" s="2" t="str">
        <f>"Global "&amp;I_2_NAME</f>
        <v>Global Non-econ</v>
      </c>
      <c r="B90" s="42">
        <f ca="1">SUM(B82:B89)</f>
        <v>0</v>
      </c>
      <c r="C90" s="42">
        <f t="shared" ref="C90:K90" ca="1" si="13">SUM(C82:C89)</f>
        <v>0</v>
      </c>
      <c r="D90" s="42">
        <f t="shared" ca="1" si="13"/>
        <v>0</v>
      </c>
      <c r="E90" s="42">
        <f t="shared" ca="1" si="13"/>
        <v>0</v>
      </c>
      <c r="F90" s="42">
        <f t="shared" ca="1" si="13"/>
        <v>0</v>
      </c>
      <c r="G90" s="42">
        <f t="shared" ca="1" si="13"/>
        <v>0</v>
      </c>
      <c r="H90" s="42">
        <f t="shared" ca="1" si="13"/>
        <v>0</v>
      </c>
      <c r="I90" s="42">
        <f t="shared" ca="1" si="13"/>
        <v>0</v>
      </c>
      <c r="J90" s="42">
        <f t="shared" ca="1" si="13"/>
        <v>0</v>
      </c>
      <c r="K90" s="42">
        <f t="shared" ca="1" si="13"/>
        <v>0</v>
      </c>
      <c r="L90" s="1"/>
      <c r="M90" s="4" t="str">
        <f t="shared" si="12"/>
        <v>$M(2015)</v>
      </c>
    </row>
    <row r="91" spans="1:13" s="2" customFormat="1" ht="15.5" thickTop="1" x14ac:dyDescent="0.4">
      <c r="A91" s="2" t="s">
        <v>374</v>
      </c>
      <c r="B91" s="2" t="s">
        <v>380</v>
      </c>
    </row>
    <row r="92" spans="1:13" x14ac:dyDescent="0.25">
      <c r="A92" t="str">
        <f t="array" ref="A92:A99">R_CODE&amp;" "&amp;I_2_NAME</f>
        <v>EU Non-econ</v>
      </c>
      <c r="B92" s="27">
        <f t="array" ref="B92:K99" ca="1">imp_2*CI_2*GDP/100*impmax_2_a*AUTOFAC</f>
        <v>0</v>
      </c>
      <c r="C92" s="27">
        <f ca="1"/>
        <v>0</v>
      </c>
      <c r="D92" s="27">
        <f ca="1"/>
        <v>0</v>
      </c>
      <c r="E92" s="27">
        <f ca="1"/>
        <v>0</v>
      </c>
      <c r="F92" s="27">
        <f ca="1"/>
        <v>0</v>
      </c>
      <c r="G92" s="27">
        <f ca="1"/>
        <v>0</v>
      </c>
      <c r="H92" s="27">
        <f ca="1"/>
        <v>0</v>
      </c>
      <c r="I92" s="27">
        <f ca="1"/>
        <v>0</v>
      </c>
      <c r="J92" s="27">
        <f ca="1"/>
        <v>0</v>
      </c>
      <c r="K92" s="27">
        <f ca="1"/>
        <v>0</v>
      </c>
      <c r="M92" s="4" t="str">
        <f t="shared" ref="M92:M100" si="14">CURRENCY_NAME</f>
        <v>$M(2015)</v>
      </c>
    </row>
    <row r="93" spans="1:13" x14ac:dyDescent="0.25">
      <c r="A93" t="str">
        <v>US Non-econ</v>
      </c>
      <c r="B93" s="28">
        <f ca="1"/>
        <v>0</v>
      </c>
      <c r="C93" s="28">
        <f ca="1"/>
        <v>0</v>
      </c>
      <c r="D93" s="28">
        <f ca="1"/>
        <v>0</v>
      </c>
      <c r="E93" s="28">
        <f ca="1"/>
        <v>0</v>
      </c>
      <c r="F93" s="28">
        <f ca="1"/>
        <v>0</v>
      </c>
      <c r="G93" s="28">
        <f ca="1"/>
        <v>0</v>
      </c>
      <c r="H93" s="28">
        <f ca="1"/>
        <v>0</v>
      </c>
      <c r="I93" s="28">
        <f ca="1"/>
        <v>0</v>
      </c>
      <c r="J93" s="28">
        <f ca="1"/>
        <v>0</v>
      </c>
      <c r="K93" s="28">
        <f ca="1"/>
        <v>0</v>
      </c>
      <c r="M93" s="4" t="str">
        <f t="shared" si="14"/>
        <v>$M(2015)</v>
      </c>
    </row>
    <row r="94" spans="1:13" x14ac:dyDescent="0.25">
      <c r="A94" t="str">
        <v>OT Non-econ</v>
      </c>
      <c r="B94" s="28">
        <f ca="1"/>
        <v>0</v>
      </c>
      <c r="C94" s="28">
        <f ca="1"/>
        <v>0</v>
      </c>
      <c r="D94" s="28">
        <f ca="1"/>
        <v>0</v>
      </c>
      <c r="E94" s="28">
        <f ca="1"/>
        <v>0</v>
      </c>
      <c r="F94" s="28">
        <f ca="1"/>
        <v>0</v>
      </c>
      <c r="G94" s="28">
        <f ca="1"/>
        <v>0</v>
      </c>
      <c r="H94" s="28">
        <f ca="1"/>
        <v>0</v>
      </c>
      <c r="I94" s="28">
        <f ca="1"/>
        <v>0</v>
      </c>
      <c r="J94" s="28">
        <f ca="1"/>
        <v>0</v>
      </c>
      <c r="K94" s="28">
        <f ca="1"/>
        <v>0</v>
      </c>
      <c r="M94" s="4" t="str">
        <f t="shared" si="14"/>
        <v>$M(2015)</v>
      </c>
    </row>
    <row r="95" spans="1:13" x14ac:dyDescent="0.25">
      <c r="A95" t="str">
        <v>EE Non-econ</v>
      </c>
      <c r="B95" s="28">
        <f ca="1"/>
        <v>0</v>
      </c>
      <c r="C95" s="28">
        <f ca="1"/>
        <v>0</v>
      </c>
      <c r="D95" s="28">
        <f ca="1"/>
        <v>0</v>
      </c>
      <c r="E95" s="28">
        <f ca="1"/>
        <v>0</v>
      </c>
      <c r="F95" s="28">
        <f ca="1"/>
        <v>0</v>
      </c>
      <c r="G95" s="28">
        <f ca="1"/>
        <v>0</v>
      </c>
      <c r="H95" s="28">
        <f ca="1"/>
        <v>0</v>
      </c>
      <c r="I95" s="28">
        <f ca="1"/>
        <v>0</v>
      </c>
      <c r="J95" s="28">
        <f ca="1"/>
        <v>0</v>
      </c>
      <c r="K95" s="28">
        <f ca="1"/>
        <v>0</v>
      </c>
      <c r="M95" s="4" t="str">
        <f t="shared" si="14"/>
        <v>$M(2015)</v>
      </c>
    </row>
    <row r="96" spans="1:13" x14ac:dyDescent="0.25">
      <c r="A96" t="str">
        <v>CA Non-econ</v>
      </c>
      <c r="B96" s="28">
        <f ca="1"/>
        <v>0</v>
      </c>
      <c r="C96" s="28">
        <f ca="1"/>
        <v>0</v>
      </c>
      <c r="D96" s="28">
        <f ca="1"/>
        <v>0</v>
      </c>
      <c r="E96" s="28">
        <f ca="1"/>
        <v>0</v>
      </c>
      <c r="F96" s="28">
        <f ca="1"/>
        <v>0</v>
      </c>
      <c r="G96" s="28">
        <f ca="1"/>
        <v>0</v>
      </c>
      <c r="H96" s="28">
        <f ca="1"/>
        <v>0</v>
      </c>
      <c r="I96" s="28">
        <f ca="1"/>
        <v>0</v>
      </c>
      <c r="J96" s="28">
        <f ca="1"/>
        <v>0</v>
      </c>
      <c r="K96" s="28">
        <f ca="1"/>
        <v>0</v>
      </c>
      <c r="M96" s="4" t="str">
        <f t="shared" si="14"/>
        <v>$M(2015)</v>
      </c>
    </row>
    <row r="97" spans="1:13" x14ac:dyDescent="0.25">
      <c r="A97" t="str">
        <v>IA Non-econ</v>
      </c>
      <c r="B97" s="28">
        <f ca="1"/>
        <v>0</v>
      </c>
      <c r="C97" s="28">
        <f ca="1"/>
        <v>0</v>
      </c>
      <c r="D97" s="28">
        <f ca="1"/>
        <v>0</v>
      </c>
      <c r="E97" s="28">
        <f ca="1"/>
        <v>0</v>
      </c>
      <c r="F97" s="28">
        <f ca="1"/>
        <v>0</v>
      </c>
      <c r="G97" s="28">
        <f ca="1"/>
        <v>0</v>
      </c>
      <c r="H97" s="28">
        <f ca="1"/>
        <v>0</v>
      </c>
      <c r="I97" s="28">
        <f ca="1"/>
        <v>0</v>
      </c>
      <c r="J97" s="28">
        <f ca="1"/>
        <v>0</v>
      </c>
      <c r="K97" s="28">
        <f ca="1"/>
        <v>0</v>
      </c>
      <c r="M97" s="4" t="str">
        <f t="shared" si="14"/>
        <v>$M(2015)</v>
      </c>
    </row>
    <row r="98" spans="1:13" x14ac:dyDescent="0.25">
      <c r="A98" t="str">
        <v>AF Non-econ</v>
      </c>
      <c r="B98" s="28">
        <f ca="1"/>
        <v>0</v>
      </c>
      <c r="C98" s="28">
        <f ca="1"/>
        <v>0</v>
      </c>
      <c r="D98" s="28">
        <f ca="1"/>
        <v>0</v>
      </c>
      <c r="E98" s="28">
        <f ca="1"/>
        <v>0</v>
      </c>
      <c r="F98" s="28">
        <f ca="1"/>
        <v>0</v>
      </c>
      <c r="G98" s="28">
        <f ca="1"/>
        <v>0</v>
      </c>
      <c r="H98" s="28">
        <f ca="1"/>
        <v>0</v>
      </c>
      <c r="I98" s="28">
        <f ca="1"/>
        <v>0</v>
      </c>
      <c r="J98" s="28">
        <f ca="1"/>
        <v>0</v>
      </c>
      <c r="K98" s="28">
        <f ca="1"/>
        <v>0</v>
      </c>
      <c r="M98" s="4" t="str">
        <f t="shared" si="14"/>
        <v>$M(2015)</v>
      </c>
    </row>
    <row r="99" spans="1:13" x14ac:dyDescent="0.25">
      <c r="A99" t="str">
        <v>LA Non-econ</v>
      </c>
      <c r="B99" s="28">
        <f ca="1"/>
        <v>0</v>
      </c>
      <c r="C99" s="28">
        <f ca="1"/>
        <v>0</v>
      </c>
      <c r="D99" s="28">
        <f ca="1"/>
        <v>0</v>
      </c>
      <c r="E99" s="28">
        <f ca="1"/>
        <v>0</v>
      </c>
      <c r="F99" s="28">
        <f ca="1"/>
        <v>0</v>
      </c>
      <c r="G99" s="28">
        <f ca="1"/>
        <v>0</v>
      </c>
      <c r="H99" s="28">
        <f ca="1"/>
        <v>0</v>
      </c>
      <c r="I99" s="28">
        <f ca="1"/>
        <v>0</v>
      </c>
      <c r="J99" s="28">
        <f ca="1"/>
        <v>0</v>
      </c>
      <c r="K99" s="28">
        <f ca="1"/>
        <v>0</v>
      </c>
      <c r="M99" s="4" t="str">
        <f t="shared" si="14"/>
        <v>$M(2015)</v>
      </c>
    </row>
    <row r="100" spans="1:13" ht="13.5" thickBot="1" x14ac:dyDescent="0.35">
      <c r="A100" s="2" t="str">
        <f>"Global "&amp;I_2_NAME</f>
        <v>Global Non-econ</v>
      </c>
      <c r="B100" s="42">
        <f t="shared" ref="B100:K100" ca="1" si="15">SUM(B92:B99)</f>
        <v>0</v>
      </c>
      <c r="C100" s="42">
        <f t="shared" ca="1" si="15"/>
        <v>0</v>
      </c>
      <c r="D100" s="42">
        <f t="shared" ca="1" si="15"/>
        <v>0</v>
      </c>
      <c r="E100" s="42">
        <f t="shared" ca="1" si="15"/>
        <v>0</v>
      </c>
      <c r="F100" s="42">
        <f t="shared" ca="1" si="15"/>
        <v>0</v>
      </c>
      <c r="G100" s="42">
        <f t="shared" ca="1" si="15"/>
        <v>0</v>
      </c>
      <c r="H100" s="42">
        <f t="shared" ca="1" si="15"/>
        <v>0</v>
      </c>
      <c r="I100" s="42">
        <f t="shared" ca="1" si="15"/>
        <v>0</v>
      </c>
      <c r="J100" s="42">
        <f t="shared" ca="1" si="15"/>
        <v>0</v>
      </c>
      <c r="K100" s="42">
        <f t="shared" ca="1" si="15"/>
        <v>0</v>
      </c>
      <c r="L100" s="1"/>
      <c r="M100" s="4" t="str">
        <f t="shared" si="14"/>
        <v>$M(2015)</v>
      </c>
    </row>
    <row r="101" spans="1:13" ht="15.5" thickTop="1" x14ac:dyDescent="0.4">
      <c r="A101" s="44" t="s">
        <v>112</v>
      </c>
      <c r="B101" s="2" t="s">
        <v>96</v>
      </c>
      <c r="C101" s="1"/>
      <c r="D101" s="1"/>
      <c r="E101" s="1"/>
      <c r="F101" s="1"/>
      <c r="G101" s="1"/>
      <c r="H101" s="1"/>
      <c r="I101" s="1"/>
      <c r="J101" s="1"/>
      <c r="K101" s="1"/>
      <c r="L101" s="1"/>
      <c r="M101" s="1"/>
    </row>
    <row r="102" spans="1:13" x14ac:dyDescent="0.25">
      <c r="A102" t="str">
        <f t="array" ref="A102:A109">R_CODE&amp;" "&amp;I_2_NAME</f>
        <v>EU Non-econ</v>
      </c>
      <c r="B102" s="28">
        <f t="array" aca="1" ref="B102:K109" ca="1">acp_2+aci_2</f>
        <v>0</v>
      </c>
      <c r="C102" s="28">
        <f ca="1"/>
        <v>0</v>
      </c>
      <c r="D102" s="28">
        <f ca="1"/>
        <v>0</v>
      </c>
      <c r="E102" s="28">
        <f ca="1"/>
        <v>0</v>
      </c>
      <c r="F102" s="28">
        <f ca="1"/>
        <v>0</v>
      </c>
      <c r="G102" s="28">
        <f ca="1"/>
        <v>0</v>
      </c>
      <c r="H102" s="28">
        <f ca="1"/>
        <v>0</v>
      </c>
      <c r="I102" s="28">
        <f ca="1"/>
        <v>0</v>
      </c>
      <c r="J102" s="28">
        <f ca="1"/>
        <v>0</v>
      </c>
      <c r="K102" s="28">
        <f ca="1"/>
        <v>0</v>
      </c>
      <c r="L102" s="1"/>
      <c r="M102" s="4" t="str">
        <f t="shared" ref="M102:M110" si="16">CURRENCY_NAME</f>
        <v>$M(2015)</v>
      </c>
    </row>
    <row r="103" spans="1:13" x14ac:dyDescent="0.25">
      <c r="A103" t="str">
        <v>US Non-econ</v>
      </c>
      <c r="B103" s="28">
        <f ca="1"/>
        <v>0</v>
      </c>
      <c r="C103" s="28">
        <f ca="1"/>
        <v>0</v>
      </c>
      <c r="D103" s="28">
        <f ca="1"/>
        <v>0</v>
      </c>
      <c r="E103" s="28">
        <f ca="1"/>
        <v>0</v>
      </c>
      <c r="F103" s="28">
        <f ca="1"/>
        <v>0</v>
      </c>
      <c r="G103" s="28">
        <f ca="1"/>
        <v>0</v>
      </c>
      <c r="H103" s="28">
        <f ca="1"/>
        <v>0</v>
      </c>
      <c r="I103" s="28">
        <f ca="1"/>
        <v>0</v>
      </c>
      <c r="J103" s="28">
        <f ca="1"/>
        <v>0</v>
      </c>
      <c r="K103" s="28">
        <f ca="1"/>
        <v>0</v>
      </c>
      <c r="L103" s="1"/>
      <c r="M103" s="4" t="str">
        <f t="shared" si="16"/>
        <v>$M(2015)</v>
      </c>
    </row>
    <row r="104" spans="1:13" x14ac:dyDescent="0.25">
      <c r="A104" t="str">
        <v>OT Non-econ</v>
      </c>
      <c r="B104" s="28">
        <f ca="1"/>
        <v>0</v>
      </c>
      <c r="C104" s="28">
        <f ca="1"/>
        <v>0</v>
      </c>
      <c r="D104" s="28">
        <f ca="1"/>
        <v>0</v>
      </c>
      <c r="E104" s="28">
        <f ca="1"/>
        <v>0</v>
      </c>
      <c r="F104" s="28">
        <f ca="1"/>
        <v>0</v>
      </c>
      <c r="G104" s="28">
        <f ca="1"/>
        <v>0</v>
      </c>
      <c r="H104" s="28">
        <f ca="1"/>
        <v>0</v>
      </c>
      <c r="I104" s="28">
        <f ca="1"/>
        <v>0</v>
      </c>
      <c r="J104" s="28">
        <f ca="1"/>
        <v>0</v>
      </c>
      <c r="K104" s="28">
        <f ca="1"/>
        <v>0</v>
      </c>
      <c r="L104" s="1"/>
      <c r="M104" s="4" t="str">
        <f t="shared" si="16"/>
        <v>$M(2015)</v>
      </c>
    </row>
    <row r="105" spans="1:13" x14ac:dyDescent="0.25">
      <c r="A105" t="str">
        <v>EE Non-econ</v>
      </c>
      <c r="B105" s="28">
        <f ca="1"/>
        <v>0</v>
      </c>
      <c r="C105" s="28">
        <f ca="1"/>
        <v>0</v>
      </c>
      <c r="D105" s="28">
        <f ca="1"/>
        <v>0</v>
      </c>
      <c r="E105" s="28">
        <f ca="1"/>
        <v>0</v>
      </c>
      <c r="F105" s="28">
        <f ca="1"/>
        <v>0</v>
      </c>
      <c r="G105" s="28">
        <f ca="1"/>
        <v>0</v>
      </c>
      <c r="H105" s="28">
        <f ca="1"/>
        <v>0</v>
      </c>
      <c r="I105" s="28">
        <f ca="1"/>
        <v>0</v>
      </c>
      <c r="J105" s="28">
        <f ca="1"/>
        <v>0</v>
      </c>
      <c r="K105" s="28">
        <f ca="1"/>
        <v>0</v>
      </c>
      <c r="L105" s="1"/>
      <c r="M105" s="4" t="str">
        <f t="shared" si="16"/>
        <v>$M(2015)</v>
      </c>
    </row>
    <row r="106" spans="1:13" x14ac:dyDescent="0.25">
      <c r="A106" t="str">
        <v>CA Non-econ</v>
      </c>
      <c r="B106" s="28">
        <f ca="1"/>
        <v>0</v>
      </c>
      <c r="C106" s="28">
        <f ca="1"/>
        <v>0</v>
      </c>
      <c r="D106" s="28">
        <f ca="1"/>
        <v>0</v>
      </c>
      <c r="E106" s="28">
        <f ca="1"/>
        <v>0</v>
      </c>
      <c r="F106" s="28">
        <f ca="1"/>
        <v>0</v>
      </c>
      <c r="G106" s="28">
        <f ca="1"/>
        <v>0</v>
      </c>
      <c r="H106" s="28">
        <f ca="1"/>
        <v>0</v>
      </c>
      <c r="I106" s="28">
        <f ca="1"/>
        <v>0</v>
      </c>
      <c r="J106" s="28">
        <f ca="1"/>
        <v>0</v>
      </c>
      <c r="K106" s="28">
        <f ca="1"/>
        <v>0</v>
      </c>
      <c r="L106" s="1"/>
      <c r="M106" s="4" t="str">
        <f t="shared" si="16"/>
        <v>$M(2015)</v>
      </c>
    </row>
    <row r="107" spans="1:13" x14ac:dyDescent="0.25">
      <c r="A107" t="str">
        <v>IA Non-econ</v>
      </c>
      <c r="B107" s="28">
        <f ca="1"/>
        <v>0</v>
      </c>
      <c r="C107" s="28">
        <f ca="1"/>
        <v>0</v>
      </c>
      <c r="D107" s="28">
        <f ca="1"/>
        <v>0</v>
      </c>
      <c r="E107" s="28">
        <f ca="1"/>
        <v>0</v>
      </c>
      <c r="F107" s="28">
        <f ca="1"/>
        <v>0</v>
      </c>
      <c r="G107" s="28">
        <f ca="1"/>
        <v>0</v>
      </c>
      <c r="H107" s="28">
        <f ca="1"/>
        <v>0</v>
      </c>
      <c r="I107" s="28">
        <f ca="1"/>
        <v>0</v>
      </c>
      <c r="J107" s="28">
        <f ca="1"/>
        <v>0</v>
      </c>
      <c r="K107" s="28">
        <f ca="1"/>
        <v>0</v>
      </c>
      <c r="L107" s="1"/>
      <c r="M107" s="4" t="str">
        <f t="shared" si="16"/>
        <v>$M(2015)</v>
      </c>
    </row>
    <row r="108" spans="1:13" x14ac:dyDescent="0.25">
      <c r="A108" t="str">
        <v>AF Non-econ</v>
      </c>
      <c r="B108" s="28">
        <f ca="1"/>
        <v>0</v>
      </c>
      <c r="C108" s="28">
        <f ca="1"/>
        <v>0</v>
      </c>
      <c r="D108" s="28">
        <f ca="1"/>
        <v>0</v>
      </c>
      <c r="E108" s="28">
        <f ca="1"/>
        <v>0</v>
      </c>
      <c r="F108" s="28">
        <f ca="1"/>
        <v>0</v>
      </c>
      <c r="G108" s="28">
        <f ca="1"/>
        <v>0</v>
      </c>
      <c r="H108" s="28">
        <f ca="1"/>
        <v>0</v>
      </c>
      <c r="I108" s="28">
        <f ca="1"/>
        <v>0</v>
      </c>
      <c r="J108" s="28">
        <f ca="1"/>
        <v>0</v>
      </c>
      <c r="K108" s="28">
        <f ca="1"/>
        <v>0</v>
      </c>
      <c r="L108" s="1"/>
      <c r="M108" s="4" t="str">
        <f t="shared" si="16"/>
        <v>$M(2015)</v>
      </c>
    </row>
    <row r="109" spans="1:13" x14ac:dyDescent="0.25">
      <c r="A109" t="str">
        <v>LA Non-econ</v>
      </c>
      <c r="B109" s="28">
        <f ca="1"/>
        <v>0</v>
      </c>
      <c r="C109" s="28">
        <f ca="1"/>
        <v>0</v>
      </c>
      <c r="D109" s="28">
        <f ca="1"/>
        <v>0</v>
      </c>
      <c r="E109" s="28">
        <f ca="1"/>
        <v>0</v>
      </c>
      <c r="F109" s="28">
        <f ca="1"/>
        <v>0</v>
      </c>
      <c r="G109" s="28">
        <f ca="1"/>
        <v>0</v>
      </c>
      <c r="H109" s="28">
        <f ca="1"/>
        <v>0</v>
      </c>
      <c r="I109" s="28">
        <f ca="1"/>
        <v>0</v>
      </c>
      <c r="J109" s="28">
        <f ca="1"/>
        <v>0</v>
      </c>
      <c r="K109" s="28">
        <f ca="1"/>
        <v>0</v>
      </c>
      <c r="L109" s="1"/>
      <c r="M109" s="4" t="str">
        <f t="shared" si="16"/>
        <v>$M(2015)</v>
      </c>
    </row>
    <row r="110" spans="1:13" ht="13.5" thickBot="1" x14ac:dyDescent="0.35">
      <c r="A110" s="2" t="str">
        <f>"Global "&amp;I_2_NAME</f>
        <v>Global Non-econ</v>
      </c>
      <c r="B110" s="42">
        <f t="shared" ref="B110:K110" ca="1" si="17">SUM(B102:B109)</f>
        <v>0</v>
      </c>
      <c r="C110" s="42">
        <f t="shared" ca="1" si="17"/>
        <v>0</v>
      </c>
      <c r="D110" s="42">
        <f t="shared" ca="1" si="17"/>
        <v>0</v>
      </c>
      <c r="E110" s="42">
        <f t="shared" ca="1" si="17"/>
        <v>0</v>
      </c>
      <c r="F110" s="42">
        <f t="shared" ca="1" si="17"/>
        <v>0</v>
      </c>
      <c r="G110" s="42">
        <f t="shared" ca="1" si="17"/>
        <v>0</v>
      </c>
      <c r="H110" s="42">
        <f t="shared" ca="1" si="17"/>
        <v>0</v>
      </c>
      <c r="I110" s="42">
        <f t="shared" ca="1" si="17"/>
        <v>0</v>
      </c>
      <c r="J110" s="42">
        <f t="shared" ca="1" si="17"/>
        <v>0</v>
      </c>
      <c r="K110" s="42">
        <f t="shared" ca="1" si="17"/>
        <v>0</v>
      </c>
      <c r="L110" s="1"/>
      <c r="M110" s="4" t="str">
        <f t="shared" si="16"/>
        <v>$M(2015)</v>
      </c>
    </row>
    <row r="111" spans="1:13" ht="15.5" thickTop="1" x14ac:dyDescent="0.4">
      <c r="A111" s="44" t="s">
        <v>109</v>
      </c>
      <c r="B111" s="2" t="s">
        <v>382</v>
      </c>
      <c r="C111" s="1"/>
      <c r="D111" s="1"/>
      <c r="E111" s="1"/>
      <c r="F111" s="1"/>
      <c r="G111" s="1"/>
      <c r="H111" s="1"/>
      <c r="I111" s="1"/>
      <c r="J111" s="1"/>
      <c r="K111" s="1"/>
      <c r="L111" s="1"/>
      <c r="M111" s="1"/>
    </row>
    <row r="112" spans="1:13" x14ac:dyDescent="0.25">
      <c r="A112" t="str">
        <f t="array" ref="A112:A119">R_CODE</f>
        <v>EU</v>
      </c>
      <c r="B112" s="28">
        <f t="array" ref="B112:K119" ca="1">ac_s+ac_1+ac_2</f>
        <v>426.1303562069221</v>
      </c>
      <c r="C112" s="28">
        <f ca="1"/>
        <v>3073.778428421002</v>
      </c>
      <c r="D112" s="28">
        <f ca="1"/>
        <v>6372.1447096363499</v>
      </c>
      <c r="E112" s="28">
        <f ca="1"/>
        <v>10373.472142247489</v>
      </c>
      <c r="F112" s="28">
        <f ca="1"/>
        <v>20888.824502244515</v>
      </c>
      <c r="G112" s="28">
        <f ca="1"/>
        <v>25859.771328454939</v>
      </c>
      <c r="H112" s="28">
        <f ca="1"/>
        <v>38380.097856451357</v>
      </c>
      <c r="I112" s="28">
        <f ca="1"/>
        <v>50823.878162277106</v>
      </c>
      <c r="J112" s="28">
        <f ca="1"/>
        <v>61260.666848457869</v>
      </c>
      <c r="K112" s="28">
        <f ca="1"/>
        <v>68330.307352737349</v>
      </c>
      <c r="L112" s="1"/>
      <c r="M112" s="4" t="str">
        <f t="shared" ref="M112:M120" si="18">CURRENCY_NAME</f>
        <v>$M(2015)</v>
      </c>
    </row>
    <row r="113" spans="1:13" x14ac:dyDescent="0.25">
      <c r="A113" t="str">
        <v>US</v>
      </c>
      <c r="B113" s="28">
        <f ca="1"/>
        <v>348.39981823986346</v>
      </c>
      <c r="C113" s="28">
        <f ca="1"/>
        <v>2649.9550297637279</v>
      </c>
      <c r="D113" s="28">
        <f ca="1"/>
        <v>5515.1803033156139</v>
      </c>
      <c r="E113" s="28">
        <f ca="1"/>
        <v>8934.3065326181459</v>
      </c>
      <c r="F113" s="28">
        <f ca="1"/>
        <v>18079.635282426476</v>
      </c>
      <c r="G113" s="28">
        <f ca="1"/>
        <v>22827.873968626249</v>
      </c>
      <c r="H113" s="28">
        <f ca="1"/>
        <v>35710.218360993596</v>
      </c>
      <c r="I113" s="28">
        <f ca="1"/>
        <v>52037.417526088109</v>
      </c>
      <c r="J113" s="28">
        <f ca="1"/>
        <v>71143.455201006</v>
      </c>
      <c r="K113" s="28">
        <f ca="1"/>
        <v>91842.015080389858</v>
      </c>
      <c r="L113" s="1"/>
      <c r="M113" s="4" t="str">
        <f t="shared" si="18"/>
        <v>$M(2015)</v>
      </c>
    </row>
    <row r="114" spans="1:13" x14ac:dyDescent="0.25">
      <c r="A114" t="str">
        <v>OT</v>
      </c>
      <c r="B114" s="28">
        <f ca="1"/>
        <v>190.92154730639442</v>
      </c>
      <c r="C114" s="28">
        <f ca="1"/>
        <v>1428.1648855913102</v>
      </c>
      <c r="D114" s="28">
        <f ca="1"/>
        <v>2960.6796755626842</v>
      </c>
      <c r="E114" s="28">
        <f ca="1"/>
        <v>4782.0005568497554</v>
      </c>
      <c r="F114" s="28">
        <f ca="1"/>
        <v>9211.4892676868621</v>
      </c>
      <c r="G114" s="28">
        <f ca="1"/>
        <v>10562.986254713416</v>
      </c>
      <c r="H114" s="28">
        <f ca="1"/>
        <v>13129.795222428558</v>
      </c>
      <c r="I114" s="28">
        <f ca="1"/>
        <v>13751.240387210662</v>
      </c>
      <c r="J114" s="28">
        <f ca="1"/>
        <v>12913.456670871408</v>
      </c>
      <c r="K114" s="28">
        <f ca="1"/>
        <v>11313.360818879215</v>
      </c>
      <c r="L114" s="1"/>
      <c r="M114" s="4" t="str">
        <f t="shared" si="18"/>
        <v>$M(2015)</v>
      </c>
    </row>
    <row r="115" spans="1:13" x14ac:dyDescent="0.25">
      <c r="A115" t="str">
        <v>EE</v>
      </c>
      <c r="B115" s="28">
        <f ca="1"/>
        <v>46.567259950288289</v>
      </c>
      <c r="C115" s="28">
        <f ca="1"/>
        <v>421.02051425074228</v>
      </c>
      <c r="D115" s="28">
        <f ca="1"/>
        <v>991.03690722922329</v>
      </c>
      <c r="E115" s="28">
        <f ca="1"/>
        <v>1637.322322496593</v>
      </c>
      <c r="F115" s="28">
        <f ca="1"/>
        <v>3039.2765655987387</v>
      </c>
      <c r="G115" s="28">
        <f ca="1"/>
        <v>3251.6484696873122</v>
      </c>
      <c r="H115" s="28">
        <f ca="1"/>
        <v>3461.9800634937801</v>
      </c>
      <c r="I115" s="28">
        <f ca="1"/>
        <v>3085.7478902272846</v>
      </c>
      <c r="J115" s="28">
        <f ca="1"/>
        <v>2544.3946860011974</v>
      </c>
      <c r="K115" s="28">
        <f ca="1"/>
        <v>2027.767298054096</v>
      </c>
      <c r="L115" s="1"/>
      <c r="M115" s="4" t="str">
        <f t="shared" si="18"/>
        <v>$M(2015)</v>
      </c>
    </row>
    <row r="116" spans="1:13" x14ac:dyDescent="0.25">
      <c r="A116" t="str">
        <v>CA</v>
      </c>
      <c r="B116" s="28">
        <f ca="1"/>
        <v>222.90882356622993</v>
      </c>
      <c r="C116" s="28">
        <f ca="1"/>
        <v>1820.6937126017074</v>
      </c>
      <c r="D116" s="28">
        <f ca="1"/>
        <v>4539.1881372611342</v>
      </c>
      <c r="E116" s="28">
        <f ca="1"/>
        <v>7796.5774416699405</v>
      </c>
      <c r="F116" s="28">
        <f ca="1"/>
        <v>14240.138076251669</v>
      </c>
      <c r="G116" s="28">
        <f ca="1"/>
        <v>16007.752178082797</v>
      </c>
      <c r="H116" s="28">
        <f ca="1"/>
        <v>11997.030309635444</v>
      </c>
      <c r="I116" s="28">
        <f ca="1"/>
        <v>8991.1896841689759</v>
      </c>
      <c r="J116" s="28">
        <f ca="1"/>
        <v>6738.4585893542799</v>
      </c>
      <c r="K116" s="28">
        <f ca="1"/>
        <v>5050.1463939073019</v>
      </c>
      <c r="L116" s="1"/>
      <c r="M116" s="4" t="str">
        <f t="shared" si="18"/>
        <v>$M(2015)</v>
      </c>
    </row>
    <row r="117" spans="1:13" x14ac:dyDescent="0.25">
      <c r="A117" t="str">
        <v>IA</v>
      </c>
      <c r="B117" s="28">
        <f ca="1"/>
        <v>157.32439393512314</v>
      </c>
      <c r="C117" s="28">
        <f ca="1"/>
        <v>1271.7831553632884</v>
      </c>
      <c r="D117" s="28">
        <f ca="1"/>
        <v>3683.5764094530032</v>
      </c>
      <c r="E117" s="28">
        <f ca="1"/>
        <v>7774.848576411172</v>
      </c>
      <c r="F117" s="28">
        <f ca="1"/>
        <v>24322.564370450116</v>
      </c>
      <c r="G117" s="28">
        <f ca="1"/>
        <v>39681.580825992998</v>
      </c>
      <c r="H117" s="28">
        <f ca="1"/>
        <v>51023.535316225476</v>
      </c>
      <c r="I117" s="28">
        <f ca="1"/>
        <v>45031.060374056455</v>
      </c>
      <c r="J117" s="28">
        <f ca="1"/>
        <v>36109.383232538472</v>
      </c>
      <c r="K117" s="28">
        <f ca="1"/>
        <v>28259.190956970764</v>
      </c>
      <c r="L117" s="1"/>
      <c r="M117" s="4" t="str">
        <f t="shared" si="18"/>
        <v>$M(2015)</v>
      </c>
    </row>
    <row r="118" spans="1:13" x14ac:dyDescent="0.25">
      <c r="A118" t="str">
        <v>AF</v>
      </c>
      <c r="B118" s="28">
        <f ca="1"/>
        <v>65.063916925493857</v>
      </c>
      <c r="C118" s="28">
        <f ca="1"/>
        <v>458.45594256560469</v>
      </c>
      <c r="D118" s="28">
        <f ca="1"/>
        <v>1284.4653550344738</v>
      </c>
      <c r="E118" s="28">
        <f ca="1"/>
        <v>2895.6455081755566</v>
      </c>
      <c r="F118" s="28">
        <f ca="1"/>
        <v>13845.327383693351</v>
      </c>
      <c r="G118" s="28">
        <f ca="1"/>
        <v>34895.276772735553</v>
      </c>
      <c r="H118" s="28">
        <f ca="1"/>
        <v>101701.41216683169</v>
      </c>
      <c r="I118" s="28">
        <f ca="1"/>
        <v>151004.26047767565</v>
      </c>
      <c r="J118" s="28">
        <f ca="1"/>
        <v>160908.2166463568</v>
      </c>
      <c r="K118" s="28">
        <f ca="1"/>
        <v>145767.79401000831</v>
      </c>
      <c r="L118" s="1"/>
      <c r="M118" s="4" t="str">
        <f t="shared" si="18"/>
        <v>$M(2015)</v>
      </c>
    </row>
    <row r="119" spans="1:13" x14ac:dyDescent="0.25">
      <c r="A119" t="str">
        <v>LA</v>
      </c>
      <c r="B119" s="28">
        <f ca="1"/>
        <v>67.818249185647446</v>
      </c>
      <c r="C119" s="28">
        <f ca="1"/>
        <v>429.60882935137977</v>
      </c>
      <c r="D119" s="28">
        <f ca="1"/>
        <v>1033.5360611188867</v>
      </c>
      <c r="E119" s="28">
        <f ca="1"/>
        <v>1930.2272623840704</v>
      </c>
      <c r="F119" s="28">
        <f ca="1"/>
        <v>5437.9263524495182</v>
      </c>
      <c r="G119" s="28">
        <f ca="1"/>
        <v>9070.7357510545971</v>
      </c>
      <c r="H119" s="28">
        <f ca="1"/>
        <v>12827.697237533373</v>
      </c>
      <c r="I119" s="28">
        <f ca="1"/>
        <v>12650.839902875614</v>
      </c>
      <c r="J119" s="28">
        <f ca="1"/>
        <v>10802.065002216266</v>
      </c>
      <c r="K119" s="28">
        <f ca="1"/>
        <v>8708.614007543094</v>
      </c>
      <c r="L119" s="1"/>
      <c r="M119" s="4" t="str">
        <f t="shared" si="18"/>
        <v>$M(2015)</v>
      </c>
    </row>
    <row r="120" spans="1:13" ht="13.5" thickBot="1" x14ac:dyDescent="0.35">
      <c r="A120" s="2" t="s">
        <v>206</v>
      </c>
      <c r="B120" s="42">
        <f t="shared" ref="B120:K120" ca="1" si="19">SUM(B112:B119)</f>
        <v>1525.1343653159627</v>
      </c>
      <c r="C120" s="42">
        <f t="shared" ca="1" si="19"/>
        <v>11553.460497908762</v>
      </c>
      <c r="D120" s="42">
        <f t="shared" ca="1" si="19"/>
        <v>26379.80755861137</v>
      </c>
      <c r="E120" s="42">
        <f t="shared" ca="1" si="19"/>
        <v>46124.400342852721</v>
      </c>
      <c r="F120" s="42">
        <f t="shared" ca="1" si="19"/>
        <v>109065.18180080125</v>
      </c>
      <c r="G120" s="42">
        <f t="shared" ca="1" si="19"/>
        <v>162157.62554934787</v>
      </c>
      <c r="H120" s="42">
        <f t="shared" ca="1" si="19"/>
        <v>268231.7665335933</v>
      </c>
      <c r="I120" s="42">
        <f t="shared" ca="1" si="19"/>
        <v>337375.63440457982</v>
      </c>
      <c r="J120" s="42">
        <f t="shared" ca="1" si="19"/>
        <v>362420.09687680227</v>
      </c>
      <c r="K120" s="42">
        <f t="shared" ca="1" si="19"/>
        <v>361299.19591848995</v>
      </c>
      <c r="L120" s="1"/>
      <c r="M120" s="4" t="str">
        <f t="shared" si="18"/>
        <v>$M(2015)</v>
      </c>
    </row>
    <row r="121" spans="1:13" ht="15.5" thickTop="1" x14ac:dyDescent="0.4">
      <c r="A121" s="44" t="s">
        <v>384</v>
      </c>
      <c r="B121" s="2" t="s">
        <v>386</v>
      </c>
      <c r="C121" s="1"/>
      <c r="D121" s="1"/>
      <c r="E121" s="1"/>
      <c r="F121" s="1"/>
      <c r="G121" s="1"/>
      <c r="H121" s="1"/>
      <c r="I121" s="1"/>
      <c r="J121" s="1"/>
      <c r="K121" s="1"/>
      <c r="L121" s="1"/>
      <c r="M121" s="1"/>
    </row>
    <row r="122" spans="1:13" x14ac:dyDescent="0.25">
      <c r="A122" t="str">
        <f t="array" ref="A122:A129">R_CODE</f>
        <v>EU</v>
      </c>
      <c r="B122" s="28">
        <f t="array" ref="B122:K129" ca="1">act/POP</f>
        <v>0.83841075374934326</v>
      </c>
      <c r="C122" s="28">
        <f ca="1"/>
        <v>5.9755586871826365</v>
      </c>
      <c r="D122" s="28">
        <f ca="1"/>
        <v>12.350623976802524</v>
      </c>
      <c r="E122" s="28">
        <f ca="1"/>
        <v>20.186681924444386</v>
      </c>
      <c r="F122" s="28">
        <f ca="1"/>
        <v>42.735743497992665</v>
      </c>
      <c r="G122" s="28">
        <f ca="1"/>
        <v>57.31934383775441</v>
      </c>
      <c r="H122" s="28">
        <f ca="1"/>
        <v>85.071209548550812</v>
      </c>
      <c r="I122" s="28">
        <f ca="1"/>
        <v>112.65340712221045</v>
      </c>
      <c r="J122" s="28">
        <f ca="1"/>
        <v>135.78701768925035</v>
      </c>
      <c r="K122" s="28">
        <f ca="1"/>
        <v>151.45719318025388</v>
      </c>
      <c r="L122" s="1"/>
      <c r="M122" s="1" t="str">
        <f t="shared" ref="M122:M130" si="20">CURRENCY_NAME&amp;"/"&amp;POP_UNIT_NAME</f>
        <v>$M(2015)/million</v>
      </c>
    </row>
    <row r="123" spans="1:13" x14ac:dyDescent="0.25">
      <c r="A123" t="str">
        <v>US</v>
      </c>
      <c r="B123" s="28">
        <f ca="1"/>
        <v>1.0564548386805692</v>
      </c>
      <c r="C123" s="28">
        <f ca="1"/>
        <v>7.4940539489039786</v>
      </c>
      <c r="D123" s="28">
        <f ca="1"/>
        <v>14.705843667394047</v>
      </c>
      <c r="E123" s="28">
        <f ca="1"/>
        <v>22.708832905290546</v>
      </c>
      <c r="F123" s="28">
        <f ca="1"/>
        <v>42.005611857564688</v>
      </c>
      <c r="G123" s="28">
        <f ca="1"/>
        <v>52.11774556268999</v>
      </c>
      <c r="H123" s="28">
        <f ca="1"/>
        <v>81.529102407181611</v>
      </c>
      <c r="I123" s="28">
        <f ca="1"/>
        <v>118.80532063964841</v>
      </c>
      <c r="J123" s="28">
        <f ca="1"/>
        <v>162.42583526230135</v>
      </c>
      <c r="K123" s="28">
        <f ca="1"/>
        <v>209.68219732170471</v>
      </c>
      <c r="L123" s="1"/>
      <c r="M123" s="1" t="str">
        <f t="shared" si="20"/>
        <v>$M(2015)/million</v>
      </c>
    </row>
    <row r="124" spans="1:13" x14ac:dyDescent="0.25">
      <c r="A124" t="str">
        <v>OT</v>
      </c>
      <c r="B124" s="28">
        <f ca="1"/>
        <v>0.67698924666530802</v>
      </c>
      <c r="C124" s="28">
        <f ca="1"/>
        <v>4.9639564251369563</v>
      </c>
      <c r="D124" s="28">
        <f ca="1"/>
        <v>10.249535911810705</v>
      </c>
      <c r="E124" s="28">
        <f ca="1"/>
        <v>16.72120299252531</v>
      </c>
      <c r="F124" s="28">
        <f ca="1"/>
        <v>35.248835635898807</v>
      </c>
      <c r="G124" s="28">
        <f ca="1"/>
        <v>47.101460617507769</v>
      </c>
      <c r="H124" s="28">
        <f ca="1"/>
        <v>58.547130297476563</v>
      </c>
      <c r="I124" s="28">
        <f ca="1"/>
        <v>61.318219291544281</v>
      </c>
      <c r="J124" s="28">
        <f ca="1"/>
        <v>57.582454066673854</v>
      </c>
      <c r="K124" s="28">
        <f ca="1"/>
        <v>50.447459289679081</v>
      </c>
      <c r="L124" s="1"/>
      <c r="M124" s="1" t="str">
        <f t="shared" si="20"/>
        <v>$M(2015)/million</v>
      </c>
    </row>
    <row r="125" spans="1:13" x14ac:dyDescent="0.25">
      <c r="A125" t="str">
        <v>EE</v>
      </c>
      <c r="B125" s="28">
        <f ca="1"/>
        <v>0.15183580415705</v>
      </c>
      <c r="C125" s="28">
        <f ca="1"/>
        <v>1.4033363373151233</v>
      </c>
      <c r="D125" s="28">
        <f ca="1"/>
        <v>3.4040564906524104</v>
      </c>
      <c r="E125" s="28">
        <f ca="1"/>
        <v>5.8657006267196969</v>
      </c>
      <c r="F125" s="28">
        <f ca="1"/>
        <v>12.880865503547691</v>
      </c>
      <c r="G125" s="28">
        <f ca="1"/>
        <v>16.930735063503029</v>
      </c>
      <c r="H125" s="28">
        <f ca="1"/>
        <v>18.025892957543181</v>
      </c>
      <c r="I125" s="28">
        <f ca="1"/>
        <v>16.066921282922539</v>
      </c>
      <c r="J125" s="28">
        <f ca="1"/>
        <v>13.248194793274749</v>
      </c>
      <c r="K125" s="28">
        <f ca="1"/>
        <v>10.558211077807776</v>
      </c>
      <c r="L125" s="1"/>
      <c r="M125" s="1" t="str">
        <f t="shared" si="20"/>
        <v>$M(2015)/million</v>
      </c>
    </row>
    <row r="126" spans="1:13" x14ac:dyDescent="0.25">
      <c r="A126" t="str">
        <v>CA</v>
      </c>
      <c r="B126" s="28">
        <f ca="1"/>
        <v>0.14235981565587194</v>
      </c>
      <c r="C126" s="28">
        <f ca="1"/>
        <v>1.1709495269697243</v>
      </c>
      <c r="D126" s="28">
        <f ca="1"/>
        <v>3.0265111472576254</v>
      </c>
      <c r="E126" s="28">
        <f ca="1"/>
        <v>5.5598584725870959</v>
      </c>
      <c r="F126" s="28">
        <f ca="1"/>
        <v>13.35576883138477</v>
      </c>
      <c r="G126" s="28">
        <f ca="1"/>
        <v>21.521182554639481</v>
      </c>
      <c r="H126" s="28">
        <f ca="1"/>
        <v>16.129077745263427</v>
      </c>
      <c r="I126" s="28">
        <f ca="1"/>
        <v>12.087957910875586</v>
      </c>
      <c r="J126" s="28">
        <f ca="1"/>
        <v>9.0593354910208568</v>
      </c>
      <c r="K126" s="28">
        <f ca="1"/>
        <v>6.7895305513125592</v>
      </c>
      <c r="L126" s="1"/>
      <c r="M126" s="1" t="str">
        <f t="shared" si="20"/>
        <v>$M(2015)/million</v>
      </c>
    </row>
    <row r="127" spans="1:13" x14ac:dyDescent="0.25">
      <c r="A127" t="str">
        <v>IA</v>
      </c>
      <c r="B127" s="28">
        <f ca="1"/>
        <v>6.7844544835627477E-2</v>
      </c>
      <c r="C127" s="28">
        <f ca="1"/>
        <v>0.51301639929008036</v>
      </c>
      <c r="D127" s="28">
        <f ca="1"/>
        <v>1.4291681211591256</v>
      </c>
      <c r="E127" s="28">
        <f ca="1"/>
        <v>2.9865156987610351</v>
      </c>
      <c r="F127" s="28">
        <f ca="1"/>
        <v>10.173260213823584</v>
      </c>
      <c r="G127" s="28">
        <f ca="1"/>
        <v>20.390935831297774</v>
      </c>
      <c r="H127" s="28">
        <f ca="1"/>
        <v>26.219157928244506</v>
      </c>
      <c r="I127" s="28">
        <f ca="1"/>
        <v>23.139840787320832</v>
      </c>
      <c r="J127" s="28">
        <f ca="1"/>
        <v>18.555312088779576</v>
      </c>
      <c r="K127" s="28">
        <f ca="1"/>
        <v>14.521380888901659</v>
      </c>
      <c r="L127" s="1"/>
      <c r="M127" s="1" t="str">
        <f t="shared" si="20"/>
        <v>$M(2015)/million</v>
      </c>
    </row>
    <row r="128" spans="1:13" x14ac:dyDescent="0.25">
      <c r="A128" t="str">
        <v>AF</v>
      </c>
      <c r="B128" s="28">
        <f ca="1"/>
        <v>4.5052959586703405E-2</v>
      </c>
      <c r="C128" s="28">
        <f ca="1"/>
        <v>0.27327031006490499</v>
      </c>
      <c r="D128" s="28">
        <f ca="1"/>
        <v>0.67285701458969194</v>
      </c>
      <c r="E128" s="28">
        <f ca="1"/>
        <v>1.3691223276776172</v>
      </c>
      <c r="F128" s="28">
        <f ca="1"/>
        <v>5.6090881375364541</v>
      </c>
      <c r="G128" s="28">
        <f ca="1"/>
        <v>13.788078431137395</v>
      </c>
      <c r="H128" s="28">
        <f ca="1"/>
        <v>40.185010041511646</v>
      </c>
      <c r="I128" s="28">
        <f ca="1"/>
        <v>59.665914113879467</v>
      </c>
      <c r="J128" s="28">
        <f ca="1"/>
        <v>63.579238123936243</v>
      </c>
      <c r="K128" s="28">
        <f ca="1"/>
        <v>57.596842966272739</v>
      </c>
      <c r="L128" s="1"/>
      <c r="M128" s="1" t="str">
        <f t="shared" si="20"/>
        <v>$M(2015)/million</v>
      </c>
    </row>
    <row r="129" spans="1:14" x14ac:dyDescent="0.25">
      <c r="A129" t="str">
        <v>LA</v>
      </c>
      <c r="B129" s="28">
        <f ca="1"/>
        <v>0.10700543048340432</v>
      </c>
      <c r="C129" s="28">
        <f ca="1"/>
        <v>0.63721987539811487</v>
      </c>
      <c r="D129" s="28">
        <f ca="1"/>
        <v>1.4759438496599639</v>
      </c>
      <c r="E129" s="28">
        <f ca="1"/>
        <v>2.7345110322626058</v>
      </c>
      <c r="F129" s="28">
        <f ca="1"/>
        <v>8.2425023584596602</v>
      </c>
      <c r="G129" s="28">
        <f ca="1"/>
        <v>16.265124317667542</v>
      </c>
      <c r="H129" s="28">
        <f ca="1"/>
        <v>23.001892680384067</v>
      </c>
      <c r="I129" s="28">
        <f ca="1"/>
        <v>22.68476222772312</v>
      </c>
      <c r="J129" s="28">
        <f ca="1"/>
        <v>19.369644863499204</v>
      </c>
      <c r="K129" s="28">
        <f ca="1"/>
        <v>15.615788327953551</v>
      </c>
      <c r="L129" s="1"/>
      <c r="M129" s="1" t="str">
        <f t="shared" si="20"/>
        <v>$M(2015)/million</v>
      </c>
    </row>
    <row r="130" spans="1:14" ht="13.5" thickBot="1" x14ac:dyDescent="0.35">
      <c r="A130" s="2" t="s">
        <v>385</v>
      </c>
      <c r="B130" s="36">
        <f t="array" ref="B130:K130" ca="1">act_g/POP_G</f>
        <v>0.20639464227947507</v>
      </c>
      <c r="C130" s="36">
        <f ca="1"/>
        <v>1.4733748412824643</v>
      </c>
      <c r="D130" s="36">
        <f ca="1"/>
        <v>3.2338394018098842</v>
      </c>
      <c r="E130" s="36">
        <f ca="1"/>
        <v>5.5579055529633052</v>
      </c>
      <c r="F130" s="36">
        <f ca="1"/>
        <v>13.630343213170958</v>
      </c>
      <c r="G130" s="36">
        <f ca="1"/>
        <v>22.891209514712916</v>
      </c>
      <c r="H130" s="36">
        <f ca="1"/>
        <v>37.865314970053454</v>
      </c>
      <c r="I130" s="36">
        <f ca="1"/>
        <v>47.626106426701327</v>
      </c>
      <c r="J130" s="36">
        <f ca="1"/>
        <v>51.161543232049361</v>
      </c>
      <c r="K130" s="36">
        <f ca="1"/>
        <v>51.003309670136716</v>
      </c>
      <c r="L130" s="1"/>
      <c r="M130" s="1" t="str">
        <f t="shared" si="20"/>
        <v>$M(2015)/million</v>
      </c>
      <c r="N130" s="7"/>
    </row>
    <row r="131" spans="1:14" ht="15.5" thickTop="1" x14ac:dyDescent="0.4">
      <c r="A131" s="44" t="s">
        <v>395</v>
      </c>
      <c r="B131" s="2" t="s">
        <v>396</v>
      </c>
      <c r="C131" s="1"/>
      <c r="D131" s="1"/>
      <c r="E131" s="1"/>
      <c r="F131" s="1"/>
      <c r="G131" s="1"/>
      <c r="H131" s="1"/>
      <c r="I131" s="1"/>
      <c r="J131" s="1"/>
      <c r="K131" s="1"/>
      <c r="L131" s="1"/>
      <c r="M131" s="1"/>
    </row>
    <row r="132" spans="1:14" x14ac:dyDescent="0.25">
      <c r="A132" t="str">
        <f t="array" ref="A132:A139">R_CODE</f>
        <v>EU</v>
      </c>
      <c r="B132" s="29">
        <f t="array" ref="B132:K139" ca="1" xml:space="preserve"> (((CONS_PER_CAP_FOCUS_0)^EMUC)/(1-EMUC))*( (CONS_PER_CAP)^(1-EMUC) - (CONS_PER_CAP-act_per_cap) ^(1-EMUC))</f>
        <v>0.77100710629228164</v>
      </c>
      <c r="C132" s="29">
        <f ca="1"/>
        <v>4.652219983412107</v>
      </c>
      <c r="D132" s="29">
        <f ca="1"/>
        <v>7.9452479920440133</v>
      </c>
      <c r="E132" s="29">
        <f ca="1"/>
        <v>10.716695771486823</v>
      </c>
      <c r="F132" s="29">
        <f ca="1"/>
        <v>13.823766846512617</v>
      </c>
      <c r="G132" s="29">
        <f ca="1"/>
        <v>11.354330890835858</v>
      </c>
      <c r="H132" s="29">
        <f ca="1"/>
        <v>7.9097122162753895</v>
      </c>
      <c r="I132" s="29">
        <f ca="1"/>
        <v>5.6158995439496238</v>
      </c>
      <c r="J132" s="29">
        <f ca="1"/>
        <v>4.0503334908573017</v>
      </c>
      <c r="K132" s="29">
        <f ca="1"/>
        <v>2.9592366699364629</v>
      </c>
      <c r="L132" s="1"/>
      <c r="M132" s="1" t="str">
        <f t="shared" ref="M132:M139" si="21">CURRENCY_NAME&amp;"/"&amp;POP_UNIT_NAME</f>
        <v>$M(2015)/million</v>
      </c>
    </row>
    <row r="133" spans="1:14" x14ac:dyDescent="0.25">
      <c r="A133" t="str">
        <v>US</v>
      </c>
      <c r="B133" s="26">
        <f ca="1"/>
        <v>0.5718248089312773</v>
      </c>
      <c r="C133" s="26">
        <f ca="1"/>
        <v>3.4530308952235407</v>
      </c>
      <c r="D133" s="26">
        <f ca="1"/>
        <v>5.9483643237121502</v>
      </c>
      <c r="E133" s="26">
        <f ca="1"/>
        <v>8.0994808690045286</v>
      </c>
      <c r="F133" s="26">
        <f ca="1"/>
        <v>10.685228427644972</v>
      </c>
      <c r="G133" s="26">
        <f ca="1"/>
        <v>8.891211161442234</v>
      </c>
      <c r="H133" s="26">
        <f ca="1"/>
        <v>6.1398536975540434</v>
      </c>
      <c r="I133" s="26">
        <f ca="1"/>
        <v>4.2903633574010893</v>
      </c>
      <c r="J133" s="26">
        <f ca="1"/>
        <v>3.0300607184210624</v>
      </c>
      <c r="K133" s="26">
        <f ca="1"/>
        <v>2.1605470010138146</v>
      </c>
      <c r="L133" s="1"/>
      <c r="M133" s="1" t="str">
        <f t="shared" si="21"/>
        <v>$M(2015)/million</v>
      </c>
    </row>
    <row r="134" spans="1:14" x14ac:dyDescent="0.25">
      <c r="A134" t="str">
        <v>OT</v>
      </c>
      <c r="B134" s="26">
        <f ca="1"/>
        <v>0.61584939798581506</v>
      </c>
      <c r="C134" s="26">
        <f ca="1"/>
        <v>3.6984118609779166</v>
      </c>
      <c r="D134" s="26">
        <f ca="1"/>
        <v>6.3172565945330348</v>
      </c>
      <c r="E134" s="26">
        <f ca="1"/>
        <v>8.5233776855044052</v>
      </c>
      <c r="F134" s="26">
        <f ca="1"/>
        <v>11.00215014627414</v>
      </c>
      <c r="G134" s="26">
        <f ca="1"/>
        <v>9.0424503406285979</v>
      </c>
      <c r="H134" s="26">
        <f ca="1"/>
        <v>6.4882244336642474</v>
      </c>
      <c r="I134" s="26">
        <f ca="1"/>
        <v>4.7903634775809838</v>
      </c>
      <c r="J134" s="26">
        <f ca="1"/>
        <v>3.6017383030471444</v>
      </c>
      <c r="K134" s="26">
        <f ca="1"/>
        <v>2.7395806826219933</v>
      </c>
      <c r="L134" s="1"/>
      <c r="M134" s="1" t="str">
        <f t="shared" si="21"/>
        <v>$M(2015)/million</v>
      </c>
    </row>
    <row r="135" spans="1:14" x14ac:dyDescent="0.25">
      <c r="A135" t="str">
        <v>EE</v>
      </c>
      <c r="B135" s="26">
        <f ca="1"/>
        <v>0.35194225317985944</v>
      </c>
      <c r="C135" s="26">
        <f ca="1"/>
        <v>2.0334861433143163</v>
      </c>
      <c r="D135" s="26">
        <f ca="1"/>
        <v>3.3812868583810514</v>
      </c>
      <c r="E135" s="26">
        <f ca="1"/>
        <v>4.5205772925410885</v>
      </c>
      <c r="F135" s="26">
        <f ca="1"/>
        <v>5.7954354213917423</v>
      </c>
      <c r="G135" s="26">
        <f ca="1"/>
        <v>4.7763318650572453</v>
      </c>
      <c r="H135" s="26">
        <f ca="1"/>
        <v>3.5168491388856182</v>
      </c>
      <c r="I135" s="26">
        <f ca="1"/>
        <v>2.6673478639182058</v>
      </c>
      <c r="J135" s="26">
        <f ca="1"/>
        <v>2.049475911051426</v>
      </c>
      <c r="K135" s="26">
        <f ca="1"/>
        <v>1.583698650117954</v>
      </c>
      <c r="L135" s="1"/>
      <c r="M135" s="1" t="str">
        <f t="shared" si="21"/>
        <v>$M(2015)/million</v>
      </c>
    </row>
    <row r="136" spans="1:14" x14ac:dyDescent="0.25">
      <c r="A136" t="str">
        <v>CA</v>
      </c>
      <c r="B136" s="26">
        <f ca="1"/>
        <v>0.3835625800929604</v>
      </c>
      <c r="C136" s="26">
        <f ca="1"/>
        <v>1.5191689149526901</v>
      </c>
      <c r="D136" s="26">
        <f ca="1"/>
        <v>2.4012363966492831</v>
      </c>
      <c r="E136" s="26">
        <f ca="1"/>
        <v>3.128145939556247</v>
      </c>
      <c r="F136" s="26">
        <f ca="1"/>
        <v>4.518689363853154</v>
      </c>
      <c r="G136" s="26">
        <f ca="1"/>
        <v>4.8824935204017041</v>
      </c>
      <c r="H136" s="26">
        <f ca="1"/>
        <v>3.8116519825847508</v>
      </c>
      <c r="I136" s="26">
        <f ca="1"/>
        <v>2.975688282135093</v>
      </c>
      <c r="J136" s="26">
        <f ca="1"/>
        <v>2.323077337482983</v>
      </c>
      <c r="K136" s="26">
        <f ca="1"/>
        <v>1.8135999055155905</v>
      </c>
      <c r="L136" s="1"/>
      <c r="M136" s="1" t="str">
        <f t="shared" si="21"/>
        <v>$M(2015)/million</v>
      </c>
    </row>
    <row r="137" spans="1:14" x14ac:dyDescent="0.25">
      <c r="A137" t="str">
        <v>IA</v>
      </c>
      <c r="B137" s="26">
        <f ca="1"/>
        <v>0.43399192138184317</v>
      </c>
      <c r="C137" s="26">
        <f ca="1"/>
        <v>1.7431732516853347</v>
      </c>
      <c r="D137" s="26">
        <f ca="1"/>
        <v>2.7211015128834015</v>
      </c>
      <c r="E137" s="26">
        <f ca="1"/>
        <v>3.4695261256267171</v>
      </c>
      <c r="F137" s="26">
        <f ca="1"/>
        <v>4.7283971143614423</v>
      </c>
      <c r="G137" s="26">
        <f ca="1"/>
        <v>4.9265909476573144</v>
      </c>
      <c r="H137" s="26">
        <f ca="1"/>
        <v>3.5151595370131394</v>
      </c>
      <c r="I137" s="26">
        <f ca="1"/>
        <v>2.6704607360862256</v>
      </c>
      <c r="J137" s="26">
        <f ca="1"/>
        <v>2.0614288419365066</v>
      </c>
      <c r="K137" s="26">
        <f ca="1"/>
        <v>1.5977670335004228</v>
      </c>
      <c r="L137" s="1"/>
      <c r="M137" s="1" t="str">
        <f t="shared" si="21"/>
        <v>$M(2015)/million</v>
      </c>
    </row>
    <row r="138" spans="1:14" x14ac:dyDescent="0.25">
      <c r="A138" t="str">
        <v>AF</v>
      </c>
      <c r="B138" s="26">
        <f ca="1"/>
        <v>0.33216280344060151</v>
      </c>
      <c r="C138" s="26">
        <f ca="1"/>
        <v>1.3840931325275312</v>
      </c>
      <c r="D138" s="26">
        <f ca="1"/>
        <v>2.2054857114890543</v>
      </c>
      <c r="E138" s="26">
        <f ca="1"/>
        <v>2.8245852255180703</v>
      </c>
      <c r="F138" s="26">
        <f ca="1"/>
        <v>3.7328047294345441</v>
      </c>
      <c r="G138" s="26">
        <f ca="1"/>
        <v>3.7591856098797778</v>
      </c>
      <c r="H138" s="26">
        <f ca="1"/>
        <v>2.3402672130687381</v>
      </c>
      <c r="I138" s="26">
        <f ca="1"/>
        <v>1.6302546625749006</v>
      </c>
      <c r="J138" s="26">
        <f ca="1"/>
        <v>1.2002153666163955</v>
      </c>
      <c r="K138" s="26">
        <f ca="1"/>
        <v>0.9078519806422678</v>
      </c>
      <c r="L138" s="1"/>
      <c r="M138" s="1" t="str">
        <f t="shared" si="21"/>
        <v>$M(2015)/million</v>
      </c>
    </row>
    <row r="139" spans="1:14" x14ac:dyDescent="0.25">
      <c r="A139" t="str">
        <v>LA</v>
      </c>
      <c r="B139" s="26">
        <f ca="1"/>
        <v>0.28756580930354286</v>
      </c>
      <c r="C139" s="26">
        <f ca="1"/>
        <v>1.2019392102952133</v>
      </c>
      <c r="D139" s="26">
        <f ca="1"/>
        <v>1.9348460117167676</v>
      </c>
      <c r="E139" s="26">
        <f ca="1"/>
        <v>2.5169916723538761</v>
      </c>
      <c r="F139" s="26">
        <f ca="1"/>
        <v>3.5008550999510057</v>
      </c>
      <c r="G139" s="26">
        <f ca="1"/>
        <v>3.6570831024914852</v>
      </c>
      <c r="H139" s="26">
        <f ca="1"/>
        <v>2.5683184185697603</v>
      </c>
      <c r="I139" s="26">
        <f ca="1"/>
        <v>1.9153763858915391</v>
      </c>
      <c r="J139" s="26">
        <f ca="1"/>
        <v>1.4631587867093485</v>
      </c>
      <c r="K139" s="26">
        <f ca="1"/>
        <v>1.1284634738588735</v>
      </c>
      <c r="L139" s="1"/>
      <c r="M139" s="1" t="str">
        <f t="shared" si="21"/>
        <v>$M(2015)/million</v>
      </c>
    </row>
    <row r="140" spans="1:14" ht="15" x14ac:dyDescent="0.4">
      <c r="A140" s="44" t="s">
        <v>387</v>
      </c>
      <c r="B140" s="2" t="s">
        <v>388</v>
      </c>
      <c r="C140" s="1"/>
      <c r="D140" s="1"/>
      <c r="E140" s="1"/>
      <c r="F140" s="1"/>
      <c r="G140" s="1"/>
      <c r="H140" s="1"/>
      <c r="I140" s="1"/>
      <c r="J140" s="1"/>
      <c r="K140" s="1"/>
      <c r="L140" s="1"/>
      <c r="M140" s="1"/>
    </row>
    <row r="141" spans="1:14" x14ac:dyDescent="0.25">
      <c r="A141" t="str">
        <f t="array" ref="A141:A148">R_CODE</f>
        <v>EU</v>
      </c>
      <c r="B141" s="29">
        <f t="array" ref="B141:K148" ca="1">IF(EQUITY_SWITCH=0,act_per_cap,(1-EQUITY_PROP)*act_per_cap+EQUITY_PROP*eact_per_cap)</f>
        <v>0.77100710629228164</v>
      </c>
      <c r="C141" s="29">
        <f ca="1"/>
        <v>4.652219983412107</v>
      </c>
      <c r="D141" s="29">
        <f ca="1"/>
        <v>7.9452479920440133</v>
      </c>
      <c r="E141" s="29">
        <f ca="1"/>
        <v>10.716695771486823</v>
      </c>
      <c r="F141" s="29">
        <f ca="1"/>
        <v>13.823766846512617</v>
      </c>
      <c r="G141" s="29">
        <f ca="1"/>
        <v>11.354330890835858</v>
      </c>
      <c r="H141" s="29">
        <f ca="1"/>
        <v>7.9097122162753895</v>
      </c>
      <c r="I141" s="29">
        <f ca="1"/>
        <v>5.6158995439496238</v>
      </c>
      <c r="J141" s="29">
        <f ca="1"/>
        <v>4.0503334908573017</v>
      </c>
      <c r="K141" s="29">
        <f ca="1"/>
        <v>2.9592366699364629</v>
      </c>
      <c r="L141" s="1"/>
      <c r="M141" s="1" t="str">
        <f t="shared" ref="M141:M148" si="22">CURRENCY_NAME&amp;"/"&amp;POP_UNIT_NAME</f>
        <v>$M(2015)/million</v>
      </c>
    </row>
    <row r="142" spans="1:14" x14ac:dyDescent="0.25">
      <c r="A142" t="str">
        <v>US</v>
      </c>
      <c r="B142" s="26">
        <f ca="1"/>
        <v>0.5718248089312773</v>
      </c>
      <c r="C142" s="26">
        <f ca="1"/>
        <v>3.4530308952235407</v>
      </c>
      <c r="D142" s="26">
        <f ca="1"/>
        <v>5.9483643237121502</v>
      </c>
      <c r="E142" s="26">
        <f ca="1"/>
        <v>8.0994808690045286</v>
      </c>
      <c r="F142" s="26">
        <f ca="1"/>
        <v>10.685228427644972</v>
      </c>
      <c r="G142" s="26">
        <f ca="1"/>
        <v>8.891211161442234</v>
      </c>
      <c r="H142" s="26">
        <f ca="1"/>
        <v>6.1398536975540434</v>
      </c>
      <c r="I142" s="26">
        <f ca="1"/>
        <v>4.2903633574010893</v>
      </c>
      <c r="J142" s="26">
        <f ca="1"/>
        <v>3.0300607184210624</v>
      </c>
      <c r="K142" s="26">
        <f ca="1"/>
        <v>2.1605470010138146</v>
      </c>
      <c r="L142" s="1"/>
      <c r="M142" s="1" t="str">
        <f t="shared" si="22"/>
        <v>$M(2015)/million</v>
      </c>
    </row>
    <row r="143" spans="1:14" x14ac:dyDescent="0.25">
      <c r="A143" t="str">
        <v>OT</v>
      </c>
      <c r="B143" s="26">
        <f ca="1"/>
        <v>0.61584939798581506</v>
      </c>
      <c r="C143" s="26">
        <f ca="1"/>
        <v>3.6984118609779166</v>
      </c>
      <c r="D143" s="26">
        <f ca="1"/>
        <v>6.3172565945330348</v>
      </c>
      <c r="E143" s="26">
        <f ca="1"/>
        <v>8.5233776855044052</v>
      </c>
      <c r="F143" s="26">
        <f ca="1"/>
        <v>11.00215014627414</v>
      </c>
      <c r="G143" s="26">
        <f ca="1"/>
        <v>9.0424503406285979</v>
      </c>
      <c r="H143" s="26">
        <f ca="1"/>
        <v>6.4882244336642474</v>
      </c>
      <c r="I143" s="26">
        <f ca="1"/>
        <v>4.7903634775809838</v>
      </c>
      <c r="J143" s="26">
        <f ca="1"/>
        <v>3.6017383030471444</v>
      </c>
      <c r="K143" s="26">
        <f ca="1"/>
        <v>2.7395806826219933</v>
      </c>
      <c r="L143" s="1"/>
      <c r="M143" s="1" t="str">
        <f t="shared" si="22"/>
        <v>$M(2015)/million</v>
      </c>
    </row>
    <row r="144" spans="1:14" x14ac:dyDescent="0.25">
      <c r="A144" t="str">
        <v>EE</v>
      </c>
      <c r="B144" s="26">
        <f ca="1"/>
        <v>0.35194225317985944</v>
      </c>
      <c r="C144" s="26">
        <f ca="1"/>
        <v>2.0334861433143163</v>
      </c>
      <c r="D144" s="26">
        <f ca="1"/>
        <v>3.3812868583810514</v>
      </c>
      <c r="E144" s="26">
        <f ca="1"/>
        <v>4.5205772925410885</v>
      </c>
      <c r="F144" s="26">
        <f ca="1"/>
        <v>5.7954354213917423</v>
      </c>
      <c r="G144" s="26">
        <f ca="1"/>
        <v>4.7763318650572453</v>
      </c>
      <c r="H144" s="26">
        <f ca="1"/>
        <v>3.5168491388856182</v>
      </c>
      <c r="I144" s="26">
        <f ca="1"/>
        <v>2.6673478639182058</v>
      </c>
      <c r="J144" s="26">
        <f ca="1"/>
        <v>2.049475911051426</v>
      </c>
      <c r="K144" s="26">
        <f ca="1"/>
        <v>1.583698650117954</v>
      </c>
      <c r="L144" s="1"/>
      <c r="M144" s="1" t="str">
        <f t="shared" si="22"/>
        <v>$M(2015)/million</v>
      </c>
    </row>
    <row r="145" spans="1:13" x14ac:dyDescent="0.25">
      <c r="A145" t="str">
        <v>CA</v>
      </c>
      <c r="B145" s="26">
        <f ca="1"/>
        <v>0.3835625800929604</v>
      </c>
      <c r="C145" s="26">
        <f ca="1"/>
        <v>1.5191689149526901</v>
      </c>
      <c r="D145" s="26">
        <f ca="1"/>
        <v>2.4012363966492831</v>
      </c>
      <c r="E145" s="26">
        <f ca="1"/>
        <v>3.128145939556247</v>
      </c>
      <c r="F145" s="26">
        <f ca="1"/>
        <v>4.518689363853154</v>
      </c>
      <c r="G145" s="26">
        <f ca="1"/>
        <v>4.8824935204017041</v>
      </c>
      <c r="H145" s="26">
        <f ca="1"/>
        <v>3.8116519825847508</v>
      </c>
      <c r="I145" s="26">
        <f ca="1"/>
        <v>2.975688282135093</v>
      </c>
      <c r="J145" s="26">
        <f ca="1"/>
        <v>2.323077337482983</v>
      </c>
      <c r="K145" s="26">
        <f ca="1"/>
        <v>1.8135999055155905</v>
      </c>
      <c r="L145" s="1"/>
      <c r="M145" s="1" t="str">
        <f t="shared" si="22"/>
        <v>$M(2015)/million</v>
      </c>
    </row>
    <row r="146" spans="1:13" x14ac:dyDescent="0.25">
      <c r="A146" t="str">
        <v>IA</v>
      </c>
      <c r="B146" s="26">
        <f ca="1"/>
        <v>0.43399192138184317</v>
      </c>
      <c r="C146" s="26">
        <f ca="1"/>
        <v>1.7431732516853347</v>
      </c>
      <c r="D146" s="26">
        <f ca="1"/>
        <v>2.7211015128834015</v>
      </c>
      <c r="E146" s="26">
        <f ca="1"/>
        <v>3.4695261256267171</v>
      </c>
      <c r="F146" s="26">
        <f ca="1"/>
        <v>4.7283971143614423</v>
      </c>
      <c r="G146" s="26">
        <f ca="1"/>
        <v>4.9265909476573144</v>
      </c>
      <c r="H146" s="26">
        <f ca="1"/>
        <v>3.5151595370131394</v>
      </c>
      <c r="I146" s="26">
        <f ca="1"/>
        <v>2.6704607360862256</v>
      </c>
      <c r="J146" s="26">
        <f ca="1"/>
        <v>2.0614288419365066</v>
      </c>
      <c r="K146" s="26">
        <f ca="1"/>
        <v>1.5977670335004228</v>
      </c>
      <c r="L146" s="1"/>
      <c r="M146" s="1" t="str">
        <f t="shared" si="22"/>
        <v>$M(2015)/million</v>
      </c>
    </row>
    <row r="147" spans="1:13" x14ac:dyDescent="0.25">
      <c r="A147" t="str">
        <v>AF</v>
      </c>
      <c r="B147" s="26">
        <f ca="1"/>
        <v>0.33216280344060151</v>
      </c>
      <c r="C147" s="26">
        <f ca="1"/>
        <v>1.3840931325275312</v>
      </c>
      <c r="D147" s="26">
        <f ca="1"/>
        <v>2.2054857114890543</v>
      </c>
      <c r="E147" s="26">
        <f ca="1"/>
        <v>2.8245852255180703</v>
      </c>
      <c r="F147" s="26">
        <f ca="1"/>
        <v>3.7328047294345441</v>
      </c>
      <c r="G147" s="26">
        <f ca="1"/>
        <v>3.7591856098797778</v>
      </c>
      <c r="H147" s="26">
        <f ca="1"/>
        <v>2.3402672130687381</v>
      </c>
      <c r="I147" s="26">
        <f ca="1"/>
        <v>1.6302546625749006</v>
      </c>
      <c r="J147" s="26">
        <f ca="1"/>
        <v>1.2002153666163955</v>
      </c>
      <c r="K147" s="26">
        <f ca="1"/>
        <v>0.9078519806422678</v>
      </c>
      <c r="L147" s="1"/>
      <c r="M147" s="1" t="str">
        <f t="shared" si="22"/>
        <v>$M(2015)/million</v>
      </c>
    </row>
    <row r="148" spans="1:13" x14ac:dyDescent="0.25">
      <c r="A148" t="str">
        <v>LA</v>
      </c>
      <c r="B148" s="26">
        <f ca="1"/>
        <v>0.28756580930354286</v>
      </c>
      <c r="C148" s="26">
        <f ca="1"/>
        <v>1.2019392102952133</v>
      </c>
      <c r="D148" s="26">
        <f ca="1"/>
        <v>1.9348460117167676</v>
      </c>
      <c r="E148" s="26">
        <f ca="1"/>
        <v>2.5169916723538761</v>
      </c>
      <c r="F148" s="26">
        <f ca="1"/>
        <v>3.5008550999510057</v>
      </c>
      <c r="G148" s="26">
        <f ca="1"/>
        <v>3.6570831024914852</v>
      </c>
      <c r="H148" s="26">
        <f ca="1"/>
        <v>2.5683184185697603</v>
      </c>
      <c r="I148" s="26">
        <f ca="1"/>
        <v>1.9153763858915391</v>
      </c>
      <c r="J148" s="26">
        <f ca="1"/>
        <v>1.4631587867093485</v>
      </c>
      <c r="K148" s="26">
        <f ca="1"/>
        <v>1.1284634738588735</v>
      </c>
      <c r="L148" s="1"/>
      <c r="M148" s="1" t="str">
        <f t="shared" si="22"/>
        <v>$M(2015)/million</v>
      </c>
    </row>
    <row r="149" spans="1:13" ht="15" x14ac:dyDescent="0.4">
      <c r="A149" s="44" t="s">
        <v>383</v>
      </c>
      <c r="B149" s="2" t="s">
        <v>389</v>
      </c>
      <c r="C149" s="1"/>
      <c r="D149" s="1"/>
      <c r="E149" s="1"/>
      <c r="F149" s="1"/>
      <c r="G149" s="1"/>
      <c r="H149" s="1"/>
      <c r="I149" s="1"/>
      <c r="J149" s="1"/>
      <c r="K149" s="1"/>
      <c r="L149" s="1"/>
      <c r="M149" s="1"/>
    </row>
    <row r="150" spans="1:13" x14ac:dyDescent="0.25">
      <c r="A150" t="str">
        <f t="array" ref="A150:A157">R_CODE</f>
        <v>EU</v>
      </c>
      <c r="B150" s="29">
        <f t="array" ref="B150:K157" ca="1">IF(EQUITY_SWITCH=0,act_per_cap,wact_per_cap)*POP</f>
        <v>391.87180194568873</v>
      </c>
      <c r="C150" s="29">
        <f ca="1"/>
        <v>2393.0638418720605</v>
      </c>
      <c r="D150" s="29">
        <f ca="1"/>
        <v>4099.2479452329126</v>
      </c>
      <c r="E150" s="29">
        <f ca="1"/>
        <v>5507.0637888162901</v>
      </c>
      <c r="F150" s="29">
        <f ca="1"/>
        <v>6756.925607958864</v>
      </c>
      <c r="G150" s="29">
        <f ca="1"/>
        <v>5122.5359671899978</v>
      </c>
      <c r="H150" s="29">
        <f ca="1"/>
        <v>3568.487276576986</v>
      </c>
      <c r="I150" s="29">
        <f ca="1"/>
        <v>2533.6277125080424</v>
      </c>
      <c r="J150" s="29">
        <f ca="1"/>
        <v>1827.3185082862572</v>
      </c>
      <c r="K150" s="29">
        <f ca="1"/>
        <v>1335.0673344751503</v>
      </c>
      <c r="L150" s="1"/>
      <c r="M150" s="4" t="str">
        <f t="shared" ref="M150:M158" si="23">CURRENCY_NAME</f>
        <v>$M(2015)</v>
      </c>
    </row>
    <row r="151" spans="1:13" x14ac:dyDescent="0.25">
      <c r="A151" t="str">
        <v>US</v>
      </c>
      <c r="B151" s="26">
        <f ca="1"/>
        <v>188.57754463552524</v>
      </c>
      <c r="C151" s="26">
        <f ca="1"/>
        <v>1221.0182434122232</v>
      </c>
      <c r="D151" s="26">
        <f ca="1"/>
        <v>2230.8343878169348</v>
      </c>
      <c r="E151" s="26">
        <f ca="1"/>
        <v>3186.5682019221767</v>
      </c>
      <c r="F151" s="26">
        <f ca="1"/>
        <v>4599.0291377328476</v>
      </c>
      <c r="G151" s="26">
        <f ca="1"/>
        <v>3894.4019091866958</v>
      </c>
      <c r="H151" s="26">
        <f ca="1"/>
        <v>2689.2914280986292</v>
      </c>
      <c r="I151" s="26">
        <f ca="1"/>
        <v>1879.2039629679869</v>
      </c>
      <c r="J151" s="26">
        <f ca="1"/>
        <v>1327.1841183959111</v>
      </c>
      <c r="K151" s="26">
        <f ca="1"/>
        <v>946.33208151935924</v>
      </c>
      <c r="L151" s="1"/>
      <c r="M151" s="4" t="str">
        <f t="shared" si="23"/>
        <v>$M(2015)</v>
      </c>
    </row>
    <row r="152" spans="1:13" x14ac:dyDescent="0.25">
      <c r="A152" t="str">
        <v>OT</v>
      </c>
      <c r="B152" s="26">
        <f ca="1"/>
        <v>173.67915450700258</v>
      </c>
      <c r="C152" s="26">
        <f ca="1"/>
        <v>1064.0588876960865</v>
      </c>
      <c r="D152" s="26">
        <f ca="1"/>
        <v>1824.8019584180483</v>
      </c>
      <c r="E152" s="26">
        <f ca="1"/>
        <v>2437.5517034595409</v>
      </c>
      <c r="F152" s="26">
        <f ca="1"/>
        <v>2875.1641342350813</v>
      </c>
      <c r="G152" s="26">
        <f ca="1"/>
        <v>2027.862350864873</v>
      </c>
      <c r="H152" s="26">
        <f ca="1"/>
        <v>1455.0509604540055</v>
      </c>
      <c r="I152" s="26">
        <f ca="1"/>
        <v>1074.2882047687647</v>
      </c>
      <c r="J152" s="26">
        <f ca="1"/>
        <v>807.72680272297794</v>
      </c>
      <c r="K152" s="26">
        <f ca="1"/>
        <v>614.37910236393191</v>
      </c>
      <c r="L152" s="1"/>
      <c r="M152" s="4" t="str">
        <f t="shared" si="23"/>
        <v>$M(2015)</v>
      </c>
    </row>
    <row r="153" spans="1:13" x14ac:dyDescent="0.25">
      <c r="A153" t="str">
        <v>EE</v>
      </c>
      <c r="B153" s="26">
        <f ca="1"/>
        <v>107.93887833178589</v>
      </c>
      <c r="C153" s="26">
        <f ca="1"/>
        <v>610.074263036562</v>
      </c>
      <c r="D153" s="26">
        <f ca="1"/>
        <v>984.40789093442334</v>
      </c>
      <c r="E153" s="26">
        <f ca="1"/>
        <v>1261.8513256425756</v>
      </c>
      <c r="F153" s="26">
        <f ca="1"/>
        <v>1367.449342501518</v>
      </c>
      <c r="G153" s="26">
        <f ca="1"/>
        <v>917.32297159452025</v>
      </c>
      <c r="H153" s="26">
        <f ca="1"/>
        <v>675.43181543427352</v>
      </c>
      <c r="I153" s="26">
        <f ca="1"/>
        <v>512.28003788979152</v>
      </c>
      <c r="J153" s="26">
        <f ca="1"/>
        <v>393.61405070929845</v>
      </c>
      <c r="K153" s="26">
        <f ca="1"/>
        <v>304.1587546427786</v>
      </c>
      <c r="L153" s="1"/>
      <c r="M153" s="4" t="str">
        <f t="shared" si="23"/>
        <v>$M(2015)</v>
      </c>
    </row>
    <row r="154" spans="1:13" x14ac:dyDescent="0.25">
      <c r="A154" t="str">
        <v>CA</v>
      </c>
      <c r="B154" s="26">
        <f ca="1"/>
        <v>600.58720291706857</v>
      </c>
      <c r="C154" s="26">
        <f ca="1"/>
        <v>2362.1353680309708</v>
      </c>
      <c r="D154" s="26">
        <f ca="1"/>
        <v>3601.395546256776</v>
      </c>
      <c r="E154" s="26">
        <f ca="1"/>
        <v>4386.5922463395227</v>
      </c>
      <c r="F154" s="26">
        <f ca="1"/>
        <v>4817.9001356889348</v>
      </c>
      <c r="G154" s="26">
        <f ca="1"/>
        <v>3631.665968505828</v>
      </c>
      <c r="H154" s="26">
        <f ca="1"/>
        <v>2835.1592748866387</v>
      </c>
      <c r="I154" s="26">
        <f ca="1"/>
        <v>2213.3579536675907</v>
      </c>
      <c r="J154" s="26">
        <f ca="1"/>
        <v>1727.9369390847564</v>
      </c>
      <c r="K154" s="26">
        <f ca="1"/>
        <v>1348.9806038297545</v>
      </c>
      <c r="L154" s="1"/>
      <c r="M154" s="4" t="str">
        <f t="shared" si="23"/>
        <v>$M(2015)</v>
      </c>
    </row>
    <row r="155" spans="1:13" x14ac:dyDescent="0.25">
      <c r="A155" t="str">
        <v>IA</v>
      </c>
      <c r="B155" s="26">
        <f ca="1"/>
        <v>1006.3818125622274</v>
      </c>
      <c r="C155" s="26">
        <f ca="1"/>
        <v>4321.3791633972924</v>
      </c>
      <c r="D155" s="26">
        <f ca="1"/>
        <v>7013.4403309071276</v>
      </c>
      <c r="E155" s="26">
        <f ca="1"/>
        <v>9032.2780723506421</v>
      </c>
      <c r="F155" s="26">
        <f ca="1"/>
        <v>11304.806990666946</v>
      </c>
      <c r="G155" s="26">
        <f ca="1"/>
        <v>9587.3440289094833</v>
      </c>
      <c r="H155" s="26">
        <f ca="1"/>
        <v>6840.6417654529696</v>
      </c>
      <c r="I155" s="26">
        <f ca="1"/>
        <v>5196.8239426754162</v>
      </c>
      <c r="J155" s="26">
        <f ca="1"/>
        <v>4011.6233940956131</v>
      </c>
      <c r="K155" s="26">
        <f ca="1"/>
        <v>3109.3188760684211</v>
      </c>
      <c r="L155" s="1"/>
      <c r="M155" s="4" t="str">
        <f t="shared" si="23"/>
        <v>$M(2015)</v>
      </c>
    </row>
    <row r="156" spans="1:13" x14ac:dyDescent="0.25">
      <c r="A156" t="str">
        <v>AF</v>
      </c>
      <c r="B156" s="26">
        <f ca="1"/>
        <v>479.69796539574702</v>
      </c>
      <c r="C156" s="26">
        <f ca="1"/>
        <v>2322.0441383506954</v>
      </c>
      <c r="D156" s="26">
        <f ca="1"/>
        <v>4210.2109749999863</v>
      </c>
      <c r="E156" s="26">
        <f ca="1"/>
        <v>5973.8982816854068</v>
      </c>
      <c r="F156" s="26">
        <f ca="1"/>
        <v>9213.9581820012463</v>
      </c>
      <c r="G156" s="26">
        <f ca="1"/>
        <v>9513.8581457879427</v>
      </c>
      <c r="H156" s="26">
        <f ca="1"/>
        <v>5922.8174926660558</v>
      </c>
      <c r="I156" s="26">
        <f ca="1"/>
        <v>4125.8967262707247</v>
      </c>
      <c r="J156" s="26">
        <f ca="1"/>
        <v>3037.5405546278512</v>
      </c>
      <c r="K156" s="26">
        <f ca="1"/>
        <v>2297.6186487049736</v>
      </c>
      <c r="L156" s="1"/>
      <c r="M156" s="4" t="str">
        <f t="shared" si="23"/>
        <v>$M(2015)</v>
      </c>
    </row>
    <row r="157" spans="1:13" x14ac:dyDescent="0.25">
      <c r="A157" t="str">
        <v>LA</v>
      </c>
      <c r="B157" s="26">
        <f ca="1"/>
        <v>182.25439236604612</v>
      </c>
      <c r="C157" s="26">
        <f ca="1"/>
        <v>810.33834163418203</v>
      </c>
      <c r="D157" s="26">
        <f ca="1"/>
        <v>1354.8842838987709</v>
      </c>
      <c r="E157" s="26">
        <f ca="1"/>
        <v>1776.6854431562435</v>
      </c>
      <c r="F157" s="26">
        <f ca="1"/>
        <v>2309.661723613814</v>
      </c>
      <c r="G157" s="26">
        <f ca="1"/>
        <v>2039.4823792594404</v>
      </c>
      <c r="H157" s="26">
        <f ca="1"/>
        <v>1432.3000085592651</v>
      </c>
      <c r="I157" s="26">
        <f ca="1"/>
        <v>1068.1672467366413</v>
      </c>
      <c r="J157" s="26">
        <f ca="1"/>
        <v>815.97450206131487</v>
      </c>
      <c r="K157" s="26">
        <f ca="1"/>
        <v>629.32159485386671</v>
      </c>
      <c r="L157" s="1"/>
      <c r="M157" s="4" t="str">
        <f t="shared" si="23"/>
        <v>$M(2015)</v>
      </c>
    </row>
    <row r="158" spans="1:13" ht="13.5" thickBot="1" x14ac:dyDescent="0.35">
      <c r="A158" s="2" t="s">
        <v>206</v>
      </c>
      <c r="B158" s="42">
        <f t="shared" ref="B158:K158" ca="1" si="24">SUM(B150:B157)</f>
        <v>3130.9887526610914</v>
      </c>
      <c r="C158" s="42">
        <f t="shared" ca="1" si="24"/>
        <v>15104.112247430072</v>
      </c>
      <c r="D158" s="42">
        <f t="shared" ca="1" si="24"/>
        <v>25319.223318464981</v>
      </c>
      <c r="E158" s="42">
        <f t="shared" ca="1" si="24"/>
        <v>33562.489063372399</v>
      </c>
      <c r="F158" s="42">
        <f t="shared" ca="1" si="24"/>
        <v>43244.895254399249</v>
      </c>
      <c r="G158" s="42">
        <f t="shared" ca="1" si="24"/>
        <v>36734.473721298782</v>
      </c>
      <c r="H158" s="42">
        <f t="shared" ca="1" si="24"/>
        <v>25419.180022128821</v>
      </c>
      <c r="I158" s="42">
        <f t="shared" ca="1" si="24"/>
        <v>18603.645787484955</v>
      </c>
      <c r="J158" s="42">
        <f t="shared" ca="1" si="24"/>
        <v>13948.918869983981</v>
      </c>
      <c r="K158" s="42">
        <f t="shared" ca="1" si="24"/>
        <v>10585.176996458238</v>
      </c>
      <c r="L158" s="1"/>
      <c r="M158" s="4" t="str">
        <f t="shared" si="23"/>
        <v>$M(2015)</v>
      </c>
    </row>
    <row r="159" spans="1:13" s="2" customFormat="1" ht="15.5" thickTop="1" x14ac:dyDescent="0.4">
      <c r="A159" s="2" t="s">
        <v>97</v>
      </c>
      <c r="B159" s="2" t="s">
        <v>390</v>
      </c>
    </row>
    <row r="160" spans="1:13" x14ac:dyDescent="0.25">
      <c r="A160" t="str">
        <f t="array" ref="A160:A167">R_CODE</f>
        <v>EU</v>
      </c>
      <c r="B160" s="27">
        <f t="array" ref="B160:K167" ca="1">IF(EQUITY_SWITCH=0,act*DFC,wact*DF)</f>
        <v>372.23791392656608</v>
      </c>
      <c r="C160" s="27">
        <f ca="1"/>
        <v>2051.0868964744182</v>
      </c>
      <c r="D160" s="27">
        <f ca="1"/>
        <v>3170.2035389683697</v>
      </c>
      <c r="E160" s="27">
        <f ca="1"/>
        <v>3842.874922340367</v>
      </c>
      <c r="F160" s="27">
        <f ca="1"/>
        <v>3646.4330034277828</v>
      </c>
      <c r="G160" s="27">
        <f ca="1"/>
        <v>2137.8984693777224</v>
      </c>
      <c r="H160" s="27">
        <f ca="1"/>
        <v>890.74240943190421</v>
      </c>
      <c r="I160" s="27">
        <f ca="1"/>
        <v>378.24804827087945</v>
      </c>
      <c r="J160" s="27">
        <f ca="1"/>
        <v>163.16013868538238</v>
      </c>
      <c r="K160" s="27">
        <f ca="1"/>
        <v>71.296613244713853</v>
      </c>
      <c r="L160" s="1"/>
      <c r="M160" s="4" t="str">
        <f t="shared" ref="M160:M168" si="25">CURRENCY_NAME</f>
        <v>$M(2015)</v>
      </c>
    </row>
    <row r="161" spans="1:13" x14ac:dyDescent="0.25">
      <c r="A161" t="str">
        <v>US</v>
      </c>
      <c r="B161" s="28">
        <f ca="1"/>
        <v>179.12927513536829</v>
      </c>
      <c r="C161" s="28">
        <f ca="1"/>
        <v>1046.5305921215434</v>
      </c>
      <c r="D161" s="28">
        <f ca="1"/>
        <v>1725.2430605799211</v>
      </c>
      <c r="E161" s="28">
        <f ca="1"/>
        <v>2223.6137987655457</v>
      </c>
      <c r="F161" s="28">
        <f ca="1"/>
        <v>2481.9056187035603</v>
      </c>
      <c r="G161" s="28">
        <f ca="1"/>
        <v>1625.3347822483152</v>
      </c>
      <c r="H161" s="28">
        <f ca="1"/>
        <v>671.28330316675579</v>
      </c>
      <c r="I161" s="28">
        <f ca="1"/>
        <v>280.54841198114133</v>
      </c>
      <c r="J161" s="28">
        <f ca="1"/>
        <v>118.50344854307761</v>
      </c>
      <c r="K161" s="28">
        <f ca="1"/>
        <v>50.53698092589098</v>
      </c>
      <c r="L161" s="1"/>
      <c r="M161" s="4" t="str">
        <f t="shared" si="25"/>
        <v>$M(2015)</v>
      </c>
    </row>
    <row r="162" spans="1:13" x14ac:dyDescent="0.25">
      <c r="A162" t="str">
        <v>OT</v>
      </c>
      <c r="B162" s="28">
        <f ca="1"/>
        <v>164.97733658104985</v>
      </c>
      <c r="C162" s="28">
        <f ca="1"/>
        <v>912.00126107929736</v>
      </c>
      <c r="D162" s="28">
        <f ca="1"/>
        <v>1411.232914862049</v>
      </c>
      <c r="E162" s="28">
        <f ca="1"/>
        <v>1700.9438554453602</v>
      </c>
      <c r="F162" s="28">
        <f ca="1"/>
        <v>1551.6070469974745</v>
      </c>
      <c r="G162" s="28">
        <f ca="1"/>
        <v>846.33155214348164</v>
      </c>
      <c r="H162" s="28">
        <f ca="1"/>
        <v>363.2002856975987</v>
      </c>
      <c r="I162" s="28">
        <f ca="1"/>
        <v>160.38165936066753</v>
      </c>
      <c r="J162" s="28">
        <f ca="1"/>
        <v>72.121426316520569</v>
      </c>
      <c r="K162" s="28">
        <f ca="1"/>
        <v>32.809692901441466</v>
      </c>
      <c r="L162" s="1"/>
      <c r="M162" s="4" t="str">
        <f t="shared" si="25"/>
        <v>$M(2015)</v>
      </c>
    </row>
    <row r="163" spans="1:13" x14ac:dyDescent="0.25">
      <c r="A163" t="str">
        <v>EE</v>
      </c>
      <c r="B163" s="28">
        <f ca="1"/>
        <v>102.53083457984043</v>
      </c>
      <c r="C163" s="28">
        <f ca="1"/>
        <v>522.89258017107193</v>
      </c>
      <c r="D163" s="28">
        <f ca="1"/>
        <v>761.30388337643728</v>
      </c>
      <c r="E163" s="28">
        <f ca="1"/>
        <v>880.53035174232014</v>
      </c>
      <c r="F163" s="28">
        <f ca="1"/>
        <v>737.95579562691455</v>
      </c>
      <c r="G163" s="28">
        <f ca="1"/>
        <v>382.846189750181</v>
      </c>
      <c r="H163" s="28">
        <f ca="1"/>
        <v>168.59686361667497</v>
      </c>
      <c r="I163" s="28">
        <f ca="1"/>
        <v>76.478846336952017</v>
      </c>
      <c r="J163" s="28">
        <f ca="1"/>
        <v>35.14555498180485</v>
      </c>
      <c r="K163" s="28">
        <f ca="1"/>
        <v>16.242992795030169</v>
      </c>
      <c r="L163" s="1"/>
      <c r="M163" s="4" t="str">
        <f t="shared" si="25"/>
        <v>$M(2015)</v>
      </c>
    </row>
    <row r="164" spans="1:13" x14ac:dyDescent="0.25">
      <c r="A164" t="str">
        <v>CA</v>
      </c>
      <c r="B164" s="28">
        <f ca="1"/>
        <v>570.49608171558418</v>
      </c>
      <c r="C164" s="28">
        <f ca="1"/>
        <v>2024.5782065207959</v>
      </c>
      <c r="D164" s="28">
        <f ca="1"/>
        <v>2785.1832966691777</v>
      </c>
      <c r="E164" s="28">
        <f ca="1"/>
        <v>3061.0005593587262</v>
      </c>
      <c r="F164" s="28">
        <f ca="1"/>
        <v>2600.0212347020824</v>
      </c>
      <c r="G164" s="28">
        <f ca="1"/>
        <v>1515.6815228022385</v>
      </c>
      <c r="H164" s="28">
        <f ca="1"/>
        <v>707.69387919975463</v>
      </c>
      <c r="I164" s="28">
        <f ca="1"/>
        <v>330.43462619488389</v>
      </c>
      <c r="J164" s="28">
        <f ca="1"/>
        <v>154.28641987820242</v>
      </c>
      <c r="K164" s="28">
        <f ca="1"/>
        <v>72.039623697092807</v>
      </c>
      <c r="L164" s="1"/>
      <c r="M164" s="4" t="str">
        <f t="shared" si="25"/>
        <v>$M(2015)</v>
      </c>
    </row>
    <row r="165" spans="1:13" x14ac:dyDescent="0.25">
      <c r="A165" t="str">
        <v>IA</v>
      </c>
      <c r="B165" s="28">
        <f ca="1"/>
        <v>955.95923121235285</v>
      </c>
      <c r="C165" s="28">
        <f ca="1"/>
        <v>3703.8394135811936</v>
      </c>
      <c r="D165" s="28">
        <f ca="1"/>
        <v>5423.929865779799</v>
      </c>
      <c r="E165" s="28">
        <f ca="1"/>
        <v>6302.7987738819638</v>
      </c>
      <c r="F165" s="28">
        <f ca="1"/>
        <v>6100.7362963407704</v>
      </c>
      <c r="G165" s="28">
        <f ca="1"/>
        <v>4001.293159498668</v>
      </c>
      <c r="H165" s="28">
        <f ca="1"/>
        <v>1707.5161702874123</v>
      </c>
      <c r="I165" s="28">
        <f ca="1"/>
        <v>775.83952204979414</v>
      </c>
      <c r="J165" s="28">
        <f ca="1"/>
        <v>358.19537008248187</v>
      </c>
      <c r="K165" s="28">
        <f ca="1"/>
        <v>166.04698477525727</v>
      </c>
      <c r="L165" s="1"/>
      <c r="M165" s="4" t="str">
        <f t="shared" si="25"/>
        <v>$M(2015)</v>
      </c>
    </row>
    <row r="166" spans="1:13" x14ac:dyDescent="0.25">
      <c r="A166" t="str">
        <v>AF</v>
      </c>
      <c r="B166" s="28">
        <f ca="1"/>
        <v>455.66373764876971</v>
      </c>
      <c r="C166" s="28">
        <f ca="1"/>
        <v>1990.2161496370852</v>
      </c>
      <c r="D166" s="28">
        <f ca="1"/>
        <v>3256.0181552984977</v>
      </c>
      <c r="E166" s="28">
        <f ca="1"/>
        <v>4168.6359148266765</v>
      </c>
      <c r="F166" s="28">
        <f ca="1"/>
        <v>4972.3917586835951</v>
      </c>
      <c r="G166" s="28">
        <f ca="1"/>
        <v>3970.6237102156028</v>
      </c>
      <c r="H166" s="28">
        <f ca="1"/>
        <v>1478.4148898811338</v>
      </c>
      <c r="I166" s="28">
        <f ca="1"/>
        <v>615.95962831266149</v>
      </c>
      <c r="J166" s="28">
        <f ca="1"/>
        <v>271.22011620204898</v>
      </c>
      <c r="K166" s="28">
        <f ca="1"/>
        <v>122.69975000546283</v>
      </c>
      <c r="L166" s="1"/>
      <c r="M166" s="4" t="str">
        <f t="shared" si="25"/>
        <v>$M(2015)</v>
      </c>
    </row>
    <row r="167" spans="1:13" x14ac:dyDescent="0.25">
      <c r="A167" t="str">
        <v>LA</v>
      </c>
      <c r="B167" s="28">
        <f ca="1"/>
        <v>173.12293071725892</v>
      </c>
      <c r="C167" s="28">
        <f ca="1"/>
        <v>694.53824221273749</v>
      </c>
      <c r="D167" s="28">
        <f ca="1"/>
        <v>1047.8163334090441</v>
      </c>
      <c r="E167" s="28">
        <f ca="1"/>
        <v>1239.7858815904251</v>
      </c>
      <c r="F167" s="28">
        <f ca="1"/>
        <v>1246.4288086610206</v>
      </c>
      <c r="G167" s="28">
        <f ca="1"/>
        <v>851.18118933060703</v>
      </c>
      <c r="H167" s="28">
        <f ca="1"/>
        <v>357.52134217421599</v>
      </c>
      <c r="I167" s="28">
        <f ca="1"/>
        <v>159.4678548511223</v>
      </c>
      <c r="J167" s="28">
        <f ca="1"/>
        <v>72.857858285975325</v>
      </c>
      <c r="K167" s="28">
        <f ca="1"/>
        <v>33.607666966461743</v>
      </c>
      <c r="L167" s="1"/>
      <c r="M167" s="4" t="str">
        <f t="shared" si="25"/>
        <v>$M(2015)</v>
      </c>
    </row>
    <row r="168" spans="1:13" ht="13" x14ac:dyDescent="0.3">
      <c r="A168" s="2" t="s">
        <v>206</v>
      </c>
      <c r="B168" s="40">
        <f ca="1">SUM(B160:B167)</f>
        <v>2974.11734151679</v>
      </c>
      <c r="C168" s="40">
        <f t="shared" ref="C168:K168" ca="1" si="26">SUM(C160:C167)</f>
        <v>12945.683341798142</v>
      </c>
      <c r="D168" s="40">
        <f t="shared" ca="1" si="26"/>
        <v>19580.931048943297</v>
      </c>
      <c r="E168" s="40">
        <f t="shared" ca="1" si="26"/>
        <v>23420.184057951388</v>
      </c>
      <c r="F168" s="40">
        <f t="shared" ca="1" si="26"/>
        <v>23337.479563143203</v>
      </c>
      <c r="G168" s="40">
        <f t="shared" ca="1" si="26"/>
        <v>15331.190575366818</v>
      </c>
      <c r="H168" s="40">
        <f t="shared" ca="1" si="26"/>
        <v>6344.9691434554497</v>
      </c>
      <c r="I168" s="40">
        <f t="shared" ca="1" si="26"/>
        <v>2777.3585973581025</v>
      </c>
      <c r="J168" s="40">
        <f t="shared" ca="1" si="26"/>
        <v>1245.4903329754939</v>
      </c>
      <c r="K168" s="40">
        <f t="shared" ca="1" si="26"/>
        <v>565.28030531135107</v>
      </c>
      <c r="L168" s="1"/>
      <c r="M168" s="4" t="str">
        <f t="shared" si="25"/>
        <v>$M(2015)</v>
      </c>
    </row>
    <row r="169" spans="1:13" s="2" customFormat="1" ht="15" x14ac:dyDescent="0.4">
      <c r="A169" s="2" t="s">
        <v>98</v>
      </c>
      <c r="B169" s="2" t="s">
        <v>391</v>
      </c>
      <c r="L169" s="2" t="s">
        <v>112</v>
      </c>
    </row>
    <row r="170" spans="1:13" s="4" customFormat="1" x14ac:dyDescent="0.25">
      <c r="A170" t="str">
        <f t="array" ref="A170:A177">R_CODE</f>
        <v>EU</v>
      </c>
      <c r="B170" s="27">
        <f t="array" ref="B170:K177" ca="1">wacdt*YAGG</f>
        <v>3722.3791392656608</v>
      </c>
      <c r="C170" s="27">
        <f ca="1"/>
        <v>20510.868964744182</v>
      </c>
      <c r="D170" s="27">
        <f ca="1"/>
        <v>31702.035389683697</v>
      </c>
      <c r="E170" s="27">
        <f ca="1"/>
        <v>67250.311140956415</v>
      </c>
      <c r="F170" s="27">
        <f ca="1"/>
        <v>91160.825085694567</v>
      </c>
      <c r="G170" s="27">
        <f ca="1"/>
        <v>80171.192601664588</v>
      </c>
      <c r="H170" s="27">
        <f ca="1"/>
        <v>44537.120471595212</v>
      </c>
      <c r="I170" s="27">
        <f ca="1"/>
        <v>18912.402413543972</v>
      </c>
      <c r="J170" s="27">
        <f ca="1"/>
        <v>8158.0069342691186</v>
      </c>
      <c r="K170" s="27">
        <f ca="1"/>
        <v>1782.4153311178463</v>
      </c>
      <c r="L170" s="41">
        <f ca="1">SUM(B170:K170)</f>
        <v>367907.55747253523</v>
      </c>
      <c r="M170" s="4" t="str">
        <f t="shared" ref="M170:M179" si="27">CURRENCY_NAME</f>
        <v>$M(2015)</v>
      </c>
    </row>
    <row r="171" spans="1:13" s="4" customFormat="1" x14ac:dyDescent="0.25">
      <c r="A171" t="str">
        <v>US</v>
      </c>
      <c r="B171" s="28">
        <f ca="1"/>
        <v>1791.2927513536829</v>
      </c>
      <c r="C171" s="28">
        <f ca="1"/>
        <v>10465.305921215433</v>
      </c>
      <c r="D171" s="28">
        <f ca="1"/>
        <v>17252.430605799211</v>
      </c>
      <c r="E171" s="28">
        <f ca="1"/>
        <v>38913.241478397045</v>
      </c>
      <c r="F171" s="28">
        <f ca="1"/>
        <v>62047.640467589008</v>
      </c>
      <c r="G171" s="28">
        <f ca="1"/>
        <v>60950.054334311819</v>
      </c>
      <c r="H171" s="28">
        <f ca="1"/>
        <v>33564.16515833779</v>
      </c>
      <c r="I171" s="28">
        <f ca="1"/>
        <v>14027.420599057066</v>
      </c>
      <c r="J171" s="28">
        <f ca="1"/>
        <v>5925.1724271538806</v>
      </c>
      <c r="K171" s="28">
        <f ca="1"/>
        <v>1263.4245231472744</v>
      </c>
      <c r="L171" s="40">
        <f t="shared" ref="L171:L178" ca="1" si="28">SUM(B171:K171)</f>
        <v>246200.14826636226</v>
      </c>
      <c r="M171" s="4" t="str">
        <f t="shared" si="27"/>
        <v>$M(2015)</v>
      </c>
    </row>
    <row r="172" spans="1:13" s="4" customFormat="1" x14ac:dyDescent="0.25">
      <c r="A172" t="str">
        <v>OT</v>
      </c>
      <c r="B172" s="28">
        <f ca="1"/>
        <v>1649.7733658104985</v>
      </c>
      <c r="C172" s="28">
        <f ca="1"/>
        <v>9120.0126107929736</v>
      </c>
      <c r="D172" s="28">
        <f ca="1"/>
        <v>14112.329148620491</v>
      </c>
      <c r="E172" s="28">
        <f ca="1"/>
        <v>29766.517470293802</v>
      </c>
      <c r="F172" s="28">
        <f ca="1"/>
        <v>38790.17617493686</v>
      </c>
      <c r="G172" s="28">
        <f ca="1"/>
        <v>31737.433205380563</v>
      </c>
      <c r="H172" s="28">
        <f ca="1"/>
        <v>18160.014284879937</v>
      </c>
      <c r="I172" s="28">
        <f ca="1"/>
        <v>8019.0829680333763</v>
      </c>
      <c r="J172" s="28">
        <f ca="1"/>
        <v>3606.0713158260287</v>
      </c>
      <c r="K172" s="28">
        <f ca="1"/>
        <v>820.24232253603668</v>
      </c>
      <c r="L172" s="40">
        <f t="shared" ca="1" si="28"/>
        <v>155781.65286711059</v>
      </c>
      <c r="M172" s="4" t="str">
        <f t="shared" si="27"/>
        <v>$M(2015)</v>
      </c>
    </row>
    <row r="173" spans="1:13" s="4" customFormat="1" x14ac:dyDescent="0.25">
      <c r="A173" t="str">
        <v>EE</v>
      </c>
      <c r="B173" s="28">
        <f ca="1"/>
        <v>1025.3083457984044</v>
      </c>
      <c r="C173" s="28">
        <f ca="1"/>
        <v>5228.9258017107195</v>
      </c>
      <c r="D173" s="28">
        <f ca="1"/>
        <v>7613.0388337643726</v>
      </c>
      <c r="E173" s="28">
        <f ca="1"/>
        <v>15409.281155490602</v>
      </c>
      <c r="F173" s="28">
        <f ca="1"/>
        <v>18448.894890672862</v>
      </c>
      <c r="G173" s="28">
        <f ca="1"/>
        <v>14356.732115631787</v>
      </c>
      <c r="H173" s="28">
        <f ca="1"/>
        <v>8429.8431808337482</v>
      </c>
      <c r="I173" s="28">
        <f ca="1"/>
        <v>3823.942316847601</v>
      </c>
      <c r="J173" s="28">
        <f ca="1"/>
        <v>1757.2777490902424</v>
      </c>
      <c r="K173" s="28">
        <f ca="1"/>
        <v>406.0748198757542</v>
      </c>
      <c r="L173" s="40">
        <f t="shared" ca="1" si="28"/>
        <v>76499.319209716094</v>
      </c>
      <c r="M173" s="4" t="str">
        <f t="shared" si="27"/>
        <v>$M(2015)</v>
      </c>
    </row>
    <row r="174" spans="1:13" s="4" customFormat="1" x14ac:dyDescent="0.25">
      <c r="A174" t="str">
        <v>CA</v>
      </c>
      <c r="B174" s="28">
        <f ca="1"/>
        <v>5704.9608171558421</v>
      </c>
      <c r="C174" s="28">
        <f ca="1"/>
        <v>20245.782065207961</v>
      </c>
      <c r="D174" s="28">
        <f ca="1"/>
        <v>27851.832966691778</v>
      </c>
      <c r="E174" s="28">
        <f ca="1"/>
        <v>53567.509788777708</v>
      </c>
      <c r="F174" s="28">
        <f ca="1"/>
        <v>65000.530867552065</v>
      </c>
      <c r="G174" s="28">
        <f ca="1"/>
        <v>56838.057105083943</v>
      </c>
      <c r="H174" s="28">
        <f ca="1"/>
        <v>35384.69395998773</v>
      </c>
      <c r="I174" s="28">
        <f ca="1"/>
        <v>16521.731309744195</v>
      </c>
      <c r="J174" s="28">
        <f ca="1"/>
        <v>7714.3209939101216</v>
      </c>
      <c r="K174" s="28">
        <f ca="1"/>
        <v>1800.9905924273203</v>
      </c>
      <c r="L174" s="40">
        <f t="shared" ca="1" si="28"/>
        <v>290630.41046653868</v>
      </c>
      <c r="M174" s="4" t="str">
        <f t="shared" si="27"/>
        <v>$M(2015)</v>
      </c>
    </row>
    <row r="175" spans="1:13" s="4" customFormat="1" x14ac:dyDescent="0.25">
      <c r="A175" t="str">
        <v>IA</v>
      </c>
      <c r="B175" s="28">
        <f ca="1"/>
        <v>9559.5923121235282</v>
      </c>
      <c r="C175" s="28">
        <f ca="1"/>
        <v>37038.394135811934</v>
      </c>
      <c r="D175" s="28">
        <f ca="1"/>
        <v>54239.29865779799</v>
      </c>
      <c r="E175" s="28">
        <f ca="1"/>
        <v>110298.97854293436</v>
      </c>
      <c r="F175" s="28">
        <f ca="1"/>
        <v>152518.40740851927</v>
      </c>
      <c r="G175" s="28">
        <f ca="1"/>
        <v>150048.49348120004</v>
      </c>
      <c r="H175" s="28">
        <f ca="1"/>
        <v>85375.808514370612</v>
      </c>
      <c r="I175" s="28">
        <f ca="1"/>
        <v>38791.976102489709</v>
      </c>
      <c r="J175" s="28">
        <f ca="1"/>
        <v>17909.768504124095</v>
      </c>
      <c r="K175" s="28">
        <f ca="1"/>
        <v>4151.1746193814315</v>
      </c>
      <c r="L175" s="40">
        <f t="shared" ca="1" si="28"/>
        <v>659931.89227875299</v>
      </c>
      <c r="M175" s="4" t="str">
        <f t="shared" si="27"/>
        <v>$M(2015)</v>
      </c>
    </row>
    <row r="176" spans="1:13" s="4" customFormat="1" x14ac:dyDescent="0.25">
      <c r="A176" t="str">
        <v>AF</v>
      </c>
      <c r="B176" s="28">
        <f ca="1"/>
        <v>4556.6373764876971</v>
      </c>
      <c r="C176" s="28">
        <f ca="1"/>
        <v>19902.161496370853</v>
      </c>
      <c r="D176" s="28">
        <f ca="1"/>
        <v>32560.181552984977</v>
      </c>
      <c r="E176" s="28">
        <f ca="1"/>
        <v>72951.128509466842</v>
      </c>
      <c r="F176" s="28">
        <f ca="1"/>
        <v>124309.79396708988</v>
      </c>
      <c r="G176" s="28">
        <f ca="1"/>
        <v>148898.38913308512</v>
      </c>
      <c r="H176" s="28">
        <f ca="1"/>
        <v>73920.744494056693</v>
      </c>
      <c r="I176" s="28">
        <f ca="1"/>
        <v>30797.981415633076</v>
      </c>
      <c r="J176" s="28">
        <f ca="1"/>
        <v>13561.00581010245</v>
      </c>
      <c r="K176" s="28">
        <f ca="1"/>
        <v>3067.4937501365707</v>
      </c>
      <c r="L176" s="40">
        <f t="shared" ca="1" si="28"/>
        <v>524525.51750541409</v>
      </c>
      <c r="M176" s="4" t="str">
        <f t="shared" si="27"/>
        <v>$M(2015)</v>
      </c>
    </row>
    <row r="177" spans="1:13" s="4" customFormat="1" x14ac:dyDescent="0.25">
      <c r="A177" t="str">
        <v>LA</v>
      </c>
      <c r="B177" s="28">
        <f ca="1"/>
        <v>1731.2293071725892</v>
      </c>
      <c r="C177" s="28">
        <f ca="1"/>
        <v>6945.3824221273753</v>
      </c>
      <c r="D177" s="28">
        <f ca="1"/>
        <v>10478.163334090441</v>
      </c>
      <c r="E177" s="28">
        <f ca="1"/>
        <v>21696.25292783244</v>
      </c>
      <c r="F177" s="28">
        <f ca="1"/>
        <v>31160.720216525515</v>
      </c>
      <c r="G177" s="28">
        <f ca="1"/>
        <v>31919.294599897763</v>
      </c>
      <c r="H177" s="28">
        <f ca="1"/>
        <v>17876.067108710798</v>
      </c>
      <c r="I177" s="28">
        <f ca="1"/>
        <v>7973.3927425561151</v>
      </c>
      <c r="J177" s="28">
        <f ca="1"/>
        <v>3642.8929142987663</v>
      </c>
      <c r="K177" s="28">
        <f ca="1"/>
        <v>840.19167416154357</v>
      </c>
      <c r="L177" s="40">
        <f t="shared" ca="1" si="28"/>
        <v>134263.58724737336</v>
      </c>
      <c r="M177" s="4" t="str">
        <f t="shared" si="27"/>
        <v>$M(2015)</v>
      </c>
    </row>
    <row r="178" spans="1:13" s="2" customFormat="1" ht="13" x14ac:dyDescent="0.3">
      <c r="A178" s="2" t="s">
        <v>206</v>
      </c>
      <c r="B178" s="40">
        <f ca="1">SUM(B170:B177)</f>
        <v>29741.173415167908</v>
      </c>
      <c r="C178" s="40">
        <f t="shared" ref="C178:K178" ca="1" si="29">SUM(C170:C177)</f>
        <v>129456.83341798143</v>
      </c>
      <c r="D178" s="40">
        <f t="shared" ca="1" si="29"/>
        <v>195809.31048943294</v>
      </c>
      <c r="E178" s="40">
        <f t="shared" ca="1" si="29"/>
        <v>409853.2210141492</v>
      </c>
      <c r="F178" s="40">
        <f t="shared" ca="1" si="29"/>
        <v>583436.98907858005</v>
      </c>
      <c r="G178" s="40">
        <f t="shared" ca="1" si="29"/>
        <v>574919.64657625568</v>
      </c>
      <c r="H178" s="40">
        <f t="shared" ca="1" si="29"/>
        <v>317248.45717277256</v>
      </c>
      <c r="I178" s="40">
        <f t="shared" ca="1" si="29"/>
        <v>138867.9298679051</v>
      </c>
      <c r="J178" s="40">
        <f t="shared" ca="1" si="29"/>
        <v>62274.516648774697</v>
      </c>
      <c r="K178" s="40">
        <f t="shared" ca="1" si="29"/>
        <v>14132.00763278378</v>
      </c>
      <c r="L178" s="40">
        <f t="shared" ca="1" si="28"/>
        <v>2455740.0853138026</v>
      </c>
      <c r="M178" s="4" t="str">
        <f t="shared" si="27"/>
        <v>$M(2015)</v>
      </c>
    </row>
    <row r="179" spans="1:13" ht="13.5" thickBot="1" x14ac:dyDescent="0.35">
      <c r="A179" s="2" t="s">
        <v>109</v>
      </c>
      <c r="L179" s="42">
        <f ca="1">SUM(L170:L177)</f>
        <v>2455740.0853138035</v>
      </c>
      <c r="M179" s="4" t="str">
        <f t="shared" si="27"/>
        <v>$M(2015)</v>
      </c>
    </row>
    <row r="180" spans="1:13" ht="13" thickTop="1" x14ac:dyDescent="0.25"/>
  </sheetData>
  <phoneticPr fontId="0" type="noConversion"/>
  <pageMargins left="0.75" right="0.75" top="1" bottom="1" header="0.5" footer="0.5"/>
  <pageSetup paperSize="9" orientation="portrait" horizontalDpi="360" verticalDpi="360"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180"/>
  <sheetViews>
    <sheetView topLeftCell="A119" workbookViewId="0">
      <selection activeCell="P132" sqref="P132"/>
    </sheetView>
  </sheetViews>
  <sheetFormatPr defaultRowHeight="12.5" x14ac:dyDescent="0.25"/>
  <cols>
    <col min="1" max="1" width="25.54296875" bestFit="1" customWidth="1"/>
    <col min="2" max="2" width="9.453125" bestFit="1" customWidth="1"/>
    <col min="3" max="4" width="9.1796875" bestFit="1" customWidth="1"/>
    <col min="5" max="5" width="9.453125" bestFit="1" customWidth="1"/>
    <col min="6" max="13" width="9" bestFit="1" customWidth="1"/>
  </cols>
  <sheetData>
    <row r="1" spans="1:13" ht="13" x14ac:dyDescent="0.3">
      <c r="A1" s="2" t="str">
        <f>MODEL_NAME</f>
        <v>PAGE-ICE Nonlinear Arctic Feedbacks</v>
      </c>
      <c r="B1" t="s">
        <v>39</v>
      </c>
      <c r="C1" s="51" t="str">
        <f>VERSION</f>
        <v>6.22</v>
      </c>
    </row>
    <row r="2" spans="1:13" ht="13" x14ac:dyDescent="0.3">
      <c r="A2" s="2" t="s">
        <v>90</v>
      </c>
      <c r="B2" s="3" t="s">
        <v>368</v>
      </c>
      <c r="C2" s="3" t="s">
        <v>368</v>
      </c>
      <c r="D2" s="3" t="str">
        <f>I_1_NAME</f>
        <v>Economic</v>
      </c>
      <c r="E2" s="3" t="str">
        <f>I_1_NAME</f>
        <v>Economic</v>
      </c>
      <c r="F2" s="3" t="str">
        <f>I_2_NAME</f>
        <v>Non-econ</v>
      </c>
      <c r="G2" s="3" t="str">
        <f>I_2_NAME</f>
        <v>Non-econ</v>
      </c>
    </row>
    <row r="3" spans="1:13" x14ac:dyDescent="0.25">
      <c r="B3" s="3" t="s">
        <v>49</v>
      </c>
      <c r="C3" s="3" t="s">
        <v>369</v>
      </c>
      <c r="D3" s="3" t="s">
        <v>49</v>
      </c>
      <c r="E3" s="3" t="s">
        <v>369</v>
      </c>
      <c r="F3" s="3" t="s">
        <v>49</v>
      </c>
      <c r="G3" s="3" t="s">
        <v>369</v>
      </c>
    </row>
    <row r="4" spans="1:13" ht="15.5" x14ac:dyDescent="0.4">
      <c r="B4" s="3" t="s">
        <v>370</v>
      </c>
      <c r="C4" s="3" t="s">
        <v>371</v>
      </c>
      <c r="D4" s="3" t="s">
        <v>91</v>
      </c>
      <c r="E4" s="3" t="s">
        <v>92</v>
      </c>
      <c r="F4" s="3" t="s">
        <v>93</v>
      </c>
      <c r="G4" s="3" t="s">
        <v>94</v>
      </c>
    </row>
    <row r="5" spans="1:13" x14ac:dyDescent="0.25">
      <c r="A5" t="str">
        <f t="array" ref="A5:A12">R_CODE</f>
        <v>EU</v>
      </c>
      <c r="B5" s="11">
        <f ca="1">CP_S_1</f>
        <v>2.3333333333333334E-2</v>
      </c>
      <c r="C5" s="11">
        <f ca="1">CI_S_1</f>
        <v>1.1666666666666668E-3</v>
      </c>
      <c r="D5" s="11">
        <f ca="1">CP_1_1</f>
        <v>1.1666666666666667E-2</v>
      </c>
      <c r="E5" s="11">
        <f ca="1">CI_1_1</f>
        <v>4.0000000000000001E-3</v>
      </c>
      <c r="F5" s="11">
        <f ca="1">CP_2_1</f>
        <v>2.3333333333333334E-2</v>
      </c>
      <c r="G5" s="11">
        <f ca="1">CI_2_1</f>
        <v>5.6666666666666671E-3</v>
      </c>
    </row>
    <row r="6" spans="1:13" x14ac:dyDescent="0.25">
      <c r="A6" t="str">
        <v>US</v>
      </c>
      <c r="B6" s="13">
        <f t="array" aca="1" ref="B6:B12" ca="1">CP_S_1*CF</f>
        <v>1.8666666666666665E-2</v>
      </c>
      <c r="C6" s="13">
        <f t="array" aca="1" ref="C6:C12" ca="1">CI_S_1*CF</f>
        <v>9.3333333333333332E-4</v>
      </c>
      <c r="D6" s="13">
        <f t="array" aca="1" ref="D6:D12" ca="1">CP_1_1*CF</f>
        <v>9.3333333333333324E-3</v>
      </c>
      <c r="E6" s="13">
        <f t="array" aca="1" ref="E6:E12" ca="1">CI_1_1*CF</f>
        <v>3.1999999999999997E-3</v>
      </c>
      <c r="F6" s="13">
        <f t="array" aca="1" ref="F6:F12" ca="1">CP_2_1*CF</f>
        <v>1.8666666666666665E-2</v>
      </c>
      <c r="G6" s="13">
        <f t="array" aca="1" ref="G6:G12" ca="1">CI_2_1*CF</f>
        <v>4.5333333333333337E-3</v>
      </c>
    </row>
    <row r="7" spans="1:13" x14ac:dyDescent="0.25">
      <c r="A7" t="str">
        <v>OT</v>
      </c>
      <c r="B7" s="13">
        <f ca="1"/>
        <v>1.8666666666666672E-2</v>
      </c>
      <c r="C7" s="13">
        <f ca="1"/>
        <v>9.3333333333333354E-4</v>
      </c>
      <c r="D7" s="13">
        <f ca="1"/>
        <v>9.3333333333333358E-3</v>
      </c>
      <c r="E7" s="13">
        <f ca="1"/>
        <v>3.2000000000000006E-3</v>
      </c>
      <c r="F7" s="13">
        <f ca="1"/>
        <v>1.8666666666666672E-2</v>
      </c>
      <c r="G7" s="13">
        <f ca="1"/>
        <v>4.5333333333333345E-3</v>
      </c>
    </row>
    <row r="8" spans="1:13" x14ac:dyDescent="0.25">
      <c r="A8" t="str">
        <v>EE</v>
      </c>
      <c r="B8" s="13">
        <f ca="1"/>
        <v>9.3333333333333358E-3</v>
      </c>
      <c r="C8" s="13">
        <f ca="1"/>
        <v>4.6666666666666677E-4</v>
      </c>
      <c r="D8" s="13">
        <f ca="1"/>
        <v>4.6666666666666679E-3</v>
      </c>
      <c r="E8" s="13">
        <f ca="1"/>
        <v>1.6000000000000003E-3</v>
      </c>
      <c r="F8" s="13">
        <f ca="1"/>
        <v>9.3333333333333358E-3</v>
      </c>
      <c r="G8" s="13">
        <f ca="1"/>
        <v>2.2666666666666673E-3</v>
      </c>
    </row>
    <row r="9" spans="1:13" x14ac:dyDescent="0.25">
      <c r="A9" t="str">
        <v>CA</v>
      </c>
      <c r="B9" s="13">
        <f ca="1"/>
        <v>1.8666666666666672E-2</v>
      </c>
      <c r="C9" s="13">
        <f ca="1"/>
        <v>9.3333333333333354E-4</v>
      </c>
      <c r="D9" s="13">
        <f ca="1"/>
        <v>9.3333333333333358E-3</v>
      </c>
      <c r="E9" s="13">
        <f ca="1"/>
        <v>3.2000000000000006E-3</v>
      </c>
      <c r="F9" s="13">
        <f ca="1"/>
        <v>1.8666666666666672E-2</v>
      </c>
      <c r="G9" s="13">
        <f ca="1"/>
        <v>4.5333333333333345E-3</v>
      </c>
    </row>
    <row r="10" spans="1:13" x14ac:dyDescent="0.25">
      <c r="A10" t="str">
        <v>IA</v>
      </c>
      <c r="B10" s="13">
        <f ca="1"/>
        <v>1.8666666666666672E-2</v>
      </c>
      <c r="C10" s="13">
        <f ca="1"/>
        <v>9.3333333333333354E-4</v>
      </c>
      <c r="D10" s="13">
        <f ca="1"/>
        <v>9.3333333333333358E-3</v>
      </c>
      <c r="E10" s="13">
        <f ca="1"/>
        <v>3.2000000000000006E-3</v>
      </c>
      <c r="F10" s="13">
        <f ca="1"/>
        <v>1.8666666666666672E-2</v>
      </c>
      <c r="G10" s="13">
        <f ca="1"/>
        <v>4.5333333333333345E-3</v>
      </c>
    </row>
    <row r="11" spans="1:13" x14ac:dyDescent="0.25">
      <c r="A11" t="str">
        <v>AF</v>
      </c>
      <c r="B11" s="13">
        <f ca="1"/>
        <v>1.4E-2</v>
      </c>
      <c r="C11" s="13">
        <f ca="1"/>
        <v>6.9999999999999999E-4</v>
      </c>
      <c r="D11" s="13">
        <f ca="1"/>
        <v>7.0000000000000001E-3</v>
      </c>
      <c r="E11" s="13">
        <f ca="1"/>
        <v>2.3999999999999998E-3</v>
      </c>
      <c r="F11" s="13">
        <f ca="1"/>
        <v>1.4E-2</v>
      </c>
      <c r="G11" s="13">
        <f ca="1"/>
        <v>3.4000000000000002E-3</v>
      </c>
    </row>
    <row r="12" spans="1:13" ht="13" thickBot="1" x14ac:dyDescent="0.3">
      <c r="A12" t="str">
        <v>LA</v>
      </c>
      <c r="B12" s="15">
        <f ca="1"/>
        <v>1.4E-2</v>
      </c>
      <c r="C12" s="15">
        <f ca="1"/>
        <v>6.9999999999999999E-4</v>
      </c>
      <c r="D12" s="15">
        <f ca="1"/>
        <v>7.0000000000000001E-3</v>
      </c>
      <c r="E12" s="15">
        <f ca="1"/>
        <v>2.3999999999999998E-3</v>
      </c>
      <c r="F12" s="15">
        <f ca="1"/>
        <v>1.4E-2</v>
      </c>
      <c r="G12" s="15">
        <f ca="1"/>
        <v>3.4000000000000002E-3</v>
      </c>
    </row>
    <row r="13" spans="1:13" ht="13" thickTop="1" x14ac:dyDescent="0.25">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5">
      <c r="B15">
        <f t="array" ref="B15:K15">Y</f>
        <v>2020</v>
      </c>
      <c r="C15">
        <v>2030</v>
      </c>
      <c r="D15">
        <v>2040</v>
      </c>
      <c r="E15">
        <v>2050</v>
      </c>
      <c r="F15">
        <v>2075</v>
      </c>
      <c r="G15">
        <v>2100</v>
      </c>
      <c r="H15">
        <v>2150</v>
      </c>
      <c r="I15">
        <v>2200</v>
      </c>
      <c r="J15">
        <v>2250</v>
      </c>
      <c r="K15">
        <v>2300</v>
      </c>
    </row>
    <row r="16" spans="1:13" s="4" customFormat="1" x14ac:dyDescent="0.25">
      <c r="A16" s="4" t="s">
        <v>59</v>
      </c>
      <c r="B16" s="12">
        <f t="array" ref="B16:K16">YP</f>
        <v>5</v>
      </c>
      <c r="C16" s="12">
        <v>10</v>
      </c>
      <c r="D16" s="12">
        <v>10</v>
      </c>
      <c r="E16" s="12">
        <v>10</v>
      </c>
      <c r="F16" s="12">
        <v>25</v>
      </c>
      <c r="G16" s="12">
        <v>25</v>
      </c>
      <c r="H16" s="12">
        <v>50</v>
      </c>
      <c r="I16" s="12">
        <v>50</v>
      </c>
      <c r="J16" s="12">
        <v>50</v>
      </c>
      <c r="K16" s="12">
        <v>50</v>
      </c>
      <c r="M16" s="4" t="s">
        <v>41</v>
      </c>
    </row>
    <row r="17" spans="1:15" s="4" customFormat="1" x14ac:dyDescent="0.25">
      <c r="A17" s="4" t="s">
        <v>84</v>
      </c>
      <c r="B17" s="14">
        <f t="array" ref="B17:K17">Y_HI</f>
        <v>2025</v>
      </c>
      <c r="C17" s="14">
        <v>2035</v>
      </c>
      <c r="D17" s="14">
        <v>2045</v>
      </c>
      <c r="E17" s="14">
        <v>2062.5</v>
      </c>
      <c r="F17" s="14">
        <v>2087.5</v>
      </c>
      <c r="G17" s="14">
        <v>2125</v>
      </c>
      <c r="H17" s="14">
        <v>2175</v>
      </c>
      <c r="I17" s="14">
        <v>2225</v>
      </c>
      <c r="J17" s="14">
        <v>2275</v>
      </c>
      <c r="K17" s="14">
        <v>2300</v>
      </c>
    </row>
    <row r="18" spans="1:15" s="4" customFormat="1" x14ac:dyDescent="0.25">
      <c r="A18" s="4" t="s">
        <v>85</v>
      </c>
      <c r="B18" s="14">
        <f t="array" ref="B18:K18">Y_LO</f>
        <v>2015</v>
      </c>
      <c r="C18" s="14">
        <v>2025</v>
      </c>
      <c r="D18" s="14">
        <v>2035</v>
      </c>
      <c r="E18" s="14">
        <v>2045</v>
      </c>
      <c r="F18" s="14">
        <v>2062.5</v>
      </c>
      <c r="G18" s="14">
        <v>2087.5</v>
      </c>
      <c r="H18" s="14">
        <v>2125</v>
      </c>
      <c r="I18" s="14">
        <v>2175</v>
      </c>
      <c r="J18" s="14">
        <v>2225</v>
      </c>
      <c r="K18" s="14">
        <v>2275</v>
      </c>
    </row>
    <row r="19" spans="1:15" s="4" customFormat="1" ht="13" thickBot="1" x14ac:dyDescent="0.3">
      <c r="A19" s="4" t="s">
        <v>83</v>
      </c>
      <c r="B19" s="16">
        <f t="array" ref="B19:K19">YAGG</f>
        <v>10</v>
      </c>
      <c r="C19" s="16">
        <v>10</v>
      </c>
      <c r="D19" s="16">
        <v>10</v>
      </c>
      <c r="E19" s="16">
        <v>17.5</v>
      </c>
      <c r="F19" s="16">
        <v>25</v>
      </c>
      <c r="G19" s="16">
        <v>37.5</v>
      </c>
      <c r="H19" s="16">
        <v>50</v>
      </c>
      <c r="I19" s="16">
        <v>50</v>
      </c>
      <c r="J19" s="16">
        <v>50</v>
      </c>
      <c r="K19" s="16">
        <v>25</v>
      </c>
      <c r="M19" s="4" t="s">
        <v>41</v>
      </c>
    </row>
    <row r="20" spans="1:15" ht="13" thickTop="1" x14ac:dyDescent="0.25"/>
    <row r="21" spans="1:15" s="2" customFormat="1" ht="15" x14ac:dyDescent="0.4">
      <c r="A21" s="2" t="s">
        <v>372</v>
      </c>
      <c r="B21" s="2" t="s">
        <v>373</v>
      </c>
    </row>
    <row r="22" spans="1:15" s="4" customFormat="1" ht="13" x14ac:dyDescent="0.3">
      <c r="A22" t="str">
        <f t="array" ref="A22:A29">R_CODE&amp;" sea level"</f>
        <v>EU sea level</v>
      </c>
      <c r="B22" s="223">
        <f t="array" aca="1" ref="B22:K29" ca="1">atl_s_b*CP_S*GDP_B/100*AUTOFAC</f>
        <v>426.1303562069221</v>
      </c>
      <c r="C22" s="223">
        <f ca="1"/>
        <v>709.33348348176969</v>
      </c>
      <c r="D22" s="223">
        <f ca="1"/>
        <v>1062.0241182727252</v>
      </c>
      <c r="E22" s="223">
        <f ca="1"/>
        <v>1481.9245917496412</v>
      </c>
      <c r="F22" s="223">
        <f ca="1"/>
        <v>1898.9840456585923</v>
      </c>
      <c r="G22" s="223">
        <f ca="1"/>
        <v>2350.8883025868126</v>
      </c>
      <c r="H22" s="223">
        <f ca="1"/>
        <v>3489.0998051319411</v>
      </c>
      <c r="I22" s="223">
        <f ca="1"/>
        <v>4620.3525602070104</v>
      </c>
      <c r="J22" s="223">
        <f ca="1"/>
        <v>5569.1515316779878</v>
      </c>
      <c r="K22" s="223">
        <f ca="1"/>
        <v>6211.8461229761233</v>
      </c>
      <c r="M22" s="4" t="str">
        <f t="shared" ref="M22:M30" si="0">CURRENCY_NAME</f>
        <v>$M(2015)</v>
      </c>
      <c r="O22" s="173" t="s">
        <v>1049</v>
      </c>
    </row>
    <row r="23" spans="1:15" s="4" customFormat="1" x14ac:dyDescent="0.25">
      <c r="A23" t="str">
        <v>US sea level</v>
      </c>
      <c r="B23" s="224">
        <f ca="1"/>
        <v>348.39981823986346</v>
      </c>
      <c r="C23" s="224">
        <f ca="1"/>
        <v>611.52808379162946</v>
      </c>
      <c r="D23" s="224">
        <f ca="1"/>
        <v>919.19671721926898</v>
      </c>
      <c r="E23" s="224">
        <f ca="1"/>
        <v>1276.329504659735</v>
      </c>
      <c r="F23" s="224">
        <f ca="1"/>
        <v>1643.6032074933159</v>
      </c>
      <c r="G23" s="224">
        <f ca="1"/>
        <v>2075.2612698751132</v>
      </c>
      <c r="H23" s="224">
        <f ca="1"/>
        <v>3246.383487363054</v>
      </c>
      <c r="I23" s="224">
        <f ca="1"/>
        <v>4730.674320553464</v>
      </c>
      <c r="J23" s="224">
        <f ca="1"/>
        <v>6467.5868364550906</v>
      </c>
      <c r="K23" s="224">
        <f ca="1"/>
        <v>8349.27409821726</v>
      </c>
      <c r="M23" s="4" t="str">
        <f t="shared" si="0"/>
        <v>$M(2015)</v>
      </c>
    </row>
    <row r="24" spans="1:15" s="4" customFormat="1" x14ac:dyDescent="0.25">
      <c r="A24" t="str">
        <v>OT sea level</v>
      </c>
      <c r="B24" s="224">
        <f ca="1"/>
        <v>190.92154730639442</v>
      </c>
      <c r="C24" s="224">
        <f ca="1"/>
        <v>329.57651205953312</v>
      </c>
      <c r="D24" s="224">
        <f ca="1"/>
        <v>493.4466125937808</v>
      </c>
      <c r="E24" s="224">
        <f ca="1"/>
        <v>683.14293669282222</v>
      </c>
      <c r="F24" s="224">
        <f ca="1"/>
        <v>837.40811524426044</v>
      </c>
      <c r="G24" s="224">
        <f ca="1"/>
        <v>960.27147770121985</v>
      </c>
      <c r="H24" s="224">
        <f ca="1"/>
        <v>1193.6177474935055</v>
      </c>
      <c r="I24" s="224">
        <f ca="1"/>
        <v>1250.1127624736966</v>
      </c>
      <c r="J24" s="224">
        <f ca="1"/>
        <v>1173.9506064428554</v>
      </c>
      <c r="K24" s="224">
        <f ca="1"/>
        <v>1028.4873471708377</v>
      </c>
      <c r="M24" s="4" t="str">
        <f t="shared" si="0"/>
        <v>$M(2015)</v>
      </c>
    </row>
    <row r="25" spans="1:15" s="4" customFormat="1" x14ac:dyDescent="0.25">
      <c r="A25" t="str">
        <v>EE sea level</v>
      </c>
      <c r="B25" s="224">
        <f ca="1"/>
        <v>46.567259950288289</v>
      </c>
      <c r="C25" s="224">
        <f ca="1"/>
        <v>97.158580211709776</v>
      </c>
      <c r="D25" s="224">
        <f ca="1"/>
        <v>165.17281787153721</v>
      </c>
      <c r="E25" s="224">
        <f ca="1"/>
        <v>233.90318892808469</v>
      </c>
      <c r="F25" s="224">
        <f ca="1"/>
        <v>276.2978695998853</v>
      </c>
      <c r="G25" s="224">
        <f ca="1"/>
        <v>295.60440633521029</v>
      </c>
      <c r="H25" s="224">
        <f ca="1"/>
        <v>314.72546031761641</v>
      </c>
      <c r="I25" s="224">
        <f ca="1"/>
        <v>280.52253547520769</v>
      </c>
      <c r="J25" s="224">
        <f ca="1"/>
        <v>231.30860781829068</v>
      </c>
      <c r="K25" s="224">
        <f ca="1"/>
        <v>184.34248164128149</v>
      </c>
      <c r="M25" s="4" t="str">
        <f t="shared" si="0"/>
        <v>$M(2015)</v>
      </c>
    </row>
    <row r="26" spans="1:15" s="4" customFormat="1" x14ac:dyDescent="0.25">
      <c r="A26" t="str">
        <v>CA sea level</v>
      </c>
      <c r="B26" s="224">
        <f ca="1"/>
        <v>222.90882356622993</v>
      </c>
      <c r="C26" s="224">
        <f ca="1"/>
        <v>590.49525814109438</v>
      </c>
      <c r="D26" s="224">
        <f ca="1"/>
        <v>1100.4092453966387</v>
      </c>
      <c r="E26" s="224">
        <f ca="1"/>
        <v>1641.3847245620925</v>
      </c>
      <c r="F26" s="224">
        <f ca="1"/>
        <v>2550.4724912689558</v>
      </c>
      <c r="G26" s="224">
        <f ca="1"/>
        <v>2207.965817666593</v>
      </c>
      <c r="H26" s="224">
        <f ca="1"/>
        <v>1654.7628013290268</v>
      </c>
      <c r="I26" s="224">
        <f ca="1"/>
        <v>1240.1640943681348</v>
      </c>
      <c r="J26" s="224">
        <f ca="1"/>
        <v>929.44256404886642</v>
      </c>
      <c r="K26" s="224">
        <f ca="1"/>
        <v>696.57191640100734</v>
      </c>
      <c r="M26" s="4" t="str">
        <f t="shared" si="0"/>
        <v>$M(2015)</v>
      </c>
    </row>
    <row r="27" spans="1:15" s="4" customFormat="1" x14ac:dyDescent="0.25">
      <c r="A27" t="str">
        <v>IA sea level</v>
      </c>
      <c r="B27" s="224">
        <f ca="1"/>
        <v>157.32439393512314</v>
      </c>
      <c r="C27" s="224">
        <f ca="1"/>
        <v>412.47021255025578</v>
      </c>
      <c r="D27" s="224">
        <f ca="1"/>
        <v>892.9882204734555</v>
      </c>
      <c r="E27" s="224">
        <f ca="1"/>
        <v>1636.8102266128783</v>
      </c>
      <c r="F27" s="224">
        <f ca="1"/>
        <v>4356.28018575226</v>
      </c>
      <c r="G27" s="224">
        <f ca="1"/>
        <v>5473.3214932404144</v>
      </c>
      <c r="H27" s="224">
        <f ca="1"/>
        <v>7037.7290091345503</v>
      </c>
      <c r="I27" s="224">
        <f ca="1"/>
        <v>6211.1807412491662</v>
      </c>
      <c r="J27" s="224">
        <f ca="1"/>
        <v>4980.6045837984102</v>
      </c>
      <c r="K27" s="224">
        <f ca="1"/>
        <v>3897.8194423407949</v>
      </c>
      <c r="M27" s="4" t="str">
        <f t="shared" si="0"/>
        <v>$M(2015)</v>
      </c>
    </row>
    <row r="28" spans="1:15" s="4" customFormat="1" x14ac:dyDescent="0.25">
      <c r="A28" t="str">
        <v>AF sea level</v>
      </c>
      <c r="B28" s="224">
        <f ca="1"/>
        <v>65.063916925493857</v>
      </c>
      <c r="C28" s="224">
        <f ca="1"/>
        <v>148.688413805061</v>
      </c>
      <c r="D28" s="224">
        <f ca="1"/>
        <v>311.38554061441789</v>
      </c>
      <c r="E28" s="224">
        <f ca="1"/>
        <v>609.60958066853823</v>
      </c>
      <c r="F28" s="224">
        <f ca="1"/>
        <v>2479.7601284226903</v>
      </c>
      <c r="G28" s="224">
        <f ca="1"/>
        <v>4813.1416238255943</v>
      </c>
      <c r="H28" s="224">
        <f ca="1"/>
        <v>14027.780988528515</v>
      </c>
      <c r="I28" s="224">
        <f ca="1"/>
        <v>20828.17385898975</v>
      </c>
      <c r="J28" s="224">
        <f ca="1"/>
        <v>22194.236778807837</v>
      </c>
      <c r="K28" s="224">
        <f ca="1"/>
        <v>20105.902622070116</v>
      </c>
      <c r="M28" s="4" t="str">
        <f t="shared" si="0"/>
        <v>$M(2015)</v>
      </c>
    </row>
    <row r="29" spans="1:15" s="4" customFormat="1" x14ac:dyDescent="0.25">
      <c r="A29" t="str">
        <v>LA sea level</v>
      </c>
      <c r="B29" s="224">
        <f ca="1"/>
        <v>67.818249185647446</v>
      </c>
      <c r="C29" s="224">
        <f ca="1"/>
        <v>139.33259330315022</v>
      </c>
      <c r="D29" s="224">
        <f ca="1"/>
        <v>250.55419663488163</v>
      </c>
      <c r="E29" s="224">
        <f ca="1"/>
        <v>406.36363418612012</v>
      </c>
      <c r="F29" s="224">
        <f ca="1"/>
        <v>973.95695864767504</v>
      </c>
      <c r="G29" s="224">
        <f ca="1"/>
        <v>1251.135965662703</v>
      </c>
      <c r="H29" s="224">
        <f ca="1"/>
        <v>1769.3375500046036</v>
      </c>
      <c r="I29" s="224">
        <f ca="1"/>
        <v>1744.9434348793957</v>
      </c>
      <c r="J29" s="224">
        <f ca="1"/>
        <v>1489.9400003056924</v>
      </c>
      <c r="K29" s="224">
        <f ca="1"/>
        <v>1201.1881389714615</v>
      </c>
      <c r="M29" s="4" t="str">
        <f t="shared" si="0"/>
        <v>$M(2015)</v>
      </c>
    </row>
    <row r="30" spans="1:15" ht="13.5" thickBot="1" x14ac:dyDescent="0.35">
      <c r="A30" s="2" t="s">
        <v>376</v>
      </c>
      <c r="B30" s="42">
        <f ca="1">SUM(B22:B29)</f>
        <v>1525.1343653159627</v>
      </c>
      <c r="C30" s="42">
        <f t="shared" ref="C30:K30" ca="1" si="1">SUM(C22:C29)</f>
        <v>3038.5831373442029</v>
      </c>
      <c r="D30" s="42">
        <f t="shared" ca="1" si="1"/>
        <v>5195.1774690767061</v>
      </c>
      <c r="E30" s="42">
        <f t="shared" ca="1" si="1"/>
        <v>7969.4683880599114</v>
      </c>
      <c r="F30" s="42">
        <f t="shared" ca="1" si="1"/>
        <v>15016.763002087635</v>
      </c>
      <c r="G30" s="42">
        <f t="shared" ca="1" si="1"/>
        <v>19427.590356893659</v>
      </c>
      <c r="H30" s="42">
        <f t="shared" ca="1" si="1"/>
        <v>32733.436849302809</v>
      </c>
      <c r="I30" s="42">
        <f t="shared" ca="1" si="1"/>
        <v>40906.124308195824</v>
      </c>
      <c r="J30" s="42">
        <f t="shared" ca="1" si="1"/>
        <v>43036.221509355033</v>
      </c>
      <c r="K30" s="42">
        <f t="shared" ca="1" si="1"/>
        <v>41675.432169788881</v>
      </c>
      <c r="L30" s="1"/>
      <c r="M30" s="4" t="str">
        <f t="shared" si="0"/>
        <v>$M(2015)</v>
      </c>
    </row>
    <row r="31" spans="1:15" s="2" customFormat="1" ht="15.5" thickTop="1" x14ac:dyDescent="0.4">
      <c r="A31" s="2" t="s">
        <v>374</v>
      </c>
      <c r="B31" s="2" t="s">
        <v>375</v>
      </c>
    </row>
    <row r="32" spans="1:15" ht="13" x14ac:dyDescent="0.3">
      <c r="A32" t="str">
        <f t="array" ref="A32:A39">R_CODE&amp;" sea level"</f>
        <v>EU sea level</v>
      </c>
      <c r="B32" s="223">
        <f t="array" ref="B32:K39" ca="1">imp_s_b*CI_S*GDP_B/100*impmax_s_b*AUTOFAC</f>
        <v>0</v>
      </c>
      <c r="C32" s="223">
        <f ca="1"/>
        <v>2364.4449449392323</v>
      </c>
      <c r="D32" s="223">
        <f ca="1"/>
        <v>5310.120591363625</v>
      </c>
      <c r="E32" s="223">
        <f ca="1"/>
        <v>8891.5475504978476</v>
      </c>
      <c r="F32" s="223">
        <f ca="1"/>
        <v>18989.840456585924</v>
      </c>
      <c r="G32" s="223">
        <f ca="1"/>
        <v>23508.883025868126</v>
      </c>
      <c r="H32" s="223">
        <f ca="1"/>
        <v>34890.998051319417</v>
      </c>
      <c r="I32" s="223">
        <f ca="1"/>
        <v>46203.525602070098</v>
      </c>
      <c r="J32" s="223">
        <f ca="1"/>
        <v>55691.515316779885</v>
      </c>
      <c r="K32" s="223">
        <f ca="1"/>
        <v>62118.461229761233</v>
      </c>
      <c r="M32" s="4" t="str">
        <f t="shared" ref="M32:M40" si="2">CURRENCY_NAME</f>
        <v>$M(2015)</v>
      </c>
      <c r="O32" s="173" t="s">
        <v>1049</v>
      </c>
    </row>
    <row r="33" spans="1:13" x14ac:dyDescent="0.25">
      <c r="A33" t="str">
        <v>US sea level</v>
      </c>
      <c r="B33" s="224">
        <f ca="1"/>
        <v>0</v>
      </c>
      <c r="C33" s="224">
        <f ca="1"/>
        <v>2038.4269459720983</v>
      </c>
      <c r="D33" s="224">
        <f ca="1"/>
        <v>4595.9835860963449</v>
      </c>
      <c r="E33" s="224">
        <f ca="1"/>
        <v>7657.97702795841</v>
      </c>
      <c r="F33" s="224">
        <f ca="1"/>
        <v>16436.032074933159</v>
      </c>
      <c r="G33" s="224">
        <f ca="1"/>
        <v>20752.612698751134</v>
      </c>
      <c r="H33" s="224">
        <f ca="1"/>
        <v>32463.834873630542</v>
      </c>
      <c r="I33" s="224">
        <f ca="1"/>
        <v>47306.743205534643</v>
      </c>
      <c r="J33" s="224">
        <f ca="1"/>
        <v>64675.868364550915</v>
      </c>
      <c r="K33" s="224">
        <f ca="1"/>
        <v>83492.740982172603</v>
      </c>
      <c r="M33" s="4" t="str">
        <f t="shared" si="2"/>
        <v>$M(2015)</v>
      </c>
    </row>
    <row r="34" spans="1:13" x14ac:dyDescent="0.25">
      <c r="A34" t="str">
        <v>OT sea level</v>
      </c>
      <c r="B34" s="224">
        <f ca="1"/>
        <v>0</v>
      </c>
      <c r="C34" s="224">
        <f ca="1"/>
        <v>1098.5883735317771</v>
      </c>
      <c r="D34" s="224">
        <f ca="1"/>
        <v>2467.2330629689036</v>
      </c>
      <c r="E34" s="224">
        <f ca="1"/>
        <v>4098.8576201569331</v>
      </c>
      <c r="F34" s="224">
        <f ca="1"/>
        <v>8374.0811524426026</v>
      </c>
      <c r="G34" s="224">
        <f ca="1"/>
        <v>9602.7147770121956</v>
      </c>
      <c r="H34" s="224">
        <f ca="1"/>
        <v>11936.177474935053</v>
      </c>
      <c r="I34" s="224">
        <f ca="1"/>
        <v>12501.127624736966</v>
      </c>
      <c r="J34" s="224">
        <f ca="1"/>
        <v>11739.506064428553</v>
      </c>
      <c r="K34" s="224">
        <f ca="1"/>
        <v>10284.873471708377</v>
      </c>
      <c r="M34" s="4" t="str">
        <f t="shared" si="2"/>
        <v>$M(2015)</v>
      </c>
    </row>
    <row r="35" spans="1:13" x14ac:dyDescent="0.25">
      <c r="A35" t="str">
        <v>EE sea level</v>
      </c>
      <c r="B35" s="224">
        <f ca="1"/>
        <v>0</v>
      </c>
      <c r="C35" s="224">
        <f ca="1"/>
        <v>323.86193403903252</v>
      </c>
      <c r="D35" s="224">
        <f ca="1"/>
        <v>825.86408935768611</v>
      </c>
      <c r="E35" s="224">
        <f ca="1"/>
        <v>1403.4191335685082</v>
      </c>
      <c r="F35" s="224">
        <f ca="1"/>
        <v>2762.9786959988533</v>
      </c>
      <c r="G35" s="224">
        <f ca="1"/>
        <v>2956.0440633521021</v>
      </c>
      <c r="H35" s="224">
        <f ca="1"/>
        <v>3147.2546031761635</v>
      </c>
      <c r="I35" s="224">
        <f ca="1"/>
        <v>2805.2253547520768</v>
      </c>
      <c r="J35" s="224">
        <f ca="1"/>
        <v>2313.0860781829069</v>
      </c>
      <c r="K35" s="224">
        <f ca="1"/>
        <v>1843.4248164128146</v>
      </c>
      <c r="M35" s="4" t="str">
        <f t="shared" si="2"/>
        <v>$M(2015)</v>
      </c>
    </row>
    <row r="36" spans="1:13" x14ac:dyDescent="0.25">
      <c r="A36" t="str">
        <v>CA sea level</v>
      </c>
      <c r="B36" s="224">
        <f ca="1"/>
        <v>0</v>
      </c>
      <c r="C36" s="224">
        <f ca="1"/>
        <v>1230.198454460613</v>
      </c>
      <c r="D36" s="224">
        <f ca="1"/>
        <v>3438.7788918644956</v>
      </c>
      <c r="E36" s="224">
        <f ca="1"/>
        <v>6155.1927171078478</v>
      </c>
      <c r="F36" s="224">
        <f ca="1"/>
        <v>11689.665584982713</v>
      </c>
      <c r="G36" s="224">
        <f ca="1"/>
        <v>13799.786360416205</v>
      </c>
      <c r="H36" s="224">
        <f ca="1"/>
        <v>10342.267508306417</v>
      </c>
      <c r="I36" s="224">
        <f ca="1"/>
        <v>7751.0255898008409</v>
      </c>
      <c r="J36" s="224">
        <f ca="1"/>
        <v>5809.0160253054137</v>
      </c>
      <c r="K36" s="224">
        <f ca="1"/>
        <v>4353.5744775062949</v>
      </c>
      <c r="M36" s="4" t="str">
        <f t="shared" si="2"/>
        <v>$M(2015)</v>
      </c>
    </row>
    <row r="37" spans="1:13" x14ac:dyDescent="0.25">
      <c r="A37" t="str">
        <v>IA sea level</v>
      </c>
      <c r="B37" s="224">
        <f ca="1"/>
        <v>0</v>
      </c>
      <c r="C37" s="224">
        <f ca="1"/>
        <v>859.31294281303269</v>
      </c>
      <c r="D37" s="224">
        <f ca="1"/>
        <v>2790.5881889795478</v>
      </c>
      <c r="E37" s="224">
        <f ca="1"/>
        <v>6138.0383497982939</v>
      </c>
      <c r="F37" s="224">
        <f ca="1"/>
        <v>19966.284184697855</v>
      </c>
      <c r="G37" s="224">
        <f ca="1"/>
        <v>34208.259332752583</v>
      </c>
      <c r="H37" s="224">
        <f ca="1"/>
        <v>43985.806307090927</v>
      </c>
      <c r="I37" s="224">
        <f ca="1"/>
        <v>38819.879632807286</v>
      </c>
      <c r="J37" s="224">
        <f ca="1"/>
        <v>31128.778648740059</v>
      </c>
      <c r="K37" s="224">
        <f ca="1"/>
        <v>24361.371514629969</v>
      </c>
      <c r="M37" s="4" t="str">
        <f t="shared" si="2"/>
        <v>$M(2015)</v>
      </c>
    </row>
    <row r="38" spans="1:13" x14ac:dyDescent="0.25">
      <c r="A38" t="str">
        <v>AF sea level</v>
      </c>
      <c r="B38" s="224">
        <f ca="1"/>
        <v>0</v>
      </c>
      <c r="C38" s="224">
        <f ca="1"/>
        <v>309.76752876054371</v>
      </c>
      <c r="D38" s="224">
        <f ca="1"/>
        <v>973.07981442005587</v>
      </c>
      <c r="E38" s="224">
        <f ca="1"/>
        <v>2286.0359275070186</v>
      </c>
      <c r="F38" s="224">
        <f ca="1"/>
        <v>11365.56725527066</v>
      </c>
      <c r="G38" s="224">
        <f ca="1"/>
        <v>30082.135148909962</v>
      </c>
      <c r="H38" s="224">
        <f ca="1"/>
        <v>87673.631178303185</v>
      </c>
      <c r="I38" s="224">
        <f ca="1"/>
        <v>130176.08661868589</v>
      </c>
      <c r="J38" s="224">
        <f ca="1"/>
        <v>138713.97986754897</v>
      </c>
      <c r="K38" s="224">
        <f ca="1"/>
        <v>125661.8913879382</v>
      </c>
      <c r="M38" s="4" t="str">
        <f t="shared" si="2"/>
        <v>$M(2015)</v>
      </c>
    </row>
    <row r="39" spans="1:13" x14ac:dyDescent="0.25">
      <c r="A39" t="str">
        <v>LA sea level</v>
      </c>
      <c r="B39" s="224">
        <f ca="1"/>
        <v>0</v>
      </c>
      <c r="C39" s="224">
        <f ca="1"/>
        <v>290.27623604822958</v>
      </c>
      <c r="D39" s="224">
        <f ca="1"/>
        <v>782.98186448400497</v>
      </c>
      <c r="E39" s="224">
        <f ca="1"/>
        <v>1523.8636281979502</v>
      </c>
      <c r="F39" s="224">
        <f ca="1"/>
        <v>4463.9693938018427</v>
      </c>
      <c r="G39" s="224">
        <f ca="1"/>
        <v>7819.5997853918934</v>
      </c>
      <c r="H39" s="224">
        <f ca="1"/>
        <v>11058.359687528769</v>
      </c>
      <c r="I39" s="224">
        <f ca="1"/>
        <v>10905.896467996219</v>
      </c>
      <c r="J39" s="224">
        <f ca="1"/>
        <v>9312.1250019105737</v>
      </c>
      <c r="K39" s="224">
        <f ca="1"/>
        <v>7507.4258685716322</v>
      </c>
      <c r="M39" s="4" t="str">
        <f t="shared" si="2"/>
        <v>$M(2015)</v>
      </c>
    </row>
    <row r="40" spans="1:13" ht="13.5" thickBot="1" x14ac:dyDescent="0.35">
      <c r="A40" s="2" t="s">
        <v>376</v>
      </c>
      <c r="B40" s="42">
        <f t="shared" ref="B40:K40" ca="1" si="3">SUM(B32:B39)</f>
        <v>0</v>
      </c>
      <c r="C40" s="42">
        <f t="shared" ca="1" si="3"/>
        <v>8514.8773605645583</v>
      </c>
      <c r="D40" s="42">
        <f t="shared" ca="1" si="3"/>
        <v>21184.630089534665</v>
      </c>
      <c r="E40" s="42">
        <f t="shared" ca="1" si="3"/>
        <v>38154.93195479281</v>
      </c>
      <c r="F40" s="42">
        <f t="shared" ca="1" si="3"/>
        <v>94048.418798713625</v>
      </c>
      <c r="G40" s="42">
        <f t="shared" ca="1" si="3"/>
        <v>142730.03519245418</v>
      </c>
      <c r="H40" s="42">
        <f t="shared" ca="1" si="3"/>
        <v>235498.32968429051</v>
      </c>
      <c r="I40" s="42">
        <f t="shared" ca="1" si="3"/>
        <v>296469.51009638404</v>
      </c>
      <c r="J40" s="42">
        <f t="shared" ca="1" si="3"/>
        <v>319383.87536744721</v>
      </c>
      <c r="K40" s="42">
        <f t="shared" ca="1" si="3"/>
        <v>319623.7637487012</v>
      </c>
      <c r="L40" s="1"/>
      <c r="M40" s="4" t="str">
        <f t="shared" si="2"/>
        <v>$M(2015)</v>
      </c>
    </row>
    <row r="41" spans="1:13" ht="15.5" thickTop="1" x14ac:dyDescent="0.4">
      <c r="A41" s="44" t="s">
        <v>112</v>
      </c>
      <c r="B41" s="2" t="s">
        <v>381</v>
      </c>
      <c r="C41" s="1"/>
      <c r="D41" s="1"/>
      <c r="E41" s="1"/>
      <c r="F41" s="1"/>
      <c r="G41" s="1"/>
      <c r="H41" s="1"/>
      <c r="I41" s="1"/>
      <c r="J41" s="1"/>
      <c r="K41" s="1"/>
      <c r="L41" s="1"/>
      <c r="M41" s="1"/>
    </row>
    <row r="42" spans="1:13" x14ac:dyDescent="0.25">
      <c r="A42" t="str">
        <f t="array" ref="A42:A49">R_CODE&amp;" sea level"</f>
        <v>EU sea level</v>
      </c>
      <c r="B42" s="28">
        <f t="array" aca="1" ref="B42:K49" ca="1">acp_s_b+aci_s_b</f>
        <v>426.1303562069221</v>
      </c>
      <c r="C42" s="28">
        <f ca="1"/>
        <v>3073.778428421002</v>
      </c>
      <c r="D42" s="28">
        <f ca="1"/>
        <v>6372.1447096363499</v>
      </c>
      <c r="E42" s="28">
        <f ca="1"/>
        <v>10373.472142247489</v>
      </c>
      <c r="F42" s="28">
        <f ca="1"/>
        <v>20888.824502244515</v>
      </c>
      <c r="G42" s="28">
        <f ca="1"/>
        <v>25859.771328454939</v>
      </c>
      <c r="H42" s="28">
        <f ca="1"/>
        <v>38380.097856451357</v>
      </c>
      <c r="I42" s="28">
        <f ca="1"/>
        <v>50823.878162277106</v>
      </c>
      <c r="J42" s="28">
        <f ca="1"/>
        <v>61260.666848457869</v>
      </c>
      <c r="K42" s="28">
        <f ca="1"/>
        <v>68330.307352737349</v>
      </c>
      <c r="L42" s="1"/>
      <c r="M42" s="4" t="str">
        <f t="shared" ref="M42:M50" si="4">CURRENCY_NAME</f>
        <v>$M(2015)</v>
      </c>
    </row>
    <row r="43" spans="1:13" x14ac:dyDescent="0.25">
      <c r="A43" t="str">
        <v>US sea level</v>
      </c>
      <c r="B43" s="28">
        <f ca="1"/>
        <v>348.39981823986346</v>
      </c>
      <c r="C43" s="28">
        <f ca="1"/>
        <v>2649.9550297637279</v>
      </c>
      <c r="D43" s="28">
        <f ca="1"/>
        <v>5515.1803033156139</v>
      </c>
      <c r="E43" s="28">
        <f ca="1"/>
        <v>8934.3065326181459</v>
      </c>
      <c r="F43" s="28">
        <f ca="1"/>
        <v>18079.635282426476</v>
      </c>
      <c r="G43" s="28">
        <f ca="1"/>
        <v>22827.873968626249</v>
      </c>
      <c r="H43" s="28">
        <f ca="1"/>
        <v>35710.218360993596</v>
      </c>
      <c r="I43" s="28">
        <f ca="1"/>
        <v>52037.417526088109</v>
      </c>
      <c r="J43" s="28">
        <f ca="1"/>
        <v>71143.455201006</v>
      </c>
      <c r="K43" s="28">
        <f ca="1"/>
        <v>91842.015080389858</v>
      </c>
      <c r="L43" s="1"/>
      <c r="M43" s="4" t="str">
        <f t="shared" si="4"/>
        <v>$M(2015)</v>
      </c>
    </row>
    <row r="44" spans="1:13" x14ac:dyDescent="0.25">
      <c r="A44" t="str">
        <v>OT sea level</v>
      </c>
      <c r="B44" s="28">
        <f ca="1"/>
        <v>190.92154730639442</v>
      </c>
      <c r="C44" s="28">
        <f ca="1"/>
        <v>1428.1648855913102</v>
      </c>
      <c r="D44" s="28">
        <f ca="1"/>
        <v>2960.6796755626842</v>
      </c>
      <c r="E44" s="28">
        <f ca="1"/>
        <v>4782.0005568497554</v>
      </c>
      <c r="F44" s="28">
        <f ca="1"/>
        <v>9211.4892676868621</v>
      </c>
      <c r="G44" s="28">
        <f ca="1"/>
        <v>10562.986254713416</v>
      </c>
      <c r="H44" s="28">
        <f ca="1"/>
        <v>13129.795222428558</v>
      </c>
      <c r="I44" s="28">
        <f ca="1"/>
        <v>13751.240387210662</v>
      </c>
      <c r="J44" s="28">
        <f ca="1"/>
        <v>12913.456670871408</v>
      </c>
      <c r="K44" s="28">
        <f ca="1"/>
        <v>11313.360818879215</v>
      </c>
      <c r="L44" s="1"/>
      <c r="M44" s="4" t="str">
        <f t="shared" si="4"/>
        <v>$M(2015)</v>
      </c>
    </row>
    <row r="45" spans="1:13" x14ac:dyDescent="0.25">
      <c r="A45" t="str">
        <v>EE sea level</v>
      </c>
      <c r="B45" s="28">
        <f ca="1"/>
        <v>46.567259950288289</v>
      </c>
      <c r="C45" s="28">
        <f ca="1"/>
        <v>421.02051425074228</v>
      </c>
      <c r="D45" s="28">
        <f ca="1"/>
        <v>991.03690722922329</v>
      </c>
      <c r="E45" s="28">
        <f ca="1"/>
        <v>1637.322322496593</v>
      </c>
      <c r="F45" s="28">
        <f ca="1"/>
        <v>3039.2765655987387</v>
      </c>
      <c r="G45" s="28">
        <f ca="1"/>
        <v>3251.6484696873122</v>
      </c>
      <c r="H45" s="28">
        <f ca="1"/>
        <v>3461.9800634937801</v>
      </c>
      <c r="I45" s="28">
        <f ca="1"/>
        <v>3085.7478902272846</v>
      </c>
      <c r="J45" s="28">
        <f ca="1"/>
        <v>2544.3946860011974</v>
      </c>
      <c r="K45" s="28">
        <f ca="1"/>
        <v>2027.767298054096</v>
      </c>
      <c r="L45" s="1"/>
      <c r="M45" s="4" t="str">
        <f t="shared" si="4"/>
        <v>$M(2015)</v>
      </c>
    </row>
    <row r="46" spans="1:13" x14ac:dyDescent="0.25">
      <c r="A46" t="str">
        <v>CA sea level</v>
      </c>
      <c r="B46" s="28">
        <f ca="1"/>
        <v>222.90882356622993</v>
      </c>
      <c r="C46" s="28">
        <f ca="1"/>
        <v>1820.6937126017074</v>
      </c>
      <c r="D46" s="28">
        <f ca="1"/>
        <v>4539.1881372611342</v>
      </c>
      <c r="E46" s="28">
        <f ca="1"/>
        <v>7796.5774416699405</v>
      </c>
      <c r="F46" s="28">
        <f ca="1"/>
        <v>14240.138076251669</v>
      </c>
      <c r="G46" s="28">
        <f ca="1"/>
        <v>16007.752178082797</v>
      </c>
      <c r="H46" s="28">
        <f ca="1"/>
        <v>11997.030309635444</v>
      </c>
      <c r="I46" s="28">
        <f ca="1"/>
        <v>8991.1896841689759</v>
      </c>
      <c r="J46" s="28">
        <f ca="1"/>
        <v>6738.4585893542799</v>
      </c>
      <c r="K46" s="28">
        <f ca="1"/>
        <v>5050.1463939073019</v>
      </c>
      <c r="L46" s="1"/>
      <c r="M46" s="4" t="str">
        <f t="shared" si="4"/>
        <v>$M(2015)</v>
      </c>
    </row>
    <row r="47" spans="1:13" x14ac:dyDescent="0.25">
      <c r="A47" t="str">
        <v>IA sea level</v>
      </c>
      <c r="B47" s="28">
        <f ca="1"/>
        <v>157.32439393512314</v>
      </c>
      <c r="C47" s="28">
        <f ca="1"/>
        <v>1271.7831553632884</v>
      </c>
      <c r="D47" s="28">
        <f ca="1"/>
        <v>3683.5764094530032</v>
      </c>
      <c r="E47" s="28">
        <f ca="1"/>
        <v>7774.848576411172</v>
      </c>
      <c r="F47" s="28">
        <f ca="1"/>
        <v>24322.564370450116</v>
      </c>
      <c r="G47" s="28">
        <f ca="1"/>
        <v>39681.580825992998</v>
      </c>
      <c r="H47" s="28">
        <f ca="1"/>
        <v>51023.535316225476</v>
      </c>
      <c r="I47" s="28">
        <f ca="1"/>
        <v>45031.060374056455</v>
      </c>
      <c r="J47" s="28">
        <f ca="1"/>
        <v>36109.383232538472</v>
      </c>
      <c r="K47" s="28">
        <f ca="1"/>
        <v>28259.190956970764</v>
      </c>
      <c r="L47" s="1"/>
      <c r="M47" s="4" t="str">
        <f t="shared" si="4"/>
        <v>$M(2015)</v>
      </c>
    </row>
    <row r="48" spans="1:13" x14ac:dyDescent="0.25">
      <c r="A48" t="str">
        <v>AF sea level</v>
      </c>
      <c r="B48" s="28">
        <f ca="1"/>
        <v>65.063916925493857</v>
      </c>
      <c r="C48" s="28">
        <f ca="1"/>
        <v>458.45594256560469</v>
      </c>
      <c r="D48" s="28">
        <f ca="1"/>
        <v>1284.4653550344738</v>
      </c>
      <c r="E48" s="28">
        <f ca="1"/>
        <v>2895.6455081755566</v>
      </c>
      <c r="F48" s="28">
        <f ca="1"/>
        <v>13845.327383693351</v>
      </c>
      <c r="G48" s="28">
        <f ca="1"/>
        <v>34895.276772735553</v>
      </c>
      <c r="H48" s="28">
        <f ca="1"/>
        <v>101701.41216683169</v>
      </c>
      <c r="I48" s="28">
        <f ca="1"/>
        <v>151004.26047767565</v>
      </c>
      <c r="J48" s="28">
        <f ca="1"/>
        <v>160908.2166463568</v>
      </c>
      <c r="K48" s="28">
        <f ca="1"/>
        <v>145767.79401000831</v>
      </c>
      <c r="L48" s="1"/>
      <c r="M48" s="4" t="str">
        <f t="shared" si="4"/>
        <v>$M(2015)</v>
      </c>
    </row>
    <row r="49" spans="1:15" x14ac:dyDescent="0.25">
      <c r="A49" t="str">
        <v>LA sea level</v>
      </c>
      <c r="B49" s="28">
        <f ca="1"/>
        <v>67.818249185647446</v>
      </c>
      <c r="C49" s="28">
        <f ca="1"/>
        <v>429.60882935137977</v>
      </c>
      <c r="D49" s="28">
        <f ca="1"/>
        <v>1033.5360611188867</v>
      </c>
      <c r="E49" s="28">
        <f ca="1"/>
        <v>1930.2272623840704</v>
      </c>
      <c r="F49" s="28">
        <f ca="1"/>
        <v>5437.9263524495182</v>
      </c>
      <c r="G49" s="28">
        <f ca="1"/>
        <v>9070.7357510545971</v>
      </c>
      <c r="H49" s="28">
        <f ca="1"/>
        <v>12827.697237533373</v>
      </c>
      <c r="I49" s="28">
        <f ca="1"/>
        <v>12650.839902875614</v>
      </c>
      <c r="J49" s="28">
        <f ca="1"/>
        <v>10802.065002216266</v>
      </c>
      <c r="K49" s="28">
        <f ca="1"/>
        <v>8708.614007543094</v>
      </c>
      <c r="L49" s="1"/>
      <c r="M49" s="4" t="str">
        <f t="shared" si="4"/>
        <v>$M(2015)</v>
      </c>
    </row>
    <row r="50" spans="1:15" ht="13.5" thickBot="1" x14ac:dyDescent="0.35">
      <c r="A50" s="2" t="s">
        <v>376</v>
      </c>
      <c r="B50" s="42">
        <f t="shared" ref="B50:K50" ca="1" si="5">SUM(B42:B49)</f>
        <v>1525.1343653159627</v>
      </c>
      <c r="C50" s="42">
        <f t="shared" ca="1" si="5"/>
        <v>11553.460497908762</v>
      </c>
      <c r="D50" s="42">
        <f t="shared" ca="1" si="5"/>
        <v>26379.80755861137</v>
      </c>
      <c r="E50" s="42">
        <f t="shared" ca="1" si="5"/>
        <v>46124.400342852721</v>
      </c>
      <c r="F50" s="42">
        <f t="shared" ca="1" si="5"/>
        <v>109065.18180080125</v>
      </c>
      <c r="G50" s="42">
        <f t="shared" ca="1" si="5"/>
        <v>162157.62554934787</v>
      </c>
      <c r="H50" s="42">
        <f t="shared" ca="1" si="5"/>
        <v>268231.7665335933</v>
      </c>
      <c r="I50" s="42">
        <f t="shared" ca="1" si="5"/>
        <v>337375.63440457982</v>
      </c>
      <c r="J50" s="42">
        <f t="shared" ca="1" si="5"/>
        <v>362420.09687680227</v>
      </c>
      <c r="K50" s="42">
        <f t="shared" ca="1" si="5"/>
        <v>361299.19591848995</v>
      </c>
      <c r="L50" s="1"/>
      <c r="M50" s="4" t="str">
        <f t="shared" si="4"/>
        <v>$M(2015)</v>
      </c>
    </row>
    <row r="51" spans="1:15" s="2" customFormat="1" ht="15.5" thickTop="1" x14ac:dyDescent="0.4">
      <c r="A51" s="2" t="s">
        <v>372</v>
      </c>
      <c r="B51" s="2" t="s">
        <v>377</v>
      </c>
    </row>
    <row r="52" spans="1:15" s="4" customFormat="1" ht="13" x14ac:dyDescent="0.3">
      <c r="A52" t="str">
        <f t="array" ref="A52:A59">R_CODE&amp;" "&amp;I_1_NAME</f>
        <v>EU Economic</v>
      </c>
      <c r="B52" s="223">
        <f t="array" ref="B52:K59" ca="1">atl_1_b*CP_1*GDP_B/100*AUTOFAC</f>
        <v>0</v>
      </c>
      <c r="C52" s="223">
        <f ca="1"/>
        <v>0</v>
      </c>
      <c r="D52" s="223">
        <f ca="1"/>
        <v>0</v>
      </c>
      <c r="E52" s="223">
        <f ca="1"/>
        <v>0</v>
      </c>
      <c r="F52" s="223">
        <f ca="1"/>
        <v>0</v>
      </c>
      <c r="G52" s="223">
        <f ca="1"/>
        <v>0</v>
      </c>
      <c r="H52" s="223">
        <f ca="1"/>
        <v>0</v>
      </c>
      <c r="I52" s="223">
        <f ca="1"/>
        <v>0</v>
      </c>
      <c r="J52" s="223">
        <f ca="1"/>
        <v>0</v>
      </c>
      <c r="K52" s="223">
        <f ca="1"/>
        <v>0</v>
      </c>
      <c r="M52" s="4" t="str">
        <f t="shared" ref="M52:M60" si="6">CURRENCY_NAME</f>
        <v>$M(2015)</v>
      </c>
      <c r="O52" s="295" t="s">
        <v>1049</v>
      </c>
    </row>
    <row r="53" spans="1:15" s="4" customFormat="1" x14ac:dyDescent="0.25">
      <c r="A53" t="str">
        <v>US Economic</v>
      </c>
      <c r="B53" s="224">
        <f ca="1"/>
        <v>0</v>
      </c>
      <c r="C53" s="224">
        <f ca="1"/>
        <v>0</v>
      </c>
      <c r="D53" s="224">
        <f ca="1"/>
        <v>0</v>
      </c>
      <c r="E53" s="224">
        <f ca="1"/>
        <v>0</v>
      </c>
      <c r="F53" s="224">
        <f ca="1"/>
        <v>0</v>
      </c>
      <c r="G53" s="224">
        <f ca="1"/>
        <v>0</v>
      </c>
      <c r="H53" s="224">
        <f ca="1"/>
        <v>0</v>
      </c>
      <c r="I53" s="224">
        <f ca="1"/>
        <v>0</v>
      </c>
      <c r="J53" s="224">
        <f ca="1"/>
        <v>0</v>
      </c>
      <c r="K53" s="224">
        <f ca="1"/>
        <v>0</v>
      </c>
      <c r="M53" s="4" t="str">
        <f t="shared" si="6"/>
        <v>$M(2015)</v>
      </c>
    </row>
    <row r="54" spans="1:15" s="4" customFormat="1" x14ac:dyDescent="0.25">
      <c r="A54" t="str">
        <v>OT Economic</v>
      </c>
      <c r="B54" s="224">
        <f ca="1"/>
        <v>0</v>
      </c>
      <c r="C54" s="224">
        <f ca="1"/>
        <v>0</v>
      </c>
      <c r="D54" s="224">
        <f ca="1"/>
        <v>0</v>
      </c>
      <c r="E54" s="224">
        <f ca="1"/>
        <v>0</v>
      </c>
      <c r="F54" s="224">
        <f ca="1"/>
        <v>0</v>
      </c>
      <c r="G54" s="224">
        <f ca="1"/>
        <v>0</v>
      </c>
      <c r="H54" s="224">
        <f ca="1"/>
        <v>0</v>
      </c>
      <c r="I54" s="224">
        <f ca="1"/>
        <v>0</v>
      </c>
      <c r="J54" s="224">
        <f ca="1"/>
        <v>0</v>
      </c>
      <c r="K54" s="224">
        <f ca="1"/>
        <v>0</v>
      </c>
      <c r="M54" s="4" t="str">
        <f t="shared" si="6"/>
        <v>$M(2015)</v>
      </c>
    </row>
    <row r="55" spans="1:15" s="4" customFormat="1" x14ac:dyDescent="0.25">
      <c r="A55" t="str">
        <v>EE Economic</v>
      </c>
      <c r="B55" s="224">
        <f ca="1"/>
        <v>0</v>
      </c>
      <c r="C55" s="224">
        <f ca="1"/>
        <v>0</v>
      </c>
      <c r="D55" s="224">
        <f ca="1"/>
        <v>0</v>
      </c>
      <c r="E55" s="224">
        <f ca="1"/>
        <v>0</v>
      </c>
      <c r="F55" s="224">
        <f ca="1"/>
        <v>0</v>
      </c>
      <c r="G55" s="224">
        <f ca="1"/>
        <v>0</v>
      </c>
      <c r="H55" s="224">
        <f ca="1"/>
        <v>0</v>
      </c>
      <c r="I55" s="224">
        <f ca="1"/>
        <v>0</v>
      </c>
      <c r="J55" s="224">
        <f ca="1"/>
        <v>0</v>
      </c>
      <c r="K55" s="224">
        <f ca="1"/>
        <v>0</v>
      </c>
      <c r="M55" s="4" t="str">
        <f t="shared" si="6"/>
        <v>$M(2015)</v>
      </c>
    </row>
    <row r="56" spans="1:15" s="4" customFormat="1" x14ac:dyDescent="0.25">
      <c r="A56" t="str">
        <v>CA Economic</v>
      </c>
      <c r="B56" s="224">
        <f ca="1"/>
        <v>0</v>
      </c>
      <c r="C56" s="224">
        <f ca="1"/>
        <v>0</v>
      </c>
      <c r="D56" s="224">
        <f ca="1"/>
        <v>0</v>
      </c>
      <c r="E56" s="224">
        <f ca="1"/>
        <v>0</v>
      </c>
      <c r="F56" s="224">
        <f ca="1"/>
        <v>0</v>
      </c>
      <c r="G56" s="224">
        <f ca="1"/>
        <v>0</v>
      </c>
      <c r="H56" s="224">
        <f ca="1"/>
        <v>0</v>
      </c>
      <c r="I56" s="224">
        <f ca="1"/>
        <v>0</v>
      </c>
      <c r="J56" s="224">
        <f ca="1"/>
        <v>0</v>
      </c>
      <c r="K56" s="224">
        <f ca="1"/>
        <v>0</v>
      </c>
      <c r="M56" s="4" t="str">
        <f t="shared" si="6"/>
        <v>$M(2015)</v>
      </c>
    </row>
    <row r="57" spans="1:15" s="4" customFormat="1" x14ac:dyDescent="0.25">
      <c r="A57" t="str">
        <v>IA Economic</v>
      </c>
      <c r="B57" s="224">
        <f ca="1"/>
        <v>0</v>
      </c>
      <c r="C57" s="224">
        <f ca="1"/>
        <v>0</v>
      </c>
      <c r="D57" s="224">
        <f ca="1"/>
        <v>0</v>
      </c>
      <c r="E57" s="224">
        <f ca="1"/>
        <v>0</v>
      </c>
      <c r="F57" s="224">
        <f ca="1"/>
        <v>0</v>
      </c>
      <c r="G57" s="224">
        <f ca="1"/>
        <v>0</v>
      </c>
      <c r="H57" s="224">
        <f ca="1"/>
        <v>0</v>
      </c>
      <c r="I57" s="224">
        <f ca="1"/>
        <v>0</v>
      </c>
      <c r="J57" s="224">
        <f ca="1"/>
        <v>0</v>
      </c>
      <c r="K57" s="224">
        <f ca="1"/>
        <v>0</v>
      </c>
      <c r="M57" s="4" t="str">
        <f t="shared" si="6"/>
        <v>$M(2015)</v>
      </c>
    </row>
    <row r="58" spans="1:15" s="4" customFormat="1" x14ac:dyDescent="0.25">
      <c r="A58" t="str">
        <v>AF Economic</v>
      </c>
      <c r="B58" s="224">
        <f ca="1"/>
        <v>0</v>
      </c>
      <c r="C58" s="224">
        <f ca="1"/>
        <v>0</v>
      </c>
      <c r="D58" s="224">
        <f ca="1"/>
        <v>0</v>
      </c>
      <c r="E58" s="224">
        <f ca="1"/>
        <v>0</v>
      </c>
      <c r="F58" s="224">
        <f ca="1"/>
        <v>0</v>
      </c>
      <c r="G58" s="224">
        <f ca="1"/>
        <v>0</v>
      </c>
      <c r="H58" s="224">
        <f ca="1"/>
        <v>0</v>
      </c>
      <c r="I58" s="224">
        <f ca="1"/>
        <v>0</v>
      </c>
      <c r="J58" s="224">
        <f ca="1"/>
        <v>0</v>
      </c>
      <c r="K58" s="224">
        <f ca="1"/>
        <v>0</v>
      </c>
      <c r="M58" s="4" t="str">
        <f t="shared" si="6"/>
        <v>$M(2015)</v>
      </c>
    </row>
    <row r="59" spans="1:15" s="4" customFormat="1" x14ac:dyDescent="0.25">
      <c r="A59" t="str">
        <v>LA Economic</v>
      </c>
      <c r="B59" s="224">
        <f ca="1"/>
        <v>0</v>
      </c>
      <c r="C59" s="224">
        <f ca="1"/>
        <v>0</v>
      </c>
      <c r="D59" s="224">
        <f ca="1"/>
        <v>0</v>
      </c>
      <c r="E59" s="224">
        <f ca="1"/>
        <v>0</v>
      </c>
      <c r="F59" s="224">
        <f ca="1"/>
        <v>0</v>
      </c>
      <c r="G59" s="224">
        <f ca="1"/>
        <v>0</v>
      </c>
      <c r="H59" s="224">
        <f ca="1"/>
        <v>0</v>
      </c>
      <c r="I59" s="224">
        <f ca="1"/>
        <v>0</v>
      </c>
      <c r="J59" s="224">
        <f ca="1"/>
        <v>0</v>
      </c>
      <c r="K59" s="224">
        <f ca="1"/>
        <v>0</v>
      </c>
      <c r="M59" s="4" t="str">
        <f t="shared" si="6"/>
        <v>$M(2015)</v>
      </c>
    </row>
    <row r="60" spans="1:15" ht="13.5" thickBot="1" x14ac:dyDescent="0.35">
      <c r="A60" s="2" t="str">
        <f>"Global "&amp;I_1_NAME</f>
        <v>Global Economic</v>
      </c>
      <c r="B60" s="42">
        <f ca="1">SUM(B52:B59)</f>
        <v>0</v>
      </c>
      <c r="C60" s="42">
        <f t="shared" ref="C60:K60" ca="1" si="7">SUM(C52:C59)</f>
        <v>0</v>
      </c>
      <c r="D60" s="42">
        <f t="shared" ca="1" si="7"/>
        <v>0</v>
      </c>
      <c r="E60" s="42">
        <f t="shared" ca="1" si="7"/>
        <v>0</v>
      </c>
      <c r="F60" s="42">
        <f t="shared" ca="1" si="7"/>
        <v>0</v>
      </c>
      <c r="G60" s="42">
        <f t="shared" ca="1" si="7"/>
        <v>0</v>
      </c>
      <c r="H60" s="42">
        <f t="shared" ca="1" si="7"/>
        <v>0</v>
      </c>
      <c r="I60" s="42">
        <f t="shared" ca="1" si="7"/>
        <v>0</v>
      </c>
      <c r="J60" s="42">
        <f t="shared" ca="1" si="7"/>
        <v>0</v>
      </c>
      <c r="K60" s="42">
        <f t="shared" ca="1" si="7"/>
        <v>0</v>
      </c>
      <c r="L60" s="1"/>
      <c r="M60" s="4" t="str">
        <f t="shared" si="6"/>
        <v>$M(2015)</v>
      </c>
    </row>
    <row r="61" spans="1:15" s="2" customFormat="1" ht="15.5" thickTop="1" x14ac:dyDescent="0.4">
      <c r="A61" s="2" t="s">
        <v>374</v>
      </c>
      <c r="B61" s="2" t="s">
        <v>378</v>
      </c>
    </row>
    <row r="62" spans="1:15" ht="13" x14ac:dyDescent="0.3">
      <c r="A62" t="str">
        <f t="array" ref="A62:A69">R_CODE&amp;" "&amp;I_1_NAME</f>
        <v>EU Economic</v>
      </c>
      <c r="B62" s="223">
        <f t="array" aca="1" ref="B62:K69" ca="1">imp_1_b*CI_1*GDP_B/100*impmax_1_b*AUTOFAC</f>
        <v>0</v>
      </c>
      <c r="C62" s="223">
        <f ca="1"/>
        <v>0</v>
      </c>
      <c r="D62" s="223">
        <f ca="1"/>
        <v>0</v>
      </c>
      <c r="E62" s="223">
        <f ca="1"/>
        <v>0</v>
      </c>
      <c r="F62" s="223">
        <f ca="1"/>
        <v>0</v>
      </c>
      <c r="G62" s="223">
        <f ca="1"/>
        <v>0</v>
      </c>
      <c r="H62" s="223">
        <f ca="1"/>
        <v>0</v>
      </c>
      <c r="I62" s="223">
        <f ca="1"/>
        <v>0</v>
      </c>
      <c r="J62" s="223">
        <f ca="1"/>
        <v>0</v>
      </c>
      <c r="K62" s="223">
        <f ca="1"/>
        <v>0</v>
      </c>
      <c r="M62" s="4" t="str">
        <f t="shared" ref="M62:M70" si="8">CURRENCY_NAME</f>
        <v>$M(2015)</v>
      </c>
      <c r="O62" s="295" t="s">
        <v>1049</v>
      </c>
    </row>
    <row r="63" spans="1:15" x14ac:dyDescent="0.25">
      <c r="A63" t="str">
        <v>US Economic</v>
      </c>
      <c r="B63" s="224">
        <f ca="1"/>
        <v>0</v>
      </c>
      <c r="C63" s="224">
        <f ca="1"/>
        <v>0</v>
      </c>
      <c r="D63" s="224">
        <f ca="1"/>
        <v>0</v>
      </c>
      <c r="E63" s="224">
        <f ca="1"/>
        <v>0</v>
      </c>
      <c r="F63" s="224">
        <f ca="1"/>
        <v>0</v>
      </c>
      <c r="G63" s="224">
        <f ca="1"/>
        <v>0</v>
      </c>
      <c r="H63" s="224">
        <f ca="1"/>
        <v>0</v>
      </c>
      <c r="I63" s="224">
        <f ca="1"/>
        <v>0</v>
      </c>
      <c r="J63" s="224">
        <f ca="1"/>
        <v>0</v>
      </c>
      <c r="K63" s="224">
        <f ca="1"/>
        <v>0</v>
      </c>
      <c r="M63" s="4" t="str">
        <f t="shared" si="8"/>
        <v>$M(2015)</v>
      </c>
    </row>
    <row r="64" spans="1:15" x14ac:dyDescent="0.25">
      <c r="A64" t="str">
        <v>OT Economic</v>
      </c>
      <c r="B64" s="224">
        <f ca="1"/>
        <v>0</v>
      </c>
      <c r="C64" s="224">
        <f ca="1"/>
        <v>0</v>
      </c>
      <c r="D64" s="224">
        <f ca="1"/>
        <v>0</v>
      </c>
      <c r="E64" s="224">
        <f ca="1"/>
        <v>0</v>
      </c>
      <c r="F64" s="224">
        <f ca="1"/>
        <v>0</v>
      </c>
      <c r="G64" s="224">
        <f ca="1"/>
        <v>0</v>
      </c>
      <c r="H64" s="224">
        <f ca="1"/>
        <v>0</v>
      </c>
      <c r="I64" s="224">
        <f ca="1"/>
        <v>0</v>
      </c>
      <c r="J64" s="224">
        <f ca="1"/>
        <v>0</v>
      </c>
      <c r="K64" s="224">
        <f ca="1"/>
        <v>0</v>
      </c>
      <c r="M64" s="4" t="str">
        <f t="shared" si="8"/>
        <v>$M(2015)</v>
      </c>
    </row>
    <row r="65" spans="1:13" x14ac:dyDescent="0.25">
      <c r="A65" t="str">
        <v>EE Economic</v>
      </c>
      <c r="B65" s="224">
        <f ca="1"/>
        <v>0</v>
      </c>
      <c r="C65" s="224">
        <f ca="1"/>
        <v>0</v>
      </c>
      <c r="D65" s="224">
        <f ca="1"/>
        <v>0</v>
      </c>
      <c r="E65" s="224">
        <f ca="1"/>
        <v>0</v>
      </c>
      <c r="F65" s="224">
        <f ca="1"/>
        <v>0</v>
      </c>
      <c r="G65" s="224">
        <f ca="1"/>
        <v>0</v>
      </c>
      <c r="H65" s="224">
        <f ca="1"/>
        <v>0</v>
      </c>
      <c r="I65" s="224">
        <f ca="1"/>
        <v>0</v>
      </c>
      <c r="J65" s="224">
        <f ca="1"/>
        <v>0</v>
      </c>
      <c r="K65" s="224">
        <f ca="1"/>
        <v>0</v>
      </c>
      <c r="M65" s="4" t="str">
        <f t="shared" si="8"/>
        <v>$M(2015)</v>
      </c>
    </row>
    <row r="66" spans="1:13" x14ac:dyDescent="0.25">
      <c r="A66" t="str">
        <v>CA Economic</v>
      </c>
      <c r="B66" s="224">
        <f ca="1"/>
        <v>0</v>
      </c>
      <c r="C66" s="224">
        <f ca="1"/>
        <v>0</v>
      </c>
      <c r="D66" s="224">
        <f ca="1"/>
        <v>0</v>
      </c>
      <c r="E66" s="224">
        <f ca="1"/>
        <v>0</v>
      </c>
      <c r="F66" s="224">
        <f ca="1"/>
        <v>0</v>
      </c>
      <c r="G66" s="224">
        <f ca="1"/>
        <v>0</v>
      </c>
      <c r="H66" s="224">
        <f ca="1"/>
        <v>0</v>
      </c>
      <c r="I66" s="224">
        <f ca="1"/>
        <v>0</v>
      </c>
      <c r="J66" s="224">
        <f ca="1"/>
        <v>0</v>
      </c>
      <c r="K66" s="224">
        <f ca="1"/>
        <v>0</v>
      </c>
      <c r="M66" s="4" t="str">
        <f t="shared" si="8"/>
        <v>$M(2015)</v>
      </c>
    </row>
    <row r="67" spans="1:13" x14ac:dyDescent="0.25">
      <c r="A67" t="str">
        <v>IA Economic</v>
      </c>
      <c r="B67" s="224">
        <f ca="1"/>
        <v>0</v>
      </c>
      <c r="C67" s="224">
        <f ca="1"/>
        <v>0</v>
      </c>
      <c r="D67" s="224">
        <f ca="1"/>
        <v>0</v>
      </c>
      <c r="E67" s="224">
        <f ca="1"/>
        <v>0</v>
      </c>
      <c r="F67" s="224">
        <f ca="1"/>
        <v>0</v>
      </c>
      <c r="G67" s="224">
        <f ca="1"/>
        <v>0</v>
      </c>
      <c r="H67" s="224">
        <f ca="1"/>
        <v>0</v>
      </c>
      <c r="I67" s="224">
        <f ca="1"/>
        <v>0</v>
      </c>
      <c r="J67" s="224">
        <f ca="1"/>
        <v>0</v>
      </c>
      <c r="K67" s="224">
        <f ca="1"/>
        <v>0</v>
      </c>
      <c r="M67" s="4" t="str">
        <f t="shared" si="8"/>
        <v>$M(2015)</v>
      </c>
    </row>
    <row r="68" spans="1:13" x14ac:dyDescent="0.25">
      <c r="A68" t="str">
        <v>AF Economic</v>
      </c>
      <c r="B68" s="224">
        <f ca="1"/>
        <v>0</v>
      </c>
      <c r="C68" s="224">
        <f ca="1"/>
        <v>0</v>
      </c>
      <c r="D68" s="224">
        <f ca="1"/>
        <v>0</v>
      </c>
      <c r="E68" s="224">
        <f ca="1"/>
        <v>0</v>
      </c>
      <c r="F68" s="224">
        <f ca="1"/>
        <v>0</v>
      </c>
      <c r="G68" s="224">
        <f ca="1"/>
        <v>0</v>
      </c>
      <c r="H68" s="224">
        <f ca="1"/>
        <v>0</v>
      </c>
      <c r="I68" s="224">
        <f ca="1"/>
        <v>0</v>
      </c>
      <c r="J68" s="224">
        <f ca="1"/>
        <v>0</v>
      </c>
      <c r="K68" s="224">
        <f ca="1"/>
        <v>0</v>
      </c>
      <c r="M68" s="4" t="str">
        <f t="shared" si="8"/>
        <v>$M(2015)</v>
      </c>
    </row>
    <row r="69" spans="1:13" x14ac:dyDescent="0.25">
      <c r="A69" t="str">
        <v>LA Economic</v>
      </c>
      <c r="B69" s="224">
        <f ca="1"/>
        <v>0</v>
      </c>
      <c r="C69" s="224">
        <f ca="1"/>
        <v>0</v>
      </c>
      <c r="D69" s="224">
        <f ca="1"/>
        <v>0</v>
      </c>
      <c r="E69" s="224">
        <f ca="1"/>
        <v>0</v>
      </c>
      <c r="F69" s="224">
        <f ca="1"/>
        <v>0</v>
      </c>
      <c r="G69" s="224">
        <f ca="1"/>
        <v>0</v>
      </c>
      <c r="H69" s="224">
        <f ca="1"/>
        <v>0</v>
      </c>
      <c r="I69" s="224">
        <f ca="1"/>
        <v>0</v>
      </c>
      <c r="J69" s="224">
        <f ca="1"/>
        <v>0</v>
      </c>
      <c r="K69" s="224">
        <f ca="1"/>
        <v>0</v>
      </c>
      <c r="M69" s="4" t="str">
        <f t="shared" si="8"/>
        <v>$M(2015)</v>
      </c>
    </row>
    <row r="70" spans="1:13" ht="13.5" thickBot="1" x14ac:dyDescent="0.35">
      <c r="A70" s="2" t="str">
        <f>"Global "&amp;I_1_NAME</f>
        <v>Global Economic</v>
      </c>
      <c r="B70" s="42">
        <f t="shared" ref="B70:K70" ca="1" si="9">SUM(B62:B69)</f>
        <v>0</v>
      </c>
      <c r="C70" s="42">
        <f t="shared" ca="1" si="9"/>
        <v>0</v>
      </c>
      <c r="D70" s="42">
        <f t="shared" ca="1" si="9"/>
        <v>0</v>
      </c>
      <c r="E70" s="42">
        <f t="shared" ca="1" si="9"/>
        <v>0</v>
      </c>
      <c r="F70" s="42">
        <f t="shared" ca="1" si="9"/>
        <v>0</v>
      </c>
      <c r="G70" s="42">
        <f t="shared" ca="1" si="9"/>
        <v>0</v>
      </c>
      <c r="H70" s="42">
        <f t="shared" ca="1" si="9"/>
        <v>0</v>
      </c>
      <c r="I70" s="42">
        <f t="shared" ca="1" si="9"/>
        <v>0</v>
      </c>
      <c r="J70" s="42">
        <f t="shared" ca="1" si="9"/>
        <v>0</v>
      </c>
      <c r="K70" s="42">
        <f t="shared" ca="1" si="9"/>
        <v>0</v>
      </c>
      <c r="L70" s="1"/>
      <c r="M70" s="4" t="str">
        <f t="shared" si="8"/>
        <v>$M(2015)</v>
      </c>
    </row>
    <row r="71" spans="1:13" ht="15.5" thickTop="1" x14ac:dyDescent="0.4">
      <c r="A71" s="44" t="s">
        <v>112</v>
      </c>
      <c r="B71" s="2" t="s">
        <v>95</v>
      </c>
      <c r="C71" s="1"/>
      <c r="D71" s="1"/>
      <c r="E71" s="1"/>
      <c r="F71" s="1"/>
      <c r="G71" s="1"/>
      <c r="H71" s="1"/>
      <c r="I71" s="1"/>
      <c r="J71" s="1"/>
      <c r="K71" s="1"/>
      <c r="L71" s="1"/>
      <c r="M71" s="1"/>
    </row>
    <row r="72" spans="1:13" x14ac:dyDescent="0.25">
      <c r="A72" t="str">
        <f t="array" ref="A72:A79">R_CODE&amp;" "&amp;I_1_NAME</f>
        <v>EU Economic</v>
      </c>
      <c r="B72" s="28">
        <f t="array" aca="1" ref="B72:K79" ca="1">acp_1_b+aci_1_b</f>
        <v>0</v>
      </c>
      <c r="C72" s="28">
        <f ca="1"/>
        <v>0</v>
      </c>
      <c r="D72" s="28">
        <f ca="1"/>
        <v>0</v>
      </c>
      <c r="E72" s="28">
        <f ca="1"/>
        <v>0</v>
      </c>
      <c r="F72" s="28">
        <f ca="1"/>
        <v>0</v>
      </c>
      <c r="G72" s="28">
        <f ca="1"/>
        <v>0</v>
      </c>
      <c r="H72" s="28">
        <f ca="1"/>
        <v>0</v>
      </c>
      <c r="I72" s="28">
        <f ca="1"/>
        <v>0</v>
      </c>
      <c r="J72" s="28">
        <f ca="1"/>
        <v>0</v>
      </c>
      <c r="K72" s="28">
        <f ca="1"/>
        <v>0</v>
      </c>
      <c r="L72" s="1"/>
      <c r="M72" s="4" t="str">
        <f t="shared" ref="M72:M80" si="10">CURRENCY_NAME</f>
        <v>$M(2015)</v>
      </c>
    </row>
    <row r="73" spans="1:13" x14ac:dyDescent="0.25">
      <c r="A73" t="str">
        <v>US Economic</v>
      </c>
      <c r="B73" s="28">
        <f ca="1"/>
        <v>0</v>
      </c>
      <c r="C73" s="28">
        <f ca="1"/>
        <v>0</v>
      </c>
      <c r="D73" s="28">
        <f ca="1"/>
        <v>0</v>
      </c>
      <c r="E73" s="28">
        <f ca="1"/>
        <v>0</v>
      </c>
      <c r="F73" s="28">
        <f ca="1"/>
        <v>0</v>
      </c>
      <c r="G73" s="28">
        <f ca="1"/>
        <v>0</v>
      </c>
      <c r="H73" s="28">
        <f ca="1"/>
        <v>0</v>
      </c>
      <c r="I73" s="28">
        <f ca="1"/>
        <v>0</v>
      </c>
      <c r="J73" s="28">
        <f ca="1"/>
        <v>0</v>
      </c>
      <c r="K73" s="28">
        <f ca="1"/>
        <v>0</v>
      </c>
      <c r="L73" s="1"/>
      <c r="M73" s="4" t="str">
        <f t="shared" si="10"/>
        <v>$M(2015)</v>
      </c>
    </row>
    <row r="74" spans="1:13" x14ac:dyDescent="0.25">
      <c r="A74" t="str">
        <v>OT Economic</v>
      </c>
      <c r="B74" s="28">
        <f ca="1"/>
        <v>0</v>
      </c>
      <c r="C74" s="28">
        <f ca="1"/>
        <v>0</v>
      </c>
      <c r="D74" s="28">
        <f ca="1"/>
        <v>0</v>
      </c>
      <c r="E74" s="28">
        <f ca="1"/>
        <v>0</v>
      </c>
      <c r="F74" s="28">
        <f ca="1"/>
        <v>0</v>
      </c>
      <c r="G74" s="28">
        <f ca="1"/>
        <v>0</v>
      </c>
      <c r="H74" s="28">
        <f ca="1"/>
        <v>0</v>
      </c>
      <c r="I74" s="28">
        <f ca="1"/>
        <v>0</v>
      </c>
      <c r="J74" s="28">
        <f ca="1"/>
        <v>0</v>
      </c>
      <c r="K74" s="28">
        <f ca="1"/>
        <v>0</v>
      </c>
      <c r="L74" s="1"/>
      <c r="M74" s="4" t="str">
        <f t="shared" si="10"/>
        <v>$M(2015)</v>
      </c>
    </row>
    <row r="75" spans="1:13" x14ac:dyDescent="0.25">
      <c r="A75" t="str">
        <v>EE Economic</v>
      </c>
      <c r="B75" s="28">
        <f ca="1"/>
        <v>0</v>
      </c>
      <c r="C75" s="28">
        <f ca="1"/>
        <v>0</v>
      </c>
      <c r="D75" s="28">
        <f ca="1"/>
        <v>0</v>
      </c>
      <c r="E75" s="28">
        <f ca="1"/>
        <v>0</v>
      </c>
      <c r="F75" s="28">
        <f ca="1"/>
        <v>0</v>
      </c>
      <c r="G75" s="28">
        <f ca="1"/>
        <v>0</v>
      </c>
      <c r="H75" s="28">
        <f ca="1"/>
        <v>0</v>
      </c>
      <c r="I75" s="28">
        <f ca="1"/>
        <v>0</v>
      </c>
      <c r="J75" s="28">
        <f ca="1"/>
        <v>0</v>
      </c>
      <c r="K75" s="28">
        <f ca="1"/>
        <v>0</v>
      </c>
      <c r="L75" s="1"/>
      <c r="M75" s="4" t="str">
        <f t="shared" si="10"/>
        <v>$M(2015)</v>
      </c>
    </row>
    <row r="76" spans="1:13" x14ac:dyDescent="0.25">
      <c r="A76" t="str">
        <v>CA Economic</v>
      </c>
      <c r="B76" s="28">
        <f ca="1"/>
        <v>0</v>
      </c>
      <c r="C76" s="28">
        <f ca="1"/>
        <v>0</v>
      </c>
      <c r="D76" s="28">
        <f ca="1"/>
        <v>0</v>
      </c>
      <c r="E76" s="28">
        <f ca="1"/>
        <v>0</v>
      </c>
      <c r="F76" s="28">
        <f ca="1"/>
        <v>0</v>
      </c>
      <c r="G76" s="28">
        <f ca="1"/>
        <v>0</v>
      </c>
      <c r="H76" s="28">
        <f ca="1"/>
        <v>0</v>
      </c>
      <c r="I76" s="28">
        <f ca="1"/>
        <v>0</v>
      </c>
      <c r="J76" s="28">
        <f ca="1"/>
        <v>0</v>
      </c>
      <c r="K76" s="28">
        <f ca="1"/>
        <v>0</v>
      </c>
      <c r="L76" s="1"/>
      <c r="M76" s="4" t="str">
        <f t="shared" si="10"/>
        <v>$M(2015)</v>
      </c>
    </row>
    <row r="77" spans="1:13" x14ac:dyDescent="0.25">
      <c r="A77" t="str">
        <v>IA Economic</v>
      </c>
      <c r="B77" s="28">
        <f ca="1"/>
        <v>0</v>
      </c>
      <c r="C77" s="28">
        <f ca="1"/>
        <v>0</v>
      </c>
      <c r="D77" s="28">
        <f ca="1"/>
        <v>0</v>
      </c>
      <c r="E77" s="28">
        <f ca="1"/>
        <v>0</v>
      </c>
      <c r="F77" s="28">
        <f ca="1"/>
        <v>0</v>
      </c>
      <c r="G77" s="28">
        <f ca="1"/>
        <v>0</v>
      </c>
      <c r="H77" s="28">
        <f ca="1"/>
        <v>0</v>
      </c>
      <c r="I77" s="28">
        <f ca="1"/>
        <v>0</v>
      </c>
      <c r="J77" s="28">
        <f ca="1"/>
        <v>0</v>
      </c>
      <c r="K77" s="28">
        <f ca="1"/>
        <v>0</v>
      </c>
      <c r="L77" s="1"/>
      <c r="M77" s="4" t="str">
        <f t="shared" si="10"/>
        <v>$M(2015)</v>
      </c>
    </row>
    <row r="78" spans="1:13" x14ac:dyDescent="0.25">
      <c r="A78" t="str">
        <v>AF Economic</v>
      </c>
      <c r="B78" s="28">
        <f ca="1"/>
        <v>0</v>
      </c>
      <c r="C78" s="28">
        <f ca="1"/>
        <v>0</v>
      </c>
      <c r="D78" s="28">
        <f ca="1"/>
        <v>0</v>
      </c>
      <c r="E78" s="28">
        <f ca="1"/>
        <v>0</v>
      </c>
      <c r="F78" s="28">
        <f ca="1"/>
        <v>0</v>
      </c>
      <c r="G78" s="28">
        <f ca="1"/>
        <v>0</v>
      </c>
      <c r="H78" s="28">
        <f ca="1"/>
        <v>0</v>
      </c>
      <c r="I78" s="28">
        <f ca="1"/>
        <v>0</v>
      </c>
      <c r="J78" s="28">
        <f ca="1"/>
        <v>0</v>
      </c>
      <c r="K78" s="28">
        <f ca="1"/>
        <v>0</v>
      </c>
      <c r="L78" s="1"/>
      <c r="M78" s="4" t="str">
        <f t="shared" si="10"/>
        <v>$M(2015)</v>
      </c>
    </row>
    <row r="79" spans="1:13" x14ac:dyDescent="0.25">
      <c r="A79" t="str">
        <v>LA Economic</v>
      </c>
      <c r="B79" s="28">
        <f ca="1"/>
        <v>0</v>
      </c>
      <c r="C79" s="28">
        <f ca="1"/>
        <v>0</v>
      </c>
      <c r="D79" s="28">
        <f ca="1"/>
        <v>0</v>
      </c>
      <c r="E79" s="28">
        <f ca="1"/>
        <v>0</v>
      </c>
      <c r="F79" s="28">
        <f ca="1"/>
        <v>0</v>
      </c>
      <c r="G79" s="28">
        <f ca="1"/>
        <v>0</v>
      </c>
      <c r="H79" s="28">
        <f ca="1"/>
        <v>0</v>
      </c>
      <c r="I79" s="28">
        <f ca="1"/>
        <v>0</v>
      </c>
      <c r="J79" s="28">
        <f ca="1"/>
        <v>0</v>
      </c>
      <c r="K79" s="28">
        <f ca="1"/>
        <v>0</v>
      </c>
      <c r="L79" s="1"/>
      <c r="M79" s="4" t="str">
        <f t="shared" si="10"/>
        <v>$M(2015)</v>
      </c>
    </row>
    <row r="80" spans="1:13" ht="13.5" thickBot="1" x14ac:dyDescent="0.35">
      <c r="A80" s="2" t="str">
        <f>"Global "&amp;I_1_NAME</f>
        <v>Global Economic</v>
      </c>
      <c r="B80" s="42">
        <f t="shared" ref="B80:K80" ca="1" si="11">SUM(B72:B79)</f>
        <v>0</v>
      </c>
      <c r="C80" s="42">
        <f t="shared" ca="1" si="11"/>
        <v>0</v>
      </c>
      <c r="D80" s="42">
        <f t="shared" ca="1" si="11"/>
        <v>0</v>
      </c>
      <c r="E80" s="42">
        <f t="shared" ca="1" si="11"/>
        <v>0</v>
      </c>
      <c r="F80" s="42">
        <f t="shared" ca="1" si="11"/>
        <v>0</v>
      </c>
      <c r="G80" s="42">
        <f t="shared" ca="1" si="11"/>
        <v>0</v>
      </c>
      <c r="H80" s="42">
        <f t="shared" ca="1" si="11"/>
        <v>0</v>
      </c>
      <c r="I80" s="42">
        <f t="shared" ca="1" si="11"/>
        <v>0</v>
      </c>
      <c r="J80" s="42">
        <f t="shared" ca="1" si="11"/>
        <v>0</v>
      </c>
      <c r="K80" s="42">
        <f t="shared" ca="1" si="11"/>
        <v>0</v>
      </c>
      <c r="L80" s="1"/>
      <c r="M80" s="4" t="str">
        <f t="shared" si="10"/>
        <v>$M(2015)</v>
      </c>
    </row>
    <row r="81" spans="1:15" s="2" customFormat="1" ht="15.5" thickTop="1" x14ac:dyDescent="0.4">
      <c r="A81" s="2" t="s">
        <v>372</v>
      </c>
      <c r="B81" s="2" t="s">
        <v>379</v>
      </c>
    </row>
    <row r="82" spans="1:15" s="4" customFormat="1" ht="13" x14ac:dyDescent="0.3">
      <c r="A82" t="str">
        <f t="array" ref="A82:A89">R_CODE&amp;" "&amp;I_2_NAME</f>
        <v>EU Non-econ</v>
      </c>
      <c r="B82" s="223">
        <f t="array" ref="B82:K89" ca="1">atl_2_b*CP_2*GDP_B/100*AUTOFAC</f>
        <v>0</v>
      </c>
      <c r="C82" s="223">
        <f ca="1"/>
        <v>0</v>
      </c>
      <c r="D82" s="223">
        <f ca="1"/>
        <v>0</v>
      </c>
      <c r="E82" s="223">
        <f ca="1"/>
        <v>0</v>
      </c>
      <c r="F82" s="223">
        <f ca="1"/>
        <v>0</v>
      </c>
      <c r="G82" s="223">
        <f ca="1"/>
        <v>0</v>
      </c>
      <c r="H82" s="223">
        <f ca="1"/>
        <v>0</v>
      </c>
      <c r="I82" s="223">
        <f ca="1"/>
        <v>0</v>
      </c>
      <c r="J82" s="223">
        <f ca="1"/>
        <v>0</v>
      </c>
      <c r="K82" s="223">
        <f ca="1"/>
        <v>0</v>
      </c>
      <c r="M82" s="4" t="str">
        <f t="shared" ref="M82:M90" si="12">CURRENCY_NAME</f>
        <v>$M(2015)</v>
      </c>
      <c r="O82" s="173" t="s">
        <v>1049</v>
      </c>
    </row>
    <row r="83" spans="1:15" s="4" customFormat="1" x14ac:dyDescent="0.25">
      <c r="A83" t="str">
        <v>US Non-econ</v>
      </c>
      <c r="B83" s="224">
        <f ca="1"/>
        <v>0</v>
      </c>
      <c r="C83" s="224">
        <f ca="1"/>
        <v>0</v>
      </c>
      <c r="D83" s="224">
        <f ca="1"/>
        <v>0</v>
      </c>
      <c r="E83" s="224">
        <f ca="1"/>
        <v>0</v>
      </c>
      <c r="F83" s="224">
        <f ca="1"/>
        <v>0</v>
      </c>
      <c r="G83" s="224">
        <f ca="1"/>
        <v>0</v>
      </c>
      <c r="H83" s="224">
        <f ca="1"/>
        <v>0</v>
      </c>
      <c r="I83" s="224">
        <f ca="1"/>
        <v>0</v>
      </c>
      <c r="J83" s="224">
        <f ca="1"/>
        <v>0</v>
      </c>
      <c r="K83" s="224">
        <f ca="1"/>
        <v>0</v>
      </c>
      <c r="M83" s="4" t="str">
        <f t="shared" si="12"/>
        <v>$M(2015)</v>
      </c>
    </row>
    <row r="84" spans="1:15" s="4" customFormat="1" x14ac:dyDescent="0.25">
      <c r="A84" t="str">
        <v>OT Non-econ</v>
      </c>
      <c r="B84" s="224">
        <f ca="1"/>
        <v>0</v>
      </c>
      <c r="C84" s="224">
        <f ca="1"/>
        <v>0</v>
      </c>
      <c r="D84" s="224">
        <f ca="1"/>
        <v>0</v>
      </c>
      <c r="E84" s="224">
        <f ca="1"/>
        <v>0</v>
      </c>
      <c r="F84" s="224">
        <f ca="1"/>
        <v>0</v>
      </c>
      <c r="G84" s="224">
        <f ca="1"/>
        <v>0</v>
      </c>
      <c r="H84" s="224">
        <f ca="1"/>
        <v>0</v>
      </c>
      <c r="I84" s="224">
        <f ca="1"/>
        <v>0</v>
      </c>
      <c r="J84" s="224">
        <f ca="1"/>
        <v>0</v>
      </c>
      <c r="K84" s="224">
        <f ca="1"/>
        <v>0</v>
      </c>
      <c r="M84" s="4" t="str">
        <f t="shared" si="12"/>
        <v>$M(2015)</v>
      </c>
    </row>
    <row r="85" spans="1:15" s="4" customFormat="1" x14ac:dyDescent="0.25">
      <c r="A85" t="str">
        <v>EE Non-econ</v>
      </c>
      <c r="B85" s="224">
        <f ca="1"/>
        <v>0</v>
      </c>
      <c r="C85" s="224">
        <f ca="1"/>
        <v>0</v>
      </c>
      <c r="D85" s="224">
        <f ca="1"/>
        <v>0</v>
      </c>
      <c r="E85" s="224">
        <f ca="1"/>
        <v>0</v>
      </c>
      <c r="F85" s="224">
        <f ca="1"/>
        <v>0</v>
      </c>
      <c r="G85" s="224">
        <f ca="1"/>
        <v>0</v>
      </c>
      <c r="H85" s="224">
        <f ca="1"/>
        <v>0</v>
      </c>
      <c r="I85" s="224">
        <f ca="1"/>
        <v>0</v>
      </c>
      <c r="J85" s="224">
        <f ca="1"/>
        <v>0</v>
      </c>
      <c r="K85" s="224">
        <f ca="1"/>
        <v>0</v>
      </c>
      <c r="M85" s="4" t="str">
        <f t="shared" si="12"/>
        <v>$M(2015)</v>
      </c>
    </row>
    <row r="86" spans="1:15" s="4" customFormat="1" x14ac:dyDescent="0.25">
      <c r="A86" t="str">
        <v>CA Non-econ</v>
      </c>
      <c r="B86" s="224">
        <f ca="1"/>
        <v>0</v>
      </c>
      <c r="C86" s="224">
        <f ca="1"/>
        <v>0</v>
      </c>
      <c r="D86" s="224">
        <f ca="1"/>
        <v>0</v>
      </c>
      <c r="E86" s="224">
        <f ca="1"/>
        <v>0</v>
      </c>
      <c r="F86" s="224">
        <f ca="1"/>
        <v>0</v>
      </c>
      <c r="G86" s="224">
        <f ca="1"/>
        <v>0</v>
      </c>
      <c r="H86" s="224">
        <f ca="1"/>
        <v>0</v>
      </c>
      <c r="I86" s="224">
        <f ca="1"/>
        <v>0</v>
      </c>
      <c r="J86" s="224">
        <f ca="1"/>
        <v>0</v>
      </c>
      <c r="K86" s="224">
        <f ca="1"/>
        <v>0</v>
      </c>
      <c r="M86" s="4" t="str">
        <f t="shared" si="12"/>
        <v>$M(2015)</v>
      </c>
    </row>
    <row r="87" spans="1:15" s="4" customFormat="1" x14ac:dyDescent="0.25">
      <c r="A87" t="str">
        <v>IA Non-econ</v>
      </c>
      <c r="B87" s="224">
        <f ca="1"/>
        <v>0</v>
      </c>
      <c r="C87" s="224">
        <f ca="1"/>
        <v>0</v>
      </c>
      <c r="D87" s="224">
        <f ca="1"/>
        <v>0</v>
      </c>
      <c r="E87" s="224">
        <f ca="1"/>
        <v>0</v>
      </c>
      <c r="F87" s="224">
        <f ca="1"/>
        <v>0</v>
      </c>
      <c r="G87" s="224">
        <f ca="1"/>
        <v>0</v>
      </c>
      <c r="H87" s="224">
        <f ca="1"/>
        <v>0</v>
      </c>
      <c r="I87" s="224">
        <f ca="1"/>
        <v>0</v>
      </c>
      <c r="J87" s="224">
        <f ca="1"/>
        <v>0</v>
      </c>
      <c r="K87" s="224">
        <f ca="1"/>
        <v>0</v>
      </c>
      <c r="M87" s="4" t="str">
        <f t="shared" si="12"/>
        <v>$M(2015)</v>
      </c>
    </row>
    <row r="88" spans="1:15" s="4" customFormat="1" x14ac:dyDescent="0.25">
      <c r="A88" t="str">
        <v>AF Non-econ</v>
      </c>
      <c r="B88" s="224">
        <f ca="1"/>
        <v>0</v>
      </c>
      <c r="C88" s="224">
        <f ca="1"/>
        <v>0</v>
      </c>
      <c r="D88" s="224">
        <f ca="1"/>
        <v>0</v>
      </c>
      <c r="E88" s="224">
        <f ca="1"/>
        <v>0</v>
      </c>
      <c r="F88" s="224">
        <f ca="1"/>
        <v>0</v>
      </c>
      <c r="G88" s="224">
        <f ca="1"/>
        <v>0</v>
      </c>
      <c r="H88" s="224">
        <f ca="1"/>
        <v>0</v>
      </c>
      <c r="I88" s="224">
        <f ca="1"/>
        <v>0</v>
      </c>
      <c r="J88" s="224">
        <f ca="1"/>
        <v>0</v>
      </c>
      <c r="K88" s="224">
        <f ca="1"/>
        <v>0</v>
      </c>
      <c r="M88" s="4" t="str">
        <f t="shared" si="12"/>
        <v>$M(2015)</v>
      </c>
    </row>
    <row r="89" spans="1:15" s="4" customFormat="1" x14ac:dyDescent="0.25">
      <c r="A89" t="str">
        <v>LA Non-econ</v>
      </c>
      <c r="B89" s="224">
        <f ca="1"/>
        <v>0</v>
      </c>
      <c r="C89" s="224">
        <f ca="1"/>
        <v>0</v>
      </c>
      <c r="D89" s="224">
        <f ca="1"/>
        <v>0</v>
      </c>
      <c r="E89" s="224">
        <f ca="1"/>
        <v>0</v>
      </c>
      <c r="F89" s="224">
        <f ca="1"/>
        <v>0</v>
      </c>
      <c r="G89" s="224">
        <f ca="1"/>
        <v>0</v>
      </c>
      <c r="H89" s="224">
        <f ca="1"/>
        <v>0</v>
      </c>
      <c r="I89" s="224">
        <f ca="1"/>
        <v>0</v>
      </c>
      <c r="J89" s="224">
        <f ca="1"/>
        <v>0</v>
      </c>
      <c r="K89" s="224">
        <f ca="1"/>
        <v>0</v>
      </c>
      <c r="M89" s="4" t="str">
        <f t="shared" si="12"/>
        <v>$M(2015)</v>
      </c>
    </row>
    <row r="90" spans="1:15" ht="13.5" thickBot="1" x14ac:dyDescent="0.35">
      <c r="A90" s="2" t="str">
        <f>"Global "&amp;I_2_NAME</f>
        <v>Global Non-econ</v>
      </c>
      <c r="B90" s="42">
        <f ca="1">SUM(B82:B89)</f>
        <v>0</v>
      </c>
      <c r="C90" s="42">
        <f t="shared" ref="C90:K90" ca="1" si="13">SUM(C82:C89)</f>
        <v>0</v>
      </c>
      <c r="D90" s="42">
        <f t="shared" ca="1" si="13"/>
        <v>0</v>
      </c>
      <c r="E90" s="42">
        <f t="shared" ca="1" si="13"/>
        <v>0</v>
      </c>
      <c r="F90" s="42">
        <f t="shared" ca="1" si="13"/>
        <v>0</v>
      </c>
      <c r="G90" s="42">
        <f t="shared" ca="1" si="13"/>
        <v>0</v>
      </c>
      <c r="H90" s="42">
        <f t="shared" ca="1" si="13"/>
        <v>0</v>
      </c>
      <c r="I90" s="42">
        <f t="shared" ca="1" si="13"/>
        <v>0</v>
      </c>
      <c r="J90" s="42">
        <f t="shared" ca="1" si="13"/>
        <v>0</v>
      </c>
      <c r="K90" s="42">
        <f t="shared" ca="1" si="13"/>
        <v>0</v>
      </c>
      <c r="L90" s="1"/>
      <c r="M90" s="4" t="str">
        <f t="shared" si="12"/>
        <v>$M(2015)</v>
      </c>
    </row>
    <row r="91" spans="1:15" s="2" customFormat="1" ht="15.5" thickTop="1" x14ac:dyDescent="0.4">
      <c r="A91" s="2" t="s">
        <v>374</v>
      </c>
      <c r="B91" s="2" t="s">
        <v>380</v>
      </c>
    </row>
    <row r="92" spans="1:15" ht="13" x14ac:dyDescent="0.3">
      <c r="A92" t="str">
        <f t="array" ref="A92:A99">R_CODE&amp;" "&amp;I_2_NAME</f>
        <v>EU Non-econ</v>
      </c>
      <c r="B92" s="223">
        <f t="array" ref="B92:K99" ca="1">imp_2_b*CI_2*GDP_B/100*impmax_2_b*AUTOFAC</f>
        <v>0</v>
      </c>
      <c r="C92" s="223">
        <f ca="1"/>
        <v>0</v>
      </c>
      <c r="D92" s="223">
        <f ca="1"/>
        <v>0</v>
      </c>
      <c r="E92" s="223">
        <f ca="1"/>
        <v>0</v>
      </c>
      <c r="F92" s="223">
        <f ca="1"/>
        <v>0</v>
      </c>
      <c r="G92" s="223">
        <f ca="1"/>
        <v>0</v>
      </c>
      <c r="H92" s="223">
        <f ca="1"/>
        <v>0</v>
      </c>
      <c r="I92" s="223">
        <f ca="1"/>
        <v>0</v>
      </c>
      <c r="J92" s="223">
        <f ca="1"/>
        <v>0</v>
      </c>
      <c r="K92" s="223">
        <f ca="1"/>
        <v>0</v>
      </c>
      <c r="M92" s="4" t="str">
        <f t="shared" ref="M92:M100" si="14">CURRENCY_NAME</f>
        <v>$M(2015)</v>
      </c>
      <c r="O92" s="173" t="s">
        <v>1049</v>
      </c>
    </row>
    <row r="93" spans="1:15" x14ac:dyDescent="0.25">
      <c r="A93" t="str">
        <v>US Non-econ</v>
      </c>
      <c r="B93" s="224">
        <f ca="1"/>
        <v>0</v>
      </c>
      <c r="C93" s="224">
        <f ca="1"/>
        <v>0</v>
      </c>
      <c r="D93" s="224">
        <f ca="1"/>
        <v>0</v>
      </c>
      <c r="E93" s="224">
        <f ca="1"/>
        <v>0</v>
      </c>
      <c r="F93" s="224">
        <f ca="1"/>
        <v>0</v>
      </c>
      <c r="G93" s="224">
        <f ca="1"/>
        <v>0</v>
      </c>
      <c r="H93" s="224">
        <f ca="1"/>
        <v>0</v>
      </c>
      <c r="I93" s="224">
        <f ca="1"/>
        <v>0</v>
      </c>
      <c r="J93" s="224">
        <f ca="1"/>
        <v>0</v>
      </c>
      <c r="K93" s="224">
        <f ca="1"/>
        <v>0</v>
      </c>
      <c r="M93" s="4" t="str">
        <f t="shared" si="14"/>
        <v>$M(2015)</v>
      </c>
    </row>
    <row r="94" spans="1:15" x14ac:dyDescent="0.25">
      <c r="A94" t="str">
        <v>OT Non-econ</v>
      </c>
      <c r="B94" s="224">
        <f ca="1"/>
        <v>0</v>
      </c>
      <c r="C94" s="224">
        <f ca="1"/>
        <v>0</v>
      </c>
      <c r="D94" s="224">
        <f ca="1"/>
        <v>0</v>
      </c>
      <c r="E94" s="224">
        <f ca="1"/>
        <v>0</v>
      </c>
      <c r="F94" s="224">
        <f ca="1"/>
        <v>0</v>
      </c>
      <c r="G94" s="224">
        <f ca="1"/>
        <v>0</v>
      </c>
      <c r="H94" s="224">
        <f ca="1"/>
        <v>0</v>
      </c>
      <c r="I94" s="224">
        <f ca="1"/>
        <v>0</v>
      </c>
      <c r="J94" s="224">
        <f ca="1"/>
        <v>0</v>
      </c>
      <c r="K94" s="224">
        <f ca="1"/>
        <v>0</v>
      </c>
      <c r="M94" s="4" t="str">
        <f t="shared" si="14"/>
        <v>$M(2015)</v>
      </c>
    </row>
    <row r="95" spans="1:15" x14ac:dyDescent="0.25">
      <c r="A95" t="str">
        <v>EE Non-econ</v>
      </c>
      <c r="B95" s="224">
        <f ca="1"/>
        <v>0</v>
      </c>
      <c r="C95" s="224">
        <f ca="1"/>
        <v>0</v>
      </c>
      <c r="D95" s="224">
        <f ca="1"/>
        <v>0</v>
      </c>
      <c r="E95" s="224">
        <f ca="1"/>
        <v>0</v>
      </c>
      <c r="F95" s="224">
        <f ca="1"/>
        <v>0</v>
      </c>
      <c r="G95" s="224">
        <f ca="1"/>
        <v>0</v>
      </c>
      <c r="H95" s="224">
        <f ca="1"/>
        <v>0</v>
      </c>
      <c r="I95" s="224">
        <f ca="1"/>
        <v>0</v>
      </c>
      <c r="J95" s="224">
        <f ca="1"/>
        <v>0</v>
      </c>
      <c r="K95" s="224">
        <f ca="1"/>
        <v>0</v>
      </c>
      <c r="M95" s="4" t="str">
        <f t="shared" si="14"/>
        <v>$M(2015)</v>
      </c>
    </row>
    <row r="96" spans="1:15" x14ac:dyDescent="0.25">
      <c r="A96" t="str">
        <v>CA Non-econ</v>
      </c>
      <c r="B96" s="224">
        <f ca="1"/>
        <v>0</v>
      </c>
      <c r="C96" s="224">
        <f ca="1"/>
        <v>0</v>
      </c>
      <c r="D96" s="224">
        <f ca="1"/>
        <v>0</v>
      </c>
      <c r="E96" s="224">
        <f ca="1"/>
        <v>0</v>
      </c>
      <c r="F96" s="224">
        <f ca="1"/>
        <v>0</v>
      </c>
      <c r="G96" s="224">
        <f ca="1"/>
        <v>0</v>
      </c>
      <c r="H96" s="224">
        <f ca="1"/>
        <v>0</v>
      </c>
      <c r="I96" s="224">
        <f ca="1"/>
        <v>0</v>
      </c>
      <c r="J96" s="224">
        <f ca="1"/>
        <v>0</v>
      </c>
      <c r="K96" s="224">
        <f ca="1"/>
        <v>0</v>
      </c>
      <c r="M96" s="4" t="str">
        <f t="shared" si="14"/>
        <v>$M(2015)</v>
      </c>
    </row>
    <row r="97" spans="1:13" x14ac:dyDescent="0.25">
      <c r="A97" t="str">
        <v>IA Non-econ</v>
      </c>
      <c r="B97" s="224">
        <f ca="1"/>
        <v>0</v>
      </c>
      <c r="C97" s="224">
        <f ca="1"/>
        <v>0</v>
      </c>
      <c r="D97" s="224">
        <f ca="1"/>
        <v>0</v>
      </c>
      <c r="E97" s="224">
        <f ca="1"/>
        <v>0</v>
      </c>
      <c r="F97" s="224">
        <f ca="1"/>
        <v>0</v>
      </c>
      <c r="G97" s="224">
        <f ca="1"/>
        <v>0</v>
      </c>
      <c r="H97" s="224">
        <f ca="1"/>
        <v>0</v>
      </c>
      <c r="I97" s="224">
        <f ca="1"/>
        <v>0</v>
      </c>
      <c r="J97" s="224">
        <f ca="1"/>
        <v>0</v>
      </c>
      <c r="K97" s="224">
        <f ca="1"/>
        <v>0</v>
      </c>
      <c r="M97" s="4" t="str">
        <f t="shared" si="14"/>
        <v>$M(2015)</v>
      </c>
    </row>
    <row r="98" spans="1:13" x14ac:dyDescent="0.25">
      <c r="A98" t="str">
        <v>AF Non-econ</v>
      </c>
      <c r="B98" s="224">
        <f ca="1"/>
        <v>0</v>
      </c>
      <c r="C98" s="224">
        <f ca="1"/>
        <v>0</v>
      </c>
      <c r="D98" s="224">
        <f ca="1"/>
        <v>0</v>
      </c>
      <c r="E98" s="224">
        <f ca="1"/>
        <v>0</v>
      </c>
      <c r="F98" s="224">
        <f ca="1"/>
        <v>0</v>
      </c>
      <c r="G98" s="224">
        <f ca="1"/>
        <v>0</v>
      </c>
      <c r="H98" s="224">
        <f ca="1"/>
        <v>0</v>
      </c>
      <c r="I98" s="224">
        <f ca="1"/>
        <v>0</v>
      </c>
      <c r="J98" s="224">
        <f ca="1"/>
        <v>0</v>
      </c>
      <c r="K98" s="224">
        <f ca="1"/>
        <v>0</v>
      </c>
      <c r="M98" s="4" t="str">
        <f t="shared" si="14"/>
        <v>$M(2015)</v>
      </c>
    </row>
    <row r="99" spans="1:13" x14ac:dyDescent="0.25">
      <c r="A99" t="str">
        <v>LA Non-econ</v>
      </c>
      <c r="B99" s="224">
        <f ca="1"/>
        <v>0</v>
      </c>
      <c r="C99" s="224">
        <f ca="1"/>
        <v>0</v>
      </c>
      <c r="D99" s="224">
        <f ca="1"/>
        <v>0</v>
      </c>
      <c r="E99" s="224">
        <f ca="1"/>
        <v>0</v>
      </c>
      <c r="F99" s="224">
        <f ca="1"/>
        <v>0</v>
      </c>
      <c r="G99" s="224">
        <f ca="1"/>
        <v>0</v>
      </c>
      <c r="H99" s="224">
        <f ca="1"/>
        <v>0</v>
      </c>
      <c r="I99" s="224">
        <f ca="1"/>
        <v>0</v>
      </c>
      <c r="J99" s="224">
        <f ca="1"/>
        <v>0</v>
      </c>
      <c r="K99" s="224">
        <f ca="1"/>
        <v>0</v>
      </c>
      <c r="M99" s="4" t="str">
        <f t="shared" si="14"/>
        <v>$M(2015)</v>
      </c>
    </row>
    <row r="100" spans="1:13" ht="13.5" thickBot="1" x14ac:dyDescent="0.35">
      <c r="A100" s="2" t="str">
        <f>"Global "&amp;I_2_NAME</f>
        <v>Global Non-econ</v>
      </c>
      <c r="B100" s="42">
        <f t="shared" ref="B100:K100" ca="1" si="15">SUM(B92:B99)</f>
        <v>0</v>
      </c>
      <c r="C100" s="42">
        <f t="shared" ca="1" si="15"/>
        <v>0</v>
      </c>
      <c r="D100" s="42">
        <f t="shared" ca="1" si="15"/>
        <v>0</v>
      </c>
      <c r="E100" s="42">
        <f t="shared" ca="1" si="15"/>
        <v>0</v>
      </c>
      <c r="F100" s="42">
        <f t="shared" ca="1" si="15"/>
        <v>0</v>
      </c>
      <c r="G100" s="42">
        <f t="shared" ca="1" si="15"/>
        <v>0</v>
      </c>
      <c r="H100" s="42">
        <f t="shared" ca="1" si="15"/>
        <v>0</v>
      </c>
      <c r="I100" s="42">
        <f t="shared" ca="1" si="15"/>
        <v>0</v>
      </c>
      <c r="J100" s="42">
        <f t="shared" ca="1" si="15"/>
        <v>0</v>
      </c>
      <c r="K100" s="42">
        <f t="shared" ca="1" si="15"/>
        <v>0</v>
      </c>
      <c r="L100" s="1"/>
      <c r="M100" s="4" t="str">
        <f t="shared" si="14"/>
        <v>$M(2015)</v>
      </c>
    </row>
    <row r="101" spans="1:13" ht="15.5" thickTop="1" x14ac:dyDescent="0.4">
      <c r="A101" s="44" t="s">
        <v>112</v>
      </c>
      <c r="B101" s="2" t="s">
        <v>96</v>
      </c>
      <c r="C101" s="1"/>
      <c r="D101" s="1"/>
      <c r="E101" s="1"/>
      <c r="F101" s="1"/>
      <c r="G101" s="1"/>
      <c r="H101" s="1"/>
      <c r="I101" s="1"/>
      <c r="J101" s="1"/>
      <c r="K101" s="1"/>
      <c r="L101" s="1"/>
      <c r="M101" s="1"/>
    </row>
    <row r="102" spans="1:13" x14ac:dyDescent="0.25">
      <c r="A102" t="str">
        <f t="array" ref="A102:A109">R_CODE&amp;" "&amp;I_2_NAME</f>
        <v>EU Non-econ</v>
      </c>
      <c r="B102" s="28">
        <f t="array" aca="1" ref="B102:K109" ca="1">acp_2_b+aci_2_b</f>
        <v>0</v>
      </c>
      <c r="C102" s="28">
        <f ca="1"/>
        <v>0</v>
      </c>
      <c r="D102" s="28">
        <f ca="1"/>
        <v>0</v>
      </c>
      <c r="E102" s="28">
        <f ca="1"/>
        <v>0</v>
      </c>
      <c r="F102" s="28">
        <f ca="1"/>
        <v>0</v>
      </c>
      <c r="G102" s="28">
        <f ca="1"/>
        <v>0</v>
      </c>
      <c r="H102" s="28">
        <f ca="1"/>
        <v>0</v>
      </c>
      <c r="I102" s="28">
        <f ca="1"/>
        <v>0</v>
      </c>
      <c r="J102" s="28">
        <f ca="1"/>
        <v>0</v>
      </c>
      <c r="K102" s="28">
        <f ca="1"/>
        <v>0</v>
      </c>
      <c r="L102" s="1"/>
      <c r="M102" s="4" t="str">
        <f t="shared" ref="M102:M110" si="16">CURRENCY_NAME</f>
        <v>$M(2015)</v>
      </c>
    </row>
    <row r="103" spans="1:13" x14ac:dyDescent="0.25">
      <c r="A103" t="str">
        <v>US Non-econ</v>
      </c>
      <c r="B103" s="28">
        <f ca="1"/>
        <v>0</v>
      </c>
      <c r="C103" s="28">
        <f ca="1"/>
        <v>0</v>
      </c>
      <c r="D103" s="28">
        <f ca="1"/>
        <v>0</v>
      </c>
      <c r="E103" s="28">
        <f ca="1"/>
        <v>0</v>
      </c>
      <c r="F103" s="28">
        <f ca="1"/>
        <v>0</v>
      </c>
      <c r="G103" s="28">
        <f ca="1"/>
        <v>0</v>
      </c>
      <c r="H103" s="28">
        <f ca="1"/>
        <v>0</v>
      </c>
      <c r="I103" s="28">
        <f ca="1"/>
        <v>0</v>
      </c>
      <c r="J103" s="28">
        <f ca="1"/>
        <v>0</v>
      </c>
      <c r="K103" s="28">
        <f ca="1"/>
        <v>0</v>
      </c>
      <c r="L103" s="1"/>
      <c r="M103" s="4" t="str">
        <f t="shared" si="16"/>
        <v>$M(2015)</v>
      </c>
    </row>
    <row r="104" spans="1:13" x14ac:dyDescent="0.25">
      <c r="A104" t="str">
        <v>OT Non-econ</v>
      </c>
      <c r="B104" s="28">
        <f ca="1"/>
        <v>0</v>
      </c>
      <c r="C104" s="28">
        <f ca="1"/>
        <v>0</v>
      </c>
      <c r="D104" s="28">
        <f ca="1"/>
        <v>0</v>
      </c>
      <c r="E104" s="28">
        <f ca="1"/>
        <v>0</v>
      </c>
      <c r="F104" s="28">
        <f ca="1"/>
        <v>0</v>
      </c>
      <c r="G104" s="28">
        <f ca="1"/>
        <v>0</v>
      </c>
      <c r="H104" s="28">
        <f ca="1"/>
        <v>0</v>
      </c>
      <c r="I104" s="28">
        <f ca="1"/>
        <v>0</v>
      </c>
      <c r="J104" s="28">
        <f ca="1"/>
        <v>0</v>
      </c>
      <c r="K104" s="28">
        <f ca="1"/>
        <v>0</v>
      </c>
      <c r="L104" s="1"/>
      <c r="M104" s="4" t="str">
        <f t="shared" si="16"/>
        <v>$M(2015)</v>
      </c>
    </row>
    <row r="105" spans="1:13" x14ac:dyDescent="0.25">
      <c r="A105" t="str">
        <v>EE Non-econ</v>
      </c>
      <c r="B105" s="28">
        <f ca="1"/>
        <v>0</v>
      </c>
      <c r="C105" s="28">
        <f ca="1"/>
        <v>0</v>
      </c>
      <c r="D105" s="28">
        <f ca="1"/>
        <v>0</v>
      </c>
      <c r="E105" s="28">
        <f ca="1"/>
        <v>0</v>
      </c>
      <c r="F105" s="28">
        <f ca="1"/>
        <v>0</v>
      </c>
      <c r="G105" s="28">
        <f ca="1"/>
        <v>0</v>
      </c>
      <c r="H105" s="28">
        <f ca="1"/>
        <v>0</v>
      </c>
      <c r="I105" s="28">
        <f ca="1"/>
        <v>0</v>
      </c>
      <c r="J105" s="28">
        <f ca="1"/>
        <v>0</v>
      </c>
      <c r="K105" s="28">
        <f ca="1"/>
        <v>0</v>
      </c>
      <c r="L105" s="1"/>
      <c r="M105" s="4" t="str">
        <f t="shared" si="16"/>
        <v>$M(2015)</v>
      </c>
    </row>
    <row r="106" spans="1:13" x14ac:dyDescent="0.25">
      <c r="A106" t="str">
        <v>CA Non-econ</v>
      </c>
      <c r="B106" s="28">
        <f ca="1"/>
        <v>0</v>
      </c>
      <c r="C106" s="28">
        <f ca="1"/>
        <v>0</v>
      </c>
      <c r="D106" s="28">
        <f ca="1"/>
        <v>0</v>
      </c>
      <c r="E106" s="28">
        <f ca="1"/>
        <v>0</v>
      </c>
      <c r="F106" s="28">
        <f ca="1"/>
        <v>0</v>
      </c>
      <c r="G106" s="28">
        <f ca="1"/>
        <v>0</v>
      </c>
      <c r="H106" s="28">
        <f ca="1"/>
        <v>0</v>
      </c>
      <c r="I106" s="28">
        <f ca="1"/>
        <v>0</v>
      </c>
      <c r="J106" s="28">
        <f ca="1"/>
        <v>0</v>
      </c>
      <c r="K106" s="28">
        <f ca="1"/>
        <v>0</v>
      </c>
      <c r="L106" s="1"/>
      <c r="M106" s="4" t="str">
        <f t="shared" si="16"/>
        <v>$M(2015)</v>
      </c>
    </row>
    <row r="107" spans="1:13" x14ac:dyDescent="0.25">
      <c r="A107" t="str">
        <v>IA Non-econ</v>
      </c>
      <c r="B107" s="28">
        <f ca="1"/>
        <v>0</v>
      </c>
      <c r="C107" s="28">
        <f ca="1"/>
        <v>0</v>
      </c>
      <c r="D107" s="28">
        <f ca="1"/>
        <v>0</v>
      </c>
      <c r="E107" s="28">
        <f ca="1"/>
        <v>0</v>
      </c>
      <c r="F107" s="28">
        <f ca="1"/>
        <v>0</v>
      </c>
      <c r="G107" s="28">
        <f ca="1"/>
        <v>0</v>
      </c>
      <c r="H107" s="28">
        <f ca="1"/>
        <v>0</v>
      </c>
      <c r="I107" s="28">
        <f ca="1"/>
        <v>0</v>
      </c>
      <c r="J107" s="28">
        <f ca="1"/>
        <v>0</v>
      </c>
      <c r="K107" s="28">
        <f ca="1"/>
        <v>0</v>
      </c>
      <c r="L107" s="1"/>
      <c r="M107" s="4" t="str">
        <f t="shared" si="16"/>
        <v>$M(2015)</v>
      </c>
    </row>
    <row r="108" spans="1:13" x14ac:dyDescent="0.25">
      <c r="A108" t="str">
        <v>AF Non-econ</v>
      </c>
      <c r="B108" s="28">
        <f ca="1"/>
        <v>0</v>
      </c>
      <c r="C108" s="28">
        <f ca="1"/>
        <v>0</v>
      </c>
      <c r="D108" s="28">
        <f ca="1"/>
        <v>0</v>
      </c>
      <c r="E108" s="28">
        <f ca="1"/>
        <v>0</v>
      </c>
      <c r="F108" s="28">
        <f ca="1"/>
        <v>0</v>
      </c>
      <c r="G108" s="28">
        <f ca="1"/>
        <v>0</v>
      </c>
      <c r="H108" s="28">
        <f ca="1"/>
        <v>0</v>
      </c>
      <c r="I108" s="28">
        <f ca="1"/>
        <v>0</v>
      </c>
      <c r="J108" s="28">
        <f ca="1"/>
        <v>0</v>
      </c>
      <c r="K108" s="28">
        <f ca="1"/>
        <v>0</v>
      </c>
      <c r="L108" s="1"/>
      <c r="M108" s="4" t="str">
        <f t="shared" si="16"/>
        <v>$M(2015)</v>
      </c>
    </row>
    <row r="109" spans="1:13" x14ac:dyDescent="0.25">
      <c r="A109" t="str">
        <v>LA Non-econ</v>
      </c>
      <c r="B109" s="28">
        <f ca="1"/>
        <v>0</v>
      </c>
      <c r="C109" s="28">
        <f ca="1"/>
        <v>0</v>
      </c>
      <c r="D109" s="28">
        <f ca="1"/>
        <v>0</v>
      </c>
      <c r="E109" s="28">
        <f ca="1"/>
        <v>0</v>
      </c>
      <c r="F109" s="28">
        <f ca="1"/>
        <v>0</v>
      </c>
      <c r="G109" s="28">
        <f ca="1"/>
        <v>0</v>
      </c>
      <c r="H109" s="28">
        <f ca="1"/>
        <v>0</v>
      </c>
      <c r="I109" s="28">
        <f ca="1"/>
        <v>0</v>
      </c>
      <c r="J109" s="28">
        <f ca="1"/>
        <v>0</v>
      </c>
      <c r="K109" s="28">
        <f ca="1"/>
        <v>0</v>
      </c>
      <c r="L109" s="1"/>
      <c r="M109" s="4" t="str">
        <f t="shared" si="16"/>
        <v>$M(2015)</v>
      </c>
    </row>
    <row r="110" spans="1:13" ht="13.5" thickBot="1" x14ac:dyDescent="0.35">
      <c r="A110" s="2" t="str">
        <f>"Global "&amp;I_2_NAME</f>
        <v>Global Non-econ</v>
      </c>
      <c r="B110" s="42">
        <f t="shared" ref="B110:K110" ca="1" si="17">SUM(B102:B109)</f>
        <v>0</v>
      </c>
      <c r="C110" s="42">
        <f t="shared" ca="1" si="17"/>
        <v>0</v>
      </c>
      <c r="D110" s="42">
        <f t="shared" ca="1" si="17"/>
        <v>0</v>
      </c>
      <c r="E110" s="42">
        <f t="shared" ca="1" si="17"/>
        <v>0</v>
      </c>
      <c r="F110" s="42">
        <f t="shared" ca="1" si="17"/>
        <v>0</v>
      </c>
      <c r="G110" s="42">
        <f t="shared" ca="1" si="17"/>
        <v>0</v>
      </c>
      <c r="H110" s="42">
        <f t="shared" ca="1" si="17"/>
        <v>0</v>
      </c>
      <c r="I110" s="42">
        <f t="shared" ca="1" si="17"/>
        <v>0</v>
      </c>
      <c r="J110" s="42">
        <f t="shared" ca="1" si="17"/>
        <v>0</v>
      </c>
      <c r="K110" s="42">
        <f t="shared" ca="1" si="17"/>
        <v>0</v>
      </c>
      <c r="L110" s="1"/>
      <c r="M110" s="4" t="str">
        <f t="shared" si="16"/>
        <v>$M(2015)</v>
      </c>
    </row>
    <row r="111" spans="1:13" ht="15.5" thickTop="1" x14ac:dyDescent="0.4">
      <c r="A111" s="44" t="s">
        <v>109</v>
      </c>
      <c r="B111" s="2" t="s">
        <v>382</v>
      </c>
      <c r="C111" s="1"/>
      <c r="D111" s="1"/>
      <c r="E111" s="1"/>
      <c r="F111" s="1"/>
      <c r="G111" s="1"/>
      <c r="H111" s="1"/>
      <c r="I111" s="1"/>
      <c r="J111" s="1"/>
      <c r="K111" s="1"/>
      <c r="L111" s="1"/>
      <c r="M111" s="1"/>
    </row>
    <row r="112" spans="1:13" x14ac:dyDescent="0.25">
      <c r="A112" t="str">
        <f t="array" ref="A112:A119">R_CODE</f>
        <v>EU</v>
      </c>
      <c r="B112" s="28">
        <f t="array" ref="B112:K119" ca="1">ac_s_b+ac_1_b+ac_2_b</f>
        <v>426.1303562069221</v>
      </c>
      <c r="C112" s="28">
        <f ca="1"/>
        <v>3073.778428421002</v>
      </c>
      <c r="D112" s="28">
        <f ca="1"/>
        <v>6372.1447096363499</v>
      </c>
      <c r="E112" s="28">
        <f ca="1"/>
        <v>10373.472142247489</v>
      </c>
      <c r="F112" s="28">
        <f ca="1"/>
        <v>20888.824502244515</v>
      </c>
      <c r="G112" s="28">
        <f ca="1"/>
        <v>25859.771328454939</v>
      </c>
      <c r="H112" s="28">
        <f ca="1"/>
        <v>38380.097856451357</v>
      </c>
      <c r="I112" s="28">
        <f ca="1"/>
        <v>50823.878162277106</v>
      </c>
      <c r="J112" s="28">
        <f ca="1"/>
        <v>61260.666848457869</v>
      </c>
      <c r="K112" s="28">
        <f ca="1"/>
        <v>68330.307352737349</v>
      </c>
      <c r="L112" s="1"/>
      <c r="M112" s="4" t="str">
        <f t="shared" ref="M112:M120" si="18">CURRENCY_NAME</f>
        <v>$M(2015)</v>
      </c>
    </row>
    <row r="113" spans="1:13" x14ac:dyDescent="0.25">
      <c r="A113" t="str">
        <v>US</v>
      </c>
      <c r="B113" s="28">
        <f ca="1"/>
        <v>348.39981823986346</v>
      </c>
      <c r="C113" s="28">
        <f ca="1"/>
        <v>2649.9550297637279</v>
      </c>
      <c r="D113" s="28">
        <f ca="1"/>
        <v>5515.1803033156139</v>
      </c>
      <c r="E113" s="28">
        <f ca="1"/>
        <v>8934.3065326181459</v>
      </c>
      <c r="F113" s="28">
        <f ca="1"/>
        <v>18079.635282426476</v>
      </c>
      <c r="G113" s="28">
        <f ca="1"/>
        <v>22827.873968626249</v>
      </c>
      <c r="H113" s="28">
        <f ca="1"/>
        <v>35710.218360993596</v>
      </c>
      <c r="I113" s="28">
        <f ca="1"/>
        <v>52037.417526088109</v>
      </c>
      <c r="J113" s="28">
        <f ca="1"/>
        <v>71143.455201006</v>
      </c>
      <c r="K113" s="28">
        <f ca="1"/>
        <v>91842.015080389858</v>
      </c>
      <c r="L113" s="1"/>
      <c r="M113" s="4" t="str">
        <f t="shared" si="18"/>
        <v>$M(2015)</v>
      </c>
    </row>
    <row r="114" spans="1:13" x14ac:dyDescent="0.25">
      <c r="A114" t="str">
        <v>OT</v>
      </c>
      <c r="B114" s="28">
        <f ca="1"/>
        <v>190.92154730639442</v>
      </c>
      <c r="C114" s="28">
        <f ca="1"/>
        <v>1428.1648855913102</v>
      </c>
      <c r="D114" s="28">
        <f ca="1"/>
        <v>2960.6796755626842</v>
      </c>
      <c r="E114" s="28">
        <f ca="1"/>
        <v>4782.0005568497554</v>
      </c>
      <c r="F114" s="28">
        <f ca="1"/>
        <v>9211.4892676868621</v>
      </c>
      <c r="G114" s="28">
        <f ca="1"/>
        <v>10562.986254713416</v>
      </c>
      <c r="H114" s="28">
        <f ca="1"/>
        <v>13129.795222428558</v>
      </c>
      <c r="I114" s="28">
        <f ca="1"/>
        <v>13751.240387210662</v>
      </c>
      <c r="J114" s="28">
        <f ca="1"/>
        <v>12913.456670871408</v>
      </c>
      <c r="K114" s="28">
        <f ca="1"/>
        <v>11313.360818879215</v>
      </c>
      <c r="L114" s="1"/>
      <c r="M114" s="4" t="str">
        <f t="shared" si="18"/>
        <v>$M(2015)</v>
      </c>
    </row>
    <row r="115" spans="1:13" x14ac:dyDescent="0.25">
      <c r="A115" t="str">
        <v>EE</v>
      </c>
      <c r="B115" s="28">
        <f ca="1"/>
        <v>46.567259950288289</v>
      </c>
      <c r="C115" s="28">
        <f ca="1"/>
        <v>421.02051425074228</v>
      </c>
      <c r="D115" s="28">
        <f ca="1"/>
        <v>991.03690722922329</v>
      </c>
      <c r="E115" s="28">
        <f ca="1"/>
        <v>1637.322322496593</v>
      </c>
      <c r="F115" s="28">
        <f ca="1"/>
        <v>3039.2765655987387</v>
      </c>
      <c r="G115" s="28">
        <f ca="1"/>
        <v>3251.6484696873122</v>
      </c>
      <c r="H115" s="28">
        <f ca="1"/>
        <v>3461.9800634937801</v>
      </c>
      <c r="I115" s="28">
        <f ca="1"/>
        <v>3085.7478902272846</v>
      </c>
      <c r="J115" s="28">
        <f ca="1"/>
        <v>2544.3946860011974</v>
      </c>
      <c r="K115" s="28">
        <f ca="1"/>
        <v>2027.767298054096</v>
      </c>
      <c r="L115" s="1"/>
      <c r="M115" s="4" t="str">
        <f t="shared" si="18"/>
        <v>$M(2015)</v>
      </c>
    </row>
    <row r="116" spans="1:13" x14ac:dyDescent="0.25">
      <c r="A116" t="str">
        <v>CA</v>
      </c>
      <c r="B116" s="28">
        <f ca="1"/>
        <v>222.90882356622993</v>
      </c>
      <c r="C116" s="28">
        <f ca="1"/>
        <v>1820.6937126017074</v>
      </c>
      <c r="D116" s="28">
        <f ca="1"/>
        <v>4539.1881372611342</v>
      </c>
      <c r="E116" s="28">
        <f ca="1"/>
        <v>7796.5774416699405</v>
      </c>
      <c r="F116" s="28">
        <f ca="1"/>
        <v>14240.138076251669</v>
      </c>
      <c r="G116" s="28">
        <f ca="1"/>
        <v>16007.752178082797</v>
      </c>
      <c r="H116" s="28">
        <f ca="1"/>
        <v>11997.030309635444</v>
      </c>
      <c r="I116" s="28">
        <f ca="1"/>
        <v>8991.1896841689759</v>
      </c>
      <c r="J116" s="28">
        <f ca="1"/>
        <v>6738.4585893542799</v>
      </c>
      <c r="K116" s="28">
        <f ca="1"/>
        <v>5050.1463939073019</v>
      </c>
      <c r="L116" s="1"/>
      <c r="M116" s="4" t="str">
        <f t="shared" si="18"/>
        <v>$M(2015)</v>
      </c>
    </row>
    <row r="117" spans="1:13" x14ac:dyDescent="0.25">
      <c r="A117" t="str">
        <v>IA</v>
      </c>
      <c r="B117" s="28">
        <f ca="1"/>
        <v>157.32439393512314</v>
      </c>
      <c r="C117" s="28">
        <f ca="1"/>
        <v>1271.7831553632884</v>
      </c>
      <c r="D117" s="28">
        <f ca="1"/>
        <v>3683.5764094530032</v>
      </c>
      <c r="E117" s="28">
        <f ca="1"/>
        <v>7774.848576411172</v>
      </c>
      <c r="F117" s="28">
        <f ca="1"/>
        <v>24322.564370450116</v>
      </c>
      <c r="G117" s="28">
        <f ca="1"/>
        <v>39681.580825992998</v>
      </c>
      <c r="H117" s="28">
        <f ca="1"/>
        <v>51023.535316225476</v>
      </c>
      <c r="I117" s="28">
        <f ca="1"/>
        <v>45031.060374056455</v>
      </c>
      <c r="J117" s="28">
        <f ca="1"/>
        <v>36109.383232538472</v>
      </c>
      <c r="K117" s="28">
        <f ca="1"/>
        <v>28259.190956970764</v>
      </c>
      <c r="L117" s="1"/>
      <c r="M117" s="4" t="str">
        <f t="shared" si="18"/>
        <v>$M(2015)</v>
      </c>
    </row>
    <row r="118" spans="1:13" x14ac:dyDescent="0.25">
      <c r="A118" t="str">
        <v>AF</v>
      </c>
      <c r="B118" s="28">
        <f ca="1"/>
        <v>65.063916925493857</v>
      </c>
      <c r="C118" s="28">
        <f ca="1"/>
        <v>458.45594256560469</v>
      </c>
      <c r="D118" s="28">
        <f ca="1"/>
        <v>1284.4653550344738</v>
      </c>
      <c r="E118" s="28">
        <f ca="1"/>
        <v>2895.6455081755566</v>
      </c>
      <c r="F118" s="28">
        <f ca="1"/>
        <v>13845.327383693351</v>
      </c>
      <c r="G118" s="28">
        <f ca="1"/>
        <v>34895.276772735553</v>
      </c>
      <c r="H118" s="28">
        <f ca="1"/>
        <v>101701.41216683169</v>
      </c>
      <c r="I118" s="28">
        <f ca="1"/>
        <v>151004.26047767565</v>
      </c>
      <c r="J118" s="28">
        <f ca="1"/>
        <v>160908.2166463568</v>
      </c>
      <c r="K118" s="28">
        <f ca="1"/>
        <v>145767.79401000831</v>
      </c>
      <c r="L118" s="1"/>
      <c r="M118" s="4" t="str">
        <f t="shared" si="18"/>
        <v>$M(2015)</v>
      </c>
    </row>
    <row r="119" spans="1:13" x14ac:dyDescent="0.25">
      <c r="A119" t="str">
        <v>LA</v>
      </c>
      <c r="B119" s="28">
        <f ca="1"/>
        <v>67.818249185647446</v>
      </c>
      <c r="C119" s="28">
        <f ca="1"/>
        <v>429.60882935137977</v>
      </c>
      <c r="D119" s="28">
        <f ca="1"/>
        <v>1033.5360611188867</v>
      </c>
      <c r="E119" s="28">
        <f ca="1"/>
        <v>1930.2272623840704</v>
      </c>
      <c r="F119" s="28">
        <f ca="1"/>
        <v>5437.9263524495182</v>
      </c>
      <c r="G119" s="28">
        <f ca="1"/>
        <v>9070.7357510545971</v>
      </c>
      <c r="H119" s="28">
        <f ca="1"/>
        <v>12827.697237533373</v>
      </c>
      <c r="I119" s="28">
        <f ca="1"/>
        <v>12650.839902875614</v>
      </c>
      <c r="J119" s="28">
        <f ca="1"/>
        <v>10802.065002216266</v>
      </c>
      <c r="K119" s="28">
        <f ca="1"/>
        <v>8708.614007543094</v>
      </c>
      <c r="L119" s="1"/>
      <c r="M119" s="4" t="str">
        <f t="shared" si="18"/>
        <v>$M(2015)</v>
      </c>
    </row>
    <row r="120" spans="1:13" ht="13.5" thickBot="1" x14ac:dyDescent="0.35">
      <c r="A120" s="2" t="s">
        <v>206</v>
      </c>
      <c r="B120" s="42">
        <f t="shared" ref="B120:K120" ca="1" si="19">SUM(B112:B119)</f>
        <v>1525.1343653159627</v>
      </c>
      <c r="C120" s="42">
        <f t="shared" ca="1" si="19"/>
        <v>11553.460497908762</v>
      </c>
      <c r="D120" s="42">
        <f t="shared" ca="1" si="19"/>
        <v>26379.80755861137</v>
      </c>
      <c r="E120" s="42">
        <f t="shared" ca="1" si="19"/>
        <v>46124.400342852721</v>
      </c>
      <c r="F120" s="42">
        <f t="shared" ca="1" si="19"/>
        <v>109065.18180080125</v>
      </c>
      <c r="G120" s="42">
        <f t="shared" ca="1" si="19"/>
        <v>162157.62554934787</v>
      </c>
      <c r="H120" s="42">
        <f t="shared" ca="1" si="19"/>
        <v>268231.7665335933</v>
      </c>
      <c r="I120" s="42">
        <f t="shared" ca="1" si="19"/>
        <v>337375.63440457982</v>
      </c>
      <c r="J120" s="42">
        <f t="shared" ca="1" si="19"/>
        <v>362420.09687680227</v>
      </c>
      <c r="K120" s="42">
        <f t="shared" ca="1" si="19"/>
        <v>361299.19591848995</v>
      </c>
      <c r="L120" s="1"/>
      <c r="M120" s="4" t="str">
        <f t="shared" si="18"/>
        <v>$M(2015)</v>
      </c>
    </row>
    <row r="121" spans="1:13" ht="15.5" thickTop="1" x14ac:dyDescent="0.4">
      <c r="A121" s="44" t="s">
        <v>384</v>
      </c>
      <c r="B121" s="2" t="s">
        <v>386</v>
      </c>
      <c r="C121" s="1"/>
      <c r="D121" s="1"/>
      <c r="E121" s="1"/>
      <c r="F121" s="1"/>
      <c r="G121" s="1"/>
      <c r="H121" s="1"/>
      <c r="I121" s="1"/>
      <c r="J121" s="1"/>
      <c r="K121" s="1"/>
      <c r="L121" s="1"/>
      <c r="M121" s="1"/>
    </row>
    <row r="122" spans="1:13" x14ac:dyDescent="0.25">
      <c r="A122" t="str">
        <f t="array" ref="A122:A129">R_CODE</f>
        <v>EU</v>
      </c>
      <c r="B122" s="28">
        <f t="array" ref="B122:K129" ca="1">act_b/POP_B</f>
        <v>0.83841075374934326</v>
      </c>
      <c r="C122" s="28">
        <f ca="1"/>
        <v>5.9755586871826365</v>
      </c>
      <c r="D122" s="28">
        <f ca="1"/>
        <v>12.350623976802524</v>
      </c>
      <c r="E122" s="28">
        <f ca="1"/>
        <v>20.186681924444386</v>
      </c>
      <c r="F122" s="28">
        <f ca="1"/>
        <v>42.735743497992665</v>
      </c>
      <c r="G122" s="28">
        <f ca="1"/>
        <v>57.31934383775441</v>
      </c>
      <c r="H122" s="28">
        <f ca="1"/>
        <v>85.071209548550812</v>
      </c>
      <c r="I122" s="28">
        <f ca="1"/>
        <v>112.65340712221045</v>
      </c>
      <c r="J122" s="28">
        <f ca="1"/>
        <v>135.78701768925035</v>
      </c>
      <c r="K122" s="28">
        <f ca="1"/>
        <v>151.45719318025388</v>
      </c>
      <c r="L122" s="1"/>
      <c r="M122" s="1" t="str">
        <f t="shared" ref="M122:M130" si="20">CURRENCY_NAME&amp;"/"&amp;POP_UNIT_NAME</f>
        <v>$M(2015)/million</v>
      </c>
    </row>
    <row r="123" spans="1:13" x14ac:dyDescent="0.25">
      <c r="A123" t="str">
        <v>US</v>
      </c>
      <c r="B123" s="28">
        <f ca="1"/>
        <v>1.0564548386805692</v>
      </c>
      <c r="C123" s="28">
        <f ca="1"/>
        <v>7.4940539489039786</v>
      </c>
      <c r="D123" s="28">
        <f ca="1"/>
        <v>14.705843667394047</v>
      </c>
      <c r="E123" s="28">
        <f ca="1"/>
        <v>22.708832905290546</v>
      </c>
      <c r="F123" s="28">
        <f ca="1"/>
        <v>42.005611857564688</v>
      </c>
      <c r="G123" s="28">
        <f ca="1"/>
        <v>52.11774556268999</v>
      </c>
      <c r="H123" s="28">
        <f ca="1"/>
        <v>81.529102407181611</v>
      </c>
      <c r="I123" s="28">
        <f ca="1"/>
        <v>118.80532063964841</v>
      </c>
      <c r="J123" s="28">
        <f ca="1"/>
        <v>162.42583526230135</v>
      </c>
      <c r="K123" s="28">
        <f ca="1"/>
        <v>209.68219732170471</v>
      </c>
      <c r="L123" s="1"/>
      <c r="M123" s="1" t="str">
        <f t="shared" si="20"/>
        <v>$M(2015)/million</v>
      </c>
    </row>
    <row r="124" spans="1:13" x14ac:dyDescent="0.25">
      <c r="A124" t="str">
        <v>OT</v>
      </c>
      <c r="B124" s="28">
        <f ca="1"/>
        <v>0.67698924666530802</v>
      </c>
      <c r="C124" s="28">
        <f ca="1"/>
        <v>4.9639564251369563</v>
      </c>
      <c r="D124" s="28">
        <f ca="1"/>
        <v>10.249535911810705</v>
      </c>
      <c r="E124" s="28">
        <f ca="1"/>
        <v>16.72120299252531</v>
      </c>
      <c r="F124" s="28">
        <f ca="1"/>
        <v>35.248835635898807</v>
      </c>
      <c r="G124" s="28">
        <f ca="1"/>
        <v>47.101460617507769</v>
      </c>
      <c r="H124" s="28">
        <f ca="1"/>
        <v>58.547130297476563</v>
      </c>
      <c r="I124" s="28">
        <f ca="1"/>
        <v>61.318219291544281</v>
      </c>
      <c r="J124" s="28">
        <f ca="1"/>
        <v>57.582454066673854</v>
      </c>
      <c r="K124" s="28">
        <f ca="1"/>
        <v>50.447459289679081</v>
      </c>
      <c r="L124" s="1"/>
      <c r="M124" s="1" t="str">
        <f t="shared" si="20"/>
        <v>$M(2015)/million</v>
      </c>
    </row>
    <row r="125" spans="1:13" x14ac:dyDescent="0.25">
      <c r="A125" t="str">
        <v>EE</v>
      </c>
      <c r="B125" s="28">
        <f ca="1"/>
        <v>0.15183580415705</v>
      </c>
      <c r="C125" s="28">
        <f ca="1"/>
        <v>1.4033363373151233</v>
      </c>
      <c r="D125" s="28">
        <f ca="1"/>
        <v>3.4040564906524104</v>
      </c>
      <c r="E125" s="28">
        <f ca="1"/>
        <v>5.8657006267196969</v>
      </c>
      <c r="F125" s="28">
        <f ca="1"/>
        <v>12.880865503547691</v>
      </c>
      <c r="G125" s="28">
        <f ca="1"/>
        <v>16.930735063503029</v>
      </c>
      <c r="H125" s="28">
        <f ca="1"/>
        <v>18.025892957543181</v>
      </c>
      <c r="I125" s="28">
        <f ca="1"/>
        <v>16.066921282922539</v>
      </c>
      <c r="J125" s="28">
        <f ca="1"/>
        <v>13.248194793274749</v>
      </c>
      <c r="K125" s="28">
        <f ca="1"/>
        <v>10.558211077807776</v>
      </c>
      <c r="L125" s="1"/>
      <c r="M125" s="1" t="str">
        <f t="shared" si="20"/>
        <v>$M(2015)/million</v>
      </c>
    </row>
    <row r="126" spans="1:13" x14ac:dyDescent="0.25">
      <c r="A126" t="str">
        <v>CA</v>
      </c>
      <c r="B126" s="28">
        <f ca="1"/>
        <v>0.14235981565587194</v>
      </c>
      <c r="C126" s="28">
        <f ca="1"/>
        <v>1.1709495269697243</v>
      </c>
      <c r="D126" s="28">
        <f ca="1"/>
        <v>3.0265111472576254</v>
      </c>
      <c r="E126" s="28">
        <f ca="1"/>
        <v>5.5598584725870959</v>
      </c>
      <c r="F126" s="28">
        <f ca="1"/>
        <v>13.35576883138477</v>
      </c>
      <c r="G126" s="28">
        <f ca="1"/>
        <v>21.521182554639481</v>
      </c>
      <c r="H126" s="28">
        <f ca="1"/>
        <v>16.129077745263427</v>
      </c>
      <c r="I126" s="28">
        <f ca="1"/>
        <v>12.087957910875586</v>
      </c>
      <c r="J126" s="28">
        <f ca="1"/>
        <v>9.0593354910208568</v>
      </c>
      <c r="K126" s="28">
        <f ca="1"/>
        <v>6.7895305513125592</v>
      </c>
      <c r="L126" s="1"/>
      <c r="M126" s="1" t="str">
        <f t="shared" si="20"/>
        <v>$M(2015)/million</v>
      </c>
    </row>
    <row r="127" spans="1:13" x14ac:dyDescent="0.25">
      <c r="A127" t="str">
        <v>IA</v>
      </c>
      <c r="B127" s="28">
        <f ca="1"/>
        <v>6.7844544835627477E-2</v>
      </c>
      <c r="C127" s="28">
        <f ca="1"/>
        <v>0.51301639929008036</v>
      </c>
      <c r="D127" s="28">
        <f ca="1"/>
        <v>1.4291681211591256</v>
      </c>
      <c r="E127" s="28">
        <f ca="1"/>
        <v>2.9865156987610351</v>
      </c>
      <c r="F127" s="28">
        <f ca="1"/>
        <v>10.173260213823584</v>
      </c>
      <c r="G127" s="28">
        <f ca="1"/>
        <v>20.390935831297774</v>
      </c>
      <c r="H127" s="28">
        <f ca="1"/>
        <v>26.219157928244506</v>
      </c>
      <c r="I127" s="28">
        <f ca="1"/>
        <v>23.139840787320832</v>
      </c>
      <c r="J127" s="28">
        <f ca="1"/>
        <v>18.555312088779576</v>
      </c>
      <c r="K127" s="28">
        <f ca="1"/>
        <v>14.521380888901659</v>
      </c>
      <c r="L127" s="1"/>
      <c r="M127" s="1" t="str">
        <f t="shared" si="20"/>
        <v>$M(2015)/million</v>
      </c>
    </row>
    <row r="128" spans="1:13" x14ac:dyDescent="0.25">
      <c r="A128" t="str">
        <v>AF</v>
      </c>
      <c r="B128" s="28">
        <f ca="1"/>
        <v>4.5052959586703405E-2</v>
      </c>
      <c r="C128" s="28">
        <f ca="1"/>
        <v>0.27327031006490499</v>
      </c>
      <c r="D128" s="28">
        <f ca="1"/>
        <v>0.67285701458969194</v>
      </c>
      <c r="E128" s="28">
        <f ca="1"/>
        <v>1.3691223276776172</v>
      </c>
      <c r="F128" s="28">
        <f ca="1"/>
        <v>5.6090881375364541</v>
      </c>
      <c r="G128" s="28">
        <f ca="1"/>
        <v>13.788078431137395</v>
      </c>
      <c r="H128" s="28">
        <f ca="1"/>
        <v>40.185010041511646</v>
      </c>
      <c r="I128" s="28">
        <f ca="1"/>
        <v>59.665914113879467</v>
      </c>
      <c r="J128" s="28">
        <f ca="1"/>
        <v>63.579238123936243</v>
      </c>
      <c r="K128" s="28">
        <f ca="1"/>
        <v>57.596842966272739</v>
      </c>
      <c r="L128" s="1"/>
      <c r="M128" s="1" t="str">
        <f t="shared" si="20"/>
        <v>$M(2015)/million</v>
      </c>
    </row>
    <row r="129" spans="1:16" x14ac:dyDescent="0.25">
      <c r="A129" t="str">
        <v>LA</v>
      </c>
      <c r="B129" s="28">
        <f ca="1"/>
        <v>0.10700543048340432</v>
      </c>
      <c r="C129" s="28">
        <f ca="1"/>
        <v>0.63721987539811487</v>
      </c>
      <c r="D129" s="28">
        <f ca="1"/>
        <v>1.4759438496599639</v>
      </c>
      <c r="E129" s="28">
        <f ca="1"/>
        <v>2.7345110322626058</v>
      </c>
      <c r="F129" s="28">
        <f ca="1"/>
        <v>8.2425023584596602</v>
      </c>
      <c r="G129" s="28">
        <f ca="1"/>
        <v>16.265124317667542</v>
      </c>
      <c r="H129" s="28">
        <f ca="1"/>
        <v>23.001892680384067</v>
      </c>
      <c r="I129" s="28">
        <f ca="1"/>
        <v>22.68476222772312</v>
      </c>
      <c r="J129" s="28">
        <f ca="1"/>
        <v>19.369644863499204</v>
      </c>
      <c r="K129" s="28">
        <f ca="1"/>
        <v>15.615788327953551</v>
      </c>
      <c r="L129" s="1"/>
      <c r="M129" s="1" t="str">
        <f t="shared" si="20"/>
        <v>$M(2015)/million</v>
      </c>
    </row>
    <row r="130" spans="1:16" ht="13.5" thickBot="1" x14ac:dyDescent="0.35">
      <c r="A130" s="2" t="s">
        <v>385</v>
      </c>
      <c r="B130" s="36">
        <f t="array" aca="1" ref="B130:K130" ca="1">act_g_b/POP_G_B</f>
        <v>0.20639464227947507</v>
      </c>
      <c r="C130" s="36">
        <f ca="1"/>
        <v>1.4733748412824643</v>
      </c>
      <c r="D130" s="36">
        <f ca="1"/>
        <v>3.2338394018098842</v>
      </c>
      <c r="E130" s="36">
        <f ca="1"/>
        <v>5.5579055529633052</v>
      </c>
      <c r="F130" s="36">
        <f ca="1"/>
        <v>13.630343213170958</v>
      </c>
      <c r="G130" s="36">
        <f ca="1"/>
        <v>22.891209514712916</v>
      </c>
      <c r="H130" s="36">
        <f ca="1"/>
        <v>37.865314970053454</v>
      </c>
      <c r="I130" s="36">
        <f ca="1"/>
        <v>47.626106426701327</v>
      </c>
      <c r="J130" s="36">
        <f ca="1"/>
        <v>51.161543232049361</v>
      </c>
      <c r="K130" s="36">
        <f ca="1"/>
        <v>51.003309670136716</v>
      </c>
      <c r="L130" s="1"/>
      <c r="M130" s="1" t="str">
        <f t="shared" si="20"/>
        <v>$M(2015)/million</v>
      </c>
      <c r="N130" s="7"/>
    </row>
    <row r="131" spans="1:16" ht="15.5" thickTop="1" x14ac:dyDescent="0.4">
      <c r="A131" s="44" t="s">
        <v>395</v>
      </c>
      <c r="B131" s="2" t="s">
        <v>396</v>
      </c>
      <c r="C131" s="1"/>
      <c r="D131" s="1"/>
      <c r="E131" s="1"/>
      <c r="F131" s="1"/>
      <c r="G131" s="1"/>
      <c r="H131" s="1"/>
      <c r="I131" s="1"/>
      <c r="J131" s="1"/>
      <c r="K131" s="1"/>
      <c r="L131" s="1"/>
      <c r="M131" s="1"/>
    </row>
    <row r="132" spans="1:16" ht="13" x14ac:dyDescent="0.3">
      <c r="A132" t="str">
        <f t="array" ref="A132:A139">R_CODE</f>
        <v>EU</v>
      </c>
      <c r="B132" s="214">
        <f t="array" aca="1" ref="B132:K139" ca="1" xml:space="preserve"> (((CONS_PER_CAP_FOCUS_0)^EMUC)/(1-EMUC))*( (CONS_PER_CAP_B)^(1-EMUC) - (CONS_PER_CAP_B-act_per_cap_b) ^(1-EMUC))</f>
        <v>0.77100710629228164</v>
      </c>
      <c r="C132" s="214">
        <f ca="1"/>
        <v>4.652219983412107</v>
      </c>
      <c r="D132" s="214">
        <f ca="1"/>
        <v>7.9452479920440133</v>
      </c>
      <c r="E132" s="214">
        <f ca="1"/>
        <v>10.716695771486823</v>
      </c>
      <c r="F132" s="214">
        <f ca="1"/>
        <v>13.823766846512617</v>
      </c>
      <c r="G132" s="214">
        <f ca="1"/>
        <v>11.354330890835858</v>
      </c>
      <c r="H132" s="214">
        <f ca="1"/>
        <v>7.9097122162753895</v>
      </c>
      <c r="I132" s="214">
        <f ca="1"/>
        <v>5.6158995439496238</v>
      </c>
      <c r="J132" s="214">
        <f ca="1"/>
        <v>4.0503334908573017</v>
      </c>
      <c r="K132" s="214">
        <f ca="1"/>
        <v>2.9592366699364629</v>
      </c>
      <c r="L132" s="1"/>
      <c r="M132" s="1" t="str">
        <f t="shared" ref="M132:M139" si="21">CURRENCY_NAME&amp;"/"&amp;POP_UNIT_NAME</f>
        <v>$M(2015)/million</v>
      </c>
      <c r="P132" s="294" t="s">
        <v>1075</v>
      </c>
    </row>
    <row r="133" spans="1:16" x14ac:dyDescent="0.25">
      <c r="A133" t="str">
        <v>US</v>
      </c>
      <c r="B133" s="215">
        <f ca="1"/>
        <v>0.5718248089312773</v>
      </c>
      <c r="C133" s="215">
        <f ca="1"/>
        <v>3.4530308952235407</v>
      </c>
      <c r="D133" s="215">
        <f ca="1"/>
        <v>5.9483643237121502</v>
      </c>
      <c r="E133" s="215">
        <f ca="1"/>
        <v>8.0994808690045286</v>
      </c>
      <c r="F133" s="215">
        <f ca="1"/>
        <v>10.685228427644972</v>
      </c>
      <c r="G133" s="215">
        <f ca="1"/>
        <v>8.891211161442234</v>
      </c>
      <c r="H133" s="215">
        <f ca="1"/>
        <v>6.1398536975540434</v>
      </c>
      <c r="I133" s="215">
        <f ca="1"/>
        <v>4.2903633574010893</v>
      </c>
      <c r="J133" s="215">
        <f ca="1"/>
        <v>3.0300607184210624</v>
      </c>
      <c r="K133" s="215">
        <f ca="1"/>
        <v>2.1605470010138146</v>
      </c>
      <c r="L133" s="1"/>
      <c r="M133" s="1" t="str">
        <f t="shared" si="21"/>
        <v>$M(2015)/million</v>
      </c>
    </row>
    <row r="134" spans="1:16" x14ac:dyDescent="0.25">
      <c r="A134" t="str">
        <v>OT</v>
      </c>
      <c r="B134" s="215">
        <f ca="1"/>
        <v>0.61584939798581506</v>
      </c>
      <c r="C134" s="215">
        <f ca="1"/>
        <v>3.6984118609779166</v>
      </c>
      <c r="D134" s="215">
        <f ca="1"/>
        <v>6.3172565945330348</v>
      </c>
      <c r="E134" s="215">
        <f ca="1"/>
        <v>8.5233776855044052</v>
      </c>
      <c r="F134" s="215">
        <f ca="1"/>
        <v>11.00215014627414</v>
      </c>
      <c r="G134" s="215">
        <f ca="1"/>
        <v>9.0424503406285979</v>
      </c>
      <c r="H134" s="215">
        <f ca="1"/>
        <v>6.4882244336642474</v>
      </c>
      <c r="I134" s="215">
        <f ca="1"/>
        <v>4.7903634775809838</v>
      </c>
      <c r="J134" s="215">
        <f ca="1"/>
        <v>3.6017383030471444</v>
      </c>
      <c r="K134" s="215">
        <f ca="1"/>
        <v>2.7395806826219933</v>
      </c>
      <c r="L134" s="1"/>
      <c r="M134" s="1" t="str">
        <f t="shared" si="21"/>
        <v>$M(2015)/million</v>
      </c>
    </row>
    <row r="135" spans="1:16" x14ac:dyDescent="0.25">
      <c r="A135" t="str">
        <v>EE</v>
      </c>
      <c r="B135" s="215">
        <f ca="1"/>
        <v>0.35194225317985944</v>
      </c>
      <c r="C135" s="215">
        <f ca="1"/>
        <v>2.0334861433143163</v>
      </c>
      <c r="D135" s="215">
        <f ca="1"/>
        <v>3.3812868583810514</v>
      </c>
      <c r="E135" s="215">
        <f ca="1"/>
        <v>4.5205772925410885</v>
      </c>
      <c r="F135" s="215">
        <f ca="1"/>
        <v>5.7954354213917423</v>
      </c>
      <c r="G135" s="215">
        <f ca="1"/>
        <v>4.7763318650572453</v>
      </c>
      <c r="H135" s="215">
        <f ca="1"/>
        <v>3.5168491388856182</v>
      </c>
      <c r="I135" s="215">
        <f ca="1"/>
        <v>2.6673478639182058</v>
      </c>
      <c r="J135" s="215">
        <f ca="1"/>
        <v>2.049475911051426</v>
      </c>
      <c r="K135" s="215">
        <f ca="1"/>
        <v>1.583698650117954</v>
      </c>
      <c r="L135" s="1"/>
      <c r="M135" s="1" t="str">
        <f t="shared" si="21"/>
        <v>$M(2015)/million</v>
      </c>
    </row>
    <row r="136" spans="1:16" x14ac:dyDescent="0.25">
      <c r="A136" t="str">
        <v>CA</v>
      </c>
      <c r="B136" s="215">
        <f ca="1"/>
        <v>0.3835625800929604</v>
      </c>
      <c r="C136" s="215">
        <f ca="1"/>
        <v>1.5191689149526901</v>
      </c>
      <c r="D136" s="215">
        <f ca="1"/>
        <v>2.4012363966492831</v>
      </c>
      <c r="E136" s="215">
        <f ca="1"/>
        <v>3.128145939556247</v>
      </c>
      <c r="F136" s="215">
        <f ca="1"/>
        <v>4.518689363853154</v>
      </c>
      <c r="G136" s="215">
        <f ca="1"/>
        <v>4.8824935204017041</v>
      </c>
      <c r="H136" s="215">
        <f ca="1"/>
        <v>3.8116519825847508</v>
      </c>
      <c r="I136" s="215">
        <f ca="1"/>
        <v>2.975688282135093</v>
      </c>
      <c r="J136" s="215">
        <f ca="1"/>
        <v>2.323077337482983</v>
      </c>
      <c r="K136" s="215">
        <f ca="1"/>
        <v>1.8135999055155905</v>
      </c>
      <c r="L136" s="1"/>
      <c r="M136" s="1" t="str">
        <f t="shared" si="21"/>
        <v>$M(2015)/million</v>
      </c>
    </row>
    <row r="137" spans="1:16" x14ac:dyDescent="0.25">
      <c r="A137" t="str">
        <v>IA</v>
      </c>
      <c r="B137" s="215">
        <f ca="1"/>
        <v>0.43399192138184317</v>
      </c>
      <c r="C137" s="215">
        <f ca="1"/>
        <v>1.7431732516853347</v>
      </c>
      <c r="D137" s="215">
        <f ca="1"/>
        <v>2.7211015128834015</v>
      </c>
      <c r="E137" s="215">
        <f ca="1"/>
        <v>3.4695261256267171</v>
      </c>
      <c r="F137" s="215">
        <f ca="1"/>
        <v>4.7283971143614423</v>
      </c>
      <c r="G137" s="215">
        <f ca="1"/>
        <v>4.9265909476573144</v>
      </c>
      <c r="H137" s="215">
        <f ca="1"/>
        <v>3.5151595370131394</v>
      </c>
      <c r="I137" s="215">
        <f ca="1"/>
        <v>2.6704607360862256</v>
      </c>
      <c r="J137" s="215">
        <f ca="1"/>
        <v>2.0614288419365066</v>
      </c>
      <c r="K137" s="215">
        <f ca="1"/>
        <v>1.5977670335004228</v>
      </c>
      <c r="L137" s="1"/>
      <c r="M137" s="1" t="str">
        <f t="shared" si="21"/>
        <v>$M(2015)/million</v>
      </c>
    </row>
    <row r="138" spans="1:16" x14ac:dyDescent="0.25">
      <c r="A138" t="str">
        <v>AF</v>
      </c>
      <c r="B138" s="215">
        <f ca="1"/>
        <v>0.33216280344060151</v>
      </c>
      <c r="C138" s="215">
        <f ca="1"/>
        <v>1.3840931325275312</v>
      </c>
      <c r="D138" s="215">
        <f ca="1"/>
        <v>2.2054857114890543</v>
      </c>
      <c r="E138" s="215">
        <f ca="1"/>
        <v>2.8245852255180703</v>
      </c>
      <c r="F138" s="215">
        <f ca="1"/>
        <v>3.7328047294345441</v>
      </c>
      <c r="G138" s="215">
        <f ca="1"/>
        <v>3.7591856098797778</v>
      </c>
      <c r="H138" s="215">
        <f ca="1"/>
        <v>2.3402672130687381</v>
      </c>
      <c r="I138" s="215">
        <f ca="1"/>
        <v>1.6302546625749006</v>
      </c>
      <c r="J138" s="215">
        <f ca="1"/>
        <v>1.2002153666163955</v>
      </c>
      <c r="K138" s="215">
        <f ca="1"/>
        <v>0.9078519806422678</v>
      </c>
      <c r="L138" s="1"/>
      <c r="M138" s="1" t="str">
        <f t="shared" si="21"/>
        <v>$M(2015)/million</v>
      </c>
    </row>
    <row r="139" spans="1:16" x14ac:dyDescent="0.25">
      <c r="A139" t="str">
        <v>LA</v>
      </c>
      <c r="B139" s="215">
        <f ca="1"/>
        <v>0.28756580930354286</v>
      </c>
      <c r="C139" s="215">
        <f ca="1"/>
        <v>1.2019392102952133</v>
      </c>
      <c r="D139" s="215">
        <f ca="1"/>
        <v>1.9348460117167676</v>
      </c>
      <c r="E139" s="215">
        <f ca="1"/>
        <v>2.5169916723538761</v>
      </c>
      <c r="F139" s="215">
        <f ca="1"/>
        <v>3.5008550999510057</v>
      </c>
      <c r="G139" s="215">
        <f ca="1"/>
        <v>3.6570831024914852</v>
      </c>
      <c r="H139" s="215">
        <f ca="1"/>
        <v>2.5683184185697603</v>
      </c>
      <c r="I139" s="215">
        <f ca="1"/>
        <v>1.9153763858915391</v>
      </c>
      <c r="J139" s="215">
        <f ca="1"/>
        <v>1.4631587867093485</v>
      </c>
      <c r="K139" s="215">
        <f ca="1"/>
        <v>1.1284634738588735</v>
      </c>
      <c r="L139" s="1"/>
      <c r="M139" s="1" t="str">
        <f t="shared" si="21"/>
        <v>$M(2015)/million</v>
      </c>
    </row>
    <row r="140" spans="1:16" ht="15" x14ac:dyDescent="0.4">
      <c r="A140" s="44" t="s">
        <v>387</v>
      </c>
      <c r="B140" s="2" t="s">
        <v>388</v>
      </c>
      <c r="C140" s="1"/>
      <c r="D140" s="1"/>
      <c r="E140" s="1"/>
      <c r="F140" s="1"/>
      <c r="G140" s="1"/>
      <c r="H140" s="1"/>
      <c r="I140" s="1"/>
      <c r="J140" s="1"/>
      <c r="K140" s="1"/>
      <c r="L140" s="1"/>
      <c r="M140" s="1"/>
    </row>
    <row r="141" spans="1:16" x14ac:dyDescent="0.25">
      <c r="A141" t="str">
        <f t="array" ref="A141:A148">R_CODE</f>
        <v>EU</v>
      </c>
      <c r="B141" s="29">
        <f t="array" aca="1" ref="B141:K148" ca="1">IF(EQUITY_SWITCH=0,act_per_cap_b,(1-EQUITY_PROP)*act_per_cap_b+EQUITY_PROP*eact_per_cap_b)</f>
        <v>0.77100710629228164</v>
      </c>
      <c r="C141" s="29">
        <f ca="1"/>
        <v>4.652219983412107</v>
      </c>
      <c r="D141" s="29">
        <f ca="1"/>
        <v>7.9452479920440133</v>
      </c>
      <c r="E141" s="29">
        <f ca="1"/>
        <v>10.716695771486823</v>
      </c>
      <c r="F141" s="29">
        <f ca="1"/>
        <v>13.823766846512617</v>
      </c>
      <c r="G141" s="29">
        <f ca="1"/>
        <v>11.354330890835858</v>
      </c>
      <c r="H141" s="29">
        <f ca="1"/>
        <v>7.9097122162753895</v>
      </c>
      <c r="I141" s="29">
        <f ca="1"/>
        <v>5.6158995439496238</v>
      </c>
      <c r="J141" s="29">
        <f ca="1"/>
        <v>4.0503334908573017</v>
      </c>
      <c r="K141" s="29">
        <f ca="1"/>
        <v>2.9592366699364629</v>
      </c>
      <c r="L141" s="1"/>
      <c r="M141" s="1" t="str">
        <f t="shared" ref="M141:M148" si="22">CURRENCY_NAME&amp;"/"&amp;POP_UNIT_NAME</f>
        <v>$M(2015)/million</v>
      </c>
    </row>
    <row r="142" spans="1:16" x14ac:dyDescent="0.25">
      <c r="A142" t="str">
        <v>US</v>
      </c>
      <c r="B142" s="26">
        <f ca="1"/>
        <v>0.5718248089312773</v>
      </c>
      <c r="C142" s="26">
        <f ca="1"/>
        <v>3.4530308952235407</v>
      </c>
      <c r="D142" s="26">
        <f ca="1"/>
        <v>5.9483643237121502</v>
      </c>
      <c r="E142" s="26">
        <f ca="1"/>
        <v>8.0994808690045286</v>
      </c>
      <c r="F142" s="26">
        <f ca="1"/>
        <v>10.685228427644972</v>
      </c>
      <c r="G142" s="26">
        <f ca="1"/>
        <v>8.891211161442234</v>
      </c>
      <c r="H142" s="26">
        <f ca="1"/>
        <v>6.1398536975540434</v>
      </c>
      <c r="I142" s="26">
        <f ca="1"/>
        <v>4.2903633574010893</v>
      </c>
      <c r="J142" s="26">
        <f ca="1"/>
        <v>3.0300607184210624</v>
      </c>
      <c r="K142" s="26">
        <f ca="1"/>
        <v>2.1605470010138146</v>
      </c>
      <c r="L142" s="1"/>
      <c r="M142" s="1" t="str">
        <f t="shared" si="22"/>
        <v>$M(2015)/million</v>
      </c>
    </row>
    <row r="143" spans="1:16" x14ac:dyDescent="0.25">
      <c r="A143" t="str">
        <v>OT</v>
      </c>
      <c r="B143" s="26">
        <f ca="1"/>
        <v>0.61584939798581506</v>
      </c>
      <c r="C143" s="26">
        <f ca="1"/>
        <v>3.6984118609779166</v>
      </c>
      <c r="D143" s="26">
        <f ca="1"/>
        <v>6.3172565945330348</v>
      </c>
      <c r="E143" s="26">
        <f ca="1"/>
        <v>8.5233776855044052</v>
      </c>
      <c r="F143" s="26">
        <f ca="1"/>
        <v>11.00215014627414</v>
      </c>
      <c r="G143" s="26">
        <f ca="1"/>
        <v>9.0424503406285979</v>
      </c>
      <c r="H143" s="26">
        <f ca="1"/>
        <v>6.4882244336642474</v>
      </c>
      <c r="I143" s="26">
        <f ca="1"/>
        <v>4.7903634775809838</v>
      </c>
      <c r="J143" s="26">
        <f ca="1"/>
        <v>3.6017383030471444</v>
      </c>
      <c r="K143" s="26">
        <f ca="1"/>
        <v>2.7395806826219933</v>
      </c>
      <c r="L143" s="1"/>
      <c r="M143" s="1" t="str">
        <f t="shared" si="22"/>
        <v>$M(2015)/million</v>
      </c>
    </row>
    <row r="144" spans="1:16" x14ac:dyDescent="0.25">
      <c r="A144" t="str">
        <v>EE</v>
      </c>
      <c r="B144" s="26">
        <f ca="1"/>
        <v>0.35194225317985944</v>
      </c>
      <c r="C144" s="26">
        <f ca="1"/>
        <v>2.0334861433143163</v>
      </c>
      <c r="D144" s="26">
        <f ca="1"/>
        <v>3.3812868583810514</v>
      </c>
      <c r="E144" s="26">
        <f ca="1"/>
        <v>4.5205772925410885</v>
      </c>
      <c r="F144" s="26">
        <f ca="1"/>
        <v>5.7954354213917423</v>
      </c>
      <c r="G144" s="26">
        <f ca="1"/>
        <v>4.7763318650572453</v>
      </c>
      <c r="H144" s="26">
        <f ca="1"/>
        <v>3.5168491388856182</v>
      </c>
      <c r="I144" s="26">
        <f ca="1"/>
        <v>2.6673478639182058</v>
      </c>
      <c r="J144" s="26">
        <f ca="1"/>
        <v>2.049475911051426</v>
      </c>
      <c r="K144" s="26">
        <f ca="1"/>
        <v>1.583698650117954</v>
      </c>
      <c r="L144" s="1"/>
      <c r="M144" s="1" t="str">
        <f t="shared" si="22"/>
        <v>$M(2015)/million</v>
      </c>
    </row>
    <row r="145" spans="1:15" x14ac:dyDescent="0.25">
      <c r="A145" t="str">
        <v>CA</v>
      </c>
      <c r="B145" s="26">
        <f ca="1"/>
        <v>0.3835625800929604</v>
      </c>
      <c r="C145" s="26">
        <f ca="1"/>
        <v>1.5191689149526901</v>
      </c>
      <c r="D145" s="26">
        <f ca="1"/>
        <v>2.4012363966492831</v>
      </c>
      <c r="E145" s="26">
        <f ca="1"/>
        <v>3.128145939556247</v>
      </c>
      <c r="F145" s="26">
        <f ca="1"/>
        <v>4.518689363853154</v>
      </c>
      <c r="G145" s="26">
        <f ca="1"/>
        <v>4.8824935204017041</v>
      </c>
      <c r="H145" s="26">
        <f ca="1"/>
        <v>3.8116519825847508</v>
      </c>
      <c r="I145" s="26">
        <f ca="1"/>
        <v>2.975688282135093</v>
      </c>
      <c r="J145" s="26">
        <f ca="1"/>
        <v>2.323077337482983</v>
      </c>
      <c r="K145" s="26">
        <f ca="1"/>
        <v>1.8135999055155905</v>
      </c>
      <c r="L145" s="1"/>
      <c r="M145" s="1" t="str">
        <f t="shared" si="22"/>
        <v>$M(2015)/million</v>
      </c>
    </row>
    <row r="146" spans="1:15" x14ac:dyDescent="0.25">
      <c r="A146" t="str">
        <v>IA</v>
      </c>
      <c r="B146" s="26">
        <f ca="1"/>
        <v>0.43399192138184317</v>
      </c>
      <c r="C146" s="26">
        <f ca="1"/>
        <v>1.7431732516853347</v>
      </c>
      <c r="D146" s="26">
        <f ca="1"/>
        <v>2.7211015128834015</v>
      </c>
      <c r="E146" s="26">
        <f ca="1"/>
        <v>3.4695261256267171</v>
      </c>
      <c r="F146" s="26">
        <f ca="1"/>
        <v>4.7283971143614423</v>
      </c>
      <c r="G146" s="26">
        <f ca="1"/>
        <v>4.9265909476573144</v>
      </c>
      <c r="H146" s="26">
        <f ca="1"/>
        <v>3.5151595370131394</v>
      </c>
      <c r="I146" s="26">
        <f ca="1"/>
        <v>2.6704607360862256</v>
      </c>
      <c r="J146" s="26">
        <f ca="1"/>
        <v>2.0614288419365066</v>
      </c>
      <c r="K146" s="26">
        <f ca="1"/>
        <v>1.5977670335004228</v>
      </c>
      <c r="L146" s="1"/>
      <c r="M146" s="1" t="str">
        <f t="shared" si="22"/>
        <v>$M(2015)/million</v>
      </c>
    </row>
    <row r="147" spans="1:15" x14ac:dyDescent="0.25">
      <c r="A147" t="str">
        <v>AF</v>
      </c>
      <c r="B147" s="26">
        <f ca="1"/>
        <v>0.33216280344060151</v>
      </c>
      <c r="C147" s="26">
        <f ca="1"/>
        <v>1.3840931325275312</v>
      </c>
      <c r="D147" s="26">
        <f ca="1"/>
        <v>2.2054857114890543</v>
      </c>
      <c r="E147" s="26">
        <f ca="1"/>
        <v>2.8245852255180703</v>
      </c>
      <c r="F147" s="26">
        <f ca="1"/>
        <v>3.7328047294345441</v>
      </c>
      <c r="G147" s="26">
        <f ca="1"/>
        <v>3.7591856098797778</v>
      </c>
      <c r="H147" s="26">
        <f ca="1"/>
        <v>2.3402672130687381</v>
      </c>
      <c r="I147" s="26">
        <f ca="1"/>
        <v>1.6302546625749006</v>
      </c>
      <c r="J147" s="26">
        <f ca="1"/>
        <v>1.2002153666163955</v>
      </c>
      <c r="K147" s="26">
        <f ca="1"/>
        <v>0.9078519806422678</v>
      </c>
      <c r="L147" s="1"/>
      <c r="M147" s="1" t="str">
        <f t="shared" si="22"/>
        <v>$M(2015)/million</v>
      </c>
    </row>
    <row r="148" spans="1:15" x14ac:dyDescent="0.25">
      <c r="A148" t="str">
        <v>LA</v>
      </c>
      <c r="B148" s="26">
        <f ca="1"/>
        <v>0.28756580930354286</v>
      </c>
      <c r="C148" s="26">
        <f ca="1"/>
        <v>1.2019392102952133</v>
      </c>
      <c r="D148" s="26">
        <f ca="1"/>
        <v>1.9348460117167676</v>
      </c>
      <c r="E148" s="26">
        <f ca="1"/>
        <v>2.5169916723538761</v>
      </c>
      <c r="F148" s="26">
        <f ca="1"/>
        <v>3.5008550999510057</v>
      </c>
      <c r="G148" s="26">
        <f ca="1"/>
        <v>3.6570831024914852</v>
      </c>
      <c r="H148" s="26">
        <f ca="1"/>
        <v>2.5683184185697603</v>
      </c>
      <c r="I148" s="26">
        <f ca="1"/>
        <v>1.9153763858915391</v>
      </c>
      <c r="J148" s="26">
        <f ca="1"/>
        <v>1.4631587867093485</v>
      </c>
      <c r="K148" s="26">
        <f ca="1"/>
        <v>1.1284634738588735</v>
      </c>
      <c r="L148" s="1"/>
      <c r="M148" s="1" t="str">
        <f t="shared" si="22"/>
        <v>$M(2015)/million</v>
      </c>
    </row>
    <row r="149" spans="1:15" ht="15" x14ac:dyDescent="0.4">
      <c r="A149" s="44" t="s">
        <v>383</v>
      </c>
      <c r="B149" s="2" t="s">
        <v>389</v>
      </c>
      <c r="C149" s="1"/>
      <c r="D149" s="1"/>
      <c r="E149" s="1"/>
      <c r="F149" s="1"/>
      <c r="G149" s="1"/>
      <c r="H149" s="1"/>
      <c r="I149" s="1"/>
      <c r="J149" s="1"/>
      <c r="K149" s="1"/>
      <c r="L149" s="1"/>
      <c r="M149" s="1"/>
    </row>
    <row r="150" spans="1:15" x14ac:dyDescent="0.25">
      <c r="A150" t="str">
        <f t="array" ref="A150:A157">R_CODE</f>
        <v>EU</v>
      </c>
      <c r="B150" s="29">
        <f t="array" aca="1" ref="B150:K157" ca="1">IF(EQUITY_SWITCH=0,act_per_cap_b,wact_per_cap_b)*POP_B</f>
        <v>391.87180194568873</v>
      </c>
      <c r="C150" s="29">
        <f ca="1"/>
        <v>2393.0638418720605</v>
      </c>
      <c r="D150" s="29">
        <f ca="1"/>
        <v>4099.2479452329126</v>
      </c>
      <c r="E150" s="29">
        <f ca="1"/>
        <v>5507.0637888162901</v>
      </c>
      <c r="F150" s="29">
        <f ca="1"/>
        <v>6756.925607958864</v>
      </c>
      <c r="G150" s="29">
        <f ca="1"/>
        <v>5122.5359671899978</v>
      </c>
      <c r="H150" s="29">
        <f ca="1"/>
        <v>3568.487276576986</v>
      </c>
      <c r="I150" s="29">
        <f ca="1"/>
        <v>2533.6277125080424</v>
      </c>
      <c r="J150" s="29">
        <f ca="1"/>
        <v>1827.3185082862572</v>
      </c>
      <c r="K150" s="29">
        <f ca="1"/>
        <v>1335.0673344751503</v>
      </c>
      <c r="L150" s="1"/>
      <c r="M150" s="4" t="str">
        <f t="shared" ref="M150:M158" si="23">CURRENCY_NAME</f>
        <v>$M(2015)</v>
      </c>
    </row>
    <row r="151" spans="1:15" x14ac:dyDescent="0.25">
      <c r="A151" t="str">
        <v>US</v>
      </c>
      <c r="B151" s="26">
        <f ca="1"/>
        <v>188.57754463552524</v>
      </c>
      <c r="C151" s="26">
        <f ca="1"/>
        <v>1221.0182434122232</v>
      </c>
      <c r="D151" s="26">
        <f ca="1"/>
        <v>2230.8343878169348</v>
      </c>
      <c r="E151" s="26">
        <f ca="1"/>
        <v>3186.5682019221767</v>
      </c>
      <c r="F151" s="26">
        <f ca="1"/>
        <v>4599.0291377328476</v>
      </c>
      <c r="G151" s="26">
        <f ca="1"/>
        <v>3894.4019091866958</v>
      </c>
      <c r="H151" s="26">
        <f ca="1"/>
        <v>2689.2914280986292</v>
      </c>
      <c r="I151" s="26">
        <f ca="1"/>
        <v>1879.2039629679869</v>
      </c>
      <c r="J151" s="26">
        <f ca="1"/>
        <v>1327.1841183959111</v>
      </c>
      <c r="K151" s="26">
        <f ca="1"/>
        <v>946.33208151935924</v>
      </c>
      <c r="L151" s="1"/>
      <c r="M151" s="4" t="str">
        <f t="shared" si="23"/>
        <v>$M(2015)</v>
      </c>
    </row>
    <row r="152" spans="1:15" x14ac:dyDescent="0.25">
      <c r="A152" t="str">
        <v>OT</v>
      </c>
      <c r="B152" s="26">
        <f ca="1"/>
        <v>173.67915450700258</v>
      </c>
      <c r="C152" s="26">
        <f ca="1"/>
        <v>1064.0588876960865</v>
      </c>
      <c r="D152" s="26">
        <f ca="1"/>
        <v>1824.8019584180483</v>
      </c>
      <c r="E152" s="26">
        <f ca="1"/>
        <v>2437.5517034595409</v>
      </c>
      <c r="F152" s="26">
        <f ca="1"/>
        <v>2875.1641342350813</v>
      </c>
      <c r="G152" s="26">
        <f ca="1"/>
        <v>2027.862350864873</v>
      </c>
      <c r="H152" s="26">
        <f ca="1"/>
        <v>1455.0509604540055</v>
      </c>
      <c r="I152" s="26">
        <f ca="1"/>
        <v>1074.2882047687647</v>
      </c>
      <c r="J152" s="26">
        <f ca="1"/>
        <v>807.72680272297794</v>
      </c>
      <c r="K152" s="26">
        <f ca="1"/>
        <v>614.37910236393191</v>
      </c>
      <c r="L152" s="1"/>
      <c r="M152" s="4" t="str">
        <f t="shared" si="23"/>
        <v>$M(2015)</v>
      </c>
    </row>
    <row r="153" spans="1:15" x14ac:dyDescent="0.25">
      <c r="A153" t="str">
        <v>EE</v>
      </c>
      <c r="B153" s="26">
        <f ca="1"/>
        <v>107.93887833178589</v>
      </c>
      <c r="C153" s="26">
        <f ca="1"/>
        <v>610.074263036562</v>
      </c>
      <c r="D153" s="26">
        <f ca="1"/>
        <v>984.40789093442334</v>
      </c>
      <c r="E153" s="26">
        <f ca="1"/>
        <v>1261.8513256425756</v>
      </c>
      <c r="F153" s="26">
        <f ca="1"/>
        <v>1367.449342501518</v>
      </c>
      <c r="G153" s="26">
        <f ca="1"/>
        <v>917.32297159452025</v>
      </c>
      <c r="H153" s="26">
        <f ca="1"/>
        <v>675.43181543427352</v>
      </c>
      <c r="I153" s="26">
        <f ca="1"/>
        <v>512.28003788979152</v>
      </c>
      <c r="J153" s="26">
        <f ca="1"/>
        <v>393.61405070929845</v>
      </c>
      <c r="K153" s="26">
        <f ca="1"/>
        <v>304.1587546427786</v>
      </c>
      <c r="L153" s="1"/>
      <c r="M153" s="4" t="str">
        <f t="shared" si="23"/>
        <v>$M(2015)</v>
      </c>
    </row>
    <row r="154" spans="1:15" x14ac:dyDescent="0.25">
      <c r="A154" t="str">
        <v>CA</v>
      </c>
      <c r="B154" s="26">
        <f ca="1"/>
        <v>600.58720291706857</v>
      </c>
      <c r="C154" s="26">
        <f ca="1"/>
        <v>2362.1353680309708</v>
      </c>
      <c r="D154" s="26">
        <f ca="1"/>
        <v>3601.395546256776</v>
      </c>
      <c r="E154" s="26">
        <f ca="1"/>
        <v>4386.5922463395227</v>
      </c>
      <c r="F154" s="26">
        <f ca="1"/>
        <v>4817.9001356889348</v>
      </c>
      <c r="G154" s="26">
        <f ca="1"/>
        <v>3631.665968505828</v>
      </c>
      <c r="H154" s="26">
        <f ca="1"/>
        <v>2835.1592748866387</v>
      </c>
      <c r="I154" s="26">
        <f ca="1"/>
        <v>2213.3579536675907</v>
      </c>
      <c r="J154" s="26">
        <f ca="1"/>
        <v>1727.9369390847564</v>
      </c>
      <c r="K154" s="26">
        <f ca="1"/>
        <v>1348.9806038297545</v>
      </c>
      <c r="L154" s="1"/>
      <c r="M154" s="4" t="str">
        <f t="shared" si="23"/>
        <v>$M(2015)</v>
      </c>
    </row>
    <row r="155" spans="1:15" x14ac:dyDescent="0.25">
      <c r="A155" t="str">
        <v>IA</v>
      </c>
      <c r="B155" s="26">
        <f ca="1"/>
        <v>1006.3818125622274</v>
      </c>
      <c r="C155" s="26">
        <f ca="1"/>
        <v>4321.3791633972924</v>
      </c>
      <c r="D155" s="26">
        <f ca="1"/>
        <v>7013.4403309071276</v>
      </c>
      <c r="E155" s="26">
        <f ca="1"/>
        <v>9032.2780723506421</v>
      </c>
      <c r="F155" s="26">
        <f ca="1"/>
        <v>11304.806990666946</v>
      </c>
      <c r="G155" s="26">
        <f ca="1"/>
        <v>9587.3440289094833</v>
      </c>
      <c r="H155" s="26">
        <f ca="1"/>
        <v>6840.6417654529696</v>
      </c>
      <c r="I155" s="26">
        <f ca="1"/>
        <v>5196.8239426754162</v>
      </c>
      <c r="J155" s="26">
        <f ca="1"/>
        <v>4011.6233940956131</v>
      </c>
      <c r="K155" s="26">
        <f ca="1"/>
        <v>3109.3188760684211</v>
      </c>
      <c r="L155" s="1"/>
      <c r="M155" s="4" t="str">
        <f t="shared" si="23"/>
        <v>$M(2015)</v>
      </c>
    </row>
    <row r="156" spans="1:15" x14ac:dyDescent="0.25">
      <c r="A156" t="str">
        <v>AF</v>
      </c>
      <c r="B156" s="26">
        <f ca="1"/>
        <v>479.69796539574702</v>
      </c>
      <c r="C156" s="26">
        <f ca="1"/>
        <v>2322.0441383506954</v>
      </c>
      <c r="D156" s="26">
        <f ca="1"/>
        <v>4210.2109749999863</v>
      </c>
      <c r="E156" s="26">
        <f ca="1"/>
        <v>5973.8982816854068</v>
      </c>
      <c r="F156" s="26">
        <f ca="1"/>
        <v>9213.9581820012463</v>
      </c>
      <c r="G156" s="26">
        <f ca="1"/>
        <v>9513.8581457879427</v>
      </c>
      <c r="H156" s="26">
        <f ca="1"/>
        <v>5922.8174926660558</v>
      </c>
      <c r="I156" s="26">
        <f ca="1"/>
        <v>4125.8967262707247</v>
      </c>
      <c r="J156" s="26">
        <f ca="1"/>
        <v>3037.5405546278512</v>
      </c>
      <c r="K156" s="26">
        <f ca="1"/>
        <v>2297.6186487049736</v>
      </c>
      <c r="L156" s="1"/>
      <c r="M156" s="4" t="str">
        <f t="shared" si="23"/>
        <v>$M(2015)</v>
      </c>
    </row>
    <row r="157" spans="1:15" x14ac:dyDescent="0.25">
      <c r="A157" t="str">
        <v>LA</v>
      </c>
      <c r="B157" s="26">
        <f ca="1"/>
        <v>182.25439236604612</v>
      </c>
      <c r="C157" s="26">
        <f ca="1"/>
        <v>810.33834163418203</v>
      </c>
      <c r="D157" s="26">
        <f ca="1"/>
        <v>1354.8842838987709</v>
      </c>
      <c r="E157" s="26">
        <f ca="1"/>
        <v>1776.6854431562435</v>
      </c>
      <c r="F157" s="26">
        <f ca="1"/>
        <v>2309.661723613814</v>
      </c>
      <c r="G157" s="26">
        <f ca="1"/>
        <v>2039.4823792594404</v>
      </c>
      <c r="H157" s="26">
        <f ca="1"/>
        <v>1432.3000085592651</v>
      </c>
      <c r="I157" s="26">
        <f ca="1"/>
        <v>1068.1672467366413</v>
      </c>
      <c r="J157" s="26">
        <f ca="1"/>
        <v>815.97450206131487</v>
      </c>
      <c r="K157" s="26">
        <f ca="1"/>
        <v>629.32159485386671</v>
      </c>
      <c r="L157" s="1"/>
      <c r="M157" s="4" t="str">
        <f t="shared" si="23"/>
        <v>$M(2015)</v>
      </c>
    </row>
    <row r="158" spans="1:15" ht="13.5" thickBot="1" x14ac:dyDescent="0.35">
      <c r="A158" s="2" t="s">
        <v>206</v>
      </c>
      <c r="B158" s="42">
        <f t="shared" ref="B158:K158" ca="1" si="24">SUM(B150:B157)</f>
        <v>3130.9887526610914</v>
      </c>
      <c r="C158" s="42">
        <f t="shared" ca="1" si="24"/>
        <v>15104.112247430072</v>
      </c>
      <c r="D158" s="42">
        <f t="shared" ca="1" si="24"/>
        <v>25319.223318464981</v>
      </c>
      <c r="E158" s="42">
        <f t="shared" ca="1" si="24"/>
        <v>33562.489063372399</v>
      </c>
      <c r="F158" s="42">
        <f t="shared" ca="1" si="24"/>
        <v>43244.895254399249</v>
      </c>
      <c r="G158" s="42">
        <f t="shared" ca="1" si="24"/>
        <v>36734.473721298782</v>
      </c>
      <c r="H158" s="42">
        <f t="shared" ca="1" si="24"/>
        <v>25419.180022128821</v>
      </c>
      <c r="I158" s="42">
        <f t="shared" ca="1" si="24"/>
        <v>18603.645787484955</v>
      </c>
      <c r="J158" s="42">
        <f t="shared" ca="1" si="24"/>
        <v>13948.918869983981</v>
      </c>
      <c r="K158" s="42">
        <f t="shared" ca="1" si="24"/>
        <v>10585.176996458238</v>
      </c>
      <c r="L158" s="1"/>
      <c r="M158" s="4" t="str">
        <f t="shared" si="23"/>
        <v>$M(2015)</v>
      </c>
    </row>
    <row r="159" spans="1:15" s="2" customFormat="1" ht="15.5" thickTop="1" x14ac:dyDescent="0.4">
      <c r="A159" s="2" t="s">
        <v>97</v>
      </c>
      <c r="B159" s="2" t="s">
        <v>390</v>
      </c>
    </row>
    <row r="160" spans="1:15" ht="13" x14ac:dyDescent="0.3">
      <c r="A160" t="str">
        <f t="array" ref="A160:A167">R_CODE</f>
        <v>EU</v>
      </c>
      <c r="B160" s="223">
        <f t="array" aca="1" ref="B160:K167" ca="1">IF(EQUITY_SWITCH=0,act_b*DFC_B,wact_b*DF)</f>
        <v>372.23791392656608</v>
      </c>
      <c r="C160" s="223">
        <f ca="1"/>
        <v>2051.0868964744182</v>
      </c>
      <c r="D160" s="223">
        <f ca="1"/>
        <v>3170.2035389683697</v>
      </c>
      <c r="E160" s="223">
        <f ca="1"/>
        <v>3842.874922340367</v>
      </c>
      <c r="F160" s="223">
        <f ca="1"/>
        <v>3646.4330034277828</v>
      </c>
      <c r="G160" s="223">
        <f ca="1"/>
        <v>2137.8984693777224</v>
      </c>
      <c r="H160" s="223">
        <f ca="1"/>
        <v>890.74240943190421</v>
      </c>
      <c r="I160" s="223">
        <f ca="1"/>
        <v>378.24804827087945</v>
      </c>
      <c r="J160" s="223">
        <f ca="1"/>
        <v>163.16013868538238</v>
      </c>
      <c r="K160" s="223">
        <f ca="1"/>
        <v>71.296613244713853</v>
      </c>
      <c r="L160" s="1"/>
      <c r="M160" s="4" t="str">
        <f t="shared" ref="M160:M168" si="25">CURRENCY_NAME</f>
        <v>$M(2015)</v>
      </c>
      <c r="O160" s="124" t="s">
        <v>1048</v>
      </c>
    </row>
    <row r="161" spans="1:13" x14ac:dyDescent="0.25">
      <c r="A161" t="str">
        <v>US</v>
      </c>
      <c r="B161" s="224">
        <f ca="1"/>
        <v>179.12927513536829</v>
      </c>
      <c r="C161" s="224">
        <f ca="1"/>
        <v>1046.5305921215434</v>
      </c>
      <c r="D161" s="224">
        <f ca="1"/>
        <v>1725.2430605799211</v>
      </c>
      <c r="E161" s="224">
        <f ca="1"/>
        <v>2223.6137987655457</v>
      </c>
      <c r="F161" s="224">
        <f ca="1"/>
        <v>2481.9056187035603</v>
      </c>
      <c r="G161" s="224">
        <f ca="1"/>
        <v>1625.3347822483152</v>
      </c>
      <c r="H161" s="224">
        <f ca="1"/>
        <v>671.28330316675579</v>
      </c>
      <c r="I161" s="224">
        <f ca="1"/>
        <v>280.54841198114133</v>
      </c>
      <c r="J161" s="224">
        <f ca="1"/>
        <v>118.50344854307761</v>
      </c>
      <c r="K161" s="224">
        <f ca="1"/>
        <v>50.53698092589098</v>
      </c>
      <c r="L161" s="1"/>
      <c r="M161" s="4" t="str">
        <f t="shared" si="25"/>
        <v>$M(2015)</v>
      </c>
    </row>
    <row r="162" spans="1:13" x14ac:dyDescent="0.25">
      <c r="A162" t="str">
        <v>OT</v>
      </c>
      <c r="B162" s="224">
        <f ca="1"/>
        <v>164.97733658104985</v>
      </c>
      <c r="C162" s="224">
        <f ca="1"/>
        <v>912.00126107929736</v>
      </c>
      <c r="D162" s="224">
        <f ca="1"/>
        <v>1411.232914862049</v>
      </c>
      <c r="E162" s="224">
        <f ca="1"/>
        <v>1700.9438554453602</v>
      </c>
      <c r="F162" s="224">
        <f ca="1"/>
        <v>1551.6070469974745</v>
      </c>
      <c r="G162" s="224">
        <f ca="1"/>
        <v>846.33155214348164</v>
      </c>
      <c r="H162" s="224">
        <f ca="1"/>
        <v>363.2002856975987</v>
      </c>
      <c r="I162" s="224">
        <f ca="1"/>
        <v>160.38165936066753</v>
      </c>
      <c r="J162" s="224">
        <f ca="1"/>
        <v>72.121426316520569</v>
      </c>
      <c r="K162" s="224">
        <f ca="1"/>
        <v>32.809692901441466</v>
      </c>
      <c r="L162" s="1"/>
      <c r="M162" s="4" t="str">
        <f t="shared" si="25"/>
        <v>$M(2015)</v>
      </c>
    </row>
    <row r="163" spans="1:13" x14ac:dyDescent="0.25">
      <c r="A163" t="str">
        <v>EE</v>
      </c>
      <c r="B163" s="224">
        <f ca="1"/>
        <v>102.53083457984043</v>
      </c>
      <c r="C163" s="224">
        <f ca="1"/>
        <v>522.89258017107193</v>
      </c>
      <c r="D163" s="224">
        <f ca="1"/>
        <v>761.30388337643728</v>
      </c>
      <c r="E163" s="224">
        <f ca="1"/>
        <v>880.53035174232014</v>
      </c>
      <c r="F163" s="224">
        <f ca="1"/>
        <v>737.95579562691455</v>
      </c>
      <c r="G163" s="224">
        <f ca="1"/>
        <v>382.846189750181</v>
      </c>
      <c r="H163" s="224">
        <f ca="1"/>
        <v>168.59686361667497</v>
      </c>
      <c r="I163" s="224">
        <f ca="1"/>
        <v>76.478846336952017</v>
      </c>
      <c r="J163" s="224">
        <f ca="1"/>
        <v>35.14555498180485</v>
      </c>
      <c r="K163" s="224">
        <f ca="1"/>
        <v>16.242992795030169</v>
      </c>
      <c r="L163" s="1"/>
      <c r="M163" s="4" t="str">
        <f t="shared" si="25"/>
        <v>$M(2015)</v>
      </c>
    </row>
    <row r="164" spans="1:13" x14ac:dyDescent="0.25">
      <c r="A164" t="str">
        <v>CA</v>
      </c>
      <c r="B164" s="224">
        <f ca="1"/>
        <v>570.49608171558418</v>
      </c>
      <c r="C164" s="224">
        <f ca="1"/>
        <v>2024.5782065207959</v>
      </c>
      <c r="D164" s="224">
        <f ca="1"/>
        <v>2785.1832966691777</v>
      </c>
      <c r="E164" s="224">
        <f ca="1"/>
        <v>3061.0005593587262</v>
      </c>
      <c r="F164" s="224">
        <f ca="1"/>
        <v>2600.0212347020824</v>
      </c>
      <c r="G164" s="224">
        <f ca="1"/>
        <v>1515.6815228022385</v>
      </c>
      <c r="H164" s="224">
        <f ca="1"/>
        <v>707.69387919975463</v>
      </c>
      <c r="I164" s="224">
        <f ca="1"/>
        <v>330.43462619488389</v>
      </c>
      <c r="J164" s="224">
        <f ca="1"/>
        <v>154.28641987820242</v>
      </c>
      <c r="K164" s="224">
        <f ca="1"/>
        <v>72.039623697092807</v>
      </c>
      <c r="L164" s="1"/>
      <c r="M164" s="4" t="str">
        <f t="shared" si="25"/>
        <v>$M(2015)</v>
      </c>
    </row>
    <row r="165" spans="1:13" x14ac:dyDescent="0.25">
      <c r="A165" t="str">
        <v>IA</v>
      </c>
      <c r="B165" s="224">
        <f ca="1"/>
        <v>955.95923121235285</v>
      </c>
      <c r="C165" s="224">
        <f ca="1"/>
        <v>3703.8394135811936</v>
      </c>
      <c r="D165" s="224">
        <f ca="1"/>
        <v>5423.929865779799</v>
      </c>
      <c r="E165" s="224">
        <f ca="1"/>
        <v>6302.7987738819638</v>
      </c>
      <c r="F165" s="224">
        <f ca="1"/>
        <v>6100.7362963407704</v>
      </c>
      <c r="G165" s="224">
        <f ca="1"/>
        <v>4001.293159498668</v>
      </c>
      <c r="H165" s="224">
        <f ca="1"/>
        <v>1707.5161702874123</v>
      </c>
      <c r="I165" s="224">
        <f ca="1"/>
        <v>775.83952204979414</v>
      </c>
      <c r="J165" s="224">
        <f ca="1"/>
        <v>358.19537008248187</v>
      </c>
      <c r="K165" s="224">
        <f ca="1"/>
        <v>166.04698477525727</v>
      </c>
      <c r="L165" s="1"/>
      <c r="M165" s="4" t="str">
        <f t="shared" si="25"/>
        <v>$M(2015)</v>
      </c>
    </row>
    <row r="166" spans="1:13" x14ac:dyDescent="0.25">
      <c r="A166" t="str">
        <v>AF</v>
      </c>
      <c r="B166" s="224">
        <f ca="1"/>
        <v>455.66373764876971</v>
      </c>
      <c r="C166" s="224">
        <f ca="1"/>
        <v>1990.2161496370852</v>
      </c>
      <c r="D166" s="224">
        <f ca="1"/>
        <v>3256.0181552984977</v>
      </c>
      <c r="E166" s="224">
        <f ca="1"/>
        <v>4168.6359148266765</v>
      </c>
      <c r="F166" s="224">
        <f ca="1"/>
        <v>4972.3917586835951</v>
      </c>
      <c r="G166" s="224">
        <f ca="1"/>
        <v>3970.6237102156028</v>
      </c>
      <c r="H166" s="224">
        <f ca="1"/>
        <v>1478.4148898811338</v>
      </c>
      <c r="I166" s="224">
        <f ca="1"/>
        <v>615.95962831266149</v>
      </c>
      <c r="J166" s="224">
        <f ca="1"/>
        <v>271.22011620204898</v>
      </c>
      <c r="K166" s="224">
        <f ca="1"/>
        <v>122.69975000546283</v>
      </c>
      <c r="L166" s="1"/>
      <c r="M166" s="4" t="str">
        <f t="shared" si="25"/>
        <v>$M(2015)</v>
      </c>
    </row>
    <row r="167" spans="1:13" x14ac:dyDescent="0.25">
      <c r="A167" t="str">
        <v>LA</v>
      </c>
      <c r="B167" s="224">
        <f ca="1"/>
        <v>173.12293071725892</v>
      </c>
      <c r="C167" s="224">
        <f ca="1"/>
        <v>694.53824221273749</v>
      </c>
      <c r="D167" s="224">
        <f ca="1"/>
        <v>1047.8163334090441</v>
      </c>
      <c r="E167" s="224">
        <f ca="1"/>
        <v>1239.7858815904251</v>
      </c>
      <c r="F167" s="224">
        <f ca="1"/>
        <v>1246.4288086610206</v>
      </c>
      <c r="G167" s="224">
        <f ca="1"/>
        <v>851.18118933060703</v>
      </c>
      <c r="H167" s="224">
        <f ca="1"/>
        <v>357.52134217421599</v>
      </c>
      <c r="I167" s="224">
        <f ca="1"/>
        <v>159.4678548511223</v>
      </c>
      <c r="J167" s="224">
        <f ca="1"/>
        <v>72.857858285975325</v>
      </c>
      <c r="K167" s="224">
        <f ca="1"/>
        <v>33.607666966461743</v>
      </c>
      <c r="L167" s="1"/>
      <c r="M167" s="4" t="str">
        <f t="shared" si="25"/>
        <v>$M(2015)</v>
      </c>
    </row>
    <row r="168" spans="1:13" ht="13" x14ac:dyDescent="0.3">
      <c r="A168" s="2" t="s">
        <v>206</v>
      </c>
      <c r="B168" s="40">
        <f ca="1">SUM(B160:B167)</f>
        <v>2974.11734151679</v>
      </c>
      <c r="C168" s="40">
        <f t="shared" ref="C168:K168" ca="1" si="26">SUM(C160:C167)</f>
        <v>12945.683341798142</v>
      </c>
      <c r="D168" s="40">
        <f t="shared" ca="1" si="26"/>
        <v>19580.931048943297</v>
      </c>
      <c r="E168" s="40">
        <f t="shared" ca="1" si="26"/>
        <v>23420.184057951388</v>
      </c>
      <c r="F168" s="40">
        <f t="shared" ca="1" si="26"/>
        <v>23337.479563143203</v>
      </c>
      <c r="G168" s="40">
        <f t="shared" ca="1" si="26"/>
        <v>15331.190575366818</v>
      </c>
      <c r="H168" s="40">
        <f t="shared" ca="1" si="26"/>
        <v>6344.9691434554497</v>
      </c>
      <c r="I168" s="40">
        <f t="shared" ca="1" si="26"/>
        <v>2777.3585973581025</v>
      </c>
      <c r="J168" s="40">
        <f t="shared" ca="1" si="26"/>
        <v>1245.4903329754939</v>
      </c>
      <c r="K168" s="40">
        <f t="shared" ca="1" si="26"/>
        <v>565.28030531135107</v>
      </c>
      <c r="L168" s="1"/>
      <c r="M168" s="4" t="str">
        <f t="shared" si="25"/>
        <v>$M(2015)</v>
      </c>
    </row>
    <row r="169" spans="1:13" s="2" customFormat="1" ht="15" x14ac:dyDescent="0.4">
      <c r="A169" s="2" t="s">
        <v>98</v>
      </c>
      <c r="B169" s="2" t="s">
        <v>391</v>
      </c>
      <c r="L169" s="2" t="s">
        <v>112</v>
      </c>
    </row>
    <row r="170" spans="1:13" s="4" customFormat="1" x14ac:dyDescent="0.25">
      <c r="A170" t="str">
        <f t="array" ref="A170:A177">R_CODE</f>
        <v>EU</v>
      </c>
      <c r="B170" s="27">
        <f t="array" aca="1" ref="B170:K177" ca="1">wacdt_b*YAGG</f>
        <v>3722.3791392656608</v>
      </c>
      <c r="C170" s="27">
        <f ca="1"/>
        <v>20510.868964744182</v>
      </c>
      <c r="D170" s="27">
        <f ca="1"/>
        <v>31702.035389683697</v>
      </c>
      <c r="E170" s="27">
        <f ca="1"/>
        <v>67250.311140956415</v>
      </c>
      <c r="F170" s="27">
        <f ca="1"/>
        <v>91160.825085694567</v>
      </c>
      <c r="G170" s="27">
        <f ca="1"/>
        <v>80171.192601664588</v>
      </c>
      <c r="H170" s="27">
        <f ca="1"/>
        <v>44537.120471595212</v>
      </c>
      <c r="I170" s="27">
        <f ca="1"/>
        <v>18912.402413543972</v>
      </c>
      <c r="J170" s="27">
        <f ca="1"/>
        <v>8158.0069342691186</v>
      </c>
      <c r="K170" s="27">
        <f ca="1"/>
        <v>1782.4153311178463</v>
      </c>
      <c r="L170" s="41">
        <f ca="1">SUM(B170:K170)</f>
        <v>367907.55747253523</v>
      </c>
      <c r="M170" s="4" t="str">
        <f t="shared" ref="M170:M179" si="27">CURRENCY_NAME</f>
        <v>$M(2015)</v>
      </c>
    </row>
    <row r="171" spans="1:13" s="4" customFormat="1" x14ac:dyDescent="0.25">
      <c r="A171" t="str">
        <v>US</v>
      </c>
      <c r="B171" s="28">
        <f ca="1"/>
        <v>1791.2927513536829</v>
      </c>
      <c r="C171" s="28">
        <f ca="1"/>
        <v>10465.305921215433</v>
      </c>
      <c r="D171" s="28">
        <f ca="1"/>
        <v>17252.430605799211</v>
      </c>
      <c r="E171" s="28">
        <f ca="1"/>
        <v>38913.241478397045</v>
      </c>
      <c r="F171" s="28">
        <f ca="1"/>
        <v>62047.640467589008</v>
      </c>
      <c r="G171" s="28">
        <f ca="1"/>
        <v>60950.054334311819</v>
      </c>
      <c r="H171" s="28">
        <f ca="1"/>
        <v>33564.16515833779</v>
      </c>
      <c r="I171" s="28">
        <f ca="1"/>
        <v>14027.420599057066</v>
      </c>
      <c r="J171" s="28">
        <f ca="1"/>
        <v>5925.1724271538806</v>
      </c>
      <c r="K171" s="28">
        <f ca="1"/>
        <v>1263.4245231472744</v>
      </c>
      <c r="L171" s="40">
        <f t="shared" ref="L171:L178" ca="1" si="28">SUM(B171:K171)</f>
        <v>246200.14826636226</v>
      </c>
      <c r="M171" s="4" t="str">
        <f t="shared" si="27"/>
        <v>$M(2015)</v>
      </c>
    </row>
    <row r="172" spans="1:13" s="4" customFormat="1" x14ac:dyDescent="0.25">
      <c r="A172" t="str">
        <v>OT</v>
      </c>
      <c r="B172" s="28">
        <f ca="1"/>
        <v>1649.7733658104985</v>
      </c>
      <c r="C172" s="28">
        <f ca="1"/>
        <v>9120.0126107929736</v>
      </c>
      <c r="D172" s="28">
        <f ca="1"/>
        <v>14112.329148620491</v>
      </c>
      <c r="E172" s="28">
        <f ca="1"/>
        <v>29766.517470293802</v>
      </c>
      <c r="F172" s="28">
        <f ca="1"/>
        <v>38790.17617493686</v>
      </c>
      <c r="G172" s="28">
        <f ca="1"/>
        <v>31737.433205380563</v>
      </c>
      <c r="H172" s="28">
        <f ca="1"/>
        <v>18160.014284879937</v>
      </c>
      <c r="I172" s="28">
        <f ca="1"/>
        <v>8019.0829680333763</v>
      </c>
      <c r="J172" s="28">
        <f ca="1"/>
        <v>3606.0713158260287</v>
      </c>
      <c r="K172" s="28">
        <f ca="1"/>
        <v>820.24232253603668</v>
      </c>
      <c r="L172" s="40">
        <f t="shared" ca="1" si="28"/>
        <v>155781.65286711059</v>
      </c>
      <c r="M172" s="4" t="str">
        <f t="shared" si="27"/>
        <v>$M(2015)</v>
      </c>
    </row>
    <row r="173" spans="1:13" s="4" customFormat="1" x14ac:dyDescent="0.25">
      <c r="A173" t="str">
        <v>EE</v>
      </c>
      <c r="B173" s="28">
        <f ca="1"/>
        <v>1025.3083457984044</v>
      </c>
      <c r="C173" s="28">
        <f ca="1"/>
        <v>5228.9258017107195</v>
      </c>
      <c r="D173" s="28">
        <f ca="1"/>
        <v>7613.0388337643726</v>
      </c>
      <c r="E173" s="28">
        <f ca="1"/>
        <v>15409.281155490602</v>
      </c>
      <c r="F173" s="28">
        <f ca="1"/>
        <v>18448.894890672862</v>
      </c>
      <c r="G173" s="28">
        <f ca="1"/>
        <v>14356.732115631787</v>
      </c>
      <c r="H173" s="28">
        <f ca="1"/>
        <v>8429.8431808337482</v>
      </c>
      <c r="I173" s="28">
        <f ca="1"/>
        <v>3823.942316847601</v>
      </c>
      <c r="J173" s="28">
        <f ca="1"/>
        <v>1757.2777490902424</v>
      </c>
      <c r="K173" s="28">
        <f ca="1"/>
        <v>406.0748198757542</v>
      </c>
      <c r="L173" s="40">
        <f t="shared" ca="1" si="28"/>
        <v>76499.319209716094</v>
      </c>
      <c r="M173" s="4" t="str">
        <f t="shared" si="27"/>
        <v>$M(2015)</v>
      </c>
    </row>
    <row r="174" spans="1:13" s="4" customFormat="1" x14ac:dyDescent="0.25">
      <c r="A174" t="str">
        <v>CA</v>
      </c>
      <c r="B174" s="28">
        <f ca="1"/>
        <v>5704.9608171558421</v>
      </c>
      <c r="C174" s="28">
        <f ca="1"/>
        <v>20245.782065207961</v>
      </c>
      <c r="D174" s="28">
        <f ca="1"/>
        <v>27851.832966691778</v>
      </c>
      <c r="E174" s="28">
        <f ca="1"/>
        <v>53567.509788777708</v>
      </c>
      <c r="F174" s="28">
        <f ca="1"/>
        <v>65000.530867552065</v>
      </c>
      <c r="G174" s="28">
        <f ca="1"/>
        <v>56838.057105083943</v>
      </c>
      <c r="H174" s="28">
        <f ca="1"/>
        <v>35384.69395998773</v>
      </c>
      <c r="I174" s="28">
        <f ca="1"/>
        <v>16521.731309744195</v>
      </c>
      <c r="J174" s="28">
        <f ca="1"/>
        <v>7714.3209939101216</v>
      </c>
      <c r="K174" s="28">
        <f ca="1"/>
        <v>1800.9905924273203</v>
      </c>
      <c r="L174" s="40">
        <f t="shared" ca="1" si="28"/>
        <v>290630.41046653868</v>
      </c>
      <c r="M174" s="4" t="str">
        <f t="shared" si="27"/>
        <v>$M(2015)</v>
      </c>
    </row>
    <row r="175" spans="1:13" s="4" customFormat="1" x14ac:dyDescent="0.25">
      <c r="A175" t="str">
        <v>IA</v>
      </c>
      <c r="B175" s="28">
        <f ca="1"/>
        <v>9559.5923121235282</v>
      </c>
      <c r="C175" s="28">
        <f ca="1"/>
        <v>37038.394135811934</v>
      </c>
      <c r="D175" s="28">
        <f ca="1"/>
        <v>54239.29865779799</v>
      </c>
      <c r="E175" s="28">
        <f ca="1"/>
        <v>110298.97854293436</v>
      </c>
      <c r="F175" s="28">
        <f ca="1"/>
        <v>152518.40740851927</v>
      </c>
      <c r="G175" s="28">
        <f ca="1"/>
        <v>150048.49348120004</v>
      </c>
      <c r="H175" s="28">
        <f ca="1"/>
        <v>85375.808514370612</v>
      </c>
      <c r="I175" s="28">
        <f ca="1"/>
        <v>38791.976102489709</v>
      </c>
      <c r="J175" s="28">
        <f ca="1"/>
        <v>17909.768504124095</v>
      </c>
      <c r="K175" s="28">
        <f ca="1"/>
        <v>4151.1746193814315</v>
      </c>
      <c r="L175" s="40">
        <f t="shared" ca="1" si="28"/>
        <v>659931.89227875299</v>
      </c>
      <c r="M175" s="4" t="str">
        <f t="shared" si="27"/>
        <v>$M(2015)</v>
      </c>
    </row>
    <row r="176" spans="1:13" s="4" customFormat="1" x14ac:dyDescent="0.25">
      <c r="A176" t="str">
        <v>AF</v>
      </c>
      <c r="B176" s="28">
        <f ca="1"/>
        <v>4556.6373764876971</v>
      </c>
      <c r="C176" s="28">
        <f ca="1"/>
        <v>19902.161496370853</v>
      </c>
      <c r="D176" s="28">
        <f ca="1"/>
        <v>32560.181552984977</v>
      </c>
      <c r="E176" s="28">
        <f ca="1"/>
        <v>72951.128509466842</v>
      </c>
      <c r="F176" s="28">
        <f ca="1"/>
        <v>124309.79396708988</v>
      </c>
      <c r="G176" s="28">
        <f ca="1"/>
        <v>148898.38913308512</v>
      </c>
      <c r="H176" s="28">
        <f ca="1"/>
        <v>73920.744494056693</v>
      </c>
      <c r="I176" s="28">
        <f ca="1"/>
        <v>30797.981415633076</v>
      </c>
      <c r="J176" s="28">
        <f ca="1"/>
        <v>13561.00581010245</v>
      </c>
      <c r="K176" s="28">
        <f ca="1"/>
        <v>3067.4937501365707</v>
      </c>
      <c r="L176" s="40">
        <f t="shared" ca="1" si="28"/>
        <v>524525.51750541409</v>
      </c>
      <c r="M176" s="4" t="str">
        <f t="shared" si="27"/>
        <v>$M(2015)</v>
      </c>
    </row>
    <row r="177" spans="1:13" s="4" customFormat="1" x14ac:dyDescent="0.25">
      <c r="A177" t="str">
        <v>LA</v>
      </c>
      <c r="B177" s="28">
        <f ca="1"/>
        <v>1731.2293071725892</v>
      </c>
      <c r="C177" s="28">
        <f ca="1"/>
        <v>6945.3824221273753</v>
      </c>
      <c r="D177" s="28">
        <f ca="1"/>
        <v>10478.163334090441</v>
      </c>
      <c r="E177" s="28">
        <f ca="1"/>
        <v>21696.25292783244</v>
      </c>
      <c r="F177" s="28">
        <f ca="1"/>
        <v>31160.720216525515</v>
      </c>
      <c r="G177" s="28">
        <f ca="1"/>
        <v>31919.294599897763</v>
      </c>
      <c r="H177" s="28">
        <f ca="1"/>
        <v>17876.067108710798</v>
      </c>
      <c r="I177" s="28">
        <f ca="1"/>
        <v>7973.3927425561151</v>
      </c>
      <c r="J177" s="28">
        <f ca="1"/>
        <v>3642.8929142987663</v>
      </c>
      <c r="K177" s="28">
        <f ca="1"/>
        <v>840.19167416154357</v>
      </c>
      <c r="L177" s="40">
        <f t="shared" ca="1" si="28"/>
        <v>134263.58724737336</v>
      </c>
      <c r="M177" s="4" t="str">
        <f t="shared" si="27"/>
        <v>$M(2015)</v>
      </c>
    </row>
    <row r="178" spans="1:13" s="2" customFormat="1" ht="13" x14ac:dyDescent="0.3">
      <c r="A178" s="2" t="s">
        <v>206</v>
      </c>
      <c r="B178" s="40">
        <f ca="1">SUM(B170:B177)</f>
        <v>29741.173415167908</v>
      </c>
      <c r="C178" s="40">
        <f t="shared" ref="C178:K178" ca="1" si="29">SUM(C170:C177)</f>
        <v>129456.83341798143</v>
      </c>
      <c r="D178" s="40">
        <f t="shared" ca="1" si="29"/>
        <v>195809.31048943294</v>
      </c>
      <c r="E178" s="40">
        <f t="shared" ca="1" si="29"/>
        <v>409853.2210141492</v>
      </c>
      <c r="F178" s="40">
        <f t="shared" ca="1" si="29"/>
        <v>583436.98907858005</v>
      </c>
      <c r="G178" s="40">
        <f t="shared" ca="1" si="29"/>
        <v>574919.64657625568</v>
      </c>
      <c r="H178" s="40">
        <f t="shared" ca="1" si="29"/>
        <v>317248.45717277256</v>
      </c>
      <c r="I178" s="40">
        <f t="shared" ca="1" si="29"/>
        <v>138867.9298679051</v>
      </c>
      <c r="J178" s="40">
        <f t="shared" ca="1" si="29"/>
        <v>62274.516648774697</v>
      </c>
      <c r="K178" s="40">
        <f t="shared" ca="1" si="29"/>
        <v>14132.00763278378</v>
      </c>
      <c r="L178" s="40">
        <f t="shared" ca="1" si="28"/>
        <v>2455740.0853138026</v>
      </c>
      <c r="M178" s="4" t="str">
        <f t="shared" si="27"/>
        <v>$M(2015)</v>
      </c>
    </row>
    <row r="179" spans="1:13" ht="13.5" thickBot="1" x14ac:dyDescent="0.35">
      <c r="A179" s="2" t="s">
        <v>109</v>
      </c>
      <c r="L179" s="42">
        <f ca="1">SUM(L170:L177)</f>
        <v>2455740.0853138035</v>
      </c>
      <c r="M179" s="4" t="str">
        <f t="shared" si="27"/>
        <v>$M(2015)</v>
      </c>
    </row>
    <row r="180" spans="1:13" ht="13" thickTop="1" x14ac:dyDescent="0.25"/>
  </sheetData>
  <pageMargins left="0.75" right="0.75" top="1" bottom="1" header="0.5" footer="0.5"/>
  <pageSetup paperSize="9" orientation="portrait" horizontalDpi="360" verticalDpi="360"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N180"/>
  <sheetViews>
    <sheetView workbookViewId="0"/>
  </sheetViews>
  <sheetFormatPr defaultRowHeight="12.5" x14ac:dyDescent="0.25"/>
  <cols>
    <col min="1" max="1" width="25.54296875" bestFit="1" customWidth="1"/>
    <col min="2" max="2" width="9.453125" bestFit="1" customWidth="1"/>
    <col min="3" max="4" width="9.1796875" bestFit="1" customWidth="1"/>
    <col min="5" max="5" width="9.453125" bestFit="1" customWidth="1"/>
    <col min="6" max="13" width="9" bestFit="1" customWidth="1"/>
  </cols>
  <sheetData>
    <row r="1" spans="1:13" ht="13" x14ac:dyDescent="0.3">
      <c r="A1" s="2" t="str">
        <f>MODEL_NAME</f>
        <v>PAGE-ICE Nonlinear Arctic Feedbacks</v>
      </c>
      <c r="B1" t="s">
        <v>39</v>
      </c>
      <c r="C1" s="51" t="str">
        <f>VERSION</f>
        <v>6.22</v>
      </c>
    </row>
    <row r="2" spans="1:13" ht="13" x14ac:dyDescent="0.3">
      <c r="A2" s="2" t="s">
        <v>90</v>
      </c>
      <c r="B2" s="3" t="s">
        <v>368</v>
      </c>
      <c r="C2" s="3" t="s">
        <v>368</v>
      </c>
      <c r="D2" s="3" t="str">
        <f>I_1_NAME</f>
        <v>Economic</v>
      </c>
      <c r="E2" s="3" t="str">
        <f>I_1_NAME</f>
        <v>Economic</v>
      </c>
      <c r="F2" s="3" t="str">
        <f>I_2_NAME</f>
        <v>Non-econ</v>
      </c>
      <c r="G2" s="3" t="str">
        <f>I_2_NAME</f>
        <v>Non-econ</v>
      </c>
    </row>
    <row r="3" spans="1:13" x14ac:dyDescent="0.25">
      <c r="B3" s="3" t="s">
        <v>49</v>
      </c>
      <c r="C3" s="3" t="s">
        <v>369</v>
      </c>
      <c r="D3" s="3" t="s">
        <v>49</v>
      </c>
      <c r="E3" s="3" t="s">
        <v>369</v>
      </c>
      <c r="F3" s="3" t="s">
        <v>49</v>
      </c>
      <c r="G3" s="3" t="s">
        <v>369</v>
      </c>
    </row>
    <row r="4" spans="1:13" ht="15.5" x14ac:dyDescent="0.4">
      <c r="B4" s="3" t="s">
        <v>370</v>
      </c>
      <c r="C4" s="3" t="s">
        <v>371</v>
      </c>
      <c r="D4" s="3" t="s">
        <v>91</v>
      </c>
      <c r="E4" s="3" t="s">
        <v>92</v>
      </c>
      <c r="F4" s="3" t="s">
        <v>93</v>
      </c>
      <c r="G4" s="3" t="s">
        <v>94</v>
      </c>
    </row>
    <row r="5" spans="1:13" x14ac:dyDescent="0.25">
      <c r="A5" t="str">
        <f t="array" ref="A5:A12">R_CODE</f>
        <v>EU</v>
      </c>
      <c r="B5" s="11">
        <f ca="1">'Adaptive costs A'!B5-'Adaptive costs B'!B5</f>
        <v>0</v>
      </c>
      <c r="C5" s="11">
        <f ca="1">'Adaptive costs A'!C5-'Adaptive costs B'!C5</f>
        <v>0</v>
      </c>
      <c r="D5" s="11">
        <f ca="1">'Adaptive costs A'!D5-'Adaptive costs B'!D5</f>
        <v>0</v>
      </c>
      <c r="E5" s="11">
        <f ca="1">'Adaptive costs A'!E5-'Adaptive costs B'!E5</f>
        <v>0</v>
      </c>
      <c r="F5" s="11">
        <f ca="1">'Adaptive costs A'!F5-'Adaptive costs B'!F5</f>
        <v>0</v>
      </c>
      <c r="G5" s="11">
        <f ca="1">'Adaptive costs A'!G5-'Adaptive costs B'!G5</f>
        <v>0</v>
      </c>
    </row>
    <row r="6" spans="1:13" x14ac:dyDescent="0.25">
      <c r="A6" t="str">
        <v>US</v>
      </c>
      <c r="B6" s="13">
        <f ca="1">'Adaptive costs A'!B6-'Adaptive costs B'!B6</f>
        <v>0</v>
      </c>
      <c r="C6" s="13">
        <f ca="1">'Adaptive costs A'!C6-'Adaptive costs B'!C6</f>
        <v>0</v>
      </c>
      <c r="D6" s="13">
        <f ca="1">'Adaptive costs A'!D6-'Adaptive costs B'!D6</f>
        <v>0</v>
      </c>
      <c r="E6" s="13">
        <f ca="1">'Adaptive costs A'!E6-'Adaptive costs B'!E6</f>
        <v>0</v>
      </c>
      <c r="F6" s="13">
        <f ca="1">'Adaptive costs A'!F6-'Adaptive costs B'!F6</f>
        <v>0</v>
      </c>
      <c r="G6" s="13">
        <f ca="1">'Adaptive costs A'!G6-'Adaptive costs B'!G6</f>
        <v>0</v>
      </c>
    </row>
    <row r="7" spans="1:13" x14ac:dyDescent="0.25">
      <c r="A7" t="str">
        <v>OT</v>
      </c>
      <c r="B7" s="13">
        <f ca="1">'Adaptive costs A'!B7-'Adaptive costs B'!B7</f>
        <v>0</v>
      </c>
      <c r="C7" s="13">
        <f ca="1">'Adaptive costs A'!C7-'Adaptive costs B'!C7</f>
        <v>0</v>
      </c>
      <c r="D7" s="13">
        <f ca="1">'Adaptive costs A'!D7-'Adaptive costs B'!D7</f>
        <v>0</v>
      </c>
      <c r="E7" s="13">
        <f ca="1">'Adaptive costs A'!E7-'Adaptive costs B'!E7</f>
        <v>0</v>
      </c>
      <c r="F7" s="13">
        <f ca="1">'Adaptive costs A'!F7-'Adaptive costs B'!F7</f>
        <v>0</v>
      </c>
      <c r="G7" s="13">
        <f ca="1">'Adaptive costs A'!G7-'Adaptive costs B'!G7</f>
        <v>0</v>
      </c>
    </row>
    <row r="8" spans="1:13" x14ac:dyDescent="0.25">
      <c r="A8" t="str">
        <v>EE</v>
      </c>
      <c r="B8" s="13">
        <f ca="1">'Adaptive costs A'!B8-'Adaptive costs B'!B8</f>
        <v>0</v>
      </c>
      <c r="C8" s="13">
        <f ca="1">'Adaptive costs A'!C8-'Adaptive costs B'!C8</f>
        <v>0</v>
      </c>
      <c r="D8" s="13">
        <f ca="1">'Adaptive costs A'!D8-'Adaptive costs B'!D8</f>
        <v>0</v>
      </c>
      <c r="E8" s="13">
        <f ca="1">'Adaptive costs A'!E8-'Adaptive costs B'!E8</f>
        <v>0</v>
      </c>
      <c r="F8" s="13">
        <f ca="1">'Adaptive costs A'!F8-'Adaptive costs B'!F8</f>
        <v>0</v>
      </c>
      <c r="G8" s="13">
        <f ca="1">'Adaptive costs A'!G8-'Adaptive costs B'!G8</f>
        <v>0</v>
      </c>
    </row>
    <row r="9" spans="1:13" x14ac:dyDescent="0.25">
      <c r="A9" t="str">
        <v>CA</v>
      </c>
      <c r="B9" s="13">
        <f ca="1">'Adaptive costs A'!B9-'Adaptive costs B'!B9</f>
        <v>0</v>
      </c>
      <c r="C9" s="13">
        <f ca="1">'Adaptive costs A'!C9-'Adaptive costs B'!C9</f>
        <v>0</v>
      </c>
      <c r="D9" s="13">
        <f ca="1">'Adaptive costs A'!D9-'Adaptive costs B'!D9</f>
        <v>0</v>
      </c>
      <c r="E9" s="13">
        <f ca="1">'Adaptive costs A'!E9-'Adaptive costs B'!E9</f>
        <v>0</v>
      </c>
      <c r="F9" s="13">
        <f ca="1">'Adaptive costs A'!F9-'Adaptive costs B'!F9</f>
        <v>0</v>
      </c>
      <c r="G9" s="13">
        <f ca="1">'Adaptive costs A'!G9-'Adaptive costs B'!G9</f>
        <v>0</v>
      </c>
    </row>
    <row r="10" spans="1:13" x14ac:dyDescent="0.25">
      <c r="A10" t="str">
        <v>IA</v>
      </c>
      <c r="B10" s="13">
        <f ca="1">'Adaptive costs A'!B10-'Adaptive costs B'!B10</f>
        <v>0</v>
      </c>
      <c r="C10" s="13">
        <f ca="1">'Adaptive costs A'!C10-'Adaptive costs B'!C10</f>
        <v>0</v>
      </c>
      <c r="D10" s="13">
        <f ca="1">'Adaptive costs A'!D10-'Adaptive costs B'!D10</f>
        <v>0</v>
      </c>
      <c r="E10" s="13">
        <f ca="1">'Adaptive costs A'!E10-'Adaptive costs B'!E10</f>
        <v>0</v>
      </c>
      <c r="F10" s="13">
        <f ca="1">'Adaptive costs A'!F10-'Adaptive costs B'!F10</f>
        <v>0</v>
      </c>
      <c r="G10" s="13">
        <f ca="1">'Adaptive costs A'!G10-'Adaptive costs B'!G10</f>
        <v>0</v>
      </c>
    </row>
    <row r="11" spans="1:13" x14ac:dyDescent="0.25">
      <c r="A11" t="str">
        <v>AF</v>
      </c>
      <c r="B11" s="13">
        <f ca="1">'Adaptive costs A'!B11-'Adaptive costs B'!B11</f>
        <v>0</v>
      </c>
      <c r="C11" s="13">
        <f ca="1">'Adaptive costs A'!C11-'Adaptive costs B'!C11</f>
        <v>0</v>
      </c>
      <c r="D11" s="13">
        <f ca="1">'Adaptive costs A'!D11-'Adaptive costs B'!D11</f>
        <v>0</v>
      </c>
      <c r="E11" s="13">
        <f ca="1">'Adaptive costs A'!E11-'Adaptive costs B'!E11</f>
        <v>0</v>
      </c>
      <c r="F11" s="13">
        <f ca="1">'Adaptive costs A'!F11-'Adaptive costs B'!F11</f>
        <v>0</v>
      </c>
      <c r="G11" s="13">
        <f ca="1">'Adaptive costs A'!G11-'Adaptive costs B'!G11</f>
        <v>0</v>
      </c>
    </row>
    <row r="12" spans="1:13" ht="13" thickBot="1" x14ac:dyDescent="0.3">
      <c r="A12" t="str">
        <v>LA</v>
      </c>
      <c r="B12" s="15">
        <f ca="1">'Adaptive costs A'!B12-'Adaptive costs B'!B12</f>
        <v>0</v>
      </c>
      <c r="C12" s="15">
        <f ca="1">'Adaptive costs A'!C12-'Adaptive costs B'!C12</f>
        <v>0</v>
      </c>
      <c r="D12" s="15">
        <f ca="1">'Adaptive costs A'!D12-'Adaptive costs B'!D12</f>
        <v>0</v>
      </c>
      <c r="E12" s="15">
        <f ca="1">'Adaptive costs A'!E12-'Adaptive costs B'!E12</f>
        <v>0</v>
      </c>
      <c r="F12" s="15">
        <f ca="1">'Adaptive costs A'!F12-'Adaptive costs B'!F12</f>
        <v>0</v>
      </c>
      <c r="G12" s="15">
        <f ca="1">'Adaptive costs A'!G12-'Adaptive costs B'!G12</f>
        <v>0</v>
      </c>
    </row>
    <row r="13" spans="1:13" ht="13" thickTop="1" x14ac:dyDescent="0.25">
      <c r="B13" t="str">
        <f>'Library data'!$G$115</f>
        <v>%GDP per metre</v>
      </c>
      <c r="C13" t="str">
        <f>'Library data'!$G$116</f>
        <v>%GDP per %reduction per metre</v>
      </c>
      <c r="D13" t="str">
        <f>'Library data'!$G$117</f>
        <v>%GDP per degC</v>
      </c>
      <c r="E13" t="str">
        <f>'Library data'!$G$118</f>
        <v>%GDP per %reduction per degC</v>
      </c>
      <c r="F13" t="str">
        <f>'Library data'!$G$119</f>
        <v>%GDP per degC</v>
      </c>
      <c r="G13" t="str">
        <f>'Library data'!$G$120</f>
        <v>%GDP per %reduction per degC</v>
      </c>
    </row>
    <row r="15" spans="1:13" x14ac:dyDescent="0.25">
      <c r="B15">
        <f t="array" ref="B15:K15">Y</f>
        <v>2020</v>
      </c>
      <c r="C15">
        <v>2030</v>
      </c>
      <c r="D15">
        <v>2040</v>
      </c>
      <c r="E15">
        <v>2050</v>
      </c>
      <c r="F15">
        <v>2075</v>
      </c>
      <c r="G15">
        <v>2100</v>
      </c>
      <c r="H15">
        <v>2150</v>
      </c>
      <c r="I15">
        <v>2200</v>
      </c>
      <c r="J15">
        <v>2250</v>
      </c>
      <c r="K15">
        <v>2300</v>
      </c>
    </row>
    <row r="16" spans="1:13" s="4" customFormat="1" x14ac:dyDescent="0.25">
      <c r="A16" s="4" t="s">
        <v>59</v>
      </c>
      <c r="B16" s="12">
        <f>'Adaptive costs A'!B16-'Adaptive costs B'!B16</f>
        <v>0</v>
      </c>
      <c r="C16" s="12">
        <f>'Adaptive costs A'!C16-'Adaptive costs B'!C16</f>
        <v>0</v>
      </c>
      <c r="D16" s="12">
        <f>'Adaptive costs A'!D16-'Adaptive costs B'!D16</f>
        <v>0</v>
      </c>
      <c r="E16" s="12">
        <f>'Adaptive costs A'!E16-'Adaptive costs B'!E16</f>
        <v>0</v>
      </c>
      <c r="F16" s="12">
        <f>'Adaptive costs A'!F16-'Adaptive costs B'!F16</f>
        <v>0</v>
      </c>
      <c r="G16" s="12">
        <f>'Adaptive costs A'!G16-'Adaptive costs B'!G16</f>
        <v>0</v>
      </c>
      <c r="H16" s="12">
        <f>'Adaptive costs A'!H16-'Adaptive costs B'!H16</f>
        <v>0</v>
      </c>
      <c r="I16" s="12">
        <f>'Adaptive costs A'!I16-'Adaptive costs B'!I16</f>
        <v>0</v>
      </c>
      <c r="J16" s="12">
        <f>'Adaptive costs A'!J16-'Adaptive costs B'!J16</f>
        <v>0</v>
      </c>
      <c r="K16" s="12">
        <f>'Adaptive costs A'!K16-'Adaptive costs B'!K16</f>
        <v>0</v>
      </c>
      <c r="M16" s="4" t="s">
        <v>41</v>
      </c>
    </row>
    <row r="17" spans="1:13" s="4" customFormat="1" x14ac:dyDescent="0.25">
      <c r="A17" s="4" t="s">
        <v>84</v>
      </c>
      <c r="B17" s="14">
        <f>'Adaptive costs A'!B17-'Adaptive costs B'!B17</f>
        <v>0</v>
      </c>
      <c r="C17" s="14">
        <f>'Adaptive costs A'!C17-'Adaptive costs B'!C17</f>
        <v>0</v>
      </c>
      <c r="D17" s="14">
        <f>'Adaptive costs A'!D17-'Adaptive costs B'!D17</f>
        <v>0</v>
      </c>
      <c r="E17" s="14">
        <f>'Adaptive costs A'!E17-'Adaptive costs B'!E17</f>
        <v>0</v>
      </c>
      <c r="F17" s="14">
        <f>'Adaptive costs A'!F17-'Adaptive costs B'!F17</f>
        <v>0</v>
      </c>
      <c r="G17" s="14">
        <f>'Adaptive costs A'!G17-'Adaptive costs B'!G17</f>
        <v>0</v>
      </c>
      <c r="H17" s="14">
        <f>'Adaptive costs A'!H17-'Adaptive costs B'!H17</f>
        <v>0</v>
      </c>
      <c r="I17" s="14">
        <f>'Adaptive costs A'!I17-'Adaptive costs B'!I17</f>
        <v>0</v>
      </c>
      <c r="J17" s="14">
        <f>'Adaptive costs A'!J17-'Adaptive costs B'!J17</f>
        <v>0</v>
      </c>
      <c r="K17" s="14">
        <f>'Adaptive costs A'!K17-'Adaptive costs B'!K17</f>
        <v>0</v>
      </c>
    </row>
    <row r="18" spans="1:13" s="4" customFormat="1" x14ac:dyDescent="0.25">
      <c r="A18" s="4" t="s">
        <v>85</v>
      </c>
      <c r="B18" s="14">
        <f>'Adaptive costs A'!B18-'Adaptive costs B'!B18</f>
        <v>0</v>
      </c>
      <c r="C18" s="14">
        <f>'Adaptive costs A'!C18-'Adaptive costs B'!C18</f>
        <v>0</v>
      </c>
      <c r="D18" s="14">
        <f>'Adaptive costs A'!D18-'Adaptive costs B'!D18</f>
        <v>0</v>
      </c>
      <c r="E18" s="14">
        <f>'Adaptive costs A'!E18-'Adaptive costs B'!E18</f>
        <v>0</v>
      </c>
      <c r="F18" s="14">
        <f>'Adaptive costs A'!F18-'Adaptive costs B'!F18</f>
        <v>0</v>
      </c>
      <c r="G18" s="14">
        <f>'Adaptive costs A'!G18-'Adaptive costs B'!G18</f>
        <v>0</v>
      </c>
      <c r="H18" s="14">
        <f>'Adaptive costs A'!H18-'Adaptive costs B'!H18</f>
        <v>0</v>
      </c>
      <c r="I18" s="14">
        <f>'Adaptive costs A'!I18-'Adaptive costs B'!I18</f>
        <v>0</v>
      </c>
      <c r="J18" s="14">
        <f>'Adaptive costs A'!J18-'Adaptive costs B'!J18</f>
        <v>0</v>
      </c>
      <c r="K18" s="14">
        <f>'Adaptive costs A'!K18-'Adaptive costs B'!K18</f>
        <v>0</v>
      </c>
    </row>
    <row r="19" spans="1:13" s="4" customFormat="1" ht="13" thickBot="1" x14ac:dyDescent="0.3">
      <c r="A19" s="4" t="s">
        <v>83</v>
      </c>
      <c r="B19" s="16">
        <f>'Adaptive costs A'!B19-'Adaptive costs B'!B19</f>
        <v>0</v>
      </c>
      <c r="C19" s="16">
        <f>'Adaptive costs A'!C19-'Adaptive costs B'!C19</f>
        <v>0</v>
      </c>
      <c r="D19" s="16">
        <f>'Adaptive costs A'!D19-'Adaptive costs B'!D19</f>
        <v>0</v>
      </c>
      <c r="E19" s="16">
        <f>'Adaptive costs A'!E19-'Adaptive costs B'!E19</f>
        <v>0</v>
      </c>
      <c r="F19" s="16">
        <f>'Adaptive costs A'!F19-'Adaptive costs B'!F19</f>
        <v>0</v>
      </c>
      <c r="G19" s="16">
        <f>'Adaptive costs A'!G19-'Adaptive costs B'!G19</f>
        <v>0</v>
      </c>
      <c r="H19" s="16">
        <f>'Adaptive costs A'!H19-'Adaptive costs B'!H19</f>
        <v>0</v>
      </c>
      <c r="I19" s="16">
        <f>'Adaptive costs A'!I19-'Adaptive costs B'!I19</f>
        <v>0</v>
      </c>
      <c r="J19" s="16">
        <f>'Adaptive costs A'!J19-'Adaptive costs B'!J19</f>
        <v>0</v>
      </c>
      <c r="K19" s="16">
        <f>'Adaptive costs A'!K19-'Adaptive costs B'!K19</f>
        <v>0</v>
      </c>
      <c r="M19" s="4" t="s">
        <v>41</v>
      </c>
    </row>
    <row r="20" spans="1:13" ht="13" thickTop="1" x14ac:dyDescent="0.25"/>
    <row r="21" spans="1:13" s="2" customFormat="1" ht="15" x14ac:dyDescent="0.4">
      <c r="A21" s="2" t="s">
        <v>372</v>
      </c>
      <c r="B21" s="2" t="s">
        <v>373</v>
      </c>
    </row>
    <row r="22" spans="1:13" s="4" customFormat="1" x14ac:dyDescent="0.25">
      <c r="A22" t="str">
        <f t="array" ref="A22:A29">R_CODE&amp;" sea level"</f>
        <v>EU sea level</v>
      </c>
      <c r="B22" s="66">
        <f ca="1">'Adaptive costs A'!B22-'Adaptive costs B'!B22</f>
        <v>0</v>
      </c>
      <c r="C22" s="66">
        <f ca="1">'Adaptive costs A'!C22-'Adaptive costs B'!C22</f>
        <v>0</v>
      </c>
      <c r="D22" s="66">
        <f ca="1">'Adaptive costs A'!D22-'Adaptive costs B'!D22</f>
        <v>0</v>
      </c>
      <c r="E22" s="66">
        <f ca="1">'Adaptive costs A'!E22-'Adaptive costs B'!E22</f>
        <v>0</v>
      </c>
      <c r="F22" s="66">
        <f ca="1">'Adaptive costs A'!F22-'Adaptive costs B'!F22</f>
        <v>0</v>
      </c>
      <c r="G22" s="66">
        <f ca="1">'Adaptive costs A'!G22-'Adaptive costs B'!G22</f>
        <v>0</v>
      </c>
      <c r="H22" s="66">
        <f ca="1">'Adaptive costs A'!H22-'Adaptive costs B'!H22</f>
        <v>0</v>
      </c>
      <c r="I22" s="66">
        <f ca="1">'Adaptive costs A'!I22-'Adaptive costs B'!I22</f>
        <v>0</v>
      </c>
      <c r="J22" s="66">
        <f ca="1">'Adaptive costs A'!J22-'Adaptive costs B'!J22</f>
        <v>0</v>
      </c>
      <c r="K22" s="66">
        <f ca="1">'Adaptive costs A'!K22-'Adaptive costs B'!K22</f>
        <v>0</v>
      </c>
      <c r="M22" s="4" t="str">
        <f t="shared" ref="M22:M30" si="0">CURRENCY_NAME</f>
        <v>$M(2015)</v>
      </c>
    </row>
    <row r="23" spans="1:13" s="4" customFormat="1" x14ac:dyDescent="0.25">
      <c r="A23" t="str">
        <v>US sea level</v>
      </c>
      <c r="B23" s="67">
        <f ca="1">'Adaptive costs A'!B23-'Adaptive costs B'!B23</f>
        <v>0</v>
      </c>
      <c r="C23" s="67">
        <f ca="1">'Adaptive costs A'!C23-'Adaptive costs B'!C23</f>
        <v>0</v>
      </c>
      <c r="D23" s="67">
        <f ca="1">'Adaptive costs A'!D23-'Adaptive costs B'!D23</f>
        <v>0</v>
      </c>
      <c r="E23" s="67">
        <f ca="1">'Adaptive costs A'!E23-'Adaptive costs B'!E23</f>
        <v>0</v>
      </c>
      <c r="F23" s="67">
        <f ca="1">'Adaptive costs A'!F23-'Adaptive costs B'!F23</f>
        <v>0</v>
      </c>
      <c r="G23" s="67">
        <f ca="1">'Adaptive costs A'!G23-'Adaptive costs B'!G23</f>
        <v>0</v>
      </c>
      <c r="H23" s="67">
        <f ca="1">'Adaptive costs A'!H23-'Adaptive costs B'!H23</f>
        <v>0</v>
      </c>
      <c r="I23" s="67">
        <f ca="1">'Adaptive costs A'!I23-'Adaptive costs B'!I23</f>
        <v>0</v>
      </c>
      <c r="J23" s="67">
        <f ca="1">'Adaptive costs A'!J23-'Adaptive costs B'!J23</f>
        <v>0</v>
      </c>
      <c r="K23" s="67">
        <f ca="1">'Adaptive costs A'!K23-'Adaptive costs B'!K23</f>
        <v>0</v>
      </c>
      <c r="M23" s="4" t="str">
        <f t="shared" si="0"/>
        <v>$M(2015)</v>
      </c>
    </row>
    <row r="24" spans="1:13" s="4" customFormat="1" x14ac:dyDescent="0.25">
      <c r="A24" t="str">
        <v>OT sea level</v>
      </c>
      <c r="B24" s="67">
        <f ca="1">'Adaptive costs A'!B24-'Adaptive costs B'!B24</f>
        <v>0</v>
      </c>
      <c r="C24" s="67">
        <f ca="1">'Adaptive costs A'!C24-'Adaptive costs B'!C24</f>
        <v>0</v>
      </c>
      <c r="D24" s="67">
        <f ca="1">'Adaptive costs A'!D24-'Adaptive costs B'!D24</f>
        <v>0</v>
      </c>
      <c r="E24" s="67">
        <f ca="1">'Adaptive costs A'!E24-'Adaptive costs B'!E24</f>
        <v>0</v>
      </c>
      <c r="F24" s="67">
        <f ca="1">'Adaptive costs A'!F24-'Adaptive costs B'!F24</f>
        <v>0</v>
      </c>
      <c r="G24" s="67">
        <f ca="1">'Adaptive costs A'!G24-'Adaptive costs B'!G24</f>
        <v>0</v>
      </c>
      <c r="H24" s="67">
        <f ca="1">'Adaptive costs A'!H24-'Adaptive costs B'!H24</f>
        <v>0</v>
      </c>
      <c r="I24" s="67">
        <f ca="1">'Adaptive costs A'!I24-'Adaptive costs B'!I24</f>
        <v>0</v>
      </c>
      <c r="J24" s="67">
        <f ca="1">'Adaptive costs A'!J24-'Adaptive costs B'!J24</f>
        <v>0</v>
      </c>
      <c r="K24" s="67">
        <f ca="1">'Adaptive costs A'!K24-'Adaptive costs B'!K24</f>
        <v>0</v>
      </c>
      <c r="M24" s="4" t="str">
        <f t="shared" si="0"/>
        <v>$M(2015)</v>
      </c>
    </row>
    <row r="25" spans="1:13" s="4" customFormat="1" x14ac:dyDescent="0.25">
      <c r="A25" t="str">
        <v>EE sea level</v>
      </c>
      <c r="B25" s="67">
        <f ca="1">'Adaptive costs A'!B25-'Adaptive costs B'!B25</f>
        <v>0</v>
      </c>
      <c r="C25" s="67">
        <f ca="1">'Adaptive costs A'!C25-'Adaptive costs B'!C25</f>
        <v>0</v>
      </c>
      <c r="D25" s="67">
        <f ca="1">'Adaptive costs A'!D25-'Adaptive costs B'!D25</f>
        <v>0</v>
      </c>
      <c r="E25" s="67">
        <f ca="1">'Adaptive costs A'!E25-'Adaptive costs B'!E25</f>
        <v>0</v>
      </c>
      <c r="F25" s="67">
        <f ca="1">'Adaptive costs A'!F25-'Adaptive costs B'!F25</f>
        <v>0</v>
      </c>
      <c r="G25" s="67">
        <f ca="1">'Adaptive costs A'!G25-'Adaptive costs B'!G25</f>
        <v>0</v>
      </c>
      <c r="H25" s="67">
        <f ca="1">'Adaptive costs A'!H25-'Adaptive costs B'!H25</f>
        <v>0</v>
      </c>
      <c r="I25" s="67">
        <f ca="1">'Adaptive costs A'!I25-'Adaptive costs B'!I25</f>
        <v>0</v>
      </c>
      <c r="J25" s="67">
        <f ca="1">'Adaptive costs A'!J25-'Adaptive costs B'!J25</f>
        <v>0</v>
      </c>
      <c r="K25" s="67">
        <f ca="1">'Adaptive costs A'!K25-'Adaptive costs B'!K25</f>
        <v>0</v>
      </c>
      <c r="M25" s="4" t="str">
        <f t="shared" si="0"/>
        <v>$M(2015)</v>
      </c>
    </row>
    <row r="26" spans="1:13" s="4" customFormat="1" x14ac:dyDescent="0.25">
      <c r="A26" t="str">
        <v>CA sea level</v>
      </c>
      <c r="B26" s="67">
        <f ca="1">'Adaptive costs A'!B26-'Adaptive costs B'!B26</f>
        <v>0</v>
      </c>
      <c r="C26" s="67">
        <f ca="1">'Adaptive costs A'!C26-'Adaptive costs B'!C26</f>
        <v>0</v>
      </c>
      <c r="D26" s="67">
        <f ca="1">'Adaptive costs A'!D26-'Adaptive costs B'!D26</f>
        <v>0</v>
      </c>
      <c r="E26" s="67">
        <f ca="1">'Adaptive costs A'!E26-'Adaptive costs B'!E26</f>
        <v>0</v>
      </c>
      <c r="F26" s="67">
        <f ca="1">'Adaptive costs A'!F26-'Adaptive costs B'!F26</f>
        <v>0</v>
      </c>
      <c r="G26" s="67">
        <f ca="1">'Adaptive costs A'!G26-'Adaptive costs B'!G26</f>
        <v>0</v>
      </c>
      <c r="H26" s="67">
        <f ca="1">'Adaptive costs A'!H26-'Adaptive costs B'!H26</f>
        <v>0</v>
      </c>
      <c r="I26" s="67">
        <f ca="1">'Adaptive costs A'!I26-'Adaptive costs B'!I26</f>
        <v>0</v>
      </c>
      <c r="J26" s="67">
        <f ca="1">'Adaptive costs A'!J26-'Adaptive costs B'!J26</f>
        <v>0</v>
      </c>
      <c r="K26" s="67">
        <f ca="1">'Adaptive costs A'!K26-'Adaptive costs B'!K26</f>
        <v>0</v>
      </c>
      <c r="M26" s="4" t="str">
        <f t="shared" si="0"/>
        <v>$M(2015)</v>
      </c>
    </row>
    <row r="27" spans="1:13" s="4" customFormat="1" x14ac:dyDescent="0.25">
      <c r="A27" t="str">
        <v>IA sea level</v>
      </c>
      <c r="B27" s="67">
        <f ca="1">'Adaptive costs A'!B27-'Adaptive costs B'!B27</f>
        <v>0</v>
      </c>
      <c r="C27" s="67">
        <f ca="1">'Adaptive costs A'!C27-'Adaptive costs B'!C27</f>
        <v>0</v>
      </c>
      <c r="D27" s="67">
        <f ca="1">'Adaptive costs A'!D27-'Adaptive costs B'!D27</f>
        <v>0</v>
      </c>
      <c r="E27" s="67">
        <f ca="1">'Adaptive costs A'!E27-'Adaptive costs B'!E27</f>
        <v>0</v>
      </c>
      <c r="F27" s="67">
        <f ca="1">'Adaptive costs A'!F27-'Adaptive costs B'!F27</f>
        <v>0</v>
      </c>
      <c r="G27" s="67">
        <f ca="1">'Adaptive costs A'!G27-'Adaptive costs B'!G27</f>
        <v>0</v>
      </c>
      <c r="H27" s="67">
        <f ca="1">'Adaptive costs A'!H27-'Adaptive costs B'!H27</f>
        <v>0</v>
      </c>
      <c r="I27" s="67">
        <f ca="1">'Adaptive costs A'!I27-'Adaptive costs B'!I27</f>
        <v>0</v>
      </c>
      <c r="J27" s="67">
        <f ca="1">'Adaptive costs A'!J27-'Adaptive costs B'!J27</f>
        <v>0</v>
      </c>
      <c r="K27" s="67">
        <f ca="1">'Adaptive costs A'!K27-'Adaptive costs B'!K27</f>
        <v>0</v>
      </c>
      <c r="M27" s="4" t="str">
        <f t="shared" si="0"/>
        <v>$M(2015)</v>
      </c>
    </row>
    <row r="28" spans="1:13" s="4" customFormat="1" x14ac:dyDescent="0.25">
      <c r="A28" t="str">
        <v>AF sea level</v>
      </c>
      <c r="B28" s="67">
        <f ca="1">'Adaptive costs A'!B28-'Adaptive costs B'!B28</f>
        <v>0</v>
      </c>
      <c r="C28" s="67">
        <f ca="1">'Adaptive costs A'!C28-'Adaptive costs B'!C28</f>
        <v>0</v>
      </c>
      <c r="D28" s="67">
        <f ca="1">'Adaptive costs A'!D28-'Adaptive costs B'!D28</f>
        <v>0</v>
      </c>
      <c r="E28" s="67">
        <f ca="1">'Adaptive costs A'!E28-'Adaptive costs B'!E28</f>
        <v>0</v>
      </c>
      <c r="F28" s="67">
        <f ca="1">'Adaptive costs A'!F28-'Adaptive costs B'!F28</f>
        <v>0</v>
      </c>
      <c r="G28" s="67">
        <f ca="1">'Adaptive costs A'!G28-'Adaptive costs B'!G28</f>
        <v>0</v>
      </c>
      <c r="H28" s="67">
        <f ca="1">'Adaptive costs A'!H28-'Adaptive costs B'!H28</f>
        <v>0</v>
      </c>
      <c r="I28" s="67">
        <f ca="1">'Adaptive costs A'!I28-'Adaptive costs B'!I28</f>
        <v>0</v>
      </c>
      <c r="J28" s="67">
        <f ca="1">'Adaptive costs A'!J28-'Adaptive costs B'!J28</f>
        <v>0</v>
      </c>
      <c r="K28" s="67">
        <f ca="1">'Adaptive costs A'!K28-'Adaptive costs B'!K28</f>
        <v>0</v>
      </c>
      <c r="M28" s="4" t="str">
        <f t="shared" si="0"/>
        <v>$M(2015)</v>
      </c>
    </row>
    <row r="29" spans="1:13" s="4" customFormat="1" x14ac:dyDescent="0.25">
      <c r="A29" t="str">
        <v>LA sea level</v>
      </c>
      <c r="B29" s="67">
        <f ca="1">'Adaptive costs A'!B29-'Adaptive costs B'!B29</f>
        <v>0</v>
      </c>
      <c r="C29" s="67">
        <f ca="1">'Adaptive costs A'!C29-'Adaptive costs B'!C29</f>
        <v>0</v>
      </c>
      <c r="D29" s="67">
        <f ca="1">'Adaptive costs A'!D29-'Adaptive costs B'!D29</f>
        <v>0</v>
      </c>
      <c r="E29" s="67">
        <f ca="1">'Adaptive costs A'!E29-'Adaptive costs B'!E29</f>
        <v>0</v>
      </c>
      <c r="F29" s="67">
        <f ca="1">'Adaptive costs A'!F29-'Adaptive costs B'!F29</f>
        <v>0</v>
      </c>
      <c r="G29" s="67">
        <f ca="1">'Adaptive costs A'!G29-'Adaptive costs B'!G29</f>
        <v>0</v>
      </c>
      <c r="H29" s="67">
        <f ca="1">'Adaptive costs A'!H29-'Adaptive costs B'!H29</f>
        <v>0</v>
      </c>
      <c r="I29" s="67">
        <f ca="1">'Adaptive costs A'!I29-'Adaptive costs B'!I29</f>
        <v>0</v>
      </c>
      <c r="J29" s="67">
        <f ca="1">'Adaptive costs A'!J29-'Adaptive costs B'!J29</f>
        <v>0</v>
      </c>
      <c r="K29" s="67">
        <f ca="1">'Adaptive costs A'!K29-'Adaptive costs B'!K29</f>
        <v>0</v>
      </c>
      <c r="M29" s="4" t="str">
        <f t="shared" si="0"/>
        <v>$M(2015)</v>
      </c>
    </row>
    <row r="30" spans="1:13" ht="13.5" thickBot="1" x14ac:dyDescent="0.35">
      <c r="A30" s="2" t="s">
        <v>376</v>
      </c>
      <c r="B30" s="73">
        <f ca="1">'Adaptive costs A'!B30-'Adaptive costs B'!B30</f>
        <v>0</v>
      </c>
      <c r="C30" s="73">
        <f ca="1">'Adaptive costs A'!C30-'Adaptive costs B'!C30</f>
        <v>0</v>
      </c>
      <c r="D30" s="73">
        <f ca="1">'Adaptive costs A'!D30-'Adaptive costs B'!D30</f>
        <v>0</v>
      </c>
      <c r="E30" s="73">
        <f ca="1">'Adaptive costs A'!E30-'Adaptive costs B'!E30</f>
        <v>0</v>
      </c>
      <c r="F30" s="73">
        <f ca="1">'Adaptive costs A'!F30-'Adaptive costs B'!F30</f>
        <v>0</v>
      </c>
      <c r="G30" s="73">
        <f ca="1">'Adaptive costs A'!G30-'Adaptive costs B'!G30</f>
        <v>0</v>
      </c>
      <c r="H30" s="73">
        <f ca="1">'Adaptive costs A'!H30-'Adaptive costs B'!H30</f>
        <v>0</v>
      </c>
      <c r="I30" s="73">
        <f ca="1">'Adaptive costs A'!I30-'Adaptive costs B'!I30</f>
        <v>0</v>
      </c>
      <c r="J30" s="73">
        <f ca="1">'Adaptive costs A'!J30-'Adaptive costs B'!J30</f>
        <v>0</v>
      </c>
      <c r="K30" s="73">
        <f ca="1">'Adaptive costs A'!K30-'Adaptive costs B'!K30</f>
        <v>0</v>
      </c>
      <c r="L30" s="1"/>
      <c r="M30" s="4" t="str">
        <f t="shared" si="0"/>
        <v>$M(2015)</v>
      </c>
    </row>
    <row r="31" spans="1:13" s="2" customFormat="1" ht="15.5" thickTop="1" x14ac:dyDescent="0.4">
      <c r="A31" s="2" t="s">
        <v>374</v>
      </c>
      <c r="B31" s="2" t="s">
        <v>375</v>
      </c>
    </row>
    <row r="32" spans="1:13" x14ac:dyDescent="0.25">
      <c r="A32" t="str">
        <f t="array" ref="A32:A39">R_CODE&amp;" sea level"</f>
        <v>EU sea level</v>
      </c>
      <c r="B32" s="66">
        <f ca="1">'Adaptive costs A'!B32-'Adaptive costs B'!B32</f>
        <v>0</v>
      </c>
      <c r="C32" s="66">
        <f ca="1">'Adaptive costs A'!C32-'Adaptive costs B'!C32</f>
        <v>0</v>
      </c>
      <c r="D32" s="66">
        <f ca="1">'Adaptive costs A'!D32-'Adaptive costs B'!D32</f>
        <v>0</v>
      </c>
      <c r="E32" s="66">
        <f ca="1">'Adaptive costs A'!E32-'Adaptive costs B'!E32</f>
        <v>0</v>
      </c>
      <c r="F32" s="66">
        <f ca="1">'Adaptive costs A'!F32-'Adaptive costs B'!F32</f>
        <v>0</v>
      </c>
      <c r="G32" s="66">
        <f ca="1">'Adaptive costs A'!G32-'Adaptive costs B'!G32</f>
        <v>0</v>
      </c>
      <c r="H32" s="66">
        <f ca="1">'Adaptive costs A'!H32-'Adaptive costs B'!H32</f>
        <v>0</v>
      </c>
      <c r="I32" s="66">
        <f ca="1">'Adaptive costs A'!I32-'Adaptive costs B'!I32</f>
        <v>0</v>
      </c>
      <c r="J32" s="66">
        <f ca="1">'Adaptive costs A'!J32-'Adaptive costs B'!J32</f>
        <v>0</v>
      </c>
      <c r="K32" s="66">
        <f ca="1">'Adaptive costs A'!K32-'Adaptive costs B'!K32</f>
        <v>0</v>
      </c>
      <c r="M32" s="4" t="str">
        <f t="shared" ref="M32:M40" si="1">CURRENCY_NAME</f>
        <v>$M(2015)</v>
      </c>
    </row>
    <row r="33" spans="1:13" x14ac:dyDescent="0.25">
      <c r="A33" t="str">
        <v>US sea level</v>
      </c>
      <c r="B33" s="67">
        <f ca="1">'Adaptive costs A'!B33-'Adaptive costs B'!B33</f>
        <v>0</v>
      </c>
      <c r="C33" s="67">
        <f ca="1">'Adaptive costs A'!C33-'Adaptive costs B'!C33</f>
        <v>0</v>
      </c>
      <c r="D33" s="67">
        <f ca="1">'Adaptive costs A'!D33-'Adaptive costs B'!D33</f>
        <v>0</v>
      </c>
      <c r="E33" s="67">
        <f ca="1">'Adaptive costs A'!E33-'Adaptive costs B'!E33</f>
        <v>0</v>
      </c>
      <c r="F33" s="67">
        <f ca="1">'Adaptive costs A'!F33-'Adaptive costs B'!F33</f>
        <v>0</v>
      </c>
      <c r="G33" s="67">
        <f ca="1">'Adaptive costs A'!G33-'Adaptive costs B'!G33</f>
        <v>0</v>
      </c>
      <c r="H33" s="67">
        <f ca="1">'Adaptive costs A'!H33-'Adaptive costs B'!H33</f>
        <v>0</v>
      </c>
      <c r="I33" s="67">
        <f ca="1">'Adaptive costs A'!I33-'Adaptive costs B'!I33</f>
        <v>0</v>
      </c>
      <c r="J33" s="67">
        <f ca="1">'Adaptive costs A'!J33-'Adaptive costs B'!J33</f>
        <v>0</v>
      </c>
      <c r="K33" s="67">
        <f ca="1">'Adaptive costs A'!K33-'Adaptive costs B'!K33</f>
        <v>0</v>
      </c>
      <c r="M33" s="4" t="str">
        <f t="shared" si="1"/>
        <v>$M(2015)</v>
      </c>
    </row>
    <row r="34" spans="1:13" x14ac:dyDescent="0.25">
      <c r="A34" t="str">
        <v>OT sea level</v>
      </c>
      <c r="B34" s="67">
        <f ca="1">'Adaptive costs A'!B34-'Adaptive costs B'!B34</f>
        <v>0</v>
      </c>
      <c r="C34" s="67">
        <f ca="1">'Adaptive costs A'!C34-'Adaptive costs B'!C34</f>
        <v>0</v>
      </c>
      <c r="D34" s="67">
        <f ca="1">'Adaptive costs A'!D34-'Adaptive costs B'!D34</f>
        <v>0</v>
      </c>
      <c r="E34" s="67">
        <f ca="1">'Adaptive costs A'!E34-'Adaptive costs B'!E34</f>
        <v>0</v>
      </c>
      <c r="F34" s="67">
        <f ca="1">'Adaptive costs A'!F34-'Adaptive costs B'!F34</f>
        <v>0</v>
      </c>
      <c r="G34" s="67">
        <f ca="1">'Adaptive costs A'!G34-'Adaptive costs B'!G34</f>
        <v>0</v>
      </c>
      <c r="H34" s="67">
        <f ca="1">'Adaptive costs A'!H34-'Adaptive costs B'!H34</f>
        <v>0</v>
      </c>
      <c r="I34" s="67">
        <f ca="1">'Adaptive costs A'!I34-'Adaptive costs B'!I34</f>
        <v>0</v>
      </c>
      <c r="J34" s="67">
        <f ca="1">'Adaptive costs A'!J34-'Adaptive costs B'!J34</f>
        <v>0</v>
      </c>
      <c r="K34" s="67">
        <f ca="1">'Adaptive costs A'!K34-'Adaptive costs B'!K34</f>
        <v>0</v>
      </c>
      <c r="M34" s="4" t="str">
        <f t="shared" si="1"/>
        <v>$M(2015)</v>
      </c>
    </row>
    <row r="35" spans="1:13" x14ac:dyDescent="0.25">
      <c r="A35" t="str">
        <v>EE sea level</v>
      </c>
      <c r="B35" s="67">
        <f ca="1">'Adaptive costs A'!B35-'Adaptive costs B'!B35</f>
        <v>0</v>
      </c>
      <c r="C35" s="67">
        <f ca="1">'Adaptive costs A'!C35-'Adaptive costs B'!C35</f>
        <v>0</v>
      </c>
      <c r="D35" s="67">
        <f ca="1">'Adaptive costs A'!D35-'Adaptive costs B'!D35</f>
        <v>0</v>
      </c>
      <c r="E35" s="67">
        <f ca="1">'Adaptive costs A'!E35-'Adaptive costs B'!E35</f>
        <v>0</v>
      </c>
      <c r="F35" s="67">
        <f ca="1">'Adaptive costs A'!F35-'Adaptive costs B'!F35</f>
        <v>0</v>
      </c>
      <c r="G35" s="67">
        <f ca="1">'Adaptive costs A'!G35-'Adaptive costs B'!G35</f>
        <v>0</v>
      </c>
      <c r="H35" s="67">
        <f ca="1">'Adaptive costs A'!H35-'Adaptive costs B'!H35</f>
        <v>0</v>
      </c>
      <c r="I35" s="67">
        <f ca="1">'Adaptive costs A'!I35-'Adaptive costs B'!I35</f>
        <v>0</v>
      </c>
      <c r="J35" s="67">
        <f ca="1">'Adaptive costs A'!J35-'Adaptive costs B'!J35</f>
        <v>0</v>
      </c>
      <c r="K35" s="67">
        <f ca="1">'Adaptive costs A'!K35-'Adaptive costs B'!K35</f>
        <v>0</v>
      </c>
      <c r="M35" s="4" t="str">
        <f t="shared" si="1"/>
        <v>$M(2015)</v>
      </c>
    </row>
    <row r="36" spans="1:13" x14ac:dyDescent="0.25">
      <c r="A36" t="str">
        <v>CA sea level</v>
      </c>
      <c r="B36" s="67">
        <f ca="1">'Adaptive costs A'!B36-'Adaptive costs B'!B36</f>
        <v>0</v>
      </c>
      <c r="C36" s="67">
        <f ca="1">'Adaptive costs A'!C36-'Adaptive costs B'!C36</f>
        <v>0</v>
      </c>
      <c r="D36" s="67">
        <f ca="1">'Adaptive costs A'!D36-'Adaptive costs B'!D36</f>
        <v>0</v>
      </c>
      <c r="E36" s="67">
        <f ca="1">'Adaptive costs A'!E36-'Adaptive costs B'!E36</f>
        <v>0</v>
      </c>
      <c r="F36" s="67">
        <f ca="1">'Adaptive costs A'!F36-'Adaptive costs B'!F36</f>
        <v>0</v>
      </c>
      <c r="G36" s="67">
        <f ca="1">'Adaptive costs A'!G36-'Adaptive costs B'!G36</f>
        <v>0</v>
      </c>
      <c r="H36" s="67">
        <f ca="1">'Adaptive costs A'!H36-'Adaptive costs B'!H36</f>
        <v>0</v>
      </c>
      <c r="I36" s="67">
        <f ca="1">'Adaptive costs A'!I36-'Adaptive costs B'!I36</f>
        <v>0</v>
      </c>
      <c r="J36" s="67">
        <f ca="1">'Adaptive costs A'!J36-'Adaptive costs B'!J36</f>
        <v>0</v>
      </c>
      <c r="K36" s="67">
        <f ca="1">'Adaptive costs A'!K36-'Adaptive costs B'!K36</f>
        <v>0</v>
      </c>
      <c r="M36" s="4" t="str">
        <f t="shared" si="1"/>
        <v>$M(2015)</v>
      </c>
    </row>
    <row r="37" spans="1:13" x14ac:dyDescent="0.25">
      <c r="A37" t="str">
        <v>IA sea level</v>
      </c>
      <c r="B37" s="67">
        <f ca="1">'Adaptive costs A'!B37-'Adaptive costs B'!B37</f>
        <v>0</v>
      </c>
      <c r="C37" s="67">
        <f ca="1">'Adaptive costs A'!C37-'Adaptive costs B'!C37</f>
        <v>0</v>
      </c>
      <c r="D37" s="67">
        <f ca="1">'Adaptive costs A'!D37-'Adaptive costs B'!D37</f>
        <v>0</v>
      </c>
      <c r="E37" s="67">
        <f ca="1">'Adaptive costs A'!E37-'Adaptive costs B'!E37</f>
        <v>0</v>
      </c>
      <c r="F37" s="67">
        <f ca="1">'Adaptive costs A'!F37-'Adaptive costs B'!F37</f>
        <v>0</v>
      </c>
      <c r="G37" s="67">
        <f ca="1">'Adaptive costs A'!G37-'Adaptive costs B'!G37</f>
        <v>0</v>
      </c>
      <c r="H37" s="67">
        <f ca="1">'Adaptive costs A'!H37-'Adaptive costs B'!H37</f>
        <v>0</v>
      </c>
      <c r="I37" s="67">
        <f ca="1">'Adaptive costs A'!I37-'Adaptive costs B'!I37</f>
        <v>0</v>
      </c>
      <c r="J37" s="67">
        <f ca="1">'Adaptive costs A'!J37-'Adaptive costs B'!J37</f>
        <v>0</v>
      </c>
      <c r="K37" s="67">
        <f ca="1">'Adaptive costs A'!K37-'Adaptive costs B'!K37</f>
        <v>0</v>
      </c>
      <c r="M37" s="4" t="str">
        <f t="shared" si="1"/>
        <v>$M(2015)</v>
      </c>
    </row>
    <row r="38" spans="1:13" x14ac:dyDescent="0.25">
      <c r="A38" t="str">
        <v>AF sea level</v>
      </c>
      <c r="B38" s="67">
        <f ca="1">'Adaptive costs A'!B38-'Adaptive costs B'!B38</f>
        <v>0</v>
      </c>
      <c r="C38" s="67">
        <f ca="1">'Adaptive costs A'!C38-'Adaptive costs B'!C38</f>
        <v>0</v>
      </c>
      <c r="D38" s="67">
        <f ca="1">'Adaptive costs A'!D38-'Adaptive costs B'!D38</f>
        <v>0</v>
      </c>
      <c r="E38" s="67">
        <f ca="1">'Adaptive costs A'!E38-'Adaptive costs B'!E38</f>
        <v>0</v>
      </c>
      <c r="F38" s="67">
        <f ca="1">'Adaptive costs A'!F38-'Adaptive costs B'!F38</f>
        <v>0</v>
      </c>
      <c r="G38" s="67">
        <f ca="1">'Adaptive costs A'!G38-'Adaptive costs B'!G38</f>
        <v>0</v>
      </c>
      <c r="H38" s="67">
        <f ca="1">'Adaptive costs A'!H38-'Adaptive costs B'!H38</f>
        <v>0</v>
      </c>
      <c r="I38" s="67">
        <f ca="1">'Adaptive costs A'!I38-'Adaptive costs B'!I38</f>
        <v>0</v>
      </c>
      <c r="J38" s="67">
        <f ca="1">'Adaptive costs A'!J38-'Adaptive costs B'!J38</f>
        <v>0</v>
      </c>
      <c r="K38" s="67">
        <f ca="1">'Adaptive costs A'!K38-'Adaptive costs B'!K38</f>
        <v>0</v>
      </c>
      <c r="M38" s="4" t="str">
        <f t="shared" si="1"/>
        <v>$M(2015)</v>
      </c>
    </row>
    <row r="39" spans="1:13" x14ac:dyDescent="0.25">
      <c r="A39" t="str">
        <v>LA sea level</v>
      </c>
      <c r="B39" s="67">
        <f ca="1">'Adaptive costs A'!B39-'Adaptive costs B'!B39</f>
        <v>0</v>
      </c>
      <c r="C39" s="67">
        <f ca="1">'Adaptive costs A'!C39-'Adaptive costs B'!C39</f>
        <v>0</v>
      </c>
      <c r="D39" s="67">
        <f ca="1">'Adaptive costs A'!D39-'Adaptive costs B'!D39</f>
        <v>0</v>
      </c>
      <c r="E39" s="67">
        <f ca="1">'Adaptive costs A'!E39-'Adaptive costs B'!E39</f>
        <v>0</v>
      </c>
      <c r="F39" s="67">
        <f ca="1">'Adaptive costs A'!F39-'Adaptive costs B'!F39</f>
        <v>0</v>
      </c>
      <c r="G39" s="67">
        <f ca="1">'Adaptive costs A'!G39-'Adaptive costs B'!G39</f>
        <v>0</v>
      </c>
      <c r="H39" s="67">
        <f ca="1">'Adaptive costs A'!H39-'Adaptive costs B'!H39</f>
        <v>0</v>
      </c>
      <c r="I39" s="67">
        <f ca="1">'Adaptive costs A'!I39-'Adaptive costs B'!I39</f>
        <v>0</v>
      </c>
      <c r="J39" s="67">
        <f ca="1">'Adaptive costs A'!J39-'Adaptive costs B'!J39</f>
        <v>0</v>
      </c>
      <c r="K39" s="67">
        <f ca="1">'Adaptive costs A'!K39-'Adaptive costs B'!K39</f>
        <v>0</v>
      </c>
      <c r="M39" s="4" t="str">
        <f t="shared" si="1"/>
        <v>$M(2015)</v>
      </c>
    </row>
    <row r="40" spans="1:13" ht="13.5" thickBot="1" x14ac:dyDescent="0.35">
      <c r="A40" s="2" t="s">
        <v>376</v>
      </c>
      <c r="B40" s="73">
        <f ca="1">'Adaptive costs A'!B40-'Adaptive costs B'!B40</f>
        <v>0</v>
      </c>
      <c r="C40" s="73">
        <f ca="1">'Adaptive costs A'!C40-'Adaptive costs B'!C40</f>
        <v>0</v>
      </c>
      <c r="D40" s="73">
        <f ca="1">'Adaptive costs A'!D40-'Adaptive costs B'!D40</f>
        <v>0</v>
      </c>
      <c r="E40" s="73">
        <f ca="1">'Adaptive costs A'!E40-'Adaptive costs B'!E40</f>
        <v>0</v>
      </c>
      <c r="F40" s="73">
        <f ca="1">'Adaptive costs A'!F40-'Adaptive costs B'!F40</f>
        <v>0</v>
      </c>
      <c r="G40" s="73">
        <f ca="1">'Adaptive costs A'!G40-'Adaptive costs B'!G40</f>
        <v>0</v>
      </c>
      <c r="H40" s="73">
        <f ca="1">'Adaptive costs A'!H40-'Adaptive costs B'!H40</f>
        <v>0</v>
      </c>
      <c r="I40" s="73">
        <f ca="1">'Adaptive costs A'!I40-'Adaptive costs B'!I40</f>
        <v>0</v>
      </c>
      <c r="J40" s="73">
        <f ca="1">'Adaptive costs A'!J40-'Adaptive costs B'!J40</f>
        <v>0</v>
      </c>
      <c r="K40" s="73">
        <f ca="1">'Adaptive costs A'!K40-'Adaptive costs B'!K40</f>
        <v>0</v>
      </c>
      <c r="L40" s="1"/>
      <c r="M40" s="4" t="str">
        <f t="shared" si="1"/>
        <v>$M(2015)</v>
      </c>
    </row>
    <row r="41" spans="1:13" ht="15.5" thickTop="1" x14ac:dyDescent="0.4">
      <c r="A41" s="44" t="s">
        <v>112</v>
      </c>
      <c r="B41" s="2" t="s">
        <v>381</v>
      </c>
      <c r="C41" s="1"/>
      <c r="D41" s="1"/>
      <c r="E41" s="1"/>
      <c r="F41" s="1"/>
      <c r="G41" s="1"/>
      <c r="H41" s="1"/>
      <c r="I41" s="1"/>
      <c r="J41" s="1"/>
      <c r="K41" s="1"/>
      <c r="L41" s="1"/>
      <c r="M41" s="1"/>
    </row>
    <row r="42" spans="1:13" x14ac:dyDescent="0.25">
      <c r="A42" t="str">
        <f t="array" ref="A42:A49">R_CODE&amp;" sea level"</f>
        <v>EU sea level</v>
      </c>
      <c r="B42" s="66">
        <f ca="1">'Adaptive costs A'!B42-'Adaptive costs B'!B42</f>
        <v>0</v>
      </c>
      <c r="C42" s="66">
        <f ca="1">'Adaptive costs A'!C42-'Adaptive costs B'!C42</f>
        <v>0</v>
      </c>
      <c r="D42" s="66">
        <f ca="1">'Adaptive costs A'!D42-'Adaptive costs B'!D42</f>
        <v>0</v>
      </c>
      <c r="E42" s="66">
        <f ca="1">'Adaptive costs A'!E42-'Adaptive costs B'!E42</f>
        <v>0</v>
      </c>
      <c r="F42" s="66">
        <f ca="1">'Adaptive costs A'!F42-'Adaptive costs B'!F42</f>
        <v>0</v>
      </c>
      <c r="G42" s="66">
        <f ca="1">'Adaptive costs A'!G42-'Adaptive costs B'!G42</f>
        <v>0</v>
      </c>
      <c r="H42" s="66">
        <f ca="1">'Adaptive costs A'!H42-'Adaptive costs B'!H42</f>
        <v>0</v>
      </c>
      <c r="I42" s="66">
        <f ca="1">'Adaptive costs A'!I42-'Adaptive costs B'!I42</f>
        <v>0</v>
      </c>
      <c r="J42" s="66">
        <f ca="1">'Adaptive costs A'!J42-'Adaptive costs B'!J42</f>
        <v>0</v>
      </c>
      <c r="K42" s="66">
        <f ca="1">'Adaptive costs A'!K42-'Adaptive costs B'!K42</f>
        <v>0</v>
      </c>
      <c r="L42" s="1"/>
      <c r="M42" s="4" t="str">
        <f t="shared" ref="M42:M50" si="2">CURRENCY_NAME</f>
        <v>$M(2015)</v>
      </c>
    </row>
    <row r="43" spans="1:13" x14ac:dyDescent="0.25">
      <c r="A43" t="str">
        <v>US sea level</v>
      </c>
      <c r="B43" s="67">
        <f ca="1">'Adaptive costs A'!B43-'Adaptive costs B'!B43</f>
        <v>0</v>
      </c>
      <c r="C43" s="67">
        <f ca="1">'Adaptive costs A'!C43-'Adaptive costs B'!C43</f>
        <v>0</v>
      </c>
      <c r="D43" s="67">
        <f ca="1">'Adaptive costs A'!D43-'Adaptive costs B'!D43</f>
        <v>0</v>
      </c>
      <c r="E43" s="67">
        <f ca="1">'Adaptive costs A'!E43-'Adaptive costs B'!E43</f>
        <v>0</v>
      </c>
      <c r="F43" s="67">
        <f ca="1">'Adaptive costs A'!F43-'Adaptive costs B'!F43</f>
        <v>0</v>
      </c>
      <c r="G43" s="67">
        <f ca="1">'Adaptive costs A'!G43-'Adaptive costs B'!G43</f>
        <v>0</v>
      </c>
      <c r="H43" s="67">
        <f ca="1">'Adaptive costs A'!H43-'Adaptive costs B'!H43</f>
        <v>0</v>
      </c>
      <c r="I43" s="67">
        <f ca="1">'Adaptive costs A'!I43-'Adaptive costs B'!I43</f>
        <v>0</v>
      </c>
      <c r="J43" s="67">
        <f ca="1">'Adaptive costs A'!J43-'Adaptive costs B'!J43</f>
        <v>0</v>
      </c>
      <c r="K43" s="67">
        <f ca="1">'Adaptive costs A'!K43-'Adaptive costs B'!K43</f>
        <v>0</v>
      </c>
      <c r="L43" s="1"/>
      <c r="M43" s="4" t="str">
        <f t="shared" si="2"/>
        <v>$M(2015)</v>
      </c>
    </row>
    <row r="44" spans="1:13" x14ac:dyDescent="0.25">
      <c r="A44" t="str">
        <v>OT sea level</v>
      </c>
      <c r="B44" s="67">
        <f ca="1">'Adaptive costs A'!B44-'Adaptive costs B'!B44</f>
        <v>0</v>
      </c>
      <c r="C44" s="67">
        <f ca="1">'Adaptive costs A'!C44-'Adaptive costs B'!C44</f>
        <v>0</v>
      </c>
      <c r="D44" s="67">
        <f ca="1">'Adaptive costs A'!D44-'Adaptive costs B'!D44</f>
        <v>0</v>
      </c>
      <c r="E44" s="67">
        <f ca="1">'Adaptive costs A'!E44-'Adaptive costs B'!E44</f>
        <v>0</v>
      </c>
      <c r="F44" s="67">
        <f ca="1">'Adaptive costs A'!F44-'Adaptive costs B'!F44</f>
        <v>0</v>
      </c>
      <c r="G44" s="67">
        <f ca="1">'Adaptive costs A'!G44-'Adaptive costs B'!G44</f>
        <v>0</v>
      </c>
      <c r="H44" s="67">
        <f ca="1">'Adaptive costs A'!H44-'Adaptive costs B'!H44</f>
        <v>0</v>
      </c>
      <c r="I44" s="67">
        <f ca="1">'Adaptive costs A'!I44-'Adaptive costs B'!I44</f>
        <v>0</v>
      </c>
      <c r="J44" s="67">
        <f ca="1">'Adaptive costs A'!J44-'Adaptive costs B'!J44</f>
        <v>0</v>
      </c>
      <c r="K44" s="67">
        <f ca="1">'Adaptive costs A'!K44-'Adaptive costs B'!K44</f>
        <v>0</v>
      </c>
      <c r="L44" s="1"/>
      <c r="M44" s="4" t="str">
        <f t="shared" si="2"/>
        <v>$M(2015)</v>
      </c>
    </row>
    <row r="45" spans="1:13" x14ac:dyDescent="0.25">
      <c r="A45" t="str">
        <v>EE sea level</v>
      </c>
      <c r="B45" s="67">
        <f ca="1">'Adaptive costs A'!B45-'Adaptive costs B'!B45</f>
        <v>0</v>
      </c>
      <c r="C45" s="67">
        <f ca="1">'Adaptive costs A'!C45-'Adaptive costs B'!C45</f>
        <v>0</v>
      </c>
      <c r="D45" s="67">
        <f ca="1">'Adaptive costs A'!D45-'Adaptive costs B'!D45</f>
        <v>0</v>
      </c>
      <c r="E45" s="67">
        <f ca="1">'Adaptive costs A'!E45-'Adaptive costs B'!E45</f>
        <v>0</v>
      </c>
      <c r="F45" s="67">
        <f ca="1">'Adaptive costs A'!F45-'Adaptive costs B'!F45</f>
        <v>0</v>
      </c>
      <c r="G45" s="67">
        <f ca="1">'Adaptive costs A'!G45-'Adaptive costs B'!G45</f>
        <v>0</v>
      </c>
      <c r="H45" s="67">
        <f ca="1">'Adaptive costs A'!H45-'Adaptive costs B'!H45</f>
        <v>0</v>
      </c>
      <c r="I45" s="67">
        <f ca="1">'Adaptive costs A'!I45-'Adaptive costs B'!I45</f>
        <v>0</v>
      </c>
      <c r="J45" s="67">
        <f ca="1">'Adaptive costs A'!J45-'Adaptive costs B'!J45</f>
        <v>0</v>
      </c>
      <c r="K45" s="67">
        <f ca="1">'Adaptive costs A'!K45-'Adaptive costs B'!K45</f>
        <v>0</v>
      </c>
      <c r="L45" s="1"/>
      <c r="M45" s="4" t="str">
        <f t="shared" si="2"/>
        <v>$M(2015)</v>
      </c>
    </row>
    <row r="46" spans="1:13" x14ac:dyDescent="0.25">
      <c r="A46" t="str">
        <v>CA sea level</v>
      </c>
      <c r="B46" s="67">
        <f ca="1">'Adaptive costs A'!B46-'Adaptive costs B'!B46</f>
        <v>0</v>
      </c>
      <c r="C46" s="67">
        <f ca="1">'Adaptive costs A'!C46-'Adaptive costs B'!C46</f>
        <v>0</v>
      </c>
      <c r="D46" s="67">
        <f ca="1">'Adaptive costs A'!D46-'Adaptive costs B'!D46</f>
        <v>0</v>
      </c>
      <c r="E46" s="67">
        <f ca="1">'Adaptive costs A'!E46-'Adaptive costs B'!E46</f>
        <v>0</v>
      </c>
      <c r="F46" s="67">
        <f ca="1">'Adaptive costs A'!F46-'Adaptive costs B'!F46</f>
        <v>0</v>
      </c>
      <c r="G46" s="67">
        <f ca="1">'Adaptive costs A'!G46-'Adaptive costs B'!G46</f>
        <v>0</v>
      </c>
      <c r="H46" s="67">
        <f ca="1">'Adaptive costs A'!H46-'Adaptive costs B'!H46</f>
        <v>0</v>
      </c>
      <c r="I46" s="67">
        <f ca="1">'Adaptive costs A'!I46-'Adaptive costs B'!I46</f>
        <v>0</v>
      </c>
      <c r="J46" s="67">
        <f ca="1">'Adaptive costs A'!J46-'Adaptive costs B'!J46</f>
        <v>0</v>
      </c>
      <c r="K46" s="67">
        <f ca="1">'Adaptive costs A'!K46-'Adaptive costs B'!K46</f>
        <v>0</v>
      </c>
      <c r="L46" s="1"/>
      <c r="M46" s="4" t="str">
        <f t="shared" si="2"/>
        <v>$M(2015)</v>
      </c>
    </row>
    <row r="47" spans="1:13" x14ac:dyDescent="0.25">
      <c r="A47" t="str">
        <v>IA sea level</v>
      </c>
      <c r="B47" s="67">
        <f ca="1">'Adaptive costs A'!B47-'Adaptive costs B'!B47</f>
        <v>0</v>
      </c>
      <c r="C47" s="67">
        <f ca="1">'Adaptive costs A'!C47-'Adaptive costs B'!C47</f>
        <v>0</v>
      </c>
      <c r="D47" s="67">
        <f ca="1">'Adaptive costs A'!D47-'Adaptive costs B'!D47</f>
        <v>0</v>
      </c>
      <c r="E47" s="67">
        <f ca="1">'Adaptive costs A'!E47-'Adaptive costs B'!E47</f>
        <v>0</v>
      </c>
      <c r="F47" s="67">
        <f ca="1">'Adaptive costs A'!F47-'Adaptive costs B'!F47</f>
        <v>0</v>
      </c>
      <c r="G47" s="67">
        <f ca="1">'Adaptive costs A'!G47-'Adaptive costs B'!G47</f>
        <v>0</v>
      </c>
      <c r="H47" s="67">
        <f ca="1">'Adaptive costs A'!H47-'Adaptive costs B'!H47</f>
        <v>0</v>
      </c>
      <c r="I47" s="67">
        <f ca="1">'Adaptive costs A'!I47-'Adaptive costs B'!I47</f>
        <v>0</v>
      </c>
      <c r="J47" s="67">
        <f ca="1">'Adaptive costs A'!J47-'Adaptive costs B'!J47</f>
        <v>0</v>
      </c>
      <c r="K47" s="67">
        <f ca="1">'Adaptive costs A'!K47-'Adaptive costs B'!K47</f>
        <v>0</v>
      </c>
      <c r="L47" s="1"/>
      <c r="M47" s="4" t="str">
        <f t="shared" si="2"/>
        <v>$M(2015)</v>
      </c>
    </row>
    <row r="48" spans="1:13" x14ac:dyDescent="0.25">
      <c r="A48" t="str">
        <v>AF sea level</v>
      </c>
      <c r="B48" s="67">
        <f ca="1">'Adaptive costs A'!B48-'Adaptive costs B'!B48</f>
        <v>0</v>
      </c>
      <c r="C48" s="67">
        <f ca="1">'Adaptive costs A'!C48-'Adaptive costs B'!C48</f>
        <v>0</v>
      </c>
      <c r="D48" s="67">
        <f ca="1">'Adaptive costs A'!D48-'Adaptive costs B'!D48</f>
        <v>0</v>
      </c>
      <c r="E48" s="67">
        <f ca="1">'Adaptive costs A'!E48-'Adaptive costs B'!E48</f>
        <v>0</v>
      </c>
      <c r="F48" s="67">
        <f ca="1">'Adaptive costs A'!F48-'Adaptive costs B'!F48</f>
        <v>0</v>
      </c>
      <c r="G48" s="67">
        <f ca="1">'Adaptive costs A'!G48-'Adaptive costs B'!G48</f>
        <v>0</v>
      </c>
      <c r="H48" s="67">
        <f ca="1">'Adaptive costs A'!H48-'Adaptive costs B'!H48</f>
        <v>0</v>
      </c>
      <c r="I48" s="67">
        <f ca="1">'Adaptive costs A'!I48-'Adaptive costs B'!I48</f>
        <v>0</v>
      </c>
      <c r="J48" s="67">
        <f ca="1">'Adaptive costs A'!J48-'Adaptive costs B'!J48</f>
        <v>0</v>
      </c>
      <c r="K48" s="67">
        <f ca="1">'Adaptive costs A'!K48-'Adaptive costs B'!K48</f>
        <v>0</v>
      </c>
      <c r="L48" s="1"/>
      <c r="M48" s="4" t="str">
        <f t="shared" si="2"/>
        <v>$M(2015)</v>
      </c>
    </row>
    <row r="49" spans="1:13" x14ac:dyDescent="0.25">
      <c r="A49" t="str">
        <v>LA sea level</v>
      </c>
      <c r="B49" s="67">
        <f ca="1">'Adaptive costs A'!B49-'Adaptive costs B'!B49</f>
        <v>0</v>
      </c>
      <c r="C49" s="67">
        <f ca="1">'Adaptive costs A'!C49-'Adaptive costs B'!C49</f>
        <v>0</v>
      </c>
      <c r="D49" s="67">
        <f ca="1">'Adaptive costs A'!D49-'Adaptive costs B'!D49</f>
        <v>0</v>
      </c>
      <c r="E49" s="67">
        <f ca="1">'Adaptive costs A'!E49-'Adaptive costs B'!E49</f>
        <v>0</v>
      </c>
      <c r="F49" s="67">
        <f ca="1">'Adaptive costs A'!F49-'Adaptive costs B'!F49</f>
        <v>0</v>
      </c>
      <c r="G49" s="67">
        <f ca="1">'Adaptive costs A'!G49-'Adaptive costs B'!G49</f>
        <v>0</v>
      </c>
      <c r="H49" s="67">
        <f ca="1">'Adaptive costs A'!H49-'Adaptive costs B'!H49</f>
        <v>0</v>
      </c>
      <c r="I49" s="67">
        <f ca="1">'Adaptive costs A'!I49-'Adaptive costs B'!I49</f>
        <v>0</v>
      </c>
      <c r="J49" s="67">
        <f ca="1">'Adaptive costs A'!J49-'Adaptive costs B'!J49</f>
        <v>0</v>
      </c>
      <c r="K49" s="67">
        <f ca="1">'Adaptive costs A'!K49-'Adaptive costs B'!K49</f>
        <v>0</v>
      </c>
      <c r="L49" s="1"/>
      <c r="M49" s="4" t="str">
        <f t="shared" si="2"/>
        <v>$M(2015)</v>
      </c>
    </row>
    <row r="50" spans="1:13" ht="13.5" thickBot="1" x14ac:dyDescent="0.35">
      <c r="A50" s="2" t="s">
        <v>376</v>
      </c>
      <c r="B50" s="73">
        <f ca="1">'Adaptive costs A'!B50-'Adaptive costs B'!B50</f>
        <v>0</v>
      </c>
      <c r="C50" s="73">
        <f ca="1">'Adaptive costs A'!C50-'Adaptive costs B'!C50</f>
        <v>0</v>
      </c>
      <c r="D50" s="73">
        <f ca="1">'Adaptive costs A'!D50-'Adaptive costs B'!D50</f>
        <v>0</v>
      </c>
      <c r="E50" s="73">
        <f ca="1">'Adaptive costs A'!E50-'Adaptive costs B'!E50</f>
        <v>0</v>
      </c>
      <c r="F50" s="73">
        <f ca="1">'Adaptive costs A'!F50-'Adaptive costs B'!F50</f>
        <v>0</v>
      </c>
      <c r="G50" s="73">
        <f ca="1">'Adaptive costs A'!G50-'Adaptive costs B'!G50</f>
        <v>0</v>
      </c>
      <c r="H50" s="73">
        <f ca="1">'Adaptive costs A'!H50-'Adaptive costs B'!H50</f>
        <v>0</v>
      </c>
      <c r="I50" s="73">
        <f ca="1">'Adaptive costs A'!I50-'Adaptive costs B'!I50</f>
        <v>0</v>
      </c>
      <c r="J50" s="73">
        <f ca="1">'Adaptive costs A'!J50-'Adaptive costs B'!J50</f>
        <v>0</v>
      </c>
      <c r="K50" s="73">
        <f ca="1">'Adaptive costs A'!K50-'Adaptive costs B'!K50</f>
        <v>0</v>
      </c>
      <c r="L50" s="1"/>
      <c r="M50" s="4" t="str">
        <f t="shared" si="2"/>
        <v>$M(2015)</v>
      </c>
    </row>
    <row r="51" spans="1:13" s="2" customFormat="1" ht="15.5" thickTop="1" x14ac:dyDescent="0.4">
      <c r="A51" s="2" t="s">
        <v>372</v>
      </c>
      <c r="B51" s="2" t="s">
        <v>377</v>
      </c>
    </row>
    <row r="52" spans="1:13" s="4" customFormat="1" x14ac:dyDescent="0.25">
      <c r="A52" t="str">
        <f t="array" ref="A52:A59">R_CODE&amp;" "&amp;I_1_NAME</f>
        <v>EU Economic</v>
      </c>
      <c r="B52" s="66">
        <f ca="1">'Adaptive costs A'!B52-'Adaptive costs B'!B52</f>
        <v>0</v>
      </c>
      <c r="C52" s="66">
        <f ca="1">'Adaptive costs A'!C52-'Adaptive costs B'!C52</f>
        <v>0</v>
      </c>
      <c r="D52" s="66">
        <f ca="1">'Adaptive costs A'!D52-'Adaptive costs B'!D52</f>
        <v>0</v>
      </c>
      <c r="E52" s="66">
        <f ca="1">'Adaptive costs A'!E52-'Adaptive costs B'!E52</f>
        <v>0</v>
      </c>
      <c r="F52" s="66">
        <f ca="1">'Adaptive costs A'!F52-'Adaptive costs B'!F52</f>
        <v>0</v>
      </c>
      <c r="G52" s="66">
        <f ca="1">'Adaptive costs A'!G52-'Adaptive costs B'!G52</f>
        <v>0</v>
      </c>
      <c r="H52" s="66">
        <f ca="1">'Adaptive costs A'!H52-'Adaptive costs B'!H52</f>
        <v>0</v>
      </c>
      <c r="I52" s="66">
        <f ca="1">'Adaptive costs A'!I52-'Adaptive costs B'!I52</f>
        <v>0</v>
      </c>
      <c r="J52" s="66">
        <f ca="1">'Adaptive costs A'!J52-'Adaptive costs B'!J52</f>
        <v>0</v>
      </c>
      <c r="K52" s="66">
        <f ca="1">'Adaptive costs A'!K52-'Adaptive costs B'!K52</f>
        <v>0</v>
      </c>
      <c r="M52" s="4" t="str">
        <f t="shared" ref="M52:M60" si="3">CURRENCY_NAME</f>
        <v>$M(2015)</v>
      </c>
    </row>
    <row r="53" spans="1:13" s="4" customFormat="1" x14ac:dyDescent="0.25">
      <c r="A53" t="str">
        <v>US Economic</v>
      </c>
      <c r="B53" s="67">
        <f ca="1">'Adaptive costs A'!B53-'Adaptive costs B'!B53</f>
        <v>0</v>
      </c>
      <c r="C53" s="67">
        <f ca="1">'Adaptive costs A'!C53-'Adaptive costs B'!C53</f>
        <v>0</v>
      </c>
      <c r="D53" s="67">
        <f ca="1">'Adaptive costs A'!D53-'Adaptive costs B'!D53</f>
        <v>0</v>
      </c>
      <c r="E53" s="67">
        <f ca="1">'Adaptive costs A'!E53-'Adaptive costs B'!E53</f>
        <v>0</v>
      </c>
      <c r="F53" s="67">
        <f ca="1">'Adaptive costs A'!F53-'Adaptive costs B'!F53</f>
        <v>0</v>
      </c>
      <c r="G53" s="67">
        <f ca="1">'Adaptive costs A'!G53-'Adaptive costs B'!G53</f>
        <v>0</v>
      </c>
      <c r="H53" s="67">
        <f ca="1">'Adaptive costs A'!H53-'Adaptive costs B'!H53</f>
        <v>0</v>
      </c>
      <c r="I53" s="67">
        <f ca="1">'Adaptive costs A'!I53-'Adaptive costs B'!I53</f>
        <v>0</v>
      </c>
      <c r="J53" s="67">
        <f ca="1">'Adaptive costs A'!J53-'Adaptive costs B'!J53</f>
        <v>0</v>
      </c>
      <c r="K53" s="67">
        <f ca="1">'Adaptive costs A'!K53-'Adaptive costs B'!K53</f>
        <v>0</v>
      </c>
      <c r="M53" s="4" t="str">
        <f t="shared" si="3"/>
        <v>$M(2015)</v>
      </c>
    </row>
    <row r="54" spans="1:13" s="4" customFormat="1" x14ac:dyDescent="0.25">
      <c r="A54" t="str">
        <v>OT Economic</v>
      </c>
      <c r="B54" s="67">
        <f ca="1">'Adaptive costs A'!B54-'Adaptive costs B'!B54</f>
        <v>0</v>
      </c>
      <c r="C54" s="67">
        <f ca="1">'Adaptive costs A'!C54-'Adaptive costs B'!C54</f>
        <v>0</v>
      </c>
      <c r="D54" s="67">
        <f ca="1">'Adaptive costs A'!D54-'Adaptive costs B'!D54</f>
        <v>0</v>
      </c>
      <c r="E54" s="67">
        <f ca="1">'Adaptive costs A'!E54-'Adaptive costs B'!E54</f>
        <v>0</v>
      </c>
      <c r="F54" s="67">
        <f ca="1">'Adaptive costs A'!F54-'Adaptive costs B'!F54</f>
        <v>0</v>
      </c>
      <c r="G54" s="67">
        <f ca="1">'Adaptive costs A'!G54-'Adaptive costs B'!G54</f>
        <v>0</v>
      </c>
      <c r="H54" s="67">
        <f ca="1">'Adaptive costs A'!H54-'Adaptive costs B'!H54</f>
        <v>0</v>
      </c>
      <c r="I54" s="67">
        <f ca="1">'Adaptive costs A'!I54-'Adaptive costs B'!I54</f>
        <v>0</v>
      </c>
      <c r="J54" s="67">
        <f ca="1">'Adaptive costs A'!J54-'Adaptive costs B'!J54</f>
        <v>0</v>
      </c>
      <c r="K54" s="67">
        <f ca="1">'Adaptive costs A'!K54-'Adaptive costs B'!K54</f>
        <v>0</v>
      </c>
      <c r="M54" s="4" t="str">
        <f t="shared" si="3"/>
        <v>$M(2015)</v>
      </c>
    </row>
    <row r="55" spans="1:13" s="4" customFormat="1" x14ac:dyDescent="0.25">
      <c r="A55" t="str">
        <v>EE Economic</v>
      </c>
      <c r="B55" s="67">
        <f ca="1">'Adaptive costs A'!B55-'Adaptive costs B'!B55</f>
        <v>0</v>
      </c>
      <c r="C55" s="67">
        <f ca="1">'Adaptive costs A'!C55-'Adaptive costs B'!C55</f>
        <v>0</v>
      </c>
      <c r="D55" s="67">
        <f ca="1">'Adaptive costs A'!D55-'Adaptive costs B'!D55</f>
        <v>0</v>
      </c>
      <c r="E55" s="67">
        <f ca="1">'Adaptive costs A'!E55-'Adaptive costs B'!E55</f>
        <v>0</v>
      </c>
      <c r="F55" s="67">
        <f ca="1">'Adaptive costs A'!F55-'Adaptive costs B'!F55</f>
        <v>0</v>
      </c>
      <c r="G55" s="67">
        <f ca="1">'Adaptive costs A'!G55-'Adaptive costs B'!G55</f>
        <v>0</v>
      </c>
      <c r="H55" s="67">
        <f ca="1">'Adaptive costs A'!H55-'Adaptive costs B'!H55</f>
        <v>0</v>
      </c>
      <c r="I55" s="67">
        <f ca="1">'Adaptive costs A'!I55-'Adaptive costs B'!I55</f>
        <v>0</v>
      </c>
      <c r="J55" s="67">
        <f ca="1">'Adaptive costs A'!J55-'Adaptive costs B'!J55</f>
        <v>0</v>
      </c>
      <c r="K55" s="67">
        <f ca="1">'Adaptive costs A'!K55-'Adaptive costs B'!K55</f>
        <v>0</v>
      </c>
      <c r="M55" s="4" t="str">
        <f t="shared" si="3"/>
        <v>$M(2015)</v>
      </c>
    </row>
    <row r="56" spans="1:13" s="4" customFormat="1" x14ac:dyDescent="0.25">
      <c r="A56" t="str">
        <v>CA Economic</v>
      </c>
      <c r="B56" s="67">
        <f ca="1">'Adaptive costs A'!B56-'Adaptive costs B'!B56</f>
        <v>0</v>
      </c>
      <c r="C56" s="67">
        <f ca="1">'Adaptive costs A'!C56-'Adaptive costs B'!C56</f>
        <v>0</v>
      </c>
      <c r="D56" s="67">
        <f ca="1">'Adaptive costs A'!D56-'Adaptive costs B'!D56</f>
        <v>0</v>
      </c>
      <c r="E56" s="67">
        <f ca="1">'Adaptive costs A'!E56-'Adaptive costs B'!E56</f>
        <v>0</v>
      </c>
      <c r="F56" s="67">
        <f ca="1">'Adaptive costs A'!F56-'Adaptive costs B'!F56</f>
        <v>0</v>
      </c>
      <c r="G56" s="67">
        <f ca="1">'Adaptive costs A'!G56-'Adaptive costs B'!G56</f>
        <v>0</v>
      </c>
      <c r="H56" s="67">
        <f ca="1">'Adaptive costs A'!H56-'Adaptive costs B'!H56</f>
        <v>0</v>
      </c>
      <c r="I56" s="67">
        <f ca="1">'Adaptive costs A'!I56-'Adaptive costs B'!I56</f>
        <v>0</v>
      </c>
      <c r="J56" s="67">
        <f ca="1">'Adaptive costs A'!J56-'Adaptive costs B'!J56</f>
        <v>0</v>
      </c>
      <c r="K56" s="67">
        <f ca="1">'Adaptive costs A'!K56-'Adaptive costs B'!K56</f>
        <v>0</v>
      </c>
      <c r="M56" s="4" t="str">
        <f t="shared" si="3"/>
        <v>$M(2015)</v>
      </c>
    </row>
    <row r="57" spans="1:13" s="4" customFormat="1" x14ac:dyDescent="0.25">
      <c r="A57" t="str">
        <v>IA Economic</v>
      </c>
      <c r="B57" s="67">
        <f ca="1">'Adaptive costs A'!B57-'Adaptive costs B'!B57</f>
        <v>0</v>
      </c>
      <c r="C57" s="67">
        <f ca="1">'Adaptive costs A'!C57-'Adaptive costs B'!C57</f>
        <v>0</v>
      </c>
      <c r="D57" s="67">
        <f ca="1">'Adaptive costs A'!D57-'Adaptive costs B'!D57</f>
        <v>0</v>
      </c>
      <c r="E57" s="67">
        <f ca="1">'Adaptive costs A'!E57-'Adaptive costs B'!E57</f>
        <v>0</v>
      </c>
      <c r="F57" s="67">
        <f ca="1">'Adaptive costs A'!F57-'Adaptive costs B'!F57</f>
        <v>0</v>
      </c>
      <c r="G57" s="67">
        <f ca="1">'Adaptive costs A'!G57-'Adaptive costs B'!G57</f>
        <v>0</v>
      </c>
      <c r="H57" s="67">
        <f ca="1">'Adaptive costs A'!H57-'Adaptive costs B'!H57</f>
        <v>0</v>
      </c>
      <c r="I57" s="67">
        <f ca="1">'Adaptive costs A'!I57-'Adaptive costs B'!I57</f>
        <v>0</v>
      </c>
      <c r="J57" s="67">
        <f ca="1">'Adaptive costs A'!J57-'Adaptive costs B'!J57</f>
        <v>0</v>
      </c>
      <c r="K57" s="67">
        <f ca="1">'Adaptive costs A'!K57-'Adaptive costs B'!K57</f>
        <v>0</v>
      </c>
      <c r="M57" s="4" t="str">
        <f t="shared" si="3"/>
        <v>$M(2015)</v>
      </c>
    </row>
    <row r="58" spans="1:13" s="4" customFormat="1" x14ac:dyDescent="0.25">
      <c r="A58" t="str">
        <v>AF Economic</v>
      </c>
      <c r="B58" s="67">
        <f ca="1">'Adaptive costs A'!B58-'Adaptive costs B'!B58</f>
        <v>0</v>
      </c>
      <c r="C58" s="67">
        <f ca="1">'Adaptive costs A'!C58-'Adaptive costs B'!C58</f>
        <v>0</v>
      </c>
      <c r="D58" s="67">
        <f ca="1">'Adaptive costs A'!D58-'Adaptive costs B'!D58</f>
        <v>0</v>
      </c>
      <c r="E58" s="67">
        <f ca="1">'Adaptive costs A'!E58-'Adaptive costs B'!E58</f>
        <v>0</v>
      </c>
      <c r="F58" s="67">
        <f ca="1">'Adaptive costs A'!F58-'Adaptive costs B'!F58</f>
        <v>0</v>
      </c>
      <c r="G58" s="67">
        <f ca="1">'Adaptive costs A'!G58-'Adaptive costs B'!G58</f>
        <v>0</v>
      </c>
      <c r="H58" s="67">
        <f ca="1">'Adaptive costs A'!H58-'Adaptive costs B'!H58</f>
        <v>0</v>
      </c>
      <c r="I58" s="67">
        <f ca="1">'Adaptive costs A'!I58-'Adaptive costs B'!I58</f>
        <v>0</v>
      </c>
      <c r="J58" s="67">
        <f ca="1">'Adaptive costs A'!J58-'Adaptive costs B'!J58</f>
        <v>0</v>
      </c>
      <c r="K58" s="67">
        <f ca="1">'Adaptive costs A'!K58-'Adaptive costs B'!K58</f>
        <v>0</v>
      </c>
      <c r="M58" s="4" t="str">
        <f t="shared" si="3"/>
        <v>$M(2015)</v>
      </c>
    </row>
    <row r="59" spans="1:13" s="4" customFormat="1" x14ac:dyDescent="0.25">
      <c r="A59" t="str">
        <v>LA Economic</v>
      </c>
      <c r="B59" s="67">
        <f ca="1">'Adaptive costs A'!B59-'Adaptive costs B'!B59</f>
        <v>0</v>
      </c>
      <c r="C59" s="67">
        <f ca="1">'Adaptive costs A'!C59-'Adaptive costs B'!C59</f>
        <v>0</v>
      </c>
      <c r="D59" s="67">
        <f ca="1">'Adaptive costs A'!D59-'Adaptive costs B'!D59</f>
        <v>0</v>
      </c>
      <c r="E59" s="67">
        <f ca="1">'Adaptive costs A'!E59-'Adaptive costs B'!E59</f>
        <v>0</v>
      </c>
      <c r="F59" s="67">
        <f ca="1">'Adaptive costs A'!F59-'Adaptive costs B'!F59</f>
        <v>0</v>
      </c>
      <c r="G59" s="67">
        <f ca="1">'Adaptive costs A'!G59-'Adaptive costs B'!G59</f>
        <v>0</v>
      </c>
      <c r="H59" s="67">
        <f ca="1">'Adaptive costs A'!H59-'Adaptive costs B'!H59</f>
        <v>0</v>
      </c>
      <c r="I59" s="67">
        <f ca="1">'Adaptive costs A'!I59-'Adaptive costs B'!I59</f>
        <v>0</v>
      </c>
      <c r="J59" s="67">
        <f ca="1">'Adaptive costs A'!J59-'Adaptive costs B'!J59</f>
        <v>0</v>
      </c>
      <c r="K59" s="67">
        <f ca="1">'Adaptive costs A'!K59-'Adaptive costs B'!K59</f>
        <v>0</v>
      </c>
      <c r="M59" s="4" t="str">
        <f t="shared" si="3"/>
        <v>$M(2015)</v>
      </c>
    </row>
    <row r="60" spans="1:13" ht="13.5" thickBot="1" x14ac:dyDescent="0.35">
      <c r="A60" s="2" t="str">
        <f>"Global "&amp;I_1_NAME</f>
        <v>Global Economic</v>
      </c>
      <c r="B60" s="73">
        <f ca="1">'Adaptive costs A'!B60-'Adaptive costs B'!B60</f>
        <v>0</v>
      </c>
      <c r="C60" s="73">
        <f ca="1">'Adaptive costs A'!C60-'Adaptive costs B'!C60</f>
        <v>0</v>
      </c>
      <c r="D60" s="73">
        <f ca="1">'Adaptive costs A'!D60-'Adaptive costs B'!D60</f>
        <v>0</v>
      </c>
      <c r="E60" s="73">
        <f ca="1">'Adaptive costs A'!E60-'Adaptive costs B'!E60</f>
        <v>0</v>
      </c>
      <c r="F60" s="73">
        <f ca="1">'Adaptive costs A'!F60-'Adaptive costs B'!F60</f>
        <v>0</v>
      </c>
      <c r="G60" s="73">
        <f ca="1">'Adaptive costs A'!G60-'Adaptive costs B'!G60</f>
        <v>0</v>
      </c>
      <c r="H60" s="73">
        <f ca="1">'Adaptive costs A'!H60-'Adaptive costs B'!H60</f>
        <v>0</v>
      </c>
      <c r="I60" s="73">
        <f ca="1">'Adaptive costs A'!I60-'Adaptive costs B'!I60</f>
        <v>0</v>
      </c>
      <c r="J60" s="73">
        <f ca="1">'Adaptive costs A'!J60-'Adaptive costs B'!J60</f>
        <v>0</v>
      </c>
      <c r="K60" s="73">
        <f ca="1">'Adaptive costs A'!K60-'Adaptive costs B'!K60</f>
        <v>0</v>
      </c>
      <c r="L60" s="1"/>
      <c r="M60" s="4" t="str">
        <f t="shared" si="3"/>
        <v>$M(2015)</v>
      </c>
    </row>
    <row r="61" spans="1:13" s="2" customFormat="1" ht="15.5" thickTop="1" x14ac:dyDescent="0.4">
      <c r="A61" s="2" t="s">
        <v>374</v>
      </c>
      <c r="B61" s="2" t="s">
        <v>378</v>
      </c>
    </row>
    <row r="62" spans="1:13" x14ac:dyDescent="0.25">
      <c r="A62" t="str">
        <f t="array" ref="A62:A69">R_CODE&amp;" "&amp;I_1_NAME</f>
        <v>EU Economic</v>
      </c>
      <c r="B62" s="66">
        <f ca="1">'Adaptive costs A'!B62-'Adaptive costs B'!B62</f>
        <v>0</v>
      </c>
      <c r="C62" s="66">
        <f ca="1">'Adaptive costs A'!C62-'Adaptive costs B'!C62</f>
        <v>0</v>
      </c>
      <c r="D62" s="66">
        <f ca="1">'Adaptive costs A'!D62-'Adaptive costs B'!D62</f>
        <v>0</v>
      </c>
      <c r="E62" s="66">
        <f ca="1">'Adaptive costs A'!E62-'Adaptive costs B'!E62</f>
        <v>0</v>
      </c>
      <c r="F62" s="66">
        <f ca="1">'Adaptive costs A'!F62-'Adaptive costs B'!F62</f>
        <v>0</v>
      </c>
      <c r="G62" s="66">
        <f ca="1">'Adaptive costs A'!G62-'Adaptive costs B'!G62</f>
        <v>0</v>
      </c>
      <c r="H62" s="66">
        <f ca="1">'Adaptive costs A'!H62-'Adaptive costs B'!H62</f>
        <v>0</v>
      </c>
      <c r="I62" s="66">
        <f ca="1">'Adaptive costs A'!I62-'Adaptive costs B'!I62</f>
        <v>0</v>
      </c>
      <c r="J62" s="66">
        <f ca="1">'Adaptive costs A'!J62-'Adaptive costs B'!J62</f>
        <v>0</v>
      </c>
      <c r="K62" s="66">
        <f ca="1">'Adaptive costs A'!K62-'Adaptive costs B'!K62</f>
        <v>0</v>
      </c>
      <c r="M62" s="4" t="str">
        <f t="shared" ref="M62:M70" si="4">CURRENCY_NAME</f>
        <v>$M(2015)</v>
      </c>
    </row>
    <row r="63" spans="1:13" x14ac:dyDescent="0.25">
      <c r="A63" t="str">
        <v>US Economic</v>
      </c>
      <c r="B63" s="67">
        <f ca="1">'Adaptive costs A'!B63-'Adaptive costs B'!B63</f>
        <v>0</v>
      </c>
      <c r="C63" s="67">
        <f ca="1">'Adaptive costs A'!C63-'Adaptive costs B'!C63</f>
        <v>0</v>
      </c>
      <c r="D63" s="67">
        <f ca="1">'Adaptive costs A'!D63-'Adaptive costs B'!D63</f>
        <v>0</v>
      </c>
      <c r="E63" s="67">
        <f ca="1">'Adaptive costs A'!E63-'Adaptive costs B'!E63</f>
        <v>0</v>
      </c>
      <c r="F63" s="67">
        <f ca="1">'Adaptive costs A'!F63-'Adaptive costs B'!F63</f>
        <v>0</v>
      </c>
      <c r="G63" s="67">
        <f ca="1">'Adaptive costs A'!G63-'Adaptive costs B'!G63</f>
        <v>0</v>
      </c>
      <c r="H63" s="67">
        <f ca="1">'Adaptive costs A'!H63-'Adaptive costs B'!H63</f>
        <v>0</v>
      </c>
      <c r="I63" s="67">
        <f ca="1">'Adaptive costs A'!I63-'Adaptive costs B'!I63</f>
        <v>0</v>
      </c>
      <c r="J63" s="67">
        <f ca="1">'Adaptive costs A'!J63-'Adaptive costs B'!J63</f>
        <v>0</v>
      </c>
      <c r="K63" s="67">
        <f ca="1">'Adaptive costs A'!K63-'Adaptive costs B'!K63</f>
        <v>0</v>
      </c>
      <c r="M63" s="4" t="str">
        <f t="shared" si="4"/>
        <v>$M(2015)</v>
      </c>
    </row>
    <row r="64" spans="1:13" x14ac:dyDescent="0.25">
      <c r="A64" t="str">
        <v>OT Economic</v>
      </c>
      <c r="B64" s="67">
        <f ca="1">'Adaptive costs A'!B64-'Adaptive costs B'!B64</f>
        <v>0</v>
      </c>
      <c r="C64" s="67">
        <f ca="1">'Adaptive costs A'!C64-'Adaptive costs B'!C64</f>
        <v>0</v>
      </c>
      <c r="D64" s="67">
        <f ca="1">'Adaptive costs A'!D64-'Adaptive costs B'!D64</f>
        <v>0</v>
      </c>
      <c r="E64" s="67">
        <f ca="1">'Adaptive costs A'!E64-'Adaptive costs B'!E64</f>
        <v>0</v>
      </c>
      <c r="F64" s="67">
        <f ca="1">'Adaptive costs A'!F64-'Adaptive costs B'!F64</f>
        <v>0</v>
      </c>
      <c r="G64" s="67">
        <f ca="1">'Adaptive costs A'!G64-'Adaptive costs B'!G64</f>
        <v>0</v>
      </c>
      <c r="H64" s="67">
        <f ca="1">'Adaptive costs A'!H64-'Adaptive costs B'!H64</f>
        <v>0</v>
      </c>
      <c r="I64" s="67">
        <f ca="1">'Adaptive costs A'!I64-'Adaptive costs B'!I64</f>
        <v>0</v>
      </c>
      <c r="J64" s="67">
        <f ca="1">'Adaptive costs A'!J64-'Adaptive costs B'!J64</f>
        <v>0</v>
      </c>
      <c r="K64" s="67">
        <f ca="1">'Adaptive costs A'!K64-'Adaptive costs B'!K64</f>
        <v>0</v>
      </c>
      <c r="M64" s="4" t="str">
        <f t="shared" si="4"/>
        <v>$M(2015)</v>
      </c>
    </row>
    <row r="65" spans="1:13" x14ac:dyDescent="0.25">
      <c r="A65" t="str">
        <v>EE Economic</v>
      </c>
      <c r="B65" s="67">
        <f ca="1">'Adaptive costs A'!B65-'Adaptive costs B'!B65</f>
        <v>0</v>
      </c>
      <c r="C65" s="67">
        <f ca="1">'Adaptive costs A'!C65-'Adaptive costs B'!C65</f>
        <v>0</v>
      </c>
      <c r="D65" s="67">
        <f ca="1">'Adaptive costs A'!D65-'Adaptive costs B'!D65</f>
        <v>0</v>
      </c>
      <c r="E65" s="67">
        <f ca="1">'Adaptive costs A'!E65-'Adaptive costs B'!E65</f>
        <v>0</v>
      </c>
      <c r="F65" s="67">
        <f ca="1">'Adaptive costs A'!F65-'Adaptive costs B'!F65</f>
        <v>0</v>
      </c>
      <c r="G65" s="67">
        <f ca="1">'Adaptive costs A'!G65-'Adaptive costs B'!G65</f>
        <v>0</v>
      </c>
      <c r="H65" s="67">
        <f ca="1">'Adaptive costs A'!H65-'Adaptive costs B'!H65</f>
        <v>0</v>
      </c>
      <c r="I65" s="67">
        <f ca="1">'Adaptive costs A'!I65-'Adaptive costs B'!I65</f>
        <v>0</v>
      </c>
      <c r="J65" s="67">
        <f ca="1">'Adaptive costs A'!J65-'Adaptive costs B'!J65</f>
        <v>0</v>
      </c>
      <c r="K65" s="67">
        <f ca="1">'Adaptive costs A'!K65-'Adaptive costs B'!K65</f>
        <v>0</v>
      </c>
      <c r="M65" s="4" t="str">
        <f t="shared" si="4"/>
        <v>$M(2015)</v>
      </c>
    </row>
    <row r="66" spans="1:13" x14ac:dyDescent="0.25">
      <c r="A66" t="str">
        <v>CA Economic</v>
      </c>
      <c r="B66" s="67">
        <f ca="1">'Adaptive costs A'!B66-'Adaptive costs B'!B66</f>
        <v>0</v>
      </c>
      <c r="C66" s="67">
        <f ca="1">'Adaptive costs A'!C66-'Adaptive costs B'!C66</f>
        <v>0</v>
      </c>
      <c r="D66" s="67">
        <f ca="1">'Adaptive costs A'!D66-'Adaptive costs B'!D66</f>
        <v>0</v>
      </c>
      <c r="E66" s="67">
        <f ca="1">'Adaptive costs A'!E66-'Adaptive costs B'!E66</f>
        <v>0</v>
      </c>
      <c r="F66" s="67">
        <f ca="1">'Adaptive costs A'!F66-'Adaptive costs B'!F66</f>
        <v>0</v>
      </c>
      <c r="G66" s="67">
        <f ca="1">'Adaptive costs A'!G66-'Adaptive costs B'!G66</f>
        <v>0</v>
      </c>
      <c r="H66" s="67">
        <f ca="1">'Adaptive costs A'!H66-'Adaptive costs B'!H66</f>
        <v>0</v>
      </c>
      <c r="I66" s="67">
        <f ca="1">'Adaptive costs A'!I66-'Adaptive costs B'!I66</f>
        <v>0</v>
      </c>
      <c r="J66" s="67">
        <f ca="1">'Adaptive costs A'!J66-'Adaptive costs B'!J66</f>
        <v>0</v>
      </c>
      <c r="K66" s="67">
        <f ca="1">'Adaptive costs A'!K66-'Adaptive costs B'!K66</f>
        <v>0</v>
      </c>
      <c r="M66" s="4" t="str">
        <f t="shared" si="4"/>
        <v>$M(2015)</v>
      </c>
    </row>
    <row r="67" spans="1:13" x14ac:dyDescent="0.25">
      <c r="A67" t="str">
        <v>IA Economic</v>
      </c>
      <c r="B67" s="67">
        <f ca="1">'Adaptive costs A'!B67-'Adaptive costs B'!B67</f>
        <v>0</v>
      </c>
      <c r="C67" s="67">
        <f ca="1">'Adaptive costs A'!C67-'Adaptive costs B'!C67</f>
        <v>0</v>
      </c>
      <c r="D67" s="67">
        <f ca="1">'Adaptive costs A'!D67-'Adaptive costs B'!D67</f>
        <v>0</v>
      </c>
      <c r="E67" s="67">
        <f ca="1">'Adaptive costs A'!E67-'Adaptive costs B'!E67</f>
        <v>0</v>
      </c>
      <c r="F67" s="67">
        <f ca="1">'Adaptive costs A'!F67-'Adaptive costs B'!F67</f>
        <v>0</v>
      </c>
      <c r="G67" s="67">
        <f ca="1">'Adaptive costs A'!G67-'Adaptive costs B'!G67</f>
        <v>0</v>
      </c>
      <c r="H67" s="67">
        <f ca="1">'Adaptive costs A'!H67-'Adaptive costs B'!H67</f>
        <v>0</v>
      </c>
      <c r="I67" s="67">
        <f ca="1">'Adaptive costs A'!I67-'Adaptive costs B'!I67</f>
        <v>0</v>
      </c>
      <c r="J67" s="67">
        <f ca="1">'Adaptive costs A'!J67-'Adaptive costs B'!J67</f>
        <v>0</v>
      </c>
      <c r="K67" s="67">
        <f ca="1">'Adaptive costs A'!K67-'Adaptive costs B'!K67</f>
        <v>0</v>
      </c>
      <c r="M67" s="4" t="str">
        <f t="shared" si="4"/>
        <v>$M(2015)</v>
      </c>
    </row>
    <row r="68" spans="1:13" x14ac:dyDescent="0.25">
      <c r="A68" t="str">
        <v>AF Economic</v>
      </c>
      <c r="B68" s="67">
        <f ca="1">'Adaptive costs A'!B68-'Adaptive costs B'!B68</f>
        <v>0</v>
      </c>
      <c r="C68" s="67">
        <f ca="1">'Adaptive costs A'!C68-'Adaptive costs B'!C68</f>
        <v>0</v>
      </c>
      <c r="D68" s="67">
        <f ca="1">'Adaptive costs A'!D68-'Adaptive costs B'!D68</f>
        <v>0</v>
      </c>
      <c r="E68" s="67">
        <f ca="1">'Adaptive costs A'!E68-'Adaptive costs B'!E68</f>
        <v>0</v>
      </c>
      <c r="F68" s="67">
        <f ca="1">'Adaptive costs A'!F68-'Adaptive costs B'!F68</f>
        <v>0</v>
      </c>
      <c r="G68" s="67">
        <f ca="1">'Adaptive costs A'!G68-'Adaptive costs B'!G68</f>
        <v>0</v>
      </c>
      <c r="H68" s="67">
        <f ca="1">'Adaptive costs A'!H68-'Adaptive costs B'!H68</f>
        <v>0</v>
      </c>
      <c r="I68" s="67">
        <f ca="1">'Adaptive costs A'!I68-'Adaptive costs B'!I68</f>
        <v>0</v>
      </c>
      <c r="J68" s="67">
        <f ca="1">'Adaptive costs A'!J68-'Adaptive costs B'!J68</f>
        <v>0</v>
      </c>
      <c r="K68" s="67">
        <f ca="1">'Adaptive costs A'!K68-'Adaptive costs B'!K68</f>
        <v>0</v>
      </c>
      <c r="M68" s="4" t="str">
        <f t="shared" si="4"/>
        <v>$M(2015)</v>
      </c>
    </row>
    <row r="69" spans="1:13" x14ac:dyDescent="0.25">
      <c r="A69" t="str">
        <v>LA Economic</v>
      </c>
      <c r="B69" s="67">
        <f ca="1">'Adaptive costs A'!B69-'Adaptive costs B'!B69</f>
        <v>0</v>
      </c>
      <c r="C69" s="67">
        <f ca="1">'Adaptive costs A'!C69-'Adaptive costs B'!C69</f>
        <v>0</v>
      </c>
      <c r="D69" s="67">
        <f ca="1">'Adaptive costs A'!D69-'Adaptive costs B'!D69</f>
        <v>0</v>
      </c>
      <c r="E69" s="67">
        <f ca="1">'Adaptive costs A'!E69-'Adaptive costs B'!E69</f>
        <v>0</v>
      </c>
      <c r="F69" s="67">
        <f ca="1">'Adaptive costs A'!F69-'Adaptive costs B'!F69</f>
        <v>0</v>
      </c>
      <c r="G69" s="67">
        <f ca="1">'Adaptive costs A'!G69-'Adaptive costs B'!G69</f>
        <v>0</v>
      </c>
      <c r="H69" s="67">
        <f ca="1">'Adaptive costs A'!H69-'Adaptive costs B'!H69</f>
        <v>0</v>
      </c>
      <c r="I69" s="67">
        <f ca="1">'Adaptive costs A'!I69-'Adaptive costs B'!I69</f>
        <v>0</v>
      </c>
      <c r="J69" s="67">
        <f ca="1">'Adaptive costs A'!J69-'Adaptive costs B'!J69</f>
        <v>0</v>
      </c>
      <c r="K69" s="67">
        <f ca="1">'Adaptive costs A'!K69-'Adaptive costs B'!K69</f>
        <v>0</v>
      </c>
      <c r="M69" s="4" t="str">
        <f t="shared" si="4"/>
        <v>$M(2015)</v>
      </c>
    </row>
    <row r="70" spans="1:13" ht="13.5" thickBot="1" x14ac:dyDescent="0.35">
      <c r="A70" s="2" t="str">
        <f>"Global "&amp;I_1_NAME</f>
        <v>Global Economic</v>
      </c>
      <c r="B70" s="73">
        <f ca="1">'Adaptive costs A'!B70-'Adaptive costs B'!B70</f>
        <v>0</v>
      </c>
      <c r="C70" s="73">
        <f ca="1">'Adaptive costs A'!C70-'Adaptive costs B'!C70</f>
        <v>0</v>
      </c>
      <c r="D70" s="73">
        <f ca="1">'Adaptive costs A'!D70-'Adaptive costs B'!D70</f>
        <v>0</v>
      </c>
      <c r="E70" s="73">
        <f ca="1">'Adaptive costs A'!E70-'Adaptive costs B'!E70</f>
        <v>0</v>
      </c>
      <c r="F70" s="73">
        <f ca="1">'Adaptive costs A'!F70-'Adaptive costs B'!F70</f>
        <v>0</v>
      </c>
      <c r="G70" s="73">
        <f ca="1">'Adaptive costs A'!G70-'Adaptive costs B'!G70</f>
        <v>0</v>
      </c>
      <c r="H70" s="73">
        <f ca="1">'Adaptive costs A'!H70-'Adaptive costs B'!H70</f>
        <v>0</v>
      </c>
      <c r="I70" s="73">
        <f ca="1">'Adaptive costs A'!I70-'Adaptive costs B'!I70</f>
        <v>0</v>
      </c>
      <c r="J70" s="73">
        <f ca="1">'Adaptive costs A'!J70-'Adaptive costs B'!J70</f>
        <v>0</v>
      </c>
      <c r="K70" s="73">
        <f ca="1">'Adaptive costs A'!K70-'Adaptive costs B'!K70</f>
        <v>0</v>
      </c>
      <c r="L70" s="1"/>
      <c r="M70" s="4" t="str">
        <f t="shared" si="4"/>
        <v>$M(2015)</v>
      </c>
    </row>
    <row r="71" spans="1:13" ht="15.5" thickTop="1" x14ac:dyDescent="0.4">
      <c r="A71" s="44" t="s">
        <v>112</v>
      </c>
      <c r="B71" s="2" t="s">
        <v>95</v>
      </c>
      <c r="C71" s="1"/>
      <c r="D71" s="1"/>
      <c r="E71" s="1"/>
      <c r="F71" s="1"/>
      <c r="G71" s="1"/>
      <c r="H71" s="1"/>
      <c r="I71" s="1"/>
      <c r="J71" s="1"/>
      <c r="K71" s="1"/>
      <c r="L71" s="1"/>
      <c r="M71" s="1"/>
    </row>
    <row r="72" spans="1:13" x14ac:dyDescent="0.25">
      <c r="A72" t="str">
        <f t="array" ref="A72:A79">R_CODE&amp;" "&amp;I_1_NAME</f>
        <v>EU Economic</v>
      </c>
      <c r="B72" s="66">
        <f ca="1">'Adaptive costs A'!B72-'Adaptive costs B'!B72</f>
        <v>0</v>
      </c>
      <c r="C72" s="66">
        <f ca="1">'Adaptive costs A'!C72-'Adaptive costs B'!C72</f>
        <v>0</v>
      </c>
      <c r="D72" s="66">
        <f ca="1">'Adaptive costs A'!D72-'Adaptive costs B'!D72</f>
        <v>0</v>
      </c>
      <c r="E72" s="66">
        <f ca="1">'Adaptive costs A'!E72-'Adaptive costs B'!E72</f>
        <v>0</v>
      </c>
      <c r="F72" s="66">
        <f ca="1">'Adaptive costs A'!F72-'Adaptive costs B'!F72</f>
        <v>0</v>
      </c>
      <c r="G72" s="66">
        <f ca="1">'Adaptive costs A'!G72-'Adaptive costs B'!G72</f>
        <v>0</v>
      </c>
      <c r="H72" s="66">
        <f ca="1">'Adaptive costs A'!H72-'Adaptive costs B'!H72</f>
        <v>0</v>
      </c>
      <c r="I72" s="66">
        <f ca="1">'Adaptive costs A'!I72-'Adaptive costs B'!I72</f>
        <v>0</v>
      </c>
      <c r="J72" s="66">
        <f ca="1">'Adaptive costs A'!J72-'Adaptive costs B'!J72</f>
        <v>0</v>
      </c>
      <c r="K72" s="66">
        <f ca="1">'Adaptive costs A'!K72-'Adaptive costs B'!K72</f>
        <v>0</v>
      </c>
      <c r="L72" s="1"/>
      <c r="M72" s="4" t="str">
        <f t="shared" ref="M72:M80" si="5">CURRENCY_NAME</f>
        <v>$M(2015)</v>
      </c>
    </row>
    <row r="73" spans="1:13" x14ac:dyDescent="0.25">
      <c r="A73" t="str">
        <v>US Economic</v>
      </c>
      <c r="B73" s="67">
        <f ca="1">'Adaptive costs A'!B73-'Adaptive costs B'!B73</f>
        <v>0</v>
      </c>
      <c r="C73" s="67">
        <f ca="1">'Adaptive costs A'!C73-'Adaptive costs B'!C73</f>
        <v>0</v>
      </c>
      <c r="D73" s="67">
        <f ca="1">'Adaptive costs A'!D73-'Adaptive costs B'!D73</f>
        <v>0</v>
      </c>
      <c r="E73" s="67">
        <f ca="1">'Adaptive costs A'!E73-'Adaptive costs B'!E73</f>
        <v>0</v>
      </c>
      <c r="F73" s="67">
        <f ca="1">'Adaptive costs A'!F73-'Adaptive costs B'!F73</f>
        <v>0</v>
      </c>
      <c r="G73" s="67">
        <f ca="1">'Adaptive costs A'!G73-'Adaptive costs B'!G73</f>
        <v>0</v>
      </c>
      <c r="H73" s="67">
        <f ca="1">'Adaptive costs A'!H73-'Adaptive costs B'!H73</f>
        <v>0</v>
      </c>
      <c r="I73" s="67">
        <f ca="1">'Adaptive costs A'!I73-'Adaptive costs B'!I73</f>
        <v>0</v>
      </c>
      <c r="J73" s="67">
        <f ca="1">'Adaptive costs A'!J73-'Adaptive costs B'!J73</f>
        <v>0</v>
      </c>
      <c r="K73" s="67">
        <f ca="1">'Adaptive costs A'!K73-'Adaptive costs B'!K73</f>
        <v>0</v>
      </c>
      <c r="L73" s="1"/>
      <c r="M73" s="4" t="str">
        <f t="shared" si="5"/>
        <v>$M(2015)</v>
      </c>
    </row>
    <row r="74" spans="1:13" x14ac:dyDescent="0.25">
      <c r="A74" t="str">
        <v>OT Economic</v>
      </c>
      <c r="B74" s="67">
        <f ca="1">'Adaptive costs A'!B74-'Adaptive costs B'!B74</f>
        <v>0</v>
      </c>
      <c r="C74" s="67">
        <f ca="1">'Adaptive costs A'!C74-'Adaptive costs B'!C74</f>
        <v>0</v>
      </c>
      <c r="D74" s="67">
        <f ca="1">'Adaptive costs A'!D74-'Adaptive costs B'!D74</f>
        <v>0</v>
      </c>
      <c r="E74" s="67">
        <f ca="1">'Adaptive costs A'!E74-'Adaptive costs B'!E74</f>
        <v>0</v>
      </c>
      <c r="F74" s="67">
        <f ca="1">'Adaptive costs A'!F74-'Adaptive costs B'!F74</f>
        <v>0</v>
      </c>
      <c r="G74" s="67">
        <f ca="1">'Adaptive costs A'!G74-'Adaptive costs B'!G74</f>
        <v>0</v>
      </c>
      <c r="H74" s="67">
        <f ca="1">'Adaptive costs A'!H74-'Adaptive costs B'!H74</f>
        <v>0</v>
      </c>
      <c r="I74" s="67">
        <f ca="1">'Adaptive costs A'!I74-'Adaptive costs B'!I74</f>
        <v>0</v>
      </c>
      <c r="J74" s="67">
        <f ca="1">'Adaptive costs A'!J74-'Adaptive costs B'!J74</f>
        <v>0</v>
      </c>
      <c r="K74" s="67">
        <f ca="1">'Adaptive costs A'!K74-'Adaptive costs B'!K74</f>
        <v>0</v>
      </c>
      <c r="L74" s="1"/>
      <c r="M74" s="4" t="str">
        <f t="shared" si="5"/>
        <v>$M(2015)</v>
      </c>
    </row>
    <row r="75" spans="1:13" x14ac:dyDescent="0.25">
      <c r="A75" t="str">
        <v>EE Economic</v>
      </c>
      <c r="B75" s="67">
        <f ca="1">'Adaptive costs A'!B75-'Adaptive costs B'!B75</f>
        <v>0</v>
      </c>
      <c r="C75" s="67">
        <f ca="1">'Adaptive costs A'!C75-'Adaptive costs B'!C75</f>
        <v>0</v>
      </c>
      <c r="D75" s="67">
        <f ca="1">'Adaptive costs A'!D75-'Adaptive costs B'!D75</f>
        <v>0</v>
      </c>
      <c r="E75" s="67">
        <f ca="1">'Adaptive costs A'!E75-'Adaptive costs B'!E75</f>
        <v>0</v>
      </c>
      <c r="F75" s="67">
        <f ca="1">'Adaptive costs A'!F75-'Adaptive costs B'!F75</f>
        <v>0</v>
      </c>
      <c r="G75" s="67">
        <f ca="1">'Adaptive costs A'!G75-'Adaptive costs B'!G75</f>
        <v>0</v>
      </c>
      <c r="H75" s="67">
        <f ca="1">'Adaptive costs A'!H75-'Adaptive costs B'!H75</f>
        <v>0</v>
      </c>
      <c r="I75" s="67">
        <f ca="1">'Adaptive costs A'!I75-'Adaptive costs B'!I75</f>
        <v>0</v>
      </c>
      <c r="J75" s="67">
        <f ca="1">'Adaptive costs A'!J75-'Adaptive costs B'!J75</f>
        <v>0</v>
      </c>
      <c r="K75" s="67">
        <f ca="1">'Adaptive costs A'!K75-'Adaptive costs B'!K75</f>
        <v>0</v>
      </c>
      <c r="L75" s="1"/>
      <c r="M75" s="4" t="str">
        <f t="shared" si="5"/>
        <v>$M(2015)</v>
      </c>
    </row>
    <row r="76" spans="1:13" x14ac:dyDescent="0.25">
      <c r="A76" t="str">
        <v>CA Economic</v>
      </c>
      <c r="B76" s="67">
        <f ca="1">'Adaptive costs A'!B76-'Adaptive costs B'!B76</f>
        <v>0</v>
      </c>
      <c r="C76" s="67">
        <f ca="1">'Adaptive costs A'!C76-'Adaptive costs B'!C76</f>
        <v>0</v>
      </c>
      <c r="D76" s="67">
        <f ca="1">'Adaptive costs A'!D76-'Adaptive costs B'!D76</f>
        <v>0</v>
      </c>
      <c r="E76" s="67">
        <f ca="1">'Adaptive costs A'!E76-'Adaptive costs B'!E76</f>
        <v>0</v>
      </c>
      <c r="F76" s="67">
        <f ca="1">'Adaptive costs A'!F76-'Adaptive costs B'!F76</f>
        <v>0</v>
      </c>
      <c r="G76" s="67">
        <f ca="1">'Adaptive costs A'!G76-'Adaptive costs B'!G76</f>
        <v>0</v>
      </c>
      <c r="H76" s="67">
        <f ca="1">'Adaptive costs A'!H76-'Adaptive costs B'!H76</f>
        <v>0</v>
      </c>
      <c r="I76" s="67">
        <f ca="1">'Adaptive costs A'!I76-'Adaptive costs B'!I76</f>
        <v>0</v>
      </c>
      <c r="J76" s="67">
        <f ca="1">'Adaptive costs A'!J76-'Adaptive costs B'!J76</f>
        <v>0</v>
      </c>
      <c r="K76" s="67">
        <f ca="1">'Adaptive costs A'!K76-'Adaptive costs B'!K76</f>
        <v>0</v>
      </c>
      <c r="L76" s="1"/>
      <c r="M76" s="4" t="str">
        <f t="shared" si="5"/>
        <v>$M(2015)</v>
      </c>
    </row>
    <row r="77" spans="1:13" x14ac:dyDescent="0.25">
      <c r="A77" t="str">
        <v>IA Economic</v>
      </c>
      <c r="B77" s="67">
        <f ca="1">'Adaptive costs A'!B77-'Adaptive costs B'!B77</f>
        <v>0</v>
      </c>
      <c r="C77" s="67">
        <f ca="1">'Adaptive costs A'!C77-'Adaptive costs B'!C77</f>
        <v>0</v>
      </c>
      <c r="D77" s="67">
        <f ca="1">'Adaptive costs A'!D77-'Adaptive costs B'!D77</f>
        <v>0</v>
      </c>
      <c r="E77" s="67">
        <f ca="1">'Adaptive costs A'!E77-'Adaptive costs B'!E77</f>
        <v>0</v>
      </c>
      <c r="F77" s="67">
        <f ca="1">'Adaptive costs A'!F77-'Adaptive costs B'!F77</f>
        <v>0</v>
      </c>
      <c r="G77" s="67">
        <f ca="1">'Adaptive costs A'!G77-'Adaptive costs B'!G77</f>
        <v>0</v>
      </c>
      <c r="H77" s="67">
        <f ca="1">'Adaptive costs A'!H77-'Adaptive costs B'!H77</f>
        <v>0</v>
      </c>
      <c r="I77" s="67">
        <f ca="1">'Adaptive costs A'!I77-'Adaptive costs B'!I77</f>
        <v>0</v>
      </c>
      <c r="J77" s="67">
        <f ca="1">'Adaptive costs A'!J77-'Adaptive costs B'!J77</f>
        <v>0</v>
      </c>
      <c r="K77" s="67">
        <f ca="1">'Adaptive costs A'!K77-'Adaptive costs B'!K77</f>
        <v>0</v>
      </c>
      <c r="L77" s="1"/>
      <c r="M77" s="4" t="str">
        <f t="shared" si="5"/>
        <v>$M(2015)</v>
      </c>
    </row>
    <row r="78" spans="1:13" x14ac:dyDescent="0.25">
      <c r="A78" t="str">
        <v>AF Economic</v>
      </c>
      <c r="B78" s="67">
        <f ca="1">'Adaptive costs A'!B78-'Adaptive costs B'!B78</f>
        <v>0</v>
      </c>
      <c r="C78" s="67">
        <f ca="1">'Adaptive costs A'!C78-'Adaptive costs B'!C78</f>
        <v>0</v>
      </c>
      <c r="D78" s="67">
        <f ca="1">'Adaptive costs A'!D78-'Adaptive costs B'!D78</f>
        <v>0</v>
      </c>
      <c r="E78" s="67">
        <f ca="1">'Adaptive costs A'!E78-'Adaptive costs B'!E78</f>
        <v>0</v>
      </c>
      <c r="F78" s="67">
        <f ca="1">'Adaptive costs A'!F78-'Adaptive costs B'!F78</f>
        <v>0</v>
      </c>
      <c r="G78" s="67">
        <f ca="1">'Adaptive costs A'!G78-'Adaptive costs B'!G78</f>
        <v>0</v>
      </c>
      <c r="H78" s="67">
        <f ca="1">'Adaptive costs A'!H78-'Adaptive costs B'!H78</f>
        <v>0</v>
      </c>
      <c r="I78" s="67">
        <f ca="1">'Adaptive costs A'!I78-'Adaptive costs B'!I78</f>
        <v>0</v>
      </c>
      <c r="J78" s="67">
        <f ca="1">'Adaptive costs A'!J78-'Adaptive costs B'!J78</f>
        <v>0</v>
      </c>
      <c r="K78" s="67">
        <f ca="1">'Adaptive costs A'!K78-'Adaptive costs B'!K78</f>
        <v>0</v>
      </c>
      <c r="L78" s="1"/>
      <c r="M78" s="4" t="str">
        <f t="shared" si="5"/>
        <v>$M(2015)</v>
      </c>
    </row>
    <row r="79" spans="1:13" x14ac:dyDescent="0.25">
      <c r="A79" t="str">
        <v>LA Economic</v>
      </c>
      <c r="B79" s="67">
        <f ca="1">'Adaptive costs A'!B79-'Adaptive costs B'!B79</f>
        <v>0</v>
      </c>
      <c r="C79" s="67">
        <f ca="1">'Adaptive costs A'!C79-'Adaptive costs B'!C79</f>
        <v>0</v>
      </c>
      <c r="D79" s="67">
        <f ca="1">'Adaptive costs A'!D79-'Adaptive costs B'!D79</f>
        <v>0</v>
      </c>
      <c r="E79" s="67">
        <f ca="1">'Adaptive costs A'!E79-'Adaptive costs B'!E79</f>
        <v>0</v>
      </c>
      <c r="F79" s="67">
        <f ca="1">'Adaptive costs A'!F79-'Adaptive costs B'!F79</f>
        <v>0</v>
      </c>
      <c r="G79" s="67">
        <f ca="1">'Adaptive costs A'!G79-'Adaptive costs B'!G79</f>
        <v>0</v>
      </c>
      <c r="H79" s="67">
        <f ca="1">'Adaptive costs A'!H79-'Adaptive costs B'!H79</f>
        <v>0</v>
      </c>
      <c r="I79" s="67">
        <f ca="1">'Adaptive costs A'!I79-'Adaptive costs B'!I79</f>
        <v>0</v>
      </c>
      <c r="J79" s="67">
        <f ca="1">'Adaptive costs A'!J79-'Adaptive costs B'!J79</f>
        <v>0</v>
      </c>
      <c r="K79" s="67">
        <f ca="1">'Adaptive costs A'!K79-'Adaptive costs B'!K79</f>
        <v>0</v>
      </c>
      <c r="L79" s="1"/>
      <c r="M79" s="4" t="str">
        <f t="shared" si="5"/>
        <v>$M(2015)</v>
      </c>
    </row>
    <row r="80" spans="1:13" ht="13.5" thickBot="1" x14ac:dyDescent="0.35">
      <c r="A80" s="2" t="str">
        <f>"Global "&amp;I_1_NAME</f>
        <v>Global Economic</v>
      </c>
      <c r="B80" s="73">
        <f ca="1">'Adaptive costs A'!B80-'Adaptive costs B'!B80</f>
        <v>0</v>
      </c>
      <c r="C80" s="73">
        <f ca="1">'Adaptive costs A'!C80-'Adaptive costs B'!C80</f>
        <v>0</v>
      </c>
      <c r="D80" s="73">
        <f ca="1">'Adaptive costs A'!D80-'Adaptive costs B'!D80</f>
        <v>0</v>
      </c>
      <c r="E80" s="73">
        <f ca="1">'Adaptive costs A'!E80-'Adaptive costs B'!E80</f>
        <v>0</v>
      </c>
      <c r="F80" s="73">
        <f ca="1">'Adaptive costs A'!F80-'Adaptive costs B'!F80</f>
        <v>0</v>
      </c>
      <c r="G80" s="73">
        <f ca="1">'Adaptive costs A'!G80-'Adaptive costs B'!G80</f>
        <v>0</v>
      </c>
      <c r="H80" s="73">
        <f ca="1">'Adaptive costs A'!H80-'Adaptive costs B'!H80</f>
        <v>0</v>
      </c>
      <c r="I80" s="73">
        <f ca="1">'Adaptive costs A'!I80-'Adaptive costs B'!I80</f>
        <v>0</v>
      </c>
      <c r="J80" s="73">
        <f ca="1">'Adaptive costs A'!J80-'Adaptive costs B'!J80</f>
        <v>0</v>
      </c>
      <c r="K80" s="73">
        <f ca="1">'Adaptive costs A'!K80-'Adaptive costs B'!K80</f>
        <v>0</v>
      </c>
      <c r="L80" s="1"/>
      <c r="M80" s="4" t="str">
        <f t="shared" si="5"/>
        <v>$M(2015)</v>
      </c>
    </row>
    <row r="81" spans="1:13" s="2" customFormat="1" ht="15.5" thickTop="1" x14ac:dyDescent="0.4">
      <c r="A81" s="2" t="s">
        <v>372</v>
      </c>
      <c r="B81" s="2" t="s">
        <v>379</v>
      </c>
    </row>
    <row r="82" spans="1:13" s="4" customFormat="1" x14ac:dyDescent="0.25">
      <c r="A82" t="str">
        <f t="array" ref="A82:A89">R_CODE&amp;" "&amp;I_2_NAME</f>
        <v>EU Non-econ</v>
      </c>
      <c r="B82" s="66">
        <f ca="1">'Adaptive costs A'!B82-'Adaptive costs B'!B82</f>
        <v>0</v>
      </c>
      <c r="C82" s="66">
        <f ca="1">'Adaptive costs A'!C82-'Adaptive costs B'!C82</f>
        <v>0</v>
      </c>
      <c r="D82" s="66">
        <f ca="1">'Adaptive costs A'!D82-'Adaptive costs B'!D82</f>
        <v>0</v>
      </c>
      <c r="E82" s="66">
        <f ca="1">'Adaptive costs A'!E82-'Adaptive costs B'!E82</f>
        <v>0</v>
      </c>
      <c r="F82" s="66">
        <f ca="1">'Adaptive costs A'!F82-'Adaptive costs B'!F82</f>
        <v>0</v>
      </c>
      <c r="G82" s="66">
        <f ca="1">'Adaptive costs A'!G82-'Adaptive costs B'!G82</f>
        <v>0</v>
      </c>
      <c r="H82" s="66">
        <f ca="1">'Adaptive costs A'!H82-'Adaptive costs B'!H82</f>
        <v>0</v>
      </c>
      <c r="I82" s="66">
        <f ca="1">'Adaptive costs A'!I82-'Adaptive costs B'!I82</f>
        <v>0</v>
      </c>
      <c r="J82" s="66">
        <f ca="1">'Adaptive costs A'!J82-'Adaptive costs B'!J82</f>
        <v>0</v>
      </c>
      <c r="K82" s="66">
        <f ca="1">'Adaptive costs A'!K82-'Adaptive costs B'!K82</f>
        <v>0</v>
      </c>
      <c r="M82" s="4" t="str">
        <f t="shared" ref="M82:M90" si="6">CURRENCY_NAME</f>
        <v>$M(2015)</v>
      </c>
    </row>
    <row r="83" spans="1:13" s="4" customFormat="1" x14ac:dyDescent="0.25">
      <c r="A83" t="str">
        <v>US Non-econ</v>
      </c>
      <c r="B83" s="67">
        <f ca="1">'Adaptive costs A'!B83-'Adaptive costs B'!B83</f>
        <v>0</v>
      </c>
      <c r="C83" s="67">
        <f ca="1">'Adaptive costs A'!C83-'Adaptive costs B'!C83</f>
        <v>0</v>
      </c>
      <c r="D83" s="67">
        <f ca="1">'Adaptive costs A'!D83-'Adaptive costs B'!D83</f>
        <v>0</v>
      </c>
      <c r="E83" s="67">
        <f ca="1">'Adaptive costs A'!E83-'Adaptive costs B'!E83</f>
        <v>0</v>
      </c>
      <c r="F83" s="67">
        <f ca="1">'Adaptive costs A'!F83-'Adaptive costs B'!F83</f>
        <v>0</v>
      </c>
      <c r="G83" s="67">
        <f ca="1">'Adaptive costs A'!G83-'Adaptive costs B'!G83</f>
        <v>0</v>
      </c>
      <c r="H83" s="67">
        <f ca="1">'Adaptive costs A'!H83-'Adaptive costs B'!H83</f>
        <v>0</v>
      </c>
      <c r="I83" s="67">
        <f ca="1">'Adaptive costs A'!I83-'Adaptive costs B'!I83</f>
        <v>0</v>
      </c>
      <c r="J83" s="67">
        <f ca="1">'Adaptive costs A'!J83-'Adaptive costs B'!J83</f>
        <v>0</v>
      </c>
      <c r="K83" s="67">
        <f ca="1">'Adaptive costs A'!K83-'Adaptive costs B'!K83</f>
        <v>0</v>
      </c>
      <c r="M83" s="4" t="str">
        <f t="shared" si="6"/>
        <v>$M(2015)</v>
      </c>
    </row>
    <row r="84" spans="1:13" s="4" customFormat="1" x14ac:dyDescent="0.25">
      <c r="A84" t="str">
        <v>OT Non-econ</v>
      </c>
      <c r="B84" s="67">
        <f ca="1">'Adaptive costs A'!B84-'Adaptive costs B'!B84</f>
        <v>0</v>
      </c>
      <c r="C84" s="67">
        <f ca="1">'Adaptive costs A'!C84-'Adaptive costs B'!C84</f>
        <v>0</v>
      </c>
      <c r="D84" s="67">
        <f ca="1">'Adaptive costs A'!D84-'Adaptive costs B'!D84</f>
        <v>0</v>
      </c>
      <c r="E84" s="67">
        <f ca="1">'Adaptive costs A'!E84-'Adaptive costs B'!E84</f>
        <v>0</v>
      </c>
      <c r="F84" s="67">
        <f ca="1">'Adaptive costs A'!F84-'Adaptive costs B'!F84</f>
        <v>0</v>
      </c>
      <c r="G84" s="67">
        <f ca="1">'Adaptive costs A'!G84-'Adaptive costs B'!G84</f>
        <v>0</v>
      </c>
      <c r="H84" s="67">
        <f ca="1">'Adaptive costs A'!H84-'Adaptive costs B'!H84</f>
        <v>0</v>
      </c>
      <c r="I84" s="67">
        <f ca="1">'Adaptive costs A'!I84-'Adaptive costs B'!I84</f>
        <v>0</v>
      </c>
      <c r="J84" s="67">
        <f ca="1">'Adaptive costs A'!J84-'Adaptive costs B'!J84</f>
        <v>0</v>
      </c>
      <c r="K84" s="67">
        <f ca="1">'Adaptive costs A'!K84-'Adaptive costs B'!K84</f>
        <v>0</v>
      </c>
      <c r="M84" s="4" t="str">
        <f t="shared" si="6"/>
        <v>$M(2015)</v>
      </c>
    </row>
    <row r="85" spans="1:13" s="4" customFormat="1" x14ac:dyDescent="0.25">
      <c r="A85" t="str">
        <v>EE Non-econ</v>
      </c>
      <c r="B85" s="67">
        <f ca="1">'Adaptive costs A'!B85-'Adaptive costs B'!B85</f>
        <v>0</v>
      </c>
      <c r="C85" s="67">
        <f ca="1">'Adaptive costs A'!C85-'Adaptive costs B'!C85</f>
        <v>0</v>
      </c>
      <c r="D85" s="67">
        <f ca="1">'Adaptive costs A'!D85-'Adaptive costs B'!D85</f>
        <v>0</v>
      </c>
      <c r="E85" s="67">
        <f ca="1">'Adaptive costs A'!E85-'Adaptive costs B'!E85</f>
        <v>0</v>
      </c>
      <c r="F85" s="67">
        <f ca="1">'Adaptive costs A'!F85-'Adaptive costs B'!F85</f>
        <v>0</v>
      </c>
      <c r="G85" s="67">
        <f ca="1">'Adaptive costs A'!G85-'Adaptive costs B'!G85</f>
        <v>0</v>
      </c>
      <c r="H85" s="67">
        <f ca="1">'Adaptive costs A'!H85-'Adaptive costs B'!H85</f>
        <v>0</v>
      </c>
      <c r="I85" s="67">
        <f ca="1">'Adaptive costs A'!I85-'Adaptive costs B'!I85</f>
        <v>0</v>
      </c>
      <c r="J85" s="67">
        <f ca="1">'Adaptive costs A'!J85-'Adaptive costs B'!J85</f>
        <v>0</v>
      </c>
      <c r="K85" s="67">
        <f ca="1">'Adaptive costs A'!K85-'Adaptive costs B'!K85</f>
        <v>0</v>
      </c>
      <c r="M85" s="4" t="str">
        <f t="shared" si="6"/>
        <v>$M(2015)</v>
      </c>
    </row>
    <row r="86" spans="1:13" s="4" customFormat="1" x14ac:dyDescent="0.25">
      <c r="A86" t="str">
        <v>CA Non-econ</v>
      </c>
      <c r="B86" s="67">
        <f ca="1">'Adaptive costs A'!B86-'Adaptive costs B'!B86</f>
        <v>0</v>
      </c>
      <c r="C86" s="67">
        <f ca="1">'Adaptive costs A'!C86-'Adaptive costs B'!C86</f>
        <v>0</v>
      </c>
      <c r="D86" s="67">
        <f ca="1">'Adaptive costs A'!D86-'Adaptive costs B'!D86</f>
        <v>0</v>
      </c>
      <c r="E86" s="67">
        <f ca="1">'Adaptive costs A'!E86-'Adaptive costs B'!E86</f>
        <v>0</v>
      </c>
      <c r="F86" s="67">
        <f ca="1">'Adaptive costs A'!F86-'Adaptive costs B'!F86</f>
        <v>0</v>
      </c>
      <c r="G86" s="67">
        <f ca="1">'Adaptive costs A'!G86-'Adaptive costs B'!G86</f>
        <v>0</v>
      </c>
      <c r="H86" s="67">
        <f ca="1">'Adaptive costs A'!H86-'Adaptive costs B'!H86</f>
        <v>0</v>
      </c>
      <c r="I86" s="67">
        <f ca="1">'Adaptive costs A'!I86-'Adaptive costs B'!I86</f>
        <v>0</v>
      </c>
      <c r="J86" s="67">
        <f ca="1">'Adaptive costs A'!J86-'Adaptive costs B'!J86</f>
        <v>0</v>
      </c>
      <c r="K86" s="67">
        <f ca="1">'Adaptive costs A'!K86-'Adaptive costs B'!K86</f>
        <v>0</v>
      </c>
      <c r="M86" s="4" t="str">
        <f t="shared" si="6"/>
        <v>$M(2015)</v>
      </c>
    </row>
    <row r="87" spans="1:13" s="4" customFormat="1" x14ac:dyDescent="0.25">
      <c r="A87" t="str">
        <v>IA Non-econ</v>
      </c>
      <c r="B87" s="67">
        <f ca="1">'Adaptive costs A'!B87-'Adaptive costs B'!B87</f>
        <v>0</v>
      </c>
      <c r="C87" s="67">
        <f ca="1">'Adaptive costs A'!C87-'Adaptive costs B'!C87</f>
        <v>0</v>
      </c>
      <c r="D87" s="67">
        <f ca="1">'Adaptive costs A'!D87-'Adaptive costs B'!D87</f>
        <v>0</v>
      </c>
      <c r="E87" s="67">
        <f ca="1">'Adaptive costs A'!E87-'Adaptive costs B'!E87</f>
        <v>0</v>
      </c>
      <c r="F87" s="67">
        <f ca="1">'Adaptive costs A'!F87-'Adaptive costs B'!F87</f>
        <v>0</v>
      </c>
      <c r="G87" s="67">
        <f ca="1">'Adaptive costs A'!G87-'Adaptive costs B'!G87</f>
        <v>0</v>
      </c>
      <c r="H87" s="67">
        <f ca="1">'Adaptive costs A'!H87-'Adaptive costs B'!H87</f>
        <v>0</v>
      </c>
      <c r="I87" s="67">
        <f ca="1">'Adaptive costs A'!I87-'Adaptive costs B'!I87</f>
        <v>0</v>
      </c>
      <c r="J87" s="67">
        <f ca="1">'Adaptive costs A'!J87-'Adaptive costs B'!J87</f>
        <v>0</v>
      </c>
      <c r="K87" s="67">
        <f ca="1">'Adaptive costs A'!K87-'Adaptive costs B'!K87</f>
        <v>0</v>
      </c>
      <c r="M87" s="4" t="str">
        <f t="shared" si="6"/>
        <v>$M(2015)</v>
      </c>
    </row>
    <row r="88" spans="1:13" s="4" customFormat="1" x14ac:dyDescent="0.25">
      <c r="A88" t="str">
        <v>AF Non-econ</v>
      </c>
      <c r="B88" s="67">
        <f ca="1">'Adaptive costs A'!B88-'Adaptive costs B'!B88</f>
        <v>0</v>
      </c>
      <c r="C88" s="67">
        <f ca="1">'Adaptive costs A'!C88-'Adaptive costs B'!C88</f>
        <v>0</v>
      </c>
      <c r="D88" s="67">
        <f ca="1">'Adaptive costs A'!D88-'Adaptive costs B'!D88</f>
        <v>0</v>
      </c>
      <c r="E88" s="67">
        <f ca="1">'Adaptive costs A'!E88-'Adaptive costs B'!E88</f>
        <v>0</v>
      </c>
      <c r="F88" s="67">
        <f ca="1">'Adaptive costs A'!F88-'Adaptive costs B'!F88</f>
        <v>0</v>
      </c>
      <c r="G88" s="67">
        <f ca="1">'Adaptive costs A'!G88-'Adaptive costs B'!G88</f>
        <v>0</v>
      </c>
      <c r="H88" s="67">
        <f ca="1">'Adaptive costs A'!H88-'Adaptive costs B'!H88</f>
        <v>0</v>
      </c>
      <c r="I88" s="67">
        <f ca="1">'Adaptive costs A'!I88-'Adaptive costs B'!I88</f>
        <v>0</v>
      </c>
      <c r="J88" s="67">
        <f ca="1">'Adaptive costs A'!J88-'Adaptive costs B'!J88</f>
        <v>0</v>
      </c>
      <c r="K88" s="67">
        <f ca="1">'Adaptive costs A'!K88-'Adaptive costs B'!K88</f>
        <v>0</v>
      </c>
      <c r="M88" s="4" t="str">
        <f t="shared" si="6"/>
        <v>$M(2015)</v>
      </c>
    </row>
    <row r="89" spans="1:13" s="4" customFormat="1" x14ac:dyDescent="0.25">
      <c r="A89" t="str">
        <v>LA Non-econ</v>
      </c>
      <c r="B89" s="67">
        <f ca="1">'Adaptive costs A'!B89-'Adaptive costs B'!B89</f>
        <v>0</v>
      </c>
      <c r="C89" s="67">
        <f ca="1">'Adaptive costs A'!C89-'Adaptive costs B'!C89</f>
        <v>0</v>
      </c>
      <c r="D89" s="67">
        <f ca="1">'Adaptive costs A'!D89-'Adaptive costs B'!D89</f>
        <v>0</v>
      </c>
      <c r="E89" s="67">
        <f ca="1">'Adaptive costs A'!E89-'Adaptive costs B'!E89</f>
        <v>0</v>
      </c>
      <c r="F89" s="67">
        <f ca="1">'Adaptive costs A'!F89-'Adaptive costs B'!F89</f>
        <v>0</v>
      </c>
      <c r="G89" s="67">
        <f ca="1">'Adaptive costs A'!G89-'Adaptive costs B'!G89</f>
        <v>0</v>
      </c>
      <c r="H89" s="67">
        <f ca="1">'Adaptive costs A'!H89-'Adaptive costs B'!H89</f>
        <v>0</v>
      </c>
      <c r="I89" s="67">
        <f ca="1">'Adaptive costs A'!I89-'Adaptive costs B'!I89</f>
        <v>0</v>
      </c>
      <c r="J89" s="67">
        <f ca="1">'Adaptive costs A'!J89-'Adaptive costs B'!J89</f>
        <v>0</v>
      </c>
      <c r="K89" s="67">
        <f ca="1">'Adaptive costs A'!K89-'Adaptive costs B'!K89</f>
        <v>0</v>
      </c>
      <c r="M89" s="4" t="str">
        <f t="shared" si="6"/>
        <v>$M(2015)</v>
      </c>
    </row>
    <row r="90" spans="1:13" ht="13.5" thickBot="1" x14ac:dyDescent="0.35">
      <c r="A90" s="2" t="str">
        <f>"Global "&amp;I_2_NAME</f>
        <v>Global Non-econ</v>
      </c>
      <c r="B90" s="73">
        <f ca="1">'Adaptive costs A'!B90-'Adaptive costs B'!B90</f>
        <v>0</v>
      </c>
      <c r="C90" s="73">
        <f ca="1">'Adaptive costs A'!C90-'Adaptive costs B'!C90</f>
        <v>0</v>
      </c>
      <c r="D90" s="73">
        <f ca="1">'Adaptive costs A'!D90-'Adaptive costs B'!D90</f>
        <v>0</v>
      </c>
      <c r="E90" s="73">
        <f ca="1">'Adaptive costs A'!E90-'Adaptive costs B'!E90</f>
        <v>0</v>
      </c>
      <c r="F90" s="73">
        <f ca="1">'Adaptive costs A'!F90-'Adaptive costs B'!F90</f>
        <v>0</v>
      </c>
      <c r="G90" s="73">
        <f ca="1">'Adaptive costs A'!G90-'Adaptive costs B'!G90</f>
        <v>0</v>
      </c>
      <c r="H90" s="73">
        <f ca="1">'Adaptive costs A'!H90-'Adaptive costs B'!H90</f>
        <v>0</v>
      </c>
      <c r="I90" s="73">
        <f ca="1">'Adaptive costs A'!I90-'Adaptive costs B'!I90</f>
        <v>0</v>
      </c>
      <c r="J90" s="73">
        <f ca="1">'Adaptive costs A'!J90-'Adaptive costs B'!J90</f>
        <v>0</v>
      </c>
      <c r="K90" s="73">
        <f ca="1">'Adaptive costs A'!K90-'Adaptive costs B'!K90</f>
        <v>0</v>
      </c>
      <c r="L90" s="1"/>
      <c r="M90" s="4" t="str">
        <f t="shared" si="6"/>
        <v>$M(2015)</v>
      </c>
    </row>
    <row r="91" spans="1:13" s="2" customFormat="1" ht="15.5" thickTop="1" x14ac:dyDescent="0.4">
      <c r="A91" s="2" t="s">
        <v>374</v>
      </c>
      <c r="B91" s="2" t="s">
        <v>380</v>
      </c>
    </row>
    <row r="92" spans="1:13" x14ac:dyDescent="0.25">
      <c r="A92" t="str">
        <f t="array" ref="A92:A99">R_CODE&amp;" "&amp;I_2_NAME</f>
        <v>EU Non-econ</v>
      </c>
      <c r="B92" s="66">
        <f ca="1">'Adaptive costs A'!B92-'Adaptive costs B'!B92</f>
        <v>0</v>
      </c>
      <c r="C92" s="66">
        <f ca="1">'Adaptive costs A'!C92-'Adaptive costs B'!C92</f>
        <v>0</v>
      </c>
      <c r="D92" s="66">
        <f ca="1">'Adaptive costs A'!D92-'Adaptive costs B'!D92</f>
        <v>0</v>
      </c>
      <c r="E92" s="66">
        <f ca="1">'Adaptive costs A'!E92-'Adaptive costs B'!E92</f>
        <v>0</v>
      </c>
      <c r="F92" s="66">
        <f ca="1">'Adaptive costs A'!F92-'Adaptive costs B'!F92</f>
        <v>0</v>
      </c>
      <c r="G92" s="66">
        <f ca="1">'Adaptive costs A'!G92-'Adaptive costs B'!G92</f>
        <v>0</v>
      </c>
      <c r="H92" s="66">
        <f ca="1">'Adaptive costs A'!H92-'Adaptive costs B'!H92</f>
        <v>0</v>
      </c>
      <c r="I92" s="66">
        <f ca="1">'Adaptive costs A'!I92-'Adaptive costs B'!I92</f>
        <v>0</v>
      </c>
      <c r="J92" s="66">
        <f ca="1">'Adaptive costs A'!J92-'Adaptive costs B'!J92</f>
        <v>0</v>
      </c>
      <c r="K92" s="66">
        <f ca="1">'Adaptive costs A'!K92-'Adaptive costs B'!K92</f>
        <v>0</v>
      </c>
      <c r="M92" s="4" t="str">
        <f t="shared" ref="M92:M100" si="7">CURRENCY_NAME</f>
        <v>$M(2015)</v>
      </c>
    </row>
    <row r="93" spans="1:13" x14ac:dyDescent="0.25">
      <c r="A93" t="str">
        <v>US Non-econ</v>
      </c>
      <c r="B93" s="67">
        <f ca="1">'Adaptive costs A'!B93-'Adaptive costs B'!B93</f>
        <v>0</v>
      </c>
      <c r="C93" s="67">
        <f ca="1">'Adaptive costs A'!C93-'Adaptive costs B'!C93</f>
        <v>0</v>
      </c>
      <c r="D93" s="67">
        <f ca="1">'Adaptive costs A'!D93-'Adaptive costs B'!D93</f>
        <v>0</v>
      </c>
      <c r="E93" s="67">
        <f ca="1">'Adaptive costs A'!E93-'Adaptive costs B'!E93</f>
        <v>0</v>
      </c>
      <c r="F93" s="67">
        <f ca="1">'Adaptive costs A'!F93-'Adaptive costs B'!F93</f>
        <v>0</v>
      </c>
      <c r="G93" s="67">
        <f ca="1">'Adaptive costs A'!G93-'Adaptive costs B'!G93</f>
        <v>0</v>
      </c>
      <c r="H93" s="67">
        <f ca="1">'Adaptive costs A'!H93-'Adaptive costs B'!H93</f>
        <v>0</v>
      </c>
      <c r="I93" s="67">
        <f ca="1">'Adaptive costs A'!I93-'Adaptive costs B'!I93</f>
        <v>0</v>
      </c>
      <c r="J93" s="67">
        <f ca="1">'Adaptive costs A'!J93-'Adaptive costs B'!J93</f>
        <v>0</v>
      </c>
      <c r="K93" s="67">
        <f ca="1">'Adaptive costs A'!K93-'Adaptive costs B'!K93</f>
        <v>0</v>
      </c>
      <c r="M93" s="4" t="str">
        <f t="shared" si="7"/>
        <v>$M(2015)</v>
      </c>
    </row>
    <row r="94" spans="1:13" x14ac:dyDescent="0.25">
      <c r="A94" t="str">
        <v>OT Non-econ</v>
      </c>
      <c r="B94" s="67">
        <f ca="1">'Adaptive costs A'!B94-'Adaptive costs B'!B94</f>
        <v>0</v>
      </c>
      <c r="C94" s="67">
        <f ca="1">'Adaptive costs A'!C94-'Adaptive costs B'!C94</f>
        <v>0</v>
      </c>
      <c r="D94" s="67">
        <f ca="1">'Adaptive costs A'!D94-'Adaptive costs B'!D94</f>
        <v>0</v>
      </c>
      <c r="E94" s="67">
        <f ca="1">'Adaptive costs A'!E94-'Adaptive costs B'!E94</f>
        <v>0</v>
      </c>
      <c r="F94" s="67">
        <f ca="1">'Adaptive costs A'!F94-'Adaptive costs B'!F94</f>
        <v>0</v>
      </c>
      <c r="G94" s="67">
        <f ca="1">'Adaptive costs A'!G94-'Adaptive costs B'!G94</f>
        <v>0</v>
      </c>
      <c r="H94" s="67">
        <f ca="1">'Adaptive costs A'!H94-'Adaptive costs B'!H94</f>
        <v>0</v>
      </c>
      <c r="I94" s="67">
        <f ca="1">'Adaptive costs A'!I94-'Adaptive costs B'!I94</f>
        <v>0</v>
      </c>
      <c r="J94" s="67">
        <f ca="1">'Adaptive costs A'!J94-'Adaptive costs B'!J94</f>
        <v>0</v>
      </c>
      <c r="K94" s="67">
        <f ca="1">'Adaptive costs A'!K94-'Adaptive costs B'!K94</f>
        <v>0</v>
      </c>
      <c r="M94" s="4" t="str">
        <f t="shared" si="7"/>
        <v>$M(2015)</v>
      </c>
    </row>
    <row r="95" spans="1:13" x14ac:dyDescent="0.25">
      <c r="A95" t="str">
        <v>EE Non-econ</v>
      </c>
      <c r="B95" s="67">
        <f ca="1">'Adaptive costs A'!B95-'Adaptive costs B'!B95</f>
        <v>0</v>
      </c>
      <c r="C95" s="67">
        <f ca="1">'Adaptive costs A'!C95-'Adaptive costs B'!C95</f>
        <v>0</v>
      </c>
      <c r="D95" s="67">
        <f ca="1">'Adaptive costs A'!D95-'Adaptive costs B'!D95</f>
        <v>0</v>
      </c>
      <c r="E95" s="67">
        <f ca="1">'Adaptive costs A'!E95-'Adaptive costs B'!E95</f>
        <v>0</v>
      </c>
      <c r="F95" s="67">
        <f ca="1">'Adaptive costs A'!F95-'Adaptive costs B'!F95</f>
        <v>0</v>
      </c>
      <c r="G95" s="67">
        <f ca="1">'Adaptive costs A'!G95-'Adaptive costs B'!G95</f>
        <v>0</v>
      </c>
      <c r="H95" s="67">
        <f ca="1">'Adaptive costs A'!H95-'Adaptive costs B'!H95</f>
        <v>0</v>
      </c>
      <c r="I95" s="67">
        <f ca="1">'Adaptive costs A'!I95-'Adaptive costs B'!I95</f>
        <v>0</v>
      </c>
      <c r="J95" s="67">
        <f ca="1">'Adaptive costs A'!J95-'Adaptive costs B'!J95</f>
        <v>0</v>
      </c>
      <c r="K95" s="67">
        <f ca="1">'Adaptive costs A'!K95-'Adaptive costs B'!K95</f>
        <v>0</v>
      </c>
      <c r="M95" s="4" t="str">
        <f t="shared" si="7"/>
        <v>$M(2015)</v>
      </c>
    </row>
    <row r="96" spans="1:13" x14ac:dyDescent="0.25">
      <c r="A96" t="str">
        <v>CA Non-econ</v>
      </c>
      <c r="B96" s="67">
        <f ca="1">'Adaptive costs A'!B96-'Adaptive costs B'!B96</f>
        <v>0</v>
      </c>
      <c r="C96" s="67">
        <f ca="1">'Adaptive costs A'!C96-'Adaptive costs B'!C96</f>
        <v>0</v>
      </c>
      <c r="D96" s="67">
        <f ca="1">'Adaptive costs A'!D96-'Adaptive costs B'!D96</f>
        <v>0</v>
      </c>
      <c r="E96" s="67">
        <f ca="1">'Adaptive costs A'!E96-'Adaptive costs B'!E96</f>
        <v>0</v>
      </c>
      <c r="F96" s="67">
        <f ca="1">'Adaptive costs A'!F96-'Adaptive costs B'!F96</f>
        <v>0</v>
      </c>
      <c r="G96" s="67">
        <f ca="1">'Adaptive costs A'!G96-'Adaptive costs B'!G96</f>
        <v>0</v>
      </c>
      <c r="H96" s="67">
        <f ca="1">'Adaptive costs A'!H96-'Adaptive costs B'!H96</f>
        <v>0</v>
      </c>
      <c r="I96" s="67">
        <f ca="1">'Adaptive costs A'!I96-'Adaptive costs B'!I96</f>
        <v>0</v>
      </c>
      <c r="J96" s="67">
        <f ca="1">'Adaptive costs A'!J96-'Adaptive costs B'!J96</f>
        <v>0</v>
      </c>
      <c r="K96" s="67">
        <f ca="1">'Adaptive costs A'!K96-'Adaptive costs B'!K96</f>
        <v>0</v>
      </c>
      <c r="M96" s="4" t="str">
        <f t="shared" si="7"/>
        <v>$M(2015)</v>
      </c>
    </row>
    <row r="97" spans="1:13" x14ac:dyDescent="0.25">
      <c r="A97" t="str">
        <v>IA Non-econ</v>
      </c>
      <c r="B97" s="67">
        <f ca="1">'Adaptive costs A'!B97-'Adaptive costs B'!B97</f>
        <v>0</v>
      </c>
      <c r="C97" s="67">
        <f ca="1">'Adaptive costs A'!C97-'Adaptive costs B'!C97</f>
        <v>0</v>
      </c>
      <c r="D97" s="67">
        <f ca="1">'Adaptive costs A'!D97-'Adaptive costs B'!D97</f>
        <v>0</v>
      </c>
      <c r="E97" s="67">
        <f ca="1">'Adaptive costs A'!E97-'Adaptive costs B'!E97</f>
        <v>0</v>
      </c>
      <c r="F97" s="67">
        <f ca="1">'Adaptive costs A'!F97-'Adaptive costs B'!F97</f>
        <v>0</v>
      </c>
      <c r="G97" s="67">
        <f ca="1">'Adaptive costs A'!G97-'Adaptive costs B'!G97</f>
        <v>0</v>
      </c>
      <c r="H97" s="67">
        <f ca="1">'Adaptive costs A'!H97-'Adaptive costs B'!H97</f>
        <v>0</v>
      </c>
      <c r="I97" s="67">
        <f ca="1">'Adaptive costs A'!I97-'Adaptive costs B'!I97</f>
        <v>0</v>
      </c>
      <c r="J97" s="67">
        <f ca="1">'Adaptive costs A'!J97-'Adaptive costs B'!J97</f>
        <v>0</v>
      </c>
      <c r="K97" s="67">
        <f ca="1">'Adaptive costs A'!K97-'Adaptive costs B'!K97</f>
        <v>0</v>
      </c>
      <c r="M97" s="4" t="str">
        <f t="shared" si="7"/>
        <v>$M(2015)</v>
      </c>
    </row>
    <row r="98" spans="1:13" x14ac:dyDescent="0.25">
      <c r="A98" t="str">
        <v>AF Non-econ</v>
      </c>
      <c r="B98" s="67">
        <f ca="1">'Adaptive costs A'!B98-'Adaptive costs B'!B98</f>
        <v>0</v>
      </c>
      <c r="C98" s="67">
        <f ca="1">'Adaptive costs A'!C98-'Adaptive costs B'!C98</f>
        <v>0</v>
      </c>
      <c r="D98" s="67">
        <f ca="1">'Adaptive costs A'!D98-'Adaptive costs B'!D98</f>
        <v>0</v>
      </c>
      <c r="E98" s="67">
        <f ca="1">'Adaptive costs A'!E98-'Adaptive costs B'!E98</f>
        <v>0</v>
      </c>
      <c r="F98" s="67">
        <f ca="1">'Adaptive costs A'!F98-'Adaptive costs B'!F98</f>
        <v>0</v>
      </c>
      <c r="G98" s="67">
        <f ca="1">'Adaptive costs A'!G98-'Adaptive costs B'!G98</f>
        <v>0</v>
      </c>
      <c r="H98" s="67">
        <f ca="1">'Adaptive costs A'!H98-'Adaptive costs B'!H98</f>
        <v>0</v>
      </c>
      <c r="I98" s="67">
        <f ca="1">'Adaptive costs A'!I98-'Adaptive costs B'!I98</f>
        <v>0</v>
      </c>
      <c r="J98" s="67">
        <f ca="1">'Adaptive costs A'!J98-'Adaptive costs B'!J98</f>
        <v>0</v>
      </c>
      <c r="K98" s="67">
        <f ca="1">'Adaptive costs A'!K98-'Adaptive costs B'!K98</f>
        <v>0</v>
      </c>
      <c r="M98" s="4" t="str">
        <f t="shared" si="7"/>
        <v>$M(2015)</v>
      </c>
    </row>
    <row r="99" spans="1:13" x14ac:dyDescent="0.25">
      <c r="A99" t="str">
        <v>LA Non-econ</v>
      </c>
      <c r="B99" s="67">
        <f ca="1">'Adaptive costs A'!B99-'Adaptive costs B'!B99</f>
        <v>0</v>
      </c>
      <c r="C99" s="67">
        <f ca="1">'Adaptive costs A'!C99-'Adaptive costs B'!C99</f>
        <v>0</v>
      </c>
      <c r="D99" s="67">
        <f ca="1">'Adaptive costs A'!D99-'Adaptive costs B'!D99</f>
        <v>0</v>
      </c>
      <c r="E99" s="67">
        <f ca="1">'Adaptive costs A'!E99-'Adaptive costs B'!E99</f>
        <v>0</v>
      </c>
      <c r="F99" s="67">
        <f ca="1">'Adaptive costs A'!F99-'Adaptive costs B'!F99</f>
        <v>0</v>
      </c>
      <c r="G99" s="67">
        <f ca="1">'Adaptive costs A'!G99-'Adaptive costs B'!G99</f>
        <v>0</v>
      </c>
      <c r="H99" s="67">
        <f ca="1">'Adaptive costs A'!H99-'Adaptive costs B'!H99</f>
        <v>0</v>
      </c>
      <c r="I99" s="67">
        <f ca="1">'Adaptive costs A'!I99-'Adaptive costs B'!I99</f>
        <v>0</v>
      </c>
      <c r="J99" s="67">
        <f ca="1">'Adaptive costs A'!J99-'Adaptive costs B'!J99</f>
        <v>0</v>
      </c>
      <c r="K99" s="67">
        <f ca="1">'Adaptive costs A'!K99-'Adaptive costs B'!K99</f>
        <v>0</v>
      </c>
      <c r="M99" s="4" t="str">
        <f t="shared" si="7"/>
        <v>$M(2015)</v>
      </c>
    </row>
    <row r="100" spans="1:13" ht="13.5" thickBot="1" x14ac:dyDescent="0.35">
      <c r="A100" s="2" t="str">
        <f>"Global "&amp;I_2_NAME</f>
        <v>Global Non-econ</v>
      </c>
      <c r="B100" s="73">
        <f ca="1">'Adaptive costs A'!B100-'Adaptive costs B'!B100</f>
        <v>0</v>
      </c>
      <c r="C100" s="73">
        <f ca="1">'Adaptive costs A'!C100-'Adaptive costs B'!C100</f>
        <v>0</v>
      </c>
      <c r="D100" s="73">
        <f ca="1">'Adaptive costs A'!D100-'Adaptive costs B'!D100</f>
        <v>0</v>
      </c>
      <c r="E100" s="73">
        <f ca="1">'Adaptive costs A'!E100-'Adaptive costs B'!E100</f>
        <v>0</v>
      </c>
      <c r="F100" s="73">
        <f ca="1">'Adaptive costs A'!F100-'Adaptive costs B'!F100</f>
        <v>0</v>
      </c>
      <c r="G100" s="73">
        <f ca="1">'Adaptive costs A'!G100-'Adaptive costs B'!G100</f>
        <v>0</v>
      </c>
      <c r="H100" s="73">
        <f ca="1">'Adaptive costs A'!H100-'Adaptive costs B'!H100</f>
        <v>0</v>
      </c>
      <c r="I100" s="73">
        <f ca="1">'Adaptive costs A'!I100-'Adaptive costs B'!I100</f>
        <v>0</v>
      </c>
      <c r="J100" s="73">
        <f ca="1">'Adaptive costs A'!J100-'Adaptive costs B'!J100</f>
        <v>0</v>
      </c>
      <c r="K100" s="73">
        <f ca="1">'Adaptive costs A'!K100-'Adaptive costs B'!K100</f>
        <v>0</v>
      </c>
      <c r="L100" s="1"/>
      <c r="M100" s="4" t="str">
        <f t="shared" si="7"/>
        <v>$M(2015)</v>
      </c>
    </row>
    <row r="101" spans="1:13" ht="15.5" thickTop="1" x14ac:dyDescent="0.4">
      <c r="A101" s="44" t="s">
        <v>112</v>
      </c>
      <c r="B101" s="2" t="s">
        <v>96</v>
      </c>
      <c r="C101" s="1"/>
      <c r="D101" s="1"/>
      <c r="E101" s="1"/>
      <c r="F101" s="1"/>
      <c r="G101" s="1"/>
      <c r="H101" s="1"/>
      <c r="I101" s="1"/>
      <c r="J101" s="1"/>
      <c r="K101" s="1"/>
      <c r="L101" s="1"/>
      <c r="M101" s="1"/>
    </row>
    <row r="102" spans="1:13" x14ac:dyDescent="0.25">
      <c r="A102" t="str">
        <f t="array" ref="A102:A109">R_CODE&amp;" "&amp;I_2_NAME</f>
        <v>EU Non-econ</v>
      </c>
      <c r="B102" s="66">
        <f ca="1">'Adaptive costs A'!B102-'Adaptive costs B'!B102</f>
        <v>0</v>
      </c>
      <c r="C102" s="66">
        <f ca="1">'Adaptive costs A'!C102-'Adaptive costs B'!C102</f>
        <v>0</v>
      </c>
      <c r="D102" s="66">
        <f ca="1">'Adaptive costs A'!D102-'Adaptive costs B'!D102</f>
        <v>0</v>
      </c>
      <c r="E102" s="66">
        <f ca="1">'Adaptive costs A'!E102-'Adaptive costs B'!E102</f>
        <v>0</v>
      </c>
      <c r="F102" s="66">
        <f ca="1">'Adaptive costs A'!F102-'Adaptive costs B'!F102</f>
        <v>0</v>
      </c>
      <c r="G102" s="66">
        <f ca="1">'Adaptive costs A'!G102-'Adaptive costs B'!G102</f>
        <v>0</v>
      </c>
      <c r="H102" s="66">
        <f ca="1">'Adaptive costs A'!H102-'Adaptive costs B'!H102</f>
        <v>0</v>
      </c>
      <c r="I102" s="66">
        <f ca="1">'Adaptive costs A'!I102-'Adaptive costs B'!I102</f>
        <v>0</v>
      </c>
      <c r="J102" s="66">
        <f ca="1">'Adaptive costs A'!J102-'Adaptive costs B'!J102</f>
        <v>0</v>
      </c>
      <c r="K102" s="66">
        <f ca="1">'Adaptive costs A'!K102-'Adaptive costs B'!K102</f>
        <v>0</v>
      </c>
      <c r="L102" s="1"/>
      <c r="M102" s="4" t="str">
        <f t="shared" ref="M102:M110" si="8">CURRENCY_NAME</f>
        <v>$M(2015)</v>
      </c>
    </row>
    <row r="103" spans="1:13" x14ac:dyDescent="0.25">
      <c r="A103" t="str">
        <v>US Non-econ</v>
      </c>
      <c r="B103" s="67">
        <f ca="1">'Adaptive costs A'!B103-'Adaptive costs B'!B103</f>
        <v>0</v>
      </c>
      <c r="C103" s="67">
        <f ca="1">'Adaptive costs A'!C103-'Adaptive costs B'!C103</f>
        <v>0</v>
      </c>
      <c r="D103" s="67">
        <f ca="1">'Adaptive costs A'!D103-'Adaptive costs B'!D103</f>
        <v>0</v>
      </c>
      <c r="E103" s="67">
        <f ca="1">'Adaptive costs A'!E103-'Adaptive costs B'!E103</f>
        <v>0</v>
      </c>
      <c r="F103" s="67">
        <f ca="1">'Adaptive costs A'!F103-'Adaptive costs B'!F103</f>
        <v>0</v>
      </c>
      <c r="G103" s="67">
        <f ca="1">'Adaptive costs A'!G103-'Adaptive costs B'!G103</f>
        <v>0</v>
      </c>
      <c r="H103" s="67">
        <f ca="1">'Adaptive costs A'!H103-'Adaptive costs B'!H103</f>
        <v>0</v>
      </c>
      <c r="I103" s="67">
        <f ca="1">'Adaptive costs A'!I103-'Adaptive costs B'!I103</f>
        <v>0</v>
      </c>
      <c r="J103" s="67">
        <f ca="1">'Adaptive costs A'!J103-'Adaptive costs B'!J103</f>
        <v>0</v>
      </c>
      <c r="K103" s="67">
        <f ca="1">'Adaptive costs A'!K103-'Adaptive costs B'!K103</f>
        <v>0</v>
      </c>
      <c r="L103" s="1"/>
      <c r="M103" s="4" t="str">
        <f t="shared" si="8"/>
        <v>$M(2015)</v>
      </c>
    </row>
    <row r="104" spans="1:13" x14ac:dyDescent="0.25">
      <c r="A104" t="str">
        <v>OT Non-econ</v>
      </c>
      <c r="B104" s="67">
        <f ca="1">'Adaptive costs A'!B104-'Adaptive costs B'!B104</f>
        <v>0</v>
      </c>
      <c r="C104" s="67">
        <f ca="1">'Adaptive costs A'!C104-'Adaptive costs B'!C104</f>
        <v>0</v>
      </c>
      <c r="D104" s="67">
        <f ca="1">'Adaptive costs A'!D104-'Adaptive costs B'!D104</f>
        <v>0</v>
      </c>
      <c r="E104" s="67">
        <f ca="1">'Adaptive costs A'!E104-'Adaptive costs B'!E104</f>
        <v>0</v>
      </c>
      <c r="F104" s="67">
        <f ca="1">'Adaptive costs A'!F104-'Adaptive costs B'!F104</f>
        <v>0</v>
      </c>
      <c r="G104" s="67">
        <f ca="1">'Adaptive costs A'!G104-'Adaptive costs B'!G104</f>
        <v>0</v>
      </c>
      <c r="H104" s="67">
        <f ca="1">'Adaptive costs A'!H104-'Adaptive costs B'!H104</f>
        <v>0</v>
      </c>
      <c r="I104" s="67">
        <f ca="1">'Adaptive costs A'!I104-'Adaptive costs B'!I104</f>
        <v>0</v>
      </c>
      <c r="J104" s="67">
        <f ca="1">'Adaptive costs A'!J104-'Adaptive costs B'!J104</f>
        <v>0</v>
      </c>
      <c r="K104" s="67">
        <f ca="1">'Adaptive costs A'!K104-'Adaptive costs B'!K104</f>
        <v>0</v>
      </c>
      <c r="L104" s="1"/>
      <c r="M104" s="4" t="str">
        <f t="shared" si="8"/>
        <v>$M(2015)</v>
      </c>
    </row>
    <row r="105" spans="1:13" x14ac:dyDescent="0.25">
      <c r="A105" t="str">
        <v>EE Non-econ</v>
      </c>
      <c r="B105" s="67">
        <f ca="1">'Adaptive costs A'!B105-'Adaptive costs B'!B105</f>
        <v>0</v>
      </c>
      <c r="C105" s="67">
        <f ca="1">'Adaptive costs A'!C105-'Adaptive costs B'!C105</f>
        <v>0</v>
      </c>
      <c r="D105" s="67">
        <f ca="1">'Adaptive costs A'!D105-'Adaptive costs B'!D105</f>
        <v>0</v>
      </c>
      <c r="E105" s="67">
        <f ca="1">'Adaptive costs A'!E105-'Adaptive costs B'!E105</f>
        <v>0</v>
      </c>
      <c r="F105" s="67">
        <f ca="1">'Adaptive costs A'!F105-'Adaptive costs B'!F105</f>
        <v>0</v>
      </c>
      <c r="G105" s="67">
        <f ca="1">'Adaptive costs A'!G105-'Adaptive costs B'!G105</f>
        <v>0</v>
      </c>
      <c r="H105" s="67">
        <f ca="1">'Adaptive costs A'!H105-'Adaptive costs B'!H105</f>
        <v>0</v>
      </c>
      <c r="I105" s="67">
        <f ca="1">'Adaptive costs A'!I105-'Adaptive costs B'!I105</f>
        <v>0</v>
      </c>
      <c r="J105" s="67">
        <f ca="1">'Adaptive costs A'!J105-'Adaptive costs B'!J105</f>
        <v>0</v>
      </c>
      <c r="K105" s="67">
        <f ca="1">'Adaptive costs A'!K105-'Adaptive costs B'!K105</f>
        <v>0</v>
      </c>
      <c r="L105" s="1"/>
      <c r="M105" s="4" t="str">
        <f t="shared" si="8"/>
        <v>$M(2015)</v>
      </c>
    </row>
    <row r="106" spans="1:13" x14ac:dyDescent="0.25">
      <c r="A106" t="str">
        <v>CA Non-econ</v>
      </c>
      <c r="B106" s="67">
        <f ca="1">'Adaptive costs A'!B106-'Adaptive costs B'!B106</f>
        <v>0</v>
      </c>
      <c r="C106" s="67">
        <f ca="1">'Adaptive costs A'!C106-'Adaptive costs B'!C106</f>
        <v>0</v>
      </c>
      <c r="D106" s="67">
        <f ca="1">'Adaptive costs A'!D106-'Adaptive costs B'!D106</f>
        <v>0</v>
      </c>
      <c r="E106" s="67">
        <f ca="1">'Adaptive costs A'!E106-'Adaptive costs B'!E106</f>
        <v>0</v>
      </c>
      <c r="F106" s="67">
        <f ca="1">'Adaptive costs A'!F106-'Adaptive costs B'!F106</f>
        <v>0</v>
      </c>
      <c r="G106" s="67">
        <f ca="1">'Adaptive costs A'!G106-'Adaptive costs B'!G106</f>
        <v>0</v>
      </c>
      <c r="H106" s="67">
        <f ca="1">'Adaptive costs A'!H106-'Adaptive costs B'!H106</f>
        <v>0</v>
      </c>
      <c r="I106" s="67">
        <f ca="1">'Adaptive costs A'!I106-'Adaptive costs B'!I106</f>
        <v>0</v>
      </c>
      <c r="J106" s="67">
        <f ca="1">'Adaptive costs A'!J106-'Adaptive costs B'!J106</f>
        <v>0</v>
      </c>
      <c r="K106" s="67">
        <f ca="1">'Adaptive costs A'!K106-'Adaptive costs B'!K106</f>
        <v>0</v>
      </c>
      <c r="L106" s="1"/>
      <c r="M106" s="4" t="str">
        <f t="shared" si="8"/>
        <v>$M(2015)</v>
      </c>
    </row>
    <row r="107" spans="1:13" x14ac:dyDescent="0.25">
      <c r="A107" t="str">
        <v>IA Non-econ</v>
      </c>
      <c r="B107" s="67">
        <f ca="1">'Adaptive costs A'!B107-'Adaptive costs B'!B107</f>
        <v>0</v>
      </c>
      <c r="C107" s="67">
        <f ca="1">'Adaptive costs A'!C107-'Adaptive costs B'!C107</f>
        <v>0</v>
      </c>
      <c r="D107" s="67">
        <f ca="1">'Adaptive costs A'!D107-'Adaptive costs B'!D107</f>
        <v>0</v>
      </c>
      <c r="E107" s="67">
        <f ca="1">'Adaptive costs A'!E107-'Adaptive costs B'!E107</f>
        <v>0</v>
      </c>
      <c r="F107" s="67">
        <f ca="1">'Adaptive costs A'!F107-'Adaptive costs B'!F107</f>
        <v>0</v>
      </c>
      <c r="G107" s="67">
        <f ca="1">'Adaptive costs A'!G107-'Adaptive costs B'!G107</f>
        <v>0</v>
      </c>
      <c r="H107" s="67">
        <f ca="1">'Adaptive costs A'!H107-'Adaptive costs B'!H107</f>
        <v>0</v>
      </c>
      <c r="I107" s="67">
        <f ca="1">'Adaptive costs A'!I107-'Adaptive costs B'!I107</f>
        <v>0</v>
      </c>
      <c r="J107" s="67">
        <f ca="1">'Adaptive costs A'!J107-'Adaptive costs B'!J107</f>
        <v>0</v>
      </c>
      <c r="K107" s="67">
        <f ca="1">'Adaptive costs A'!K107-'Adaptive costs B'!K107</f>
        <v>0</v>
      </c>
      <c r="L107" s="1"/>
      <c r="M107" s="4" t="str">
        <f t="shared" si="8"/>
        <v>$M(2015)</v>
      </c>
    </row>
    <row r="108" spans="1:13" x14ac:dyDescent="0.25">
      <c r="A108" t="str">
        <v>AF Non-econ</v>
      </c>
      <c r="B108" s="67">
        <f ca="1">'Adaptive costs A'!B108-'Adaptive costs B'!B108</f>
        <v>0</v>
      </c>
      <c r="C108" s="67">
        <f ca="1">'Adaptive costs A'!C108-'Adaptive costs B'!C108</f>
        <v>0</v>
      </c>
      <c r="D108" s="67">
        <f ca="1">'Adaptive costs A'!D108-'Adaptive costs B'!D108</f>
        <v>0</v>
      </c>
      <c r="E108" s="67">
        <f ca="1">'Adaptive costs A'!E108-'Adaptive costs B'!E108</f>
        <v>0</v>
      </c>
      <c r="F108" s="67">
        <f ca="1">'Adaptive costs A'!F108-'Adaptive costs B'!F108</f>
        <v>0</v>
      </c>
      <c r="G108" s="67">
        <f ca="1">'Adaptive costs A'!G108-'Adaptive costs B'!G108</f>
        <v>0</v>
      </c>
      <c r="H108" s="67">
        <f ca="1">'Adaptive costs A'!H108-'Adaptive costs B'!H108</f>
        <v>0</v>
      </c>
      <c r="I108" s="67">
        <f ca="1">'Adaptive costs A'!I108-'Adaptive costs B'!I108</f>
        <v>0</v>
      </c>
      <c r="J108" s="67">
        <f ca="1">'Adaptive costs A'!J108-'Adaptive costs B'!J108</f>
        <v>0</v>
      </c>
      <c r="K108" s="67">
        <f ca="1">'Adaptive costs A'!K108-'Adaptive costs B'!K108</f>
        <v>0</v>
      </c>
      <c r="L108" s="1"/>
      <c r="M108" s="4" t="str">
        <f t="shared" si="8"/>
        <v>$M(2015)</v>
      </c>
    </row>
    <row r="109" spans="1:13" x14ac:dyDescent="0.25">
      <c r="A109" t="str">
        <v>LA Non-econ</v>
      </c>
      <c r="B109" s="67">
        <f ca="1">'Adaptive costs A'!B109-'Adaptive costs B'!B109</f>
        <v>0</v>
      </c>
      <c r="C109" s="67">
        <f ca="1">'Adaptive costs A'!C109-'Adaptive costs B'!C109</f>
        <v>0</v>
      </c>
      <c r="D109" s="67">
        <f ca="1">'Adaptive costs A'!D109-'Adaptive costs B'!D109</f>
        <v>0</v>
      </c>
      <c r="E109" s="67">
        <f ca="1">'Adaptive costs A'!E109-'Adaptive costs B'!E109</f>
        <v>0</v>
      </c>
      <c r="F109" s="67">
        <f ca="1">'Adaptive costs A'!F109-'Adaptive costs B'!F109</f>
        <v>0</v>
      </c>
      <c r="G109" s="67">
        <f ca="1">'Adaptive costs A'!G109-'Adaptive costs B'!G109</f>
        <v>0</v>
      </c>
      <c r="H109" s="67">
        <f ca="1">'Adaptive costs A'!H109-'Adaptive costs B'!H109</f>
        <v>0</v>
      </c>
      <c r="I109" s="67">
        <f ca="1">'Adaptive costs A'!I109-'Adaptive costs B'!I109</f>
        <v>0</v>
      </c>
      <c r="J109" s="67">
        <f ca="1">'Adaptive costs A'!J109-'Adaptive costs B'!J109</f>
        <v>0</v>
      </c>
      <c r="K109" s="67">
        <f ca="1">'Adaptive costs A'!K109-'Adaptive costs B'!K109</f>
        <v>0</v>
      </c>
      <c r="L109" s="1"/>
      <c r="M109" s="4" t="str">
        <f t="shared" si="8"/>
        <v>$M(2015)</v>
      </c>
    </row>
    <row r="110" spans="1:13" ht="13.5" thickBot="1" x14ac:dyDescent="0.35">
      <c r="A110" s="2" t="str">
        <f>"Global "&amp;I_2_NAME</f>
        <v>Global Non-econ</v>
      </c>
      <c r="B110" s="73">
        <f ca="1">'Adaptive costs A'!B110-'Adaptive costs B'!B110</f>
        <v>0</v>
      </c>
      <c r="C110" s="73">
        <f ca="1">'Adaptive costs A'!C110-'Adaptive costs B'!C110</f>
        <v>0</v>
      </c>
      <c r="D110" s="73">
        <f ca="1">'Adaptive costs A'!D110-'Adaptive costs B'!D110</f>
        <v>0</v>
      </c>
      <c r="E110" s="73">
        <f ca="1">'Adaptive costs A'!E110-'Adaptive costs B'!E110</f>
        <v>0</v>
      </c>
      <c r="F110" s="73">
        <f ca="1">'Adaptive costs A'!F110-'Adaptive costs B'!F110</f>
        <v>0</v>
      </c>
      <c r="G110" s="73">
        <f ca="1">'Adaptive costs A'!G110-'Adaptive costs B'!G110</f>
        <v>0</v>
      </c>
      <c r="H110" s="73">
        <f ca="1">'Adaptive costs A'!H110-'Adaptive costs B'!H110</f>
        <v>0</v>
      </c>
      <c r="I110" s="73">
        <f ca="1">'Adaptive costs A'!I110-'Adaptive costs B'!I110</f>
        <v>0</v>
      </c>
      <c r="J110" s="73">
        <f ca="1">'Adaptive costs A'!J110-'Adaptive costs B'!J110</f>
        <v>0</v>
      </c>
      <c r="K110" s="73">
        <f ca="1">'Adaptive costs A'!K110-'Adaptive costs B'!K110</f>
        <v>0</v>
      </c>
      <c r="L110" s="1"/>
      <c r="M110" s="4" t="str">
        <f t="shared" si="8"/>
        <v>$M(2015)</v>
      </c>
    </row>
    <row r="111" spans="1:13" ht="15.5" thickTop="1" x14ac:dyDescent="0.4">
      <c r="A111" s="44" t="s">
        <v>109</v>
      </c>
      <c r="B111" s="2" t="s">
        <v>382</v>
      </c>
      <c r="C111" s="1"/>
      <c r="D111" s="1"/>
      <c r="E111" s="1"/>
      <c r="F111" s="1"/>
      <c r="G111" s="1"/>
      <c r="H111" s="1"/>
      <c r="I111" s="1"/>
      <c r="J111" s="1"/>
      <c r="K111" s="1"/>
      <c r="L111" s="1"/>
      <c r="M111" s="1"/>
    </row>
    <row r="112" spans="1:13" x14ac:dyDescent="0.25">
      <c r="A112" t="str">
        <f t="array" ref="A112:A119">R_CODE</f>
        <v>EU</v>
      </c>
      <c r="B112" s="66">
        <f ca="1">'Adaptive costs A'!B112-'Adaptive costs B'!B112</f>
        <v>0</v>
      </c>
      <c r="C112" s="66">
        <f ca="1">'Adaptive costs A'!C112-'Adaptive costs B'!C112</f>
        <v>0</v>
      </c>
      <c r="D112" s="66">
        <f ca="1">'Adaptive costs A'!D112-'Adaptive costs B'!D112</f>
        <v>0</v>
      </c>
      <c r="E112" s="66">
        <f ca="1">'Adaptive costs A'!E112-'Adaptive costs B'!E112</f>
        <v>0</v>
      </c>
      <c r="F112" s="66">
        <f ca="1">'Adaptive costs A'!F112-'Adaptive costs B'!F112</f>
        <v>0</v>
      </c>
      <c r="G112" s="66">
        <f ca="1">'Adaptive costs A'!G112-'Adaptive costs B'!G112</f>
        <v>0</v>
      </c>
      <c r="H112" s="66">
        <f ca="1">'Adaptive costs A'!H112-'Adaptive costs B'!H112</f>
        <v>0</v>
      </c>
      <c r="I112" s="66">
        <f ca="1">'Adaptive costs A'!I112-'Adaptive costs B'!I112</f>
        <v>0</v>
      </c>
      <c r="J112" s="66">
        <f ca="1">'Adaptive costs A'!J112-'Adaptive costs B'!J112</f>
        <v>0</v>
      </c>
      <c r="K112" s="66">
        <f ca="1">'Adaptive costs A'!K112-'Adaptive costs B'!K112</f>
        <v>0</v>
      </c>
      <c r="L112" s="1"/>
      <c r="M112" s="4" t="str">
        <f t="shared" ref="M112:M120" si="9">CURRENCY_NAME</f>
        <v>$M(2015)</v>
      </c>
    </row>
    <row r="113" spans="1:13" x14ac:dyDescent="0.25">
      <c r="A113" t="str">
        <v>US</v>
      </c>
      <c r="B113" s="67">
        <f ca="1">'Adaptive costs A'!B113-'Adaptive costs B'!B113</f>
        <v>0</v>
      </c>
      <c r="C113" s="67">
        <f ca="1">'Adaptive costs A'!C113-'Adaptive costs B'!C113</f>
        <v>0</v>
      </c>
      <c r="D113" s="67">
        <f ca="1">'Adaptive costs A'!D113-'Adaptive costs B'!D113</f>
        <v>0</v>
      </c>
      <c r="E113" s="67">
        <f ca="1">'Adaptive costs A'!E113-'Adaptive costs B'!E113</f>
        <v>0</v>
      </c>
      <c r="F113" s="67">
        <f ca="1">'Adaptive costs A'!F113-'Adaptive costs B'!F113</f>
        <v>0</v>
      </c>
      <c r="G113" s="67">
        <f ca="1">'Adaptive costs A'!G113-'Adaptive costs B'!G113</f>
        <v>0</v>
      </c>
      <c r="H113" s="67">
        <f ca="1">'Adaptive costs A'!H113-'Adaptive costs B'!H113</f>
        <v>0</v>
      </c>
      <c r="I113" s="67">
        <f ca="1">'Adaptive costs A'!I113-'Adaptive costs B'!I113</f>
        <v>0</v>
      </c>
      <c r="J113" s="67">
        <f ca="1">'Adaptive costs A'!J113-'Adaptive costs B'!J113</f>
        <v>0</v>
      </c>
      <c r="K113" s="67">
        <f ca="1">'Adaptive costs A'!K113-'Adaptive costs B'!K113</f>
        <v>0</v>
      </c>
      <c r="L113" s="1"/>
      <c r="M113" s="4" t="str">
        <f t="shared" si="9"/>
        <v>$M(2015)</v>
      </c>
    </row>
    <row r="114" spans="1:13" x14ac:dyDescent="0.25">
      <c r="A114" t="str">
        <v>OT</v>
      </c>
      <c r="B114" s="67">
        <f ca="1">'Adaptive costs A'!B114-'Adaptive costs B'!B114</f>
        <v>0</v>
      </c>
      <c r="C114" s="67">
        <f ca="1">'Adaptive costs A'!C114-'Adaptive costs B'!C114</f>
        <v>0</v>
      </c>
      <c r="D114" s="67">
        <f ca="1">'Adaptive costs A'!D114-'Adaptive costs B'!D114</f>
        <v>0</v>
      </c>
      <c r="E114" s="67">
        <f ca="1">'Adaptive costs A'!E114-'Adaptive costs B'!E114</f>
        <v>0</v>
      </c>
      <c r="F114" s="67">
        <f ca="1">'Adaptive costs A'!F114-'Adaptive costs B'!F114</f>
        <v>0</v>
      </c>
      <c r="G114" s="67">
        <f ca="1">'Adaptive costs A'!G114-'Adaptive costs B'!G114</f>
        <v>0</v>
      </c>
      <c r="H114" s="67">
        <f ca="1">'Adaptive costs A'!H114-'Adaptive costs B'!H114</f>
        <v>0</v>
      </c>
      <c r="I114" s="67">
        <f ca="1">'Adaptive costs A'!I114-'Adaptive costs B'!I114</f>
        <v>0</v>
      </c>
      <c r="J114" s="67">
        <f ca="1">'Adaptive costs A'!J114-'Adaptive costs B'!J114</f>
        <v>0</v>
      </c>
      <c r="K114" s="67">
        <f ca="1">'Adaptive costs A'!K114-'Adaptive costs B'!K114</f>
        <v>0</v>
      </c>
      <c r="L114" s="1"/>
      <c r="M114" s="4" t="str">
        <f t="shared" si="9"/>
        <v>$M(2015)</v>
      </c>
    </row>
    <row r="115" spans="1:13" x14ac:dyDescent="0.25">
      <c r="A115" t="str">
        <v>EE</v>
      </c>
      <c r="B115" s="67">
        <f ca="1">'Adaptive costs A'!B115-'Adaptive costs B'!B115</f>
        <v>0</v>
      </c>
      <c r="C115" s="67">
        <f ca="1">'Adaptive costs A'!C115-'Adaptive costs B'!C115</f>
        <v>0</v>
      </c>
      <c r="D115" s="67">
        <f ca="1">'Adaptive costs A'!D115-'Adaptive costs B'!D115</f>
        <v>0</v>
      </c>
      <c r="E115" s="67">
        <f ca="1">'Adaptive costs A'!E115-'Adaptive costs B'!E115</f>
        <v>0</v>
      </c>
      <c r="F115" s="67">
        <f ca="1">'Adaptive costs A'!F115-'Adaptive costs B'!F115</f>
        <v>0</v>
      </c>
      <c r="G115" s="67">
        <f ca="1">'Adaptive costs A'!G115-'Adaptive costs B'!G115</f>
        <v>0</v>
      </c>
      <c r="H115" s="67">
        <f ca="1">'Adaptive costs A'!H115-'Adaptive costs B'!H115</f>
        <v>0</v>
      </c>
      <c r="I115" s="67">
        <f ca="1">'Adaptive costs A'!I115-'Adaptive costs B'!I115</f>
        <v>0</v>
      </c>
      <c r="J115" s="67">
        <f ca="1">'Adaptive costs A'!J115-'Adaptive costs B'!J115</f>
        <v>0</v>
      </c>
      <c r="K115" s="67">
        <f ca="1">'Adaptive costs A'!K115-'Adaptive costs B'!K115</f>
        <v>0</v>
      </c>
      <c r="L115" s="1"/>
      <c r="M115" s="4" t="str">
        <f t="shared" si="9"/>
        <v>$M(2015)</v>
      </c>
    </row>
    <row r="116" spans="1:13" x14ac:dyDescent="0.25">
      <c r="A116" t="str">
        <v>CA</v>
      </c>
      <c r="B116" s="67">
        <f ca="1">'Adaptive costs A'!B116-'Adaptive costs B'!B116</f>
        <v>0</v>
      </c>
      <c r="C116" s="67">
        <f ca="1">'Adaptive costs A'!C116-'Adaptive costs B'!C116</f>
        <v>0</v>
      </c>
      <c r="D116" s="67">
        <f ca="1">'Adaptive costs A'!D116-'Adaptive costs B'!D116</f>
        <v>0</v>
      </c>
      <c r="E116" s="67">
        <f ca="1">'Adaptive costs A'!E116-'Adaptive costs B'!E116</f>
        <v>0</v>
      </c>
      <c r="F116" s="67">
        <f ca="1">'Adaptive costs A'!F116-'Adaptive costs B'!F116</f>
        <v>0</v>
      </c>
      <c r="G116" s="67">
        <f ca="1">'Adaptive costs A'!G116-'Adaptive costs B'!G116</f>
        <v>0</v>
      </c>
      <c r="H116" s="67">
        <f ca="1">'Adaptive costs A'!H116-'Adaptive costs B'!H116</f>
        <v>0</v>
      </c>
      <c r="I116" s="67">
        <f ca="1">'Adaptive costs A'!I116-'Adaptive costs B'!I116</f>
        <v>0</v>
      </c>
      <c r="J116" s="67">
        <f ca="1">'Adaptive costs A'!J116-'Adaptive costs B'!J116</f>
        <v>0</v>
      </c>
      <c r="K116" s="67">
        <f ca="1">'Adaptive costs A'!K116-'Adaptive costs B'!K116</f>
        <v>0</v>
      </c>
      <c r="L116" s="1"/>
      <c r="M116" s="4" t="str">
        <f t="shared" si="9"/>
        <v>$M(2015)</v>
      </c>
    </row>
    <row r="117" spans="1:13" x14ac:dyDescent="0.25">
      <c r="A117" t="str">
        <v>IA</v>
      </c>
      <c r="B117" s="67">
        <f ca="1">'Adaptive costs A'!B117-'Adaptive costs B'!B117</f>
        <v>0</v>
      </c>
      <c r="C117" s="67">
        <f ca="1">'Adaptive costs A'!C117-'Adaptive costs B'!C117</f>
        <v>0</v>
      </c>
      <c r="D117" s="67">
        <f ca="1">'Adaptive costs A'!D117-'Adaptive costs B'!D117</f>
        <v>0</v>
      </c>
      <c r="E117" s="67">
        <f ca="1">'Adaptive costs A'!E117-'Adaptive costs B'!E117</f>
        <v>0</v>
      </c>
      <c r="F117" s="67">
        <f ca="1">'Adaptive costs A'!F117-'Adaptive costs B'!F117</f>
        <v>0</v>
      </c>
      <c r="G117" s="67">
        <f ca="1">'Adaptive costs A'!G117-'Adaptive costs B'!G117</f>
        <v>0</v>
      </c>
      <c r="H117" s="67">
        <f ca="1">'Adaptive costs A'!H117-'Adaptive costs B'!H117</f>
        <v>0</v>
      </c>
      <c r="I117" s="67">
        <f ca="1">'Adaptive costs A'!I117-'Adaptive costs B'!I117</f>
        <v>0</v>
      </c>
      <c r="J117" s="67">
        <f ca="1">'Adaptive costs A'!J117-'Adaptive costs B'!J117</f>
        <v>0</v>
      </c>
      <c r="K117" s="67">
        <f ca="1">'Adaptive costs A'!K117-'Adaptive costs B'!K117</f>
        <v>0</v>
      </c>
      <c r="L117" s="1"/>
      <c r="M117" s="4" t="str">
        <f t="shared" si="9"/>
        <v>$M(2015)</v>
      </c>
    </row>
    <row r="118" spans="1:13" x14ac:dyDescent="0.25">
      <c r="A118" t="str">
        <v>AF</v>
      </c>
      <c r="B118" s="67">
        <f ca="1">'Adaptive costs A'!B118-'Adaptive costs B'!B118</f>
        <v>0</v>
      </c>
      <c r="C118" s="67">
        <f ca="1">'Adaptive costs A'!C118-'Adaptive costs B'!C118</f>
        <v>0</v>
      </c>
      <c r="D118" s="67">
        <f ca="1">'Adaptive costs A'!D118-'Adaptive costs B'!D118</f>
        <v>0</v>
      </c>
      <c r="E118" s="67">
        <f ca="1">'Adaptive costs A'!E118-'Adaptive costs B'!E118</f>
        <v>0</v>
      </c>
      <c r="F118" s="67">
        <f ca="1">'Adaptive costs A'!F118-'Adaptive costs B'!F118</f>
        <v>0</v>
      </c>
      <c r="G118" s="67">
        <f ca="1">'Adaptive costs A'!G118-'Adaptive costs B'!G118</f>
        <v>0</v>
      </c>
      <c r="H118" s="67">
        <f ca="1">'Adaptive costs A'!H118-'Adaptive costs B'!H118</f>
        <v>0</v>
      </c>
      <c r="I118" s="67">
        <f ca="1">'Adaptive costs A'!I118-'Adaptive costs B'!I118</f>
        <v>0</v>
      </c>
      <c r="J118" s="67">
        <f ca="1">'Adaptive costs A'!J118-'Adaptive costs B'!J118</f>
        <v>0</v>
      </c>
      <c r="K118" s="67">
        <f ca="1">'Adaptive costs A'!K118-'Adaptive costs B'!K118</f>
        <v>0</v>
      </c>
      <c r="L118" s="1"/>
      <c r="M118" s="4" t="str">
        <f t="shared" si="9"/>
        <v>$M(2015)</v>
      </c>
    </row>
    <row r="119" spans="1:13" x14ac:dyDescent="0.25">
      <c r="A119" t="str">
        <v>LA</v>
      </c>
      <c r="B119" s="67">
        <f ca="1">'Adaptive costs A'!B119-'Adaptive costs B'!B119</f>
        <v>0</v>
      </c>
      <c r="C119" s="67">
        <f ca="1">'Adaptive costs A'!C119-'Adaptive costs B'!C119</f>
        <v>0</v>
      </c>
      <c r="D119" s="67">
        <f ca="1">'Adaptive costs A'!D119-'Adaptive costs B'!D119</f>
        <v>0</v>
      </c>
      <c r="E119" s="67">
        <f ca="1">'Adaptive costs A'!E119-'Adaptive costs B'!E119</f>
        <v>0</v>
      </c>
      <c r="F119" s="67">
        <f ca="1">'Adaptive costs A'!F119-'Adaptive costs B'!F119</f>
        <v>0</v>
      </c>
      <c r="G119" s="67">
        <f ca="1">'Adaptive costs A'!G119-'Adaptive costs B'!G119</f>
        <v>0</v>
      </c>
      <c r="H119" s="67">
        <f ca="1">'Adaptive costs A'!H119-'Adaptive costs B'!H119</f>
        <v>0</v>
      </c>
      <c r="I119" s="67">
        <f ca="1">'Adaptive costs A'!I119-'Adaptive costs B'!I119</f>
        <v>0</v>
      </c>
      <c r="J119" s="67">
        <f ca="1">'Adaptive costs A'!J119-'Adaptive costs B'!J119</f>
        <v>0</v>
      </c>
      <c r="K119" s="67">
        <f ca="1">'Adaptive costs A'!K119-'Adaptive costs B'!K119</f>
        <v>0</v>
      </c>
      <c r="L119" s="1"/>
      <c r="M119" s="4" t="str">
        <f t="shared" si="9"/>
        <v>$M(2015)</v>
      </c>
    </row>
    <row r="120" spans="1:13" ht="13.5" thickBot="1" x14ac:dyDescent="0.35">
      <c r="A120" s="2" t="s">
        <v>206</v>
      </c>
      <c r="B120" s="73">
        <f ca="1">'Adaptive costs A'!B120-'Adaptive costs B'!B120</f>
        <v>0</v>
      </c>
      <c r="C120" s="73">
        <f ca="1">'Adaptive costs A'!C120-'Adaptive costs B'!C120</f>
        <v>0</v>
      </c>
      <c r="D120" s="73">
        <f ca="1">'Adaptive costs A'!D120-'Adaptive costs B'!D120</f>
        <v>0</v>
      </c>
      <c r="E120" s="73">
        <f ca="1">'Adaptive costs A'!E120-'Adaptive costs B'!E120</f>
        <v>0</v>
      </c>
      <c r="F120" s="73">
        <f ca="1">'Adaptive costs A'!F120-'Adaptive costs B'!F120</f>
        <v>0</v>
      </c>
      <c r="G120" s="73">
        <f ca="1">'Adaptive costs A'!G120-'Adaptive costs B'!G120</f>
        <v>0</v>
      </c>
      <c r="H120" s="73">
        <f ca="1">'Adaptive costs A'!H120-'Adaptive costs B'!H120</f>
        <v>0</v>
      </c>
      <c r="I120" s="73">
        <f ca="1">'Adaptive costs A'!I120-'Adaptive costs B'!I120</f>
        <v>0</v>
      </c>
      <c r="J120" s="73">
        <f ca="1">'Adaptive costs A'!J120-'Adaptive costs B'!J120</f>
        <v>0</v>
      </c>
      <c r="K120" s="73">
        <f ca="1">'Adaptive costs A'!K120-'Adaptive costs B'!K120</f>
        <v>0</v>
      </c>
      <c r="L120" s="1"/>
      <c r="M120" s="4" t="str">
        <f t="shared" si="9"/>
        <v>$M(2015)</v>
      </c>
    </row>
    <row r="121" spans="1:13" ht="15.5" thickTop="1" x14ac:dyDescent="0.4">
      <c r="A121" s="44" t="s">
        <v>384</v>
      </c>
      <c r="B121" s="2" t="s">
        <v>386</v>
      </c>
      <c r="C121" s="1"/>
      <c r="D121" s="1"/>
      <c r="E121" s="1"/>
      <c r="F121" s="1"/>
      <c r="G121" s="1"/>
      <c r="H121" s="1"/>
      <c r="I121" s="1"/>
      <c r="J121" s="1"/>
      <c r="K121" s="1"/>
      <c r="L121" s="1"/>
      <c r="M121" s="1"/>
    </row>
    <row r="122" spans="1:13" x14ac:dyDescent="0.25">
      <c r="A122" t="str">
        <f t="array" ref="A122:A129">R_CODE</f>
        <v>EU</v>
      </c>
      <c r="B122" s="66">
        <f ca="1">'Adaptive costs A'!B122-'Adaptive costs B'!B122</f>
        <v>0</v>
      </c>
      <c r="C122" s="66">
        <f ca="1">'Adaptive costs A'!C122-'Adaptive costs B'!C122</f>
        <v>0</v>
      </c>
      <c r="D122" s="66">
        <f ca="1">'Adaptive costs A'!D122-'Adaptive costs B'!D122</f>
        <v>0</v>
      </c>
      <c r="E122" s="66">
        <f ca="1">'Adaptive costs A'!E122-'Adaptive costs B'!E122</f>
        <v>0</v>
      </c>
      <c r="F122" s="66">
        <f ca="1">'Adaptive costs A'!F122-'Adaptive costs B'!F122</f>
        <v>0</v>
      </c>
      <c r="G122" s="66">
        <f ca="1">'Adaptive costs A'!G122-'Adaptive costs B'!G122</f>
        <v>0</v>
      </c>
      <c r="H122" s="66">
        <f ca="1">'Adaptive costs A'!H122-'Adaptive costs B'!H122</f>
        <v>0</v>
      </c>
      <c r="I122" s="66">
        <f ca="1">'Adaptive costs A'!I122-'Adaptive costs B'!I122</f>
        <v>0</v>
      </c>
      <c r="J122" s="66">
        <f ca="1">'Adaptive costs A'!J122-'Adaptive costs B'!J122</f>
        <v>0</v>
      </c>
      <c r="K122" s="66">
        <f ca="1">'Adaptive costs A'!K122-'Adaptive costs B'!K122</f>
        <v>0</v>
      </c>
      <c r="L122" s="1"/>
      <c r="M122" s="1" t="str">
        <f t="shared" ref="M122:M130" si="10">CURRENCY_NAME&amp;"/"&amp;POP_UNIT_NAME</f>
        <v>$M(2015)/million</v>
      </c>
    </row>
    <row r="123" spans="1:13" x14ac:dyDescent="0.25">
      <c r="A123" t="str">
        <v>US</v>
      </c>
      <c r="B123" s="67">
        <f ca="1">'Adaptive costs A'!B123-'Adaptive costs B'!B123</f>
        <v>0</v>
      </c>
      <c r="C123" s="67">
        <f ca="1">'Adaptive costs A'!C123-'Adaptive costs B'!C123</f>
        <v>0</v>
      </c>
      <c r="D123" s="67">
        <f ca="1">'Adaptive costs A'!D123-'Adaptive costs B'!D123</f>
        <v>0</v>
      </c>
      <c r="E123" s="67">
        <f ca="1">'Adaptive costs A'!E123-'Adaptive costs B'!E123</f>
        <v>0</v>
      </c>
      <c r="F123" s="67">
        <f ca="1">'Adaptive costs A'!F123-'Adaptive costs B'!F123</f>
        <v>0</v>
      </c>
      <c r="G123" s="67">
        <f ca="1">'Adaptive costs A'!G123-'Adaptive costs B'!G123</f>
        <v>0</v>
      </c>
      <c r="H123" s="67">
        <f ca="1">'Adaptive costs A'!H123-'Adaptive costs B'!H123</f>
        <v>0</v>
      </c>
      <c r="I123" s="67">
        <f ca="1">'Adaptive costs A'!I123-'Adaptive costs B'!I123</f>
        <v>0</v>
      </c>
      <c r="J123" s="67">
        <f ca="1">'Adaptive costs A'!J123-'Adaptive costs B'!J123</f>
        <v>0</v>
      </c>
      <c r="K123" s="67">
        <f ca="1">'Adaptive costs A'!K123-'Adaptive costs B'!K123</f>
        <v>0</v>
      </c>
      <c r="L123" s="1"/>
      <c r="M123" s="1" t="str">
        <f t="shared" si="10"/>
        <v>$M(2015)/million</v>
      </c>
    </row>
    <row r="124" spans="1:13" x14ac:dyDescent="0.25">
      <c r="A124" t="str">
        <v>OT</v>
      </c>
      <c r="B124" s="67">
        <f ca="1">'Adaptive costs A'!B124-'Adaptive costs B'!B124</f>
        <v>0</v>
      </c>
      <c r="C124" s="67">
        <f ca="1">'Adaptive costs A'!C124-'Adaptive costs B'!C124</f>
        <v>0</v>
      </c>
      <c r="D124" s="67">
        <f ca="1">'Adaptive costs A'!D124-'Adaptive costs B'!D124</f>
        <v>0</v>
      </c>
      <c r="E124" s="67">
        <f ca="1">'Adaptive costs A'!E124-'Adaptive costs B'!E124</f>
        <v>0</v>
      </c>
      <c r="F124" s="67">
        <f ca="1">'Adaptive costs A'!F124-'Adaptive costs B'!F124</f>
        <v>0</v>
      </c>
      <c r="G124" s="67">
        <f ca="1">'Adaptive costs A'!G124-'Adaptive costs B'!G124</f>
        <v>0</v>
      </c>
      <c r="H124" s="67">
        <f ca="1">'Adaptive costs A'!H124-'Adaptive costs B'!H124</f>
        <v>0</v>
      </c>
      <c r="I124" s="67">
        <f ca="1">'Adaptive costs A'!I124-'Adaptive costs B'!I124</f>
        <v>0</v>
      </c>
      <c r="J124" s="67">
        <f ca="1">'Adaptive costs A'!J124-'Adaptive costs B'!J124</f>
        <v>0</v>
      </c>
      <c r="K124" s="67">
        <f ca="1">'Adaptive costs A'!K124-'Adaptive costs B'!K124</f>
        <v>0</v>
      </c>
      <c r="L124" s="1"/>
      <c r="M124" s="1" t="str">
        <f t="shared" si="10"/>
        <v>$M(2015)/million</v>
      </c>
    </row>
    <row r="125" spans="1:13" x14ac:dyDescent="0.25">
      <c r="A125" t="str">
        <v>EE</v>
      </c>
      <c r="B125" s="67">
        <f ca="1">'Adaptive costs A'!B125-'Adaptive costs B'!B125</f>
        <v>0</v>
      </c>
      <c r="C125" s="67">
        <f ca="1">'Adaptive costs A'!C125-'Adaptive costs B'!C125</f>
        <v>0</v>
      </c>
      <c r="D125" s="67">
        <f ca="1">'Adaptive costs A'!D125-'Adaptive costs B'!D125</f>
        <v>0</v>
      </c>
      <c r="E125" s="67">
        <f ca="1">'Adaptive costs A'!E125-'Adaptive costs B'!E125</f>
        <v>0</v>
      </c>
      <c r="F125" s="67">
        <f ca="1">'Adaptive costs A'!F125-'Adaptive costs B'!F125</f>
        <v>0</v>
      </c>
      <c r="G125" s="67">
        <f ca="1">'Adaptive costs A'!G125-'Adaptive costs B'!G125</f>
        <v>0</v>
      </c>
      <c r="H125" s="67">
        <f ca="1">'Adaptive costs A'!H125-'Adaptive costs B'!H125</f>
        <v>0</v>
      </c>
      <c r="I125" s="67">
        <f ca="1">'Adaptive costs A'!I125-'Adaptive costs B'!I125</f>
        <v>0</v>
      </c>
      <c r="J125" s="67">
        <f ca="1">'Adaptive costs A'!J125-'Adaptive costs B'!J125</f>
        <v>0</v>
      </c>
      <c r="K125" s="67">
        <f ca="1">'Adaptive costs A'!K125-'Adaptive costs B'!K125</f>
        <v>0</v>
      </c>
      <c r="L125" s="1"/>
      <c r="M125" s="1" t="str">
        <f t="shared" si="10"/>
        <v>$M(2015)/million</v>
      </c>
    </row>
    <row r="126" spans="1:13" x14ac:dyDescent="0.25">
      <c r="A126" t="str">
        <v>CA</v>
      </c>
      <c r="B126" s="67">
        <f ca="1">'Adaptive costs A'!B126-'Adaptive costs B'!B126</f>
        <v>0</v>
      </c>
      <c r="C126" s="67">
        <f ca="1">'Adaptive costs A'!C126-'Adaptive costs B'!C126</f>
        <v>0</v>
      </c>
      <c r="D126" s="67">
        <f ca="1">'Adaptive costs A'!D126-'Adaptive costs B'!D126</f>
        <v>0</v>
      </c>
      <c r="E126" s="67">
        <f ca="1">'Adaptive costs A'!E126-'Adaptive costs B'!E126</f>
        <v>0</v>
      </c>
      <c r="F126" s="67">
        <f ca="1">'Adaptive costs A'!F126-'Adaptive costs B'!F126</f>
        <v>0</v>
      </c>
      <c r="G126" s="67">
        <f ca="1">'Adaptive costs A'!G126-'Adaptive costs B'!G126</f>
        <v>0</v>
      </c>
      <c r="H126" s="67">
        <f ca="1">'Adaptive costs A'!H126-'Adaptive costs B'!H126</f>
        <v>0</v>
      </c>
      <c r="I126" s="67">
        <f ca="1">'Adaptive costs A'!I126-'Adaptive costs B'!I126</f>
        <v>0</v>
      </c>
      <c r="J126" s="67">
        <f ca="1">'Adaptive costs A'!J126-'Adaptive costs B'!J126</f>
        <v>0</v>
      </c>
      <c r="K126" s="67">
        <f ca="1">'Adaptive costs A'!K126-'Adaptive costs B'!K126</f>
        <v>0</v>
      </c>
      <c r="L126" s="1"/>
      <c r="M126" s="1" t="str">
        <f t="shared" si="10"/>
        <v>$M(2015)/million</v>
      </c>
    </row>
    <row r="127" spans="1:13" x14ac:dyDescent="0.25">
      <c r="A127" t="str">
        <v>IA</v>
      </c>
      <c r="B127" s="67">
        <f ca="1">'Adaptive costs A'!B127-'Adaptive costs B'!B127</f>
        <v>0</v>
      </c>
      <c r="C127" s="67">
        <f ca="1">'Adaptive costs A'!C127-'Adaptive costs B'!C127</f>
        <v>0</v>
      </c>
      <c r="D127" s="67">
        <f ca="1">'Adaptive costs A'!D127-'Adaptive costs B'!D127</f>
        <v>0</v>
      </c>
      <c r="E127" s="67">
        <f ca="1">'Adaptive costs A'!E127-'Adaptive costs B'!E127</f>
        <v>0</v>
      </c>
      <c r="F127" s="67">
        <f ca="1">'Adaptive costs A'!F127-'Adaptive costs B'!F127</f>
        <v>0</v>
      </c>
      <c r="G127" s="67">
        <f ca="1">'Adaptive costs A'!G127-'Adaptive costs B'!G127</f>
        <v>0</v>
      </c>
      <c r="H127" s="67">
        <f ca="1">'Adaptive costs A'!H127-'Adaptive costs B'!H127</f>
        <v>0</v>
      </c>
      <c r="I127" s="67">
        <f ca="1">'Adaptive costs A'!I127-'Adaptive costs B'!I127</f>
        <v>0</v>
      </c>
      <c r="J127" s="67">
        <f ca="1">'Adaptive costs A'!J127-'Adaptive costs B'!J127</f>
        <v>0</v>
      </c>
      <c r="K127" s="67">
        <f ca="1">'Adaptive costs A'!K127-'Adaptive costs B'!K127</f>
        <v>0</v>
      </c>
      <c r="L127" s="1"/>
      <c r="M127" s="1" t="str">
        <f t="shared" si="10"/>
        <v>$M(2015)/million</v>
      </c>
    </row>
    <row r="128" spans="1:13" x14ac:dyDescent="0.25">
      <c r="A128" t="str">
        <v>AF</v>
      </c>
      <c r="B128" s="67">
        <f ca="1">'Adaptive costs A'!B128-'Adaptive costs B'!B128</f>
        <v>0</v>
      </c>
      <c r="C128" s="67">
        <f ca="1">'Adaptive costs A'!C128-'Adaptive costs B'!C128</f>
        <v>0</v>
      </c>
      <c r="D128" s="67">
        <f ca="1">'Adaptive costs A'!D128-'Adaptive costs B'!D128</f>
        <v>0</v>
      </c>
      <c r="E128" s="67">
        <f ca="1">'Adaptive costs A'!E128-'Adaptive costs B'!E128</f>
        <v>0</v>
      </c>
      <c r="F128" s="67">
        <f ca="1">'Adaptive costs A'!F128-'Adaptive costs B'!F128</f>
        <v>0</v>
      </c>
      <c r="G128" s="67">
        <f ca="1">'Adaptive costs A'!G128-'Adaptive costs B'!G128</f>
        <v>0</v>
      </c>
      <c r="H128" s="67">
        <f ca="1">'Adaptive costs A'!H128-'Adaptive costs B'!H128</f>
        <v>0</v>
      </c>
      <c r="I128" s="67">
        <f ca="1">'Adaptive costs A'!I128-'Adaptive costs B'!I128</f>
        <v>0</v>
      </c>
      <c r="J128" s="67">
        <f ca="1">'Adaptive costs A'!J128-'Adaptive costs B'!J128</f>
        <v>0</v>
      </c>
      <c r="K128" s="67">
        <f ca="1">'Adaptive costs A'!K128-'Adaptive costs B'!K128</f>
        <v>0</v>
      </c>
      <c r="L128" s="1"/>
      <c r="M128" s="1" t="str">
        <f t="shared" si="10"/>
        <v>$M(2015)/million</v>
      </c>
    </row>
    <row r="129" spans="1:14" x14ac:dyDescent="0.25">
      <c r="A129" t="str">
        <v>LA</v>
      </c>
      <c r="B129" s="67">
        <f ca="1">'Adaptive costs A'!B129-'Adaptive costs B'!B129</f>
        <v>0</v>
      </c>
      <c r="C129" s="67">
        <f ca="1">'Adaptive costs A'!C129-'Adaptive costs B'!C129</f>
        <v>0</v>
      </c>
      <c r="D129" s="67">
        <f ca="1">'Adaptive costs A'!D129-'Adaptive costs B'!D129</f>
        <v>0</v>
      </c>
      <c r="E129" s="67">
        <f ca="1">'Adaptive costs A'!E129-'Adaptive costs B'!E129</f>
        <v>0</v>
      </c>
      <c r="F129" s="67">
        <f ca="1">'Adaptive costs A'!F129-'Adaptive costs B'!F129</f>
        <v>0</v>
      </c>
      <c r="G129" s="67">
        <f ca="1">'Adaptive costs A'!G129-'Adaptive costs B'!G129</f>
        <v>0</v>
      </c>
      <c r="H129" s="67">
        <f ca="1">'Adaptive costs A'!H129-'Adaptive costs B'!H129</f>
        <v>0</v>
      </c>
      <c r="I129" s="67">
        <f ca="1">'Adaptive costs A'!I129-'Adaptive costs B'!I129</f>
        <v>0</v>
      </c>
      <c r="J129" s="67">
        <f ca="1">'Adaptive costs A'!J129-'Adaptive costs B'!J129</f>
        <v>0</v>
      </c>
      <c r="K129" s="67">
        <f ca="1">'Adaptive costs A'!K129-'Adaptive costs B'!K129</f>
        <v>0</v>
      </c>
      <c r="L129" s="1"/>
      <c r="M129" s="1" t="str">
        <f t="shared" si="10"/>
        <v>$M(2015)/million</v>
      </c>
    </row>
    <row r="130" spans="1:14" ht="13.5" thickBot="1" x14ac:dyDescent="0.35">
      <c r="A130" s="2" t="s">
        <v>385</v>
      </c>
      <c r="B130" s="73">
        <f ca="1">'Adaptive costs A'!B130-'Adaptive costs B'!B130</f>
        <v>0</v>
      </c>
      <c r="C130" s="73">
        <f ca="1">'Adaptive costs A'!C130-'Adaptive costs B'!C130</f>
        <v>0</v>
      </c>
      <c r="D130" s="73">
        <f ca="1">'Adaptive costs A'!D130-'Adaptive costs B'!D130</f>
        <v>0</v>
      </c>
      <c r="E130" s="73">
        <f ca="1">'Adaptive costs A'!E130-'Adaptive costs B'!E130</f>
        <v>0</v>
      </c>
      <c r="F130" s="73">
        <f ca="1">'Adaptive costs A'!F130-'Adaptive costs B'!F130</f>
        <v>0</v>
      </c>
      <c r="G130" s="73">
        <f ca="1">'Adaptive costs A'!G130-'Adaptive costs B'!G130</f>
        <v>0</v>
      </c>
      <c r="H130" s="73">
        <f ca="1">'Adaptive costs A'!H130-'Adaptive costs B'!H130</f>
        <v>0</v>
      </c>
      <c r="I130" s="73">
        <f ca="1">'Adaptive costs A'!I130-'Adaptive costs B'!I130</f>
        <v>0</v>
      </c>
      <c r="J130" s="73">
        <f ca="1">'Adaptive costs A'!J130-'Adaptive costs B'!J130</f>
        <v>0</v>
      </c>
      <c r="K130" s="73">
        <f ca="1">'Adaptive costs A'!K130-'Adaptive costs B'!K130</f>
        <v>0</v>
      </c>
      <c r="L130" s="1"/>
      <c r="M130" s="1" t="str">
        <f t="shared" si="10"/>
        <v>$M(2015)/million</v>
      </c>
      <c r="N130" s="7"/>
    </row>
    <row r="131" spans="1:14" ht="15.5" thickTop="1" x14ac:dyDescent="0.4">
      <c r="A131" s="44" t="s">
        <v>395</v>
      </c>
      <c r="B131" s="2" t="s">
        <v>396</v>
      </c>
      <c r="C131" s="1"/>
      <c r="D131" s="1"/>
      <c r="E131" s="1"/>
      <c r="F131" s="1"/>
      <c r="G131" s="1"/>
      <c r="H131" s="1"/>
      <c r="I131" s="1"/>
      <c r="J131" s="1"/>
      <c r="K131" s="1"/>
      <c r="L131" s="1"/>
      <c r="M131" s="1"/>
    </row>
    <row r="132" spans="1:14" x14ac:dyDescent="0.25">
      <c r="A132" t="str">
        <f t="array" ref="A132:A139">R_CODE</f>
        <v>EU</v>
      </c>
      <c r="B132" s="29">
        <f ca="1">'Adaptive costs A'!B132-'Adaptive costs B'!B132</f>
        <v>0</v>
      </c>
      <c r="C132" s="29">
        <f ca="1">'Adaptive costs A'!C132-'Adaptive costs B'!C132</f>
        <v>0</v>
      </c>
      <c r="D132" s="29">
        <f ca="1">'Adaptive costs A'!D132-'Adaptive costs B'!D132</f>
        <v>0</v>
      </c>
      <c r="E132" s="29">
        <f ca="1">'Adaptive costs A'!E132-'Adaptive costs B'!E132</f>
        <v>0</v>
      </c>
      <c r="F132" s="29">
        <f ca="1">'Adaptive costs A'!F132-'Adaptive costs B'!F132</f>
        <v>0</v>
      </c>
      <c r="G132" s="29">
        <f ca="1">'Adaptive costs A'!G132-'Adaptive costs B'!G132</f>
        <v>0</v>
      </c>
      <c r="H132" s="29">
        <f ca="1">'Adaptive costs A'!H132-'Adaptive costs B'!H132</f>
        <v>0</v>
      </c>
      <c r="I132" s="29">
        <f ca="1">'Adaptive costs A'!I132-'Adaptive costs B'!I132</f>
        <v>0</v>
      </c>
      <c r="J132" s="29">
        <f ca="1">'Adaptive costs A'!J132-'Adaptive costs B'!J132</f>
        <v>0</v>
      </c>
      <c r="K132" s="29">
        <f ca="1">'Adaptive costs A'!K132-'Adaptive costs B'!K132</f>
        <v>0</v>
      </c>
      <c r="L132" s="1"/>
      <c r="M132" s="1" t="str">
        <f t="shared" ref="M132:M139" si="11">CURRENCY_NAME&amp;"/"&amp;POP_UNIT_NAME</f>
        <v>$M(2015)/million</v>
      </c>
    </row>
    <row r="133" spans="1:14" x14ac:dyDescent="0.25">
      <c r="A133" t="str">
        <v>US</v>
      </c>
      <c r="B133" s="26">
        <f ca="1">'Adaptive costs A'!B133-'Adaptive costs B'!B133</f>
        <v>0</v>
      </c>
      <c r="C133" s="26">
        <f ca="1">'Adaptive costs A'!C133-'Adaptive costs B'!C133</f>
        <v>0</v>
      </c>
      <c r="D133" s="26">
        <f ca="1">'Adaptive costs A'!D133-'Adaptive costs B'!D133</f>
        <v>0</v>
      </c>
      <c r="E133" s="26">
        <f ca="1">'Adaptive costs A'!E133-'Adaptive costs B'!E133</f>
        <v>0</v>
      </c>
      <c r="F133" s="26">
        <f ca="1">'Adaptive costs A'!F133-'Adaptive costs B'!F133</f>
        <v>0</v>
      </c>
      <c r="G133" s="26">
        <f ca="1">'Adaptive costs A'!G133-'Adaptive costs B'!G133</f>
        <v>0</v>
      </c>
      <c r="H133" s="26">
        <f ca="1">'Adaptive costs A'!H133-'Adaptive costs B'!H133</f>
        <v>0</v>
      </c>
      <c r="I133" s="26">
        <f ca="1">'Adaptive costs A'!I133-'Adaptive costs B'!I133</f>
        <v>0</v>
      </c>
      <c r="J133" s="26">
        <f ca="1">'Adaptive costs A'!J133-'Adaptive costs B'!J133</f>
        <v>0</v>
      </c>
      <c r="K133" s="26">
        <f ca="1">'Adaptive costs A'!K133-'Adaptive costs B'!K133</f>
        <v>0</v>
      </c>
      <c r="L133" s="1"/>
      <c r="M133" s="1" t="str">
        <f t="shared" si="11"/>
        <v>$M(2015)/million</v>
      </c>
    </row>
    <row r="134" spans="1:14" x14ac:dyDescent="0.25">
      <c r="A134" t="str">
        <v>OT</v>
      </c>
      <c r="B134" s="26">
        <f ca="1">'Adaptive costs A'!B134-'Adaptive costs B'!B134</f>
        <v>0</v>
      </c>
      <c r="C134" s="26">
        <f ca="1">'Adaptive costs A'!C134-'Adaptive costs B'!C134</f>
        <v>0</v>
      </c>
      <c r="D134" s="26">
        <f ca="1">'Adaptive costs A'!D134-'Adaptive costs B'!D134</f>
        <v>0</v>
      </c>
      <c r="E134" s="26">
        <f ca="1">'Adaptive costs A'!E134-'Adaptive costs B'!E134</f>
        <v>0</v>
      </c>
      <c r="F134" s="26">
        <f ca="1">'Adaptive costs A'!F134-'Adaptive costs B'!F134</f>
        <v>0</v>
      </c>
      <c r="G134" s="26">
        <f ca="1">'Adaptive costs A'!G134-'Adaptive costs B'!G134</f>
        <v>0</v>
      </c>
      <c r="H134" s="26">
        <f ca="1">'Adaptive costs A'!H134-'Adaptive costs B'!H134</f>
        <v>0</v>
      </c>
      <c r="I134" s="26">
        <f ca="1">'Adaptive costs A'!I134-'Adaptive costs B'!I134</f>
        <v>0</v>
      </c>
      <c r="J134" s="26">
        <f ca="1">'Adaptive costs A'!J134-'Adaptive costs B'!J134</f>
        <v>0</v>
      </c>
      <c r="K134" s="26">
        <f ca="1">'Adaptive costs A'!K134-'Adaptive costs B'!K134</f>
        <v>0</v>
      </c>
      <c r="L134" s="1"/>
      <c r="M134" s="1" t="str">
        <f t="shared" si="11"/>
        <v>$M(2015)/million</v>
      </c>
    </row>
    <row r="135" spans="1:14" x14ac:dyDescent="0.25">
      <c r="A135" t="str">
        <v>EE</v>
      </c>
      <c r="B135" s="26">
        <f ca="1">'Adaptive costs A'!B135-'Adaptive costs B'!B135</f>
        <v>0</v>
      </c>
      <c r="C135" s="26">
        <f ca="1">'Adaptive costs A'!C135-'Adaptive costs B'!C135</f>
        <v>0</v>
      </c>
      <c r="D135" s="26">
        <f ca="1">'Adaptive costs A'!D135-'Adaptive costs B'!D135</f>
        <v>0</v>
      </c>
      <c r="E135" s="26">
        <f ca="1">'Adaptive costs A'!E135-'Adaptive costs B'!E135</f>
        <v>0</v>
      </c>
      <c r="F135" s="26">
        <f ca="1">'Adaptive costs A'!F135-'Adaptive costs B'!F135</f>
        <v>0</v>
      </c>
      <c r="G135" s="26">
        <f ca="1">'Adaptive costs A'!G135-'Adaptive costs B'!G135</f>
        <v>0</v>
      </c>
      <c r="H135" s="26">
        <f ca="1">'Adaptive costs A'!H135-'Adaptive costs B'!H135</f>
        <v>0</v>
      </c>
      <c r="I135" s="26">
        <f ca="1">'Adaptive costs A'!I135-'Adaptive costs B'!I135</f>
        <v>0</v>
      </c>
      <c r="J135" s="26">
        <f ca="1">'Adaptive costs A'!J135-'Adaptive costs B'!J135</f>
        <v>0</v>
      </c>
      <c r="K135" s="26">
        <f ca="1">'Adaptive costs A'!K135-'Adaptive costs B'!K135</f>
        <v>0</v>
      </c>
      <c r="L135" s="1"/>
      <c r="M135" s="1" t="str">
        <f t="shared" si="11"/>
        <v>$M(2015)/million</v>
      </c>
    </row>
    <row r="136" spans="1:14" x14ac:dyDescent="0.25">
      <c r="A136" t="str">
        <v>CA</v>
      </c>
      <c r="B136" s="26">
        <f ca="1">'Adaptive costs A'!B136-'Adaptive costs B'!B136</f>
        <v>0</v>
      </c>
      <c r="C136" s="26">
        <f ca="1">'Adaptive costs A'!C136-'Adaptive costs B'!C136</f>
        <v>0</v>
      </c>
      <c r="D136" s="26">
        <f ca="1">'Adaptive costs A'!D136-'Adaptive costs B'!D136</f>
        <v>0</v>
      </c>
      <c r="E136" s="26">
        <f ca="1">'Adaptive costs A'!E136-'Adaptive costs B'!E136</f>
        <v>0</v>
      </c>
      <c r="F136" s="26">
        <f ca="1">'Adaptive costs A'!F136-'Adaptive costs B'!F136</f>
        <v>0</v>
      </c>
      <c r="G136" s="26">
        <f ca="1">'Adaptive costs A'!G136-'Adaptive costs B'!G136</f>
        <v>0</v>
      </c>
      <c r="H136" s="26">
        <f ca="1">'Adaptive costs A'!H136-'Adaptive costs B'!H136</f>
        <v>0</v>
      </c>
      <c r="I136" s="26">
        <f ca="1">'Adaptive costs A'!I136-'Adaptive costs B'!I136</f>
        <v>0</v>
      </c>
      <c r="J136" s="26">
        <f ca="1">'Adaptive costs A'!J136-'Adaptive costs B'!J136</f>
        <v>0</v>
      </c>
      <c r="K136" s="26">
        <f ca="1">'Adaptive costs A'!K136-'Adaptive costs B'!K136</f>
        <v>0</v>
      </c>
      <c r="L136" s="1"/>
      <c r="M136" s="1" t="str">
        <f t="shared" si="11"/>
        <v>$M(2015)/million</v>
      </c>
    </row>
    <row r="137" spans="1:14" x14ac:dyDescent="0.25">
      <c r="A137" t="str">
        <v>IA</v>
      </c>
      <c r="B137" s="26">
        <f ca="1">'Adaptive costs A'!B137-'Adaptive costs B'!B137</f>
        <v>0</v>
      </c>
      <c r="C137" s="26">
        <f ca="1">'Adaptive costs A'!C137-'Adaptive costs B'!C137</f>
        <v>0</v>
      </c>
      <c r="D137" s="26">
        <f ca="1">'Adaptive costs A'!D137-'Adaptive costs B'!D137</f>
        <v>0</v>
      </c>
      <c r="E137" s="26">
        <f ca="1">'Adaptive costs A'!E137-'Adaptive costs B'!E137</f>
        <v>0</v>
      </c>
      <c r="F137" s="26">
        <f ca="1">'Adaptive costs A'!F137-'Adaptive costs B'!F137</f>
        <v>0</v>
      </c>
      <c r="G137" s="26">
        <f ca="1">'Adaptive costs A'!G137-'Adaptive costs B'!G137</f>
        <v>0</v>
      </c>
      <c r="H137" s="26">
        <f ca="1">'Adaptive costs A'!H137-'Adaptive costs B'!H137</f>
        <v>0</v>
      </c>
      <c r="I137" s="26">
        <f ca="1">'Adaptive costs A'!I137-'Adaptive costs B'!I137</f>
        <v>0</v>
      </c>
      <c r="J137" s="26">
        <f ca="1">'Adaptive costs A'!J137-'Adaptive costs B'!J137</f>
        <v>0</v>
      </c>
      <c r="K137" s="26">
        <f ca="1">'Adaptive costs A'!K137-'Adaptive costs B'!K137</f>
        <v>0</v>
      </c>
      <c r="L137" s="1"/>
      <c r="M137" s="1" t="str">
        <f t="shared" si="11"/>
        <v>$M(2015)/million</v>
      </c>
    </row>
    <row r="138" spans="1:14" x14ac:dyDescent="0.25">
      <c r="A138" t="str">
        <v>AF</v>
      </c>
      <c r="B138" s="26">
        <f ca="1">'Adaptive costs A'!B138-'Adaptive costs B'!B138</f>
        <v>0</v>
      </c>
      <c r="C138" s="26">
        <f ca="1">'Adaptive costs A'!C138-'Adaptive costs B'!C138</f>
        <v>0</v>
      </c>
      <c r="D138" s="26">
        <f ca="1">'Adaptive costs A'!D138-'Adaptive costs B'!D138</f>
        <v>0</v>
      </c>
      <c r="E138" s="26">
        <f ca="1">'Adaptive costs A'!E138-'Adaptive costs B'!E138</f>
        <v>0</v>
      </c>
      <c r="F138" s="26">
        <f ca="1">'Adaptive costs A'!F138-'Adaptive costs B'!F138</f>
        <v>0</v>
      </c>
      <c r="G138" s="26">
        <f ca="1">'Adaptive costs A'!G138-'Adaptive costs B'!G138</f>
        <v>0</v>
      </c>
      <c r="H138" s="26">
        <f ca="1">'Adaptive costs A'!H138-'Adaptive costs B'!H138</f>
        <v>0</v>
      </c>
      <c r="I138" s="26">
        <f ca="1">'Adaptive costs A'!I138-'Adaptive costs B'!I138</f>
        <v>0</v>
      </c>
      <c r="J138" s="26">
        <f ca="1">'Adaptive costs A'!J138-'Adaptive costs B'!J138</f>
        <v>0</v>
      </c>
      <c r="K138" s="26">
        <f ca="1">'Adaptive costs A'!K138-'Adaptive costs B'!K138</f>
        <v>0</v>
      </c>
      <c r="L138" s="1"/>
      <c r="M138" s="1" t="str">
        <f t="shared" si="11"/>
        <v>$M(2015)/million</v>
      </c>
    </row>
    <row r="139" spans="1:14" x14ac:dyDescent="0.25">
      <c r="A139" t="str">
        <v>LA</v>
      </c>
      <c r="B139" s="26">
        <f ca="1">'Adaptive costs A'!B139-'Adaptive costs B'!B139</f>
        <v>0</v>
      </c>
      <c r="C139" s="26">
        <f ca="1">'Adaptive costs A'!C139-'Adaptive costs B'!C139</f>
        <v>0</v>
      </c>
      <c r="D139" s="26">
        <f ca="1">'Adaptive costs A'!D139-'Adaptive costs B'!D139</f>
        <v>0</v>
      </c>
      <c r="E139" s="26">
        <f ca="1">'Adaptive costs A'!E139-'Adaptive costs B'!E139</f>
        <v>0</v>
      </c>
      <c r="F139" s="26">
        <f ca="1">'Adaptive costs A'!F139-'Adaptive costs B'!F139</f>
        <v>0</v>
      </c>
      <c r="G139" s="26">
        <f ca="1">'Adaptive costs A'!G139-'Adaptive costs B'!G139</f>
        <v>0</v>
      </c>
      <c r="H139" s="26">
        <f ca="1">'Adaptive costs A'!H139-'Adaptive costs B'!H139</f>
        <v>0</v>
      </c>
      <c r="I139" s="26">
        <f ca="1">'Adaptive costs A'!I139-'Adaptive costs B'!I139</f>
        <v>0</v>
      </c>
      <c r="J139" s="26">
        <f ca="1">'Adaptive costs A'!J139-'Adaptive costs B'!J139</f>
        <v>0</v>
      </c>
      <c r="K139" s="26">
        <f ca="1">'Adaptive costs A'!K139-'Adaptive costs B'!K139</f>
        <v>0</v>
      </c>
      <c r="L139" s="1"/>
      <c r="M139" s="1" t="str">
        <f t="shared" si="11"/>
        <v>$M(2015)/million</v>
      </c>
    </row>
    <row r="140" spans="1:14" ht="15" x14ac:dyDescent="0.4">
      <c r="A140" s="44" t="s">
        <v>387</v>
      </c>
      <c r="B140" s="2" t="s">
        <v>388</v>
      </c>
      <c r="C140" s="1"/>
      <c r="D140" s="1"/>
      <c r="E140" s="1"/>
      <c r="F140" s="1"/>
      <c r="G140" s="1"/>
      <c r="H140" s="1"/>
      <c r="I140" s="1"/>
      <c r="J140" s="1"/>
      <c r="K140" s="1"/>
      <c r="L140" s="1"/>
      <c r="M140" s="1"/>
    </row>
    <row r="141" spans="1:14" x14ac:dyDescent="0.25">
      <c r="A141" t="str">
        <f t="array" ref="A141:A148">R_CODE</f>
        <v>EU</v>
      </c>
      <c r="B141" s="29">
        <f ca="1">'Adaptive costs A'!B141-'Adaptive costs B'!B141</f>
        <v>0</v>
      </c>
      <c r="C141" s="29">
        <f ca="1">'Adaptive costs A'!C141-'Adaptive costs B'!C141</f>
        <v>0</v>
      </c>
      <c r="D141" s="29">
        <f ca="1">'Adaptive costs A'!D141-'Adaptive costs B'!D141</f>
        <v>0</v>
      </c>
      <c r="E141" s="29">
        <f ca="1">'Adaptive costs A'!E141-'Adaptive costs B'!E141</f>
        <v>0</v>
      </c>
      <c r="F141" s="29">
        <f ca="1">'Adaptive costs A'!F141-'Adaptive costs B'!F141</f>
        <v>0</v>
      </c>
      <c r="G141" s="29">
        <f ca="1">'Adaptive costs A'!G141-'Adaptive costs B'!G141</f>
        <v>0</v>
      </c>
      <c r="H141" s="29">
        <f ca="1">'Adaptive costs A'!H141-'Adaptive costs B'!H141</f>
        <v>0</v>
      </c>
      <c r="I141" s="29">
        <f ca="1">'Adaptive costs A'!I141-'Adaptive costs B'!I141</f>
        <v>0</v>
      </c>
      <c r="J141" s="29">
        <f ca="1">'Adaptive costs A'!J141-'Adaptive costs B'!J141</f>
        <v>0</v>
      </c>
      <c r="K141" s="29">
        <f ca="1">'Adaptive costs A'!K141-'Adaptive costs B'!K141</f>
        <v>0</v>
      </c>
      <c r="L141" s="1"/>
      <c r="M141" s="1" t="str">
        <f t="shared" ref="M141:M148" si="12">CURRENCY_NAME&amp;"/"&amp;POP_UNIT_NAME</f>
        <v>$M(2015)/million</v>
      </c>
    </row>
    <row r="142" spans="1:14" x14ac:dyDescent="0.25">
      <c r="A142" t="str">
        <v>US</v>
      </c>
      <c r="B142" s="26">
        <f ca="1">'Adaptive costs A'!B142-'Adaptive costs B'!B142</f>
        <v>0</v>
      </c>
      <c r="C142" s="26">
        <f ca="1">'Adaptive costs A'!C142-'Adaptive costs B'!C142</f>
        <v>0</v>
      </c>
      <c r="D142" s="26">
        <f ca="1">'Adaptive costs A'!D142-'Adaptive costs B'!D142</f>
        <v>0</v>
      </c>
      <c r="E142" s="26">
        <f ca="1">'Adaptive costs A'!E142-'Adaptive costs B'!E142</f>
        <v>0</v>
      </c>
      <c r="F142" s="26">
        <f ca="1">'Adaptive costs A'!F142-'Adaptive costs B'!F142</f>
        <v>0</v>
      </c>
      <c r="G142" s="26">
        <f ca="1">'Adaptive costs A'!G142-'Adaptive costs B'!G142</f>
        <v>0</v>
      </c>
      <c r="H142" s="26">
        <f ca="1">'Adaptive costs A'!H142-'Adaptive costs B'!H142</f>
        <v>0</v>
      </c>
      <c r="I142" s="26">
        <f ca="1">'Adaptive costs A'!I142-'Adaptive costs B'!I142</f>
        <v>0</v>
      </c>
      <c r="J142" s="26">
        <f ca="1">'Adaptive costs A'!J142-'Adaptive costs B'!J142</f>
        <v>0</v>
      </c>
      <c r="K142" s="26">
        <f ca="1">'Adaptive costs A'!K142-'Adaptive costs B'!K142</f>
        <v>0</v>
      </c>
      <c r="L142" s="1"/>
      <c r="M142" s="1" t="str">
        <f t="shared" si="12"/>
        <v>$M(2015)/million</v>
      </c>
    </row>
    <row r="143" spans="1:14" x14ac:dyDescent="0.25">
      <c r="A143" t="str">
        <v>OT</v>
      </c>
      <c r="B143" s="26">
        <f ca="1">'Adaptive costs A'!B143-'Adaptive costs B'!B143</f>
        <v>0</v>
      </c>
      <c r="C143" s="26">
        <f ca="1">'Adaptive costs A'!C143-'Adaptive costs B'!C143</f>
        <v>0</v>
      </c>
      <c r="D143" s="26">
        <f ca="1">'Adaptive costs A'!D143-'Adaptive costs B'!D143</f>
        <v>0</v>
      </c>
      <c r="E143" s="26">
        <f ca="1">'Adaptive costs A'!E143-'Adaptive costs B'!E143</f>
        <v>0</v>
      </c>
      <c r="F143" s="26">
        <f ca="1">'Adaptive costs A'!F143-'Adaptive costs B'!F143</f>
        <v>0</v>
      </c>
      <c r="G143" s="26">
        <f ca="1">'Adaptive costs A'!G143-'Adaptive costs B'!G143</f>
        <v>0</v>
      </c>
      <c r="H143" s="26">
        <f ca="1">'Adaptive costs A'!H143-'Adaptive costs B'!H143</f>
        <v>0</v>
      </c>
      <c r="I143" s="26">
        <f ca="1">'Adaptive costs A'!I143-'Adaptive costs B'!I143</f>
        <v>0</v>
      </c>
      <c r="J143" s="26">
        <f ca="1">'Adaptive costs A'!J143-'Adaptive costs B'!J143</f>
        <v>0</v>
      </c>
      <c r="K143" s="26">
        <f ca="1">'Adaptive costs A'!K143-'Adaptive costs B'!K143</f>
        <v>0</v>
      </c>
      <c r="L143" s="1"/>
      <c r="M143" s="1" t="str">
        <f t="shared" si="12"/>
        <v>$M(2015)/million</v>
      </c>
    </row>
    <row r="144" spans="1:14" x14ac:dyDescent="0.25">
      <c r="A144" t="str">
        <v>EE</v>
      </c>
      <c r="B144" s="26">
        <f ca="1">'Adaptive costs A'!B144-'Adaptive costs B'!B144</f>
        <v>0</v>
      </c>
      <c r="C144" s="26">
        <f ca="1">'Adaptive costs A'!C144-'Adaptive costs B'!C144</f>
        <v>0</v>
      </c>
      <c r="D144" s="26">
        <f ca="1">'Adaptive costs A'!D144-'Adaptive costs B'!D144</f>
        <v>0</v>
      </c>
      <c r="E144" s="26">
        <f ca="1">'Adaptive costs A'!E144-'Adaptive costs B'!E144</f>
        <v>0</v>
      </c>
      <c r="F144" s="26">
        <f ca="1">'Adaptive costs A'!F144-'Adaptive costs B'!F144</f>
        <v>0</v>
      </c>
      <c r="G144" s="26">
        <f ca="1">'Adaptive costs A'!G144-'Adaptive costs B'!G144</f>
        <v>0</v>
      </c>
      <c r="H144" s="26">
        <f ca="1">'Adaptive costs A'!H144-'Adaptive costs B'!H144</f>
        <v>0</v>
      </c>
      <c r="I144" s="26">
        <f ca="1">'Adaptive costs A'!I144-'Adaptive costs B'!I144</f>
        <v>0</v>
      </c>
      <c r="J144" s="26">
        <f ca="1">'Adaptive costs A'!J144-'Adaptive costs B'!J144</f>
        <v>0</v>
      </c>
      <c r="K144" s="26">
        <f ca="1">'Adaptive costs A'!K144-'Adaptive costs B'!K144</f>
        <v>0</v>
      </c>
      <c r="L144" s="1"/>
      <c r="M144" s="1" t="str">
        <f t="shared" si="12"/>
        <v>$M(2015)/million</v>
      </c>
    </row>
    <row r="145" spans="1:13" x14ac:dyDescent="0.25">
      <c r="A145" t="str">
        <v>CA</v>
      </c>
      <c r="B145" s="26">
        <f ca="1">'Adaptive costs A'!B145-'Adaptive costs B'!B145</f>
        <v>0</v>
      </c>
      <c r="C145" s="26">
        <f ca="1">'Adaptive costs A'!C145-'Adaptive costs B'!C145</f>
        <v>0</v>
      </c>
      <c r="D145" s="26">
        <f ca="1">'Adaptive costs A'!D145-'Adaptive costs B'!D145</f>
        <v>0</v>
      </c>
      <c r="E145" s="26">
        <f ca="1">'Adaptive costs A'!E145-'Adaptive costs B'!E145</f>
        <v>0</v>
      </c>
      <c r="F145" s="26">
        <f ca="1">'Adaptive costs A'!F145-'Adaptive costs B'!F145</f>
        <v>0</v>
      </c>
      <c r="G145" s="26">
        <f ca="1">'Adaptive costs A'!G145-'Adaptive costs B'!G145</f>
        <v>0</v>
      </c>
      <c r="H145" s="26">
        <f ca="1">'Adaptive costs A'!H145-'Adaptive costs B'!H145</f>
        <v>0</v>
      </c>
      <c r="I145" s="26">
        <f ca="1">'Adaptive costs A'!I145-'Adaptive costs B'!I145</f>
        <v>0</v>
      </c>
      <c r="J145" s="26">
        <f ca="1">'Adaptive costs A'!J145-'Adaptive costs B'!J145</f>
        <v>0</v>
      </c>
      <c r="K145" s="26">
        <f ca="1">'Adaptive costs A'!K145-'Adaptive costs B'!K145</f>
        <v>0</v>
      </c>
      <c r="L145" s="1"/>
      <c r="M145" s="1" t="str">
        <f t="shared" si="12"/>
        <v>$M(2015)/million</v>
      </c>
    </row>
    <row r="146" spans="1:13" x14ac:dyDescent="0.25">
      <c r="A146" t="str">
        <v>IA</v>
      </c>
      <c r="B146" s="26">
        <f ca="1">'Adaptive costs A'!B146-'Adaptive costs B'!B146</f>
        <v>0</v>
      </c>
      <c r="C146" s="26">
        <f ca="1">'Adaptive costs A'!C146-'Adaptive costs B'!C146</f>
        <v>0</v>
      </c>
      <c r="D146" s="26">
        <f ca="1">'Adaptive costs A'!D146-'Adaptive costs B'!D146</f>
        <v>0</v>
      </c>
      <c r="E146" s="26">
        <f ca="1">'Adaptive costs A'!E146-'Adaptive costs B'!E146</f>
        <v>0</v>
      </c>
      <c r="F146" s="26">
        <f ca="1">'Adaptive costs A'!F146-'Adaptive costs B'!F146</f>
        <v>0</v>
      </c>
      <c r="G146" s="26">
        <f ca="1">'Adaptive costs A'!G146-'Adaptive costs B'!G146</f>
        <v>0</v>
      </c>
      <c r="H146" s="26">
        <f ca="1">'Adaptive costs A'!H146-'Adaptive costs B'!H146</f>
        <v>0</v>
      </c>
      <c r="I146" s="26">
        <f ca="1">'Adaptive costs A'!I146-'Adaptive costs B'!I146</f>
        <v>0</v>
      </c>
      <c r="J146" s="26">
        <f ca="1">'Adaptive costs A'!J146-'Adaptive costs B'!J146</f>
        <v>0</v>
      </c>
      <c r="K146" s="26">
        <f ca="1">'Adaptive costs A'!K146-'Adaptive costs B'!K146</f>
        <v>0</v>
      </c>
      <c r="L146" s="1"/>
      <c r="M146" s="1" t="str">
        <f t="shared" si="12"/>
        <v>$M(2015)/million</v>
      </c>
    </row>
    <row r="147" spans="1:13" x14ac:dyDescent="0.25">
      <c r="A147" t="str">
        <v>AF</v>
      </c>
      <c r="B147" s="26">
        <f ca="1">'Adaptive costs A'!B147-'Adaptive costs B'!B147</f>
        <v>0</v>
      </c>
      <c r="C147" s="26">
        <f ca="1">'Adaptive costs A'!C147-'Adaptive costs B'!C147</f>
        <v>0</v>
      </c>
      <c r="D147" s="26">
        <f ca="1">'Adaptive costs A'!D147-'Adaptive costs B'!D147</f>
        <v>0</v>
      </c>
      <c r="E147" s="26">
        <f ca="1">'Adaptive costs A'!E147-'Adaptive costs B'!E147</f>
        <v>0</v>
      </c>
      <c r="F147" s="26">
        <f ca="1">'Adaptive costs A'!F147-'Adaptive costs B'!F147</f>
        <v>0</v>
      </c>
      <c r="G147" s="26">
        <f ca="1">'Adaptive costs A'!G147-'Adaptive costs B'!G147</f>
        <v>0</v>
      </c>
      <c r="H147" s="26">
        <f ca="1">'Adaptive costs A'!H147-'Adaptive costs B'!H147</f>
        <v>0</v>
      </c>
      <c r="I147" s="26">
        <f ca="1">'Adaptive costs A'!I147-'Adaptive costs B'!I147</f>
        <v>0</v>
      </c>
      <c r="J147" s="26">
        <f ca="1">'Adaptive costs A'!J147-'Adaptive costs B'!J147</f>
        <v>0</v>
      </c>
      <c r="K147" s="26">
        <f ca="1">'Adaptive costs A'!K147-'Adaptive costs B'!K147</f>
        <v>0</v>
      </c>
      <c r="L147" s="1"/>
      <c r="M147" s="1" t="str">
        <f t="shared" si="12"/>
        <v>$M(2015)/million</v>
      </c>
    </row>
    <row r="148" spans="1:13" x14ac:dyDescent="0.25">
      <c r="A148" t="str">
        <v>LA</v>
      </c>
      <c r="B148" s="26">
        <f ca="1">'Adaptive costs A'!B148-'Adaptive costs B'!B148</f>
        <v>0</v>
      </c>
      <c r="C148" s="26">
        <f ca="1">'Adaptive costs A'!C148-'Adaptive costs B'!C148</f>
        <v>0</v>
      </c>
      <c r="D148" s="26">
        <f ca="1">'Adaptive costs A'!D148-'Adaptive costs B'!D148</f>
        <v>0</v>
      </c>
      <c r="E148" s="26">
        <f ca="1">'Adaptive costs A'!E148-'Adaptive costs B'!E148</f>
        <v>0</v>
      </c>
      <c r="F148" s="26">
        <f ca="1">'Adaptive costs A'!F148-'Adaptive costs B'!F148</f>
        <v>0</v>
      </c>
      <c r="G148" s="26">
        <f ca="1">'Adaptive costs A'!G148-'Adaptive costs B'!G148</f>
        <v>0</v>
      </c>
      <c r="H148" s="26">
        <f ca="1">'Adaptive costs A'!H148-'Adaptive costs B'!H148</f>
        <v>0</v>
      </c>
      <c r="I148" s="26">
        <f ca="1">'Adaptive costs A'!I148-'Adaptive costs B'!I148</f>
        <v>0</v>
      </c>
      <c r="J148" s="26">
        <f ca="1">'Adaptive costs A'!J148-'Adaptive costs B'!J148</f>
        <v>0</v>
      </c>
      <c r="K148" s="26">
        <f ca="1">'Adaptive costs A'!K148-'Adaptive costs B'!K148</f>
        <v>0</v>
      </c>
      <c r="L148" s="1"/>
      <c r="M148" s="1" t="str">
        <f t="shared" si="12"/>
        <v>$M(2015)/million</v>
      </c>
    </row>
    <row r="149" spans="1:13" ht="15" x14ac:dyDescent="0.4">
      <c r="A149" s="44" t="s">
        <v>383</v>
      </c>
      <c r="B149" s="2" t="s">
        <v>389</v>
      </c>
      <c r="C149" s="1"/>
      <c r="D149" s="1"/>
      <c r="E149" s="1"/>
      <c r="F149" s="1"/>
      <c r="G149" s="1"/>
      <c r="H149" s="1"/>
      <c r="I149" s="1"/>
      <c r="J149" s="1"/>
      <c r="K149" s="1"/>
      <c r="L149" s="1"/>
      <c r="M149" s="1"/>
    </row>
    <row r="150" spans="1:13" x14ac:dyDescent="0.25">
      <c r="A150" t="str">
        <f t="array" ref="A150:A157">R_CODE</f>
        <v>EU</v>
      </c>
      <c r="B150" s="66">
        <f ca="1">'Adaptive costs A'!B150-'Adaptive costs B'!B150</f>
        <v>0</v>
      </c>
      <c r="C150" s="66">
        <f ca="1">'Adaptive costs A'!C150-'Adaptive costs B'!C150</f>
        <v>0</v>
      </c>
      <c r="D150" s="66">
        <f ca="1">'Adaptive costs A'!D150-'Adaptive costs B'!D150</f>
        <v>0</v>
      </c>
      <c r="E150" s="66">
        <f ca="1">'Adaptive costs A'!E150-'Adaptive costs B'!E150</f>
        <v>0</v>
      </c>
      <c r="F150" s="66">
        <f ca="1">'Adaptive costs A'!F150-'Adaptive costs B'!F150</f>
        <v>0</v>
      </c>
      <c r="G150" s="66">
        <f ca="1">'Adaptive costs A'!G150-'Adaptive costs B'!G150</f>
        <v>0</v>
      </c>
      <c r="H150" s="66">
        <f ca="1">'Adaptive costs A'!H150-'Adaptive costs B'!H150</f>
        <v>0</v>
      </c>
      <c r="I150" s="66">
        <f ca="1">'Adaptive costs A'!I150-'Adaptive costs B'!I150</f>
        <v>0</v>
      </c>
      <c r="J150" s="66">
        <f ca="1">'Adaptive costs A'!J150-'Adaptive costs B'!J150</f>
        <v>0</v>
      </c>
      <c r="K150" s="66">
        <f ca="1">'Adaptive costs A'!K150-'Adaptive costs B'!K150</f>
        <v>0</v>
      </c>
      <c r="L150" s="1"/>
      <c r="M150" s="4" t="str">
        <f t="shared" ref="M150:M158" si="13">CURRENCY_NAME</f>
        <v>$M(2015)</v>
      </c>
    </row>
    <row r="151" spans="1:13" x14ac:dyDescent="0.25">
      <c r="A151" t="str">
        <v>US</v>
      </c>
      <c r="B151" s="67">
        <f ca="1">'Adaptive costs A'!B151-'Adaptive costs B'!B151</f>
        <v>0</v>
      </c>
      <c r="C151" s="67">
        <f ca="1">'Adaptive costs A'!C151-'Adaptive costs B'!C151</f>
        <v>0</v>
      </c>
      <c r="D151" s="67">
        <f ca="1">'Adaptive costs A'!D151-'Adaptive costs B'!D151</f>
        <v>0</v>
      </c>
      <c r="E151" s="67">
        <f ca="1">'Adaptive costs A'!E151-'Adaptive costs B'!E151</f>
        <v>0</v>
      </c>
      <c r="F151" s="67">
        <f ca="1">'Adaptive costs A'!F151-'Adaptive costs B'!F151</f>
        <v>0</v>
      </c>
      <c r="G151" s="67">
        <f ca="1">'Adaptive costs A'!G151-'Adaptive costs B'!G151</f>
        <v>0</v>
      </c>
      <c r="H151" s="67">
        <f ca="1">'Adaptive costs A'!H151-'Adaptive costs B'!H151</f>
        <v>0</v>
      </c>
      <c r="I151" s="67">
        <f ca="1">'Adaptive costs A'!I151-'Adaptive costs B'!I151</f>
        <v>0</v>
      </c>
      <c r="J151" s="67">
        <f ca="1">'Adaptive costs A'!J151-'Adaptive costs B'!J151</f>
        <v>0</v>
      </c>
      <c r="K151" s="67">
        <f ca="1">'Adaptive costs A'!K151-'Adaptive costs B'!K151</f>
        <v>0</v>
      </c>
      <c r="L151" s="1"/>
      <c r="M151" s="4" t="str">
        <f t="shared" si="13"/>
        <v>$M(2015)</v>
      </c>
    </row>
    <row r="152" spans="1:13" x14ac:dyDescent="0.25">
      <c r="A152" t="str">
        <v>OT</v>
      </c>
      <c r="B152" s="67">
        <f ca="1">'Adaptive costs A'!B152-'Adaptive costs B'!B152</f>
        <v>0</v>
      </c>
      <c r="C152" s="67">
        <f ca="1">'Adaptive costs A'!C152-'Adaptive costs B'!C152</f>
        <v>0</v>
      </c>
      <c r="D152" s="67">
        <f ca="1">'Adaptive costs A'!D152-'Adaptive costs B'!D152</f>
        <v>0</v>
      </c>
      <c r="E152" s="67">
        <f ca="1">'Adaptive costs A'!E152-'Adaptive costs B'!E152</f>
        <v>0</v>
      </c>
      <c r="F152" s="67">
        <f ca="1">'Adaptive costs A'!F152-'Adaptive costs B'!F152</f>
        <v>0</v>
      </c>
      <c r="G152" s="67">
        <f ca="1">'Adaptive costs A'!G152-'Adaptive costs B'!G152</f>
        <v>0</v>
      </c>
      <c r="H152" s="67">
        <f ca="1">'Adaptive costs A'!H152-'Adaptive costs B'!H152</f>
        <v>0</v>
      </c>
      <c r="I152" s="67">
        <f ca="1">'Adaptive costs A'!I152-'Adaptive costs B'!I152</f>
        <v>0</v>
      </c>
      <c r="J152" s="67">
        <f ca="1">'Adaptive costs A'!J152-'Adaptive costs B'!J152</f>
        <v>0</v>
      </c>
      <c r="K152" s="67">
        <f ca="1">'Adaptive costs A'!K152-'Adaptive costs B'!K152</f>
        <v>0</v>
      </c>
      <c r="L152" s="1"/>
      <c r="M152" s="4" t="str">
        <f t="shared" si="13"/>
        <v>$M(2015)</v>
      </c>
    </row>
    <row r="153" spans="1:13" x14ac:dyDescent="0.25">
      <c r="A153" t="str">
        <v>EE</v>
      </c>
      <c r="B153" s="67">
        <f ca="1">'Adaptive costs A'!B153-'Adaptive costs B'!B153</f>
        <v>0</v>
      </c>
      <c r="C153" s="67">
        <f ca="1">'Adaptive costs A'!C153-'Adaptive costs B'!C153</f>
        <v>0</v>
      </c>
      <c r="D153" s="67">
        <f ca="1">'Adaptive costs A'!D153-'Adaptive costs B'!D153</f>
        <v>0</v>
      </c>
      <c r="E153" s="67">
        <f ca="1">'Adaptive costs A'!E153-'Adaptive costs B'!E153</f>
        <v>0</v>
      </c>
      <c r="F153" s="67">
        <f ca="1">'Adaptive costs A'!F153-'Adaptive costs B'!F153</f>
        <v>0</v>
      </c>
      <c r="G153" s="67">
        <f ca="1">'Adaptive costs A'!G153-'Adaptive costs B'!G153</f>
        <v>0</v>
      </c>
      <c r="H153" s="67">
        <f ca="1">'Adaptive costs A'!H153-'Adaptive costs B'!H153</f>
        <v>0</v>
      </c>
      <c r="I153" s="67">
        <f ca="1">'Adaptive costs A'!I153-'Adaptive costs B'!I153</f>
        <v>0</v>
      </c>
      <c r="J153" s="67">
        <f ca="1">'Adaptive costs A'!J153-'Adaptive costs B'!J153</f>
        <v>0</v>
      </c>
      <c r="K153" s="67">
        <f ca="1">'Adaptive costs A'!K153-'Adaptive costs B'!K153</f>
        <v>0</v>
      </c>
      <c r="L153" s="1"/>
      <c r="M153" s="4" t="str">
        <f t="shared" si="13"/>
        <v>$M(2015)</v>
      </c>
    </row>
    <row r="154" spans="1:13" x14ac:dyDescent="0.25">
      <c r="A154" t="str">
        <v>CA</v>
      </c>
      <c r="B154" s="67">
        <f ca="1">'Adaptive costs A'!B154-'Adaptive costs B'!B154</f>
        <v>0</v>
      </c>
      <c r="C154" s="67">
        <f ca="1">'Adaptive costs A'!C154-'Adaptive costs B'!C154</f>
        <v>0</v>
      </c>
      <c r="D154" s="67">
        <f ca="1">'Adaptive costs A'!D154-'Adaptive costs B'!D154</f>
        <v>0</v>
      </c>
      <c r="E154" s="67">
        <f ca="1">'Adaptive costs A'!E154-'Adaptive costs B'!E154</f>
        <v>0</v>
      </c>
      <c r="F154" s="67">
        <f ca="1">'Adaptive costs A'!F154-'Adaptive costs B'!F154</f>
        <v>0</v>
      </c>
      <c r="G154" s="67">
        <f ca="1">'Adaptive costs A'!G154-'Adaptive costs B'!G154</f>
        <v>0</v>
      </c>
      <c r="H154" s="67">
        <f ca="1">'Adaptive costs A'!H154-'Adaptive costs B'!H154</f>
        <v>0</v>
      </c>
      <c r="I154" s="67">
        <f ca="1">'Adaptive costs A'!I154-'Adaptive costs B'!I154</f>
        <v>0</v>
      </c>
      <c r="J154" s="67">
        <f ca="1">'Adaptive costs A'!J154-'Adaptive costs B'!J154</f>
        <v>0</v>
      </c>
      <c r="K154" s="67">
        <f ca="1">'Adaptive costs A'!K154-'Adaptive costs B'!K154</f>
        <v>0</v>
      </c>
      <c r="L154" s="1"/>
      <c r="M154" s="4" t="str">
        <f t="shared" si="13"/>
        <v>$M(2015)</v>
      </c>
    </row>
    <row r="155" spans="1:13" x14ac:dyDescent="0.25">
      <c r="A155" t="str">
        <v>IA</v>
      </c>
      <c r="B155" s="67">
        <f ca="1">'Adaptive costs A'!B155-'Adaptive costs B'!B155</f>
        <v>0</v>
      </c>
      <c r="C155" s="67">
        <f ca="1">'Adaptive costs A'!C155-'Adaptive costs B'!C155</f>
        <v>0</v>
      </c>
      <c r="D155" s="67">
        <f ca="1">'Adaptive costs A'!D155-'Adaptive costs B'!D155</f>
        <v>0</v>
      </c>
      <c r="E155" s="67">
        <f ca="1">'Adaptive costs A'!E155-'Adaptive costs B'!E155</f>
        <v>0</v>
      </c>
      <c r="F155" s="67">
        <f ca="1">'Adaptive costs A'!F155-'Adaptive costs B'!F155</f>
        <v>0</v>
      </c>
      <c r="G155" s="67">
        <f ca="1">'Adaptive costs A'!G155-'Adaptive costs B'!G155</f>
        <v>0</v>
      </c>
      <c r="H155" s="67">
        <f ca="1">'Adaptive costs A'!H155-'Adaptive costs B'!H155</f>
        <v>0</v>
      </c>
      <c r="I155" s="67">
        <f ca="1">'Adaptive costs A'!I155-'Adaptive costs B'!I155</f>
        <v>0</v>
      </c>
      <c r="J155" s="67">
        <f ca="1">'Adaptive costs A'!J155-'Adaptive costs B'!J155</f>
        <v>0</v>
      </c>
      <c r="K155" s="67">
        <f ca="1">'Adaptive costs A'!K155-'Adaptive costs B'!K155</f>
        <v>0</v>
      </c>
      <c r="L155" s="1"/>
      <c r="M155" s="4" t="str">
        <f t="shared" si="13"/>
        <v>$M(2015)</v>
      </c>
    </row>
    <row r="156" spans="1:13" x14ac:dyDescent="0.25">
      <c r="A156" t="str">
        <v>AF</v>
      </c>
      <c r="B156" s="67">
        <f ca="1">'Adaptive costs A'!B156-'Adaptive costs B'!B156</f>
        <v>0</v>
      </c>
      <c r="C156" s="67">
        <f ca="1">'Adaptive costs A'!C156-'Adaptive costs B'!C156</f>
        <v>0</v>
      </c>
      <c r="D156" s="67">
        <f ca="1">'Adaptive costs A'!D156-'Adaptive costs B'!D156</f>
        <v>0</v>
      </c>
      <c r="E156" s="67">
        <f ca="1">'Adaptive costs A'!E156-'Adaptive costs B'!E156</f>
        <v>0</v>
      </c>
      <c r="F156" s="67">
        <f ca="1">'Adaptive costs A'!F156-'Adaptive costs B'!F156</f>
        <v>0</v>
      </c>
      <c r="G156" s="67">
        <f ca="1">'Adaptive costs A'!G156-'Adaptive costs B'!G156</f>
        <v>0</v>
      </c>
      <c r="H156" s="67">
        <f ca="1">'Adaptive costs A'!H156-'Adaptive costs B'!H156</f>
        <v>0</v>
      </c>
      <c r="I156" s="67">
        <f ca="1">'Adaptive costs A'!I156-'Adaptive costs B'!I156</f>
        <v>0</v>
      </c>
      <c r="J156" s="67">
        <f ca="1">'Adaptive costs A'!J156-'Adaptive costs B'!J156</f>
        <v>0</v>
      </c>
      <c r="K156" s="67">
        <f ca="1">'Adaptive costs A'!K156-'Adaptive costs B'!K156</f>
        <v>0</v>
      </c>
      <c r="L156" s="1"/>
      <c r="M156" s="4" t="str">
        <f t="shared" si="13"/>
        <v>$M(2015)</v>
      </c>
    </row>
    <row r="157" spans="1:13" x14ac:dyDescent="0.25">
      <c r="A157" t="str">
        <v>LA</v>
      </c>
      <c r="B157" s="67">
        <f ca="1">'Adaptive costs A'!B157-'Adaptive costs B'!B157</f>
        <v>0</v>
      </c>
      <c r="C157" s="67">
        <f ca="1">'Adaptive costs A'!C157-'Adaptive costs B'!C157</f>
        <v>0</v>
      </c>
      <c r="D157" s="67">
        <f ca="1">'Adaptive costs A'!D157-'Adaptive costs B'!D157</f>
        <v>0</v>
      </c>
      <c r="E157" s="67">
        <f ca="1">'Adaptive costs A'!E157-'Adaptive costs B'!E157</f>
        <v>0</v>
      </c>
      <c r="F157" s="67">
        <f ca="1">'Adaptive costs A'!F157-'Adaptive costs B'!F157</f>
        <v>0</v>
      </c>
      <c r="G157" s="67">
        <f ca="1">'Adaptive costs A'!G157-'Adaptive costs B'!G157</f>
        <v>0</v>
      </c>
      <c r="H157" s="67">
        <f ca="1">'Adaptive costs A'!H157-'Adaptive costs B'!H157</f>
        <v>0</v>
      </c>
      <c r="I157" s="67">
        <f ca="1">'Adaptive costs A'!I157-'Adaptive costs B'!I157</f>
        <v>0</v>
      </c>
      <c r="J157" s="67">
        <f ca="1">'Adaptive costs A'!J157-'Adaptive costs B'!J157</f>
        <v>0</v>
      </c>
      <c r="K157" s="67">
        <f ca="1">'Adaptive costs A'!K157-'Adaptive costs B'!K157</f>
        <v>0</v>
      </c>
      <c r="L157" s="1"/>
      <c r="M157" s="4" t="str">
        <f t="shared" si="13"/>
        <v>$M(2015)</v>
      </c>
    </row>
    <row r="158" spans="1:13" ht="13.5" thickBot="1" x14ac:dyDescent="0.35">
      <c r="A158" s="2" t="s">
        <v>206</v>
      </c>
      <c r="B158" s="73">
        <f ca="1">'Adaptive costs A'!B158-'Adaptive costs B'!B158</f>
        <v>0</v>
      </c>
      <c r="C158" s="73">
        <f ca="1">'Adaptive costs A'!C158-'Adaptive costs B'!C158</f>
        <v>0</v>
      </c>
      <c r="D158" s="73">
        <f ca="1">'Adaptive costs A'!D158-'Adaptive costs B'!D158</f>
        <v>0</v>
      </c>
      <c r="E158" s="73">
        <f ca="1">'Adaptive costs A'!E158-'Adaptive costs B'!E158</f>
        <v>0</v>
      </c>
      <c r="F158" s="73">
        <f ca="1">'Adaptive costs A'!F158-'Adaptive costs B'!F158</f>
        <v>0</v>
      </c>
      <c r="G158" s="73">
        <f ca="1">'Adaptive costs A'!G158-'Adaptive costs B'!G158</f>
        <v>0</v>
      </c>
      <c r="H158" s="73">
        <f ca="1">'Adaptive costs A'!H158-'Adaptive costs B'!H158</f>
        <v>0</v>
      </c>
      <c r="I158" s="73">
        <f ca="1">'Adaptive costs A'!I158-'Adaptive costs B'!I158</f>
        <v>0</v>
      </c>
      <c r="J158" s="73">
        <f ca="1">'Adaptive costs A'!J158-'Adaptive costs B'!J158</f>
        <v>0</v>
      </c>
      <c r="K158" s="73">
        <f ca="1">'Adaptive costs A'!K158-'Adaptive costs B'!K158</f>
        <v>0</v>
      </c>
      <c r="L158" s="1"/>
      <c r="M158" s="4" t="str">
        <f t="shared" si="13"/>
        <v>$M(2015)</v>
      </c>
    </row>
    <row r="159" spans="1:13" s="2" customFormat="1" ht="15.5" thickTop="1" x14ac:dyDescent="0.4">
      <c r="A159" s="2" t="s">
        <v>97</v>
      </c>
      <c r="B159" s="2" t="s">
        <v>390</v>
      </c>
    </row>
    <row r="160" spans="1:13" x14ac:dyDescent="0.25">
      <c r="A160" t="str">
        <f t="array" ref="A160:A167">R_CODE</f>
        <v>EU</v>
      </c>
      <c r="B160" s="66">
        <f ca="1">'Adaptive costs A'!B160-'Adaptive costs B'!B160</f>
        <v>0</v>
      </c>
      <c r="C160" s="66">
        <f ca="1">'Adaptive costs A'!C160-'Adaptive costs B'!C160</f>
        <v>0</v>
      </c>
      <c r="D160" s="66">
        <f ca="1">'Adaptive costs A'!D160-'Adaptive costs B'!D160</f>
        <v>0</v>
      </c>
      <c r="E160" s="66">
        <f ca="1">'Adaptive costs A'!E160-'Adaptive costs B'!E160</f>
        <v>0</v>
      </c>
      <c r="F160" s="66">
        <f ca="1">'Adaptive costs A'!F160-'Adaptive costs B'!F160</f>
        <v>0</v>
      </c>
      <c r="G160" s="66">
        <f ca="1">'Adaptive costs A'!G160-'Adaptive costs B'!G160</f>
        <v>0</v>
      </c>
      <c r="H160" s="66">
        <f ca="1">'Adaptive costs A'!H160-'Adaptive costs B'!H160</f>
        <v>0</v>
      </c>
      <c r="I160" s="66">
        <f ca="1">'Adaptive costs A'!I160-'Adaptive costs B'!I160</f>
        <v>0</v>
      </c>
      <c r="J160" s="66">
        <f ca="1">'Adaptive costs A'!J160-'Adaptive costs B'!J160</f>
        <v>0</v>
      </c>
      <c r="K160" s="66">
        <f ca="1">'Adaptive costs A'!K160-'Adaptive costs B'!K160</f>
        <v>0</v>
      </c>
      <c r="L160" s="1"/>
      <c r="M160" s="4" t="str">
        <f t="shared" ref="M160:M168" si="14">CURRENCY_NAME</f>
        <v>$M(2015)</v>
      </c>
    </row>
    <row r="161" spans="1:13" x14ac:dyDescent="0.25">
      <c r="A161" t="str">
        <v>US</v>
      </c>
      <c r="B161" s="67">
        <f ca="1">'Adaptive costs A'!B161-'Adaptive costs B'!B161</f>
        <v>0</v>
      </c>
      <c r="C161" s="67">
        <f ca="1">'Adaptive costs A'!C161-'Adaptive costs B'!C161</f>
        <v>0</v>
      </c>
      <c r="D161" s="67">
        <f ca="1">'Adaptive costs A'!D161-'Adaptive costs B'!D161</f>
        <v>0</v>
      </c>
      <c r="E161" s="67">
        <f ca="1">'Adaptive costs A'!E161-'Adaptive costs B'!E161</f>
        <v>0</v>
      </c>
      <c r="F161" s="67">
        <f ca="1">'Adaptive costs A'!F161-'Adaptive costs B'!F161</f>
        <v>0</v>
      </c>
      <c r="G161" s="67">
        <f ca="1">'Adaptive costs A'!G161-'Adaptive costs B'!G161</f>
        <v>0</v>
      </c>
      <c r="H161" s="67">
        <f ca="1">'Adaptive costs A'!H161-'Adaptive costs B'!H161</f>
        <v>0</v>
      </c>
      <c r="I161" s="67">
        <f ca="1">'Adaptive costs A'!I161-'Adaptive costs B'!I161</f>
        <v>0</v>
      </c>
      <c r="J161" s="67">
        <f ca="1">'Adaptive costs A'!J161-'Adaptive costs B'!J161</f>
        <v>0</v>
      </c>
      <c r="K161" s="67">
        <f ca="1">'Adaptive costs A'!K161-'Adaptive costs B'!K161</f>
        <v>0</v>
      </c>
      <c r="L161" s="1"/>
      <c r="M161" s="4" t="str">
        <f t="shared" si="14"/>
        <v>$M(2015)</v>
      </c>
    </row>
    <row r="162" spans="1:13" x14ac:dyDescent="0.25">
      <c r="A162" t="str">
        <v>OT</v>
      </c>
      <c r="B162" s="67">
        <f ca="1">'Adaptive costs A'!B162-'Adaptive costs B'!B162</f>
        <v>0</v>
      </c>
      <c r="C162" s="67">
        <f ca="1">'Adaptive costs A'!C162-'Adaptive costs B'!C162</f>
        <v>0</v>
      </c>
      <c r="D162" s="67">
        <f ca="1">'Adaptive costs A'!D162-'Adaptive costs B'!D162</f>
        <v>0</v>
      </c>
      <c r="E162" s="67">
        <f ca="1">'Adaptive costs A'!E162-'Adaptive costs B'!E162</f>
        <v>0</v>
      </c>
      <c r="F162" s="67">
        <f ca="1">'Adaptive costs A'!F162-'Adaptive costs B'!F162</f>
        <v>0</v>
      </c>
      <c r="G162" s="67">
        <f ca="1">'Adaptive costs A'!G162-'Adaptive costs B'!G162</f>
        <v>0</v>
      </c>
      <c r="H162" s="67">
        <f ca="1">'Adaptive costs A'!H162-'Adaptive costs B'!H162</f>
        <v>0</v>
      </c>
      <c r="I162" s="67">
        <f ca="1">'Adaptive costs A'!I162-'Adaptive costs B'!I162</f>
        <v>0</v>
      </c>
      <c r="J162" s="67">
        <f ca="1">'Adaptive costs A'!J162-'Adaptive costs B'!J162</f>
        <v>0</v>
      </c>
      <c r="K162" s="67">
        <f ca="1">'Adaptive costs A'!K162-'Adaptive costs B'!K162</f>
        <v>0</v>
      </c>
      <c r="L162" s="1"/>
      <c r="M162" s="4" t="str">
        <f t="shared" si="14"/>
        <v>$M(2015)</v>
      </c>
    </row>
    <row r="163" spans="1:13" x14ac:dyDescent="0.25">
      <c r="A163" t="str">
        <v>EE</v>
      </c>
      <c r="B163" s="67">
        <f ca="1">'Adaptive costs A'!B163-'Adaptive costs B'!B163</f>
        <v>0</v>
      </c>
      <c r="C163" s="67">
        <f ca="1">'Adaptive costs A'!C163-'Adaptive costs B'!C163</f>
        <v>0</v>
      </c>
      <c r="D163" s="67">
        <f ca="1">'Adaptive costs A'!D163-'Adaptive costs B'!D163</f>
        <v>0</v>
      </c>
      <c r="E163" s="67">
        <f ca="1">'Adaptive costs A'!E163-'Adaptive costs B'!E163</f>
        <v>0</v>
      </c>
      <c r="F163" s="67">
        <f ca="1">'Adaptive costs A'!F163-'Adaptive costs B'!F163</f>
        <v>0</v>
      </c>
      <c r="G163" s="67">
        <f ca="1">'Adaptive costs A'!G163-'Adaptive costs B'!G163</f>
        <v>0</v>
      </c>
      <c r="H163" s="67">
        <f ca="1">'Adaptive costs A'!H163-'Adaptive costs B'!H163</f>
        <v>0</v>
      </c>
      <c r="I163" s="67">
        <f ca="1">'Adaptive costs A'!I163-'Adaptive costs B'!I163</f>
        <v>0</v>
      </c>
      <c r="J163" s="67">
        <f ca="1">'Adaptive costs A'!J163-'Adaptive costs B'!J163</f>
        <v>0</v>
      </c>
      <c r="K163" s="67">
        <f ca="1">'Adaptive costs A'!K163-'Adaptive costs B'!K163</f>
        <v>0</v>
      </c>
      <c r="L163" s="1"/>
      <c r="M163" s="4" t="str">
        <f t="shared" si="14"/>
        <v>$M(2015)</v>
      </c>
    </row>
    <row r="164" spans="1:13" x14ac:dyDescent="0.25">
      <c r="A164" t="str">
        <v>CA</v>
      </c>
      <c r="B164" s="67">
        <f ca="1">'Adaptive costs A'!B164-'Adaptive costs B'!B164</f>
        <v>0</v>
      </c>
      <c r="C164" s="67">
        <f ca="1">'Adaptive costs A'!C164-'Adaptive costs B'!C164</f>
        <v>0</v>
      </c>
      <c r="D164" s="67">
        <f ca="1">'Adaptive costs A'!D164-'Adaptive costs B'!D164</f>
        <v>0</v>
      </c>
      <c r="E164" s="67">
        <f ca="1">'Adaptive costs A'!E164-'Adaptive costs B'!E164</f>
        <v>0</v>
      </c>
      <c r="F164" s="67">
        <f ca="1">'Adaptive costs A'!F164-'Adaptive costs B'!F164</f>
        <v>0</v>
      </c>
      <c r="G164" s="67">
        <f ca="1">'Adaptive costs A'!G164-'Adaptive costs B'!G164</f>
        <v>0</v>
      </c>
      <c r="H164" s="67">
        <f ca="1">'Adaptive costs A'!H164-'Adaptive costs B'!H164</f>
        <v>0</v>
      </c>
      <c r="I164" s="67">
        <f ca="1">'Adaptive costs A'!I164-'Adaptive costs B'!I164</f>
        <v>0</v>
      </c>
      <c r="J164" s="67">
        <f ca="1">'Adaptive costs A'!J164-'Adaptive costs B'!J164</f>
        <v>0</v>
      </c>
      <c r="K164" s="67">
        <f ca="1">'Adaptive costs A'!K164-'Adaptive costs B'!K164</f>
        <v>0</v>
      </c>
      <c r="L164" s="1"/>
      <c r="M164" s="4" t="str">
        <f t="shared" si="14"/>
        <v>$M(2015)</v>
      </c>
    </row>
    <row r="165" spans="1:13" x14ac:dyDescent="0.25">
      <c r="A165" t="str">
        <v>IA</v>
      </c>
      <c r="B165" s="67">
        <f ca="1">'Adaptive costs A'!B165-'Adaptive costs B'!B165</f>
        <v>0</v>
      </c>
      <c r="C165" s="67">
        <f ca="1">'Adaptive costs A'!C165-'Adaptive costs B'!C165</f>
        <v>0</v>
      </c>
      <c r="D165" s="67">
        <f ca="1">'Adaptive costs A'!D165-'Adaptive costs B'!D165</f>
        <v>0</v>
      </c>
      <c r="E165" s="67">
        <f ca="1">'Adaptive costs A'!E165-'Adaptive costs B'!E165</f>
        <v>0</v>
      </c>
      <c r="F165" s="67">
        <f ca="1">'Adaptive costs A'!F165-'Adaptive costs B'!F165</f>
        <v>0</v>
      </c>
      <c r="G165" s="67">
        <f ca="1">'Adaptive costs A'!G165-'Adaptive costs B'!G165</f>
        <v>0</v>
      </c>
      <c r="H165" s="67">
        <f ca="1">'Adaptive costs A'!H165-'Adaptive costs B'!H165</f>
        <v>0</v>
      </c>
      <c r="I165" s="67">
        <f ca="1">'Adaptive costs A'!I165-'Adaptive costs B'!I165</f>
        <v>0</v>
      </c>
      <c r="J165" s="67">
        <f ca="1">'Adaptive costs A'!J165-'Adaptive costs B'!J165</f>
        <v>0</v>
      </c>
      <c r="K165" s="67">
        <f ca="1">'Adaptive costs A'!K165-'Adaptive costs B'!K165</f>
        <v>0</v>
      </c>
      <c r="L165" s="1"/>
      <c r="M165" s="4" t="str">
        <f t="shared" si="14"/>
        <v>$M(2015)</v>
      </c>
    </row>
    <row r="166" spans="1:13" x14ac:dyDescent="0.25">
      <c r="A166" t="str">
        <v>AF</v>
      </c>
      <c r="B166" s="67">
        <f ca="1">'Adaptive costs A'!B166-'Adaptive costs B'!B166</f>
        <v>0</v>
      </c>
      <c r="C166" s="67">
        <f ca="1">'Adaptive costs A'!C166-'Adaptive costs B'!C166</f>
        <v>0</v>
      </c>
      <c r="D166" s="67">
        <f ca="1">'Adaptive costs A'!D166-'Adaptive costs B'!D166</f>
        <v>0</v>
      </c>
      <c r="E166" s="67">
        <f ca="1">'Adaptive costs A'!E166-'Adaptive costs B'!E166</f>
        <v>0</v>
      </c>
      <c r="F166" s="67">
        <f ca="1">'Adaptive costs A'!F166-'Adaptive costs B'!F166</f>
        <v>0</v>
      </c>
      <c r="G166" s="67">
        <f ca="1">'Adaptive costs A'!G166-'Adaptive costs B'!G166</f>
        <v>0</v>
      </c>
      <c r="H166" s="67">
        <f ca="1">'Adaptive costs A'!H166-'Adaptive costs B'!H166</f>
        <v>0</v>
      </c>
      <c r="I166" s="67">
        <f ca="1">'Adaptive costs A'!I166-'Adaptive costs B'!I166</f>
        <v>0</v>
      </c>
      <c r="J166" s="67">
        <f ca="1">'Adaptive costs A'!J166-'Adaptive costs B'!J166</f>
        <v>0</v>
      </c>
      <c r="K166" s="67">
        <f ca="1">'Adaptive costs A'!K166-'Adaptive costs B'!K166</f>
        <v>0</v>
      </c>
      <c r="L166" s="1"/>
      <c r="M166" s="4" t="str">
        <f t="shared" si="14"/>
        <v>$M(2015)</v>
      </c>
    </row>
    <row r="167" spans="1:13" x14ac:dyDescent="0.25">
      <c r="A167" t="str">
        <v>LA</v>
      </c>
      <c r="B167" s="67">
        <f ca="1">'Adaptive costs A'!B167-'Adaptive costs B'!B167</f>
        <v>0</v>
      </c>
      <c r="C167" s="67">
        <f ca="1">'Adaptive costs A'!C167-'Adaptive costs B'!C167</f>
        <v>0</v>
      </c>
      <c r="D167" s="67">
        <f ca="1">'Adaptive costs A'!D167-'Adaptive costs B'!D167</f>
        <v>0</v>
      </c>
      <c r="E167" s="67">
        <f ca="1">'Adaptive costs A'!E167-'Adaptive costs B'!E167</f>
        <v>0</v>
      </c>
      <c r="F167" s="67">
        <f ca="1">'Adaptive costs A'!F167-'Adaptive costs B'!F167</f>
        <v>0</v>
      </c>
      <c r="G167" s="67">
        <f ca="1">'Adaptive costs A'!G167-'Adaptive costs B'!G167</f>
        <v>0</v>
      </c>
      <c r="H167" s="67">
        <f ca="1">'Adaptive costs A'!H167-'Adaptive costs B'!H167</f>
        <v>0</v>
      </c>
      <c r="I167" s="67">
        <f ca="1">'Adaptive costs A'!I167-'Adaptive costs B'!I167</f>
        <v>0</v>
      </c>
      <c r="J167" s="67">
        <f ca="1">'Adaptive costs A'!J167-'Adaptive costs B'!J167</f>
        <v>0</v>
      </c>
      <c r="K167" s="67">
        <f ca="1">'Adaptive costs A'!K167-'Adaptive costs B'!K167</f>
        <v>0</v>
      </c>
      <c r="L167" s="1"/>
      <c r="M167" s="4" t="str">
        <f t="shared" si="14"/>
        <v>$M(2015)</v>
      </c>
    </row>
    <row r="168" spans="1:13" ht="13.5" thickBot="1" x14ac:dyDescent="0.35">
      <c r="A168" s="2" t="s">
        <v>206</v>
      </c>
      <c r="B168" s="73">
        <f ca="1">'Adaptive costs A'!B168-'Adaptive costs B'!B168</f>
        <v>0</v>
      </c>
      <c r="C168" s="73">
        <f ca="1">'Adaptive costs A'!C168-'Adaptive costs B'!C168</f>
        <v>0</v>
      </c>
      <c r="D168" s="73">
        <f ca="1">'Adaptive costs A'!D168-'Adaptive costs B'!D168</f>
        <v>0</v>
      </c>
      <c r="E168" s="73">
        <f ca="1">'Adaptive costs A'!E168-'Adaptive costs B'!E168</f>
        <v>0</v>
      </c>
      <c r="F168" s="73">
        <f ca="1">'Adaptive costs A'!F168-'Adaptive costs B'!F168</f>
        <v>0</v>
      </c>
      <c r="G168" s="73">
        <f ca="1">'Adaptive costs A'!G168-'Adaptive costs B'!G168</f>
        <v>0</v>
      </c>
      <c r="H168" s="73">
        <f ca="1">'Adaptive costs A'!H168-'Adaptive costs B'!H168</f>
        <v>0</v>
      </c>
      <c r="I168" s="73">
        <f ca="1">'Adaptive costs A'!I168-'Adaptive costs B'!I168</f>
        <v>0</v>
      </c>
      <c r="J168" s="73">
        <f ca="1">'Adaptive costs A'!J168-'Adaptive costs B'!J168</f>
        <v>0</v>
      </c>
      <c r="K168" s="73">
        <f ca="1">'Adaptive costs A'!K168-'Adaptive costs B'!K168</f>
        <v>0</v>
      </c>
      <c r="L168" s="1"/>
      <c r="M168" s="4" t="str">
        <f t="shared" si="14"/>
        <v>$M(2015)</v>
      </c>
    </row>
    <row r="169" spans="1:13" s="2" customFormat="1" ht="15.5" thickTop="1" x14ac:dyDescent="0.4">
      <c r="A169" s="2" t="s">
        <v>98</v>
      </c>
      <c r="B169" s="2" t="s">
        <v>391</v>
      </c>
      <c r="L169" s="2" t="s">
        <v>112</v>
      </c>
    </row>
    <row r="170" spans="1:13" s="4" customFormat="1" x14ac:dyDescent="0.25">
      <c r="A170" t="str">
        <f t="array" ref="A170:A177">R_CODE</f>
        <v>EU</v>
      </c>
      <c r="B170" s="66">
        <f ca="1">'Adaptive costs A'!B170-'Adaptive costs B'!B170</f>
        <v>0</v>
      </c>
      <c r="C170" s="66">
        <f ca="1">'Adaptive costs A'!C170-'Adaptive costs B'!C170</f>
        <v>0</v>
      </c>
      <c r="D170" s="66">
        <f ca="1">'Adaptive costs A'!D170-'Adaptive costs B'!D170</f>
        <v>0</v>
      </c>
      <c r="E170" s="66">
        <f ca="1">'Adaptive costs A'!E170-'Adaptive costs B'!E170</f>
        <v>0</v>
      </c>
      <c r="F170" s="66">
        <f ca="1">'Adaptive costs A'!F170-'Adaptive costs B'!F170</f>
        <v>0</v>
      </c>
      <c r="G170" s="66">
        <f ca="1">'Adaptive costs A'!G170-'Adaptive costs B'!G170</f>
        <v>0</v>
      </c>
      <c r="H170" s="66">
        <f ca="1">'Adaptive costs A'!H170-'Adaptive costs B'!H170</f>
        <v>0</v>
      </c>
      <c r="I170" s="66">
        <f ca="1">'Adaptive costs A'!I170-'Adaptive costs B'!I170</f>
        <v>0</v>
      </c>
      <c r="J170" s="66">
        <f ca="1">'Adaptive costs A'!J170-'Adaptive costs B'!J170</f>
        <v>0</v>
      </c>
      <c r="K170" s="66">
        <f ca="1">'Adaptive costs A'!K170-'Adaptive costs B'!K170</f>
        <v>0</v>
      </c>
      <c r="L170" s="74">
        <f ca="1">'Adaptive costs A'!L170-'Adaptive costs B'!L170</f>
        <v>0</v>
      </c>
      <c r="M170" s="4" t="str">
        <f t="shared" ref="M170:M179" si="15">CURRENCY_NAME</f>
        <v>$M(2015)</v>
      </c>
    </row>
    <row r="171" spans="1:13" s="4" customFormat="1" x14ac:dyDescent="0.25">
      <c r="A171" t="str">
        <v>US</v>
      </c>
      <c r="B171" s="67">
        <f ca="1">'Adaptive costs A'!B171-'Adaptive costs B'!B171</f>
        <v>0</v>
      </c>
      <c r="C171" s="67">
        <f ca="1">'Adaptive costs A'!C171-'Adaptive costs B'!C171</f>
        <v>0</v>
      </c>
      <c r="D171" s="67">
        <f ca="1">'Adaptive costs A'!D171-'Adaptive costs B'!D171</f>
        <v>0</v>
      </c>
      <c r="E171" s="67">
        <f ca="1">'Adaptive costs A'!E171-'Adaptive costs B'!E171</f>
        <v>0</v>
      </c>
      <c r="F171" s="67">
        <f ca="1">'Adaptive costs A'!F171-'Adaptive costs B'!F171</f>
        <v>0</v>
      </c>
      <c r="G171" s="67">
        <f ca="1">'Adaptive costs A'!G171-'Adaptive costs B'!G171</f>
        <v>0</v>
      </c>
      <c r="H171" s="67">
        <f ca="1">'Adaptive costs A'!H171-'Adaptive costs B'!H171</f>
        <v>0</v>
      </c>
      <c r="I171" s="67">
        <f ca="1">'Adaptive costs A'!I171-'Adaptive costs B'!I171</f>
        <v>0</v>
      </c>
      <c r="J171" s="67">
        <f ca="1">'Adaptive costs A'!J171-'Adaptive costs B'!J171</f>
        <v>0</v>
      </c>
      <c r="K171" s="67">
        <f ca="1">'Adaptive costs A'!K171-'Adaptive costs B'!K171</f>
        <v>0</v>
      </c>
      <c r="L171" s="75">
        <f ca="1">'Adaptive costs A'!L171-'Adaptive costs B'!L171</f>
        <v>0</v>
      </c>
      <c r="M171" s="4" t="str">
        <f t="shared" si="15"/>
        <v>$M(2015)</v>
      </c>
    </row>
    <row r="172" spans="1:13" s="4" customFormat="1" x14ac:dyDescent="0.25">
      <c r="A172" t="str">
        <v>OT</v>
      </c>
      <c r="B172" s="67">
        <f ca="1">'Adaptive costs A'!B172-'Adaptive costs B'!B172</f>
        <v>0</v>
      </c>
      <c r="C172" s="67">
        <f ca="1">'Adaptive costs A'!C172-'Adaptive costs B'!C172</f>
        <v>0</v>
      </c>
      <c r="D172" s="67">
        <f ca="1">'Adaptive costs A'!D172-'Adaptive costs B'!D172</f>
        <v>0</v>
      </c>
      <c r="E172" s="67">
        <f ca="1">'Adaptive costs A'!E172-'Adaptive costs B'!E172</f>
        <v>0</v>
      </c>
      <c r="F172" s="67">
        <f ca="1">'Adaptive costs A'!F172-'Adaptive costs B'!F172</f>
        <v>0</v>
      </c>
      <c r="G172" s="67">
        <f ca="1">'Adaptive costs A'!G172-'Adaptive costs B'!G172</f>
        <v>0</v>
      </c>
      <c r="H172" s="67">
        <f ca="1">'Adaptive costs A'!H172-'Adaptive costs B'!H172</f>
        <v>0</v>
      </c>
      <c r="I172" s="67">
        <f ca="1">'Adaptive costs A'!I172-'Adaptive costs B'!I172</f>
        <v>0</v>
      </c>
      <c r="J172" s="67">
        <f ca="1">'Adaptive costs A'!J172-'Adaptive costs B'!J172</f>
        <v>0</v>
      </c>
      <c r="K172" s="67">
        <f ca="1">'Adaptive costs A'!K172-'Adaptive costs B'!K172</f>
        <v>0</v>
      </c>
      <c r="L172" s="75">
        <f ca="1">'Adaptive costs A'!L172-'Adaptive costs B'!L172</f>
        <v>0</v>
      </c>
      <c r="M172" s="4" t="str">
        <f t="shared" si="15"/>
        <v>$M(2015)</v>
      </c>
    </row>
    <row r="173" spans="1:13" s="4" customFormat="1" x14ac:dyDescent="0.25">
      <c r="A173" t="str">
        <v>EE</v>
      </c>
      <c r="B173" s="67">
        <f ca="1">'Adaptive costs A'!B173-'Adaptive costs B'!B173</f>
        <v>0</v>
      </c>
      <c r="C173" s="67">
        <f ca="1">'Adaptive costs A'!C173-'Adaptive costs B'!C173</f>
        <v>0</v>
      </c>
      <c r="D173" s="67">
        <f ca="1">'Adaptive costs A'!D173-'Adaptive costs B'!D173</f>
        <v>0</v>
      </c>
      <c r="E173" s="67">
        <f ca="1">'Adaptive costs A'!E173-'Adaptive costs B'!E173</f>
        <v>0</v>
      </c>
      <c r="F173" s="67">
        <f ca="1">'Adaptive costs A'!F173-'Adaptive costs B'!F173</f>
        <v>0</v>
      </c>
      <c r="G173" s="67">
        <f ca="1">'Adaptive costs A'!G173-'Adaptive costs B'!G173</f>
        <v>0</v>
      </c>
      <c r="H173" s="67">
        <f ca="1">'Adaptive costs A'!H173-'Adaptive costs B'!H173</f>
        <v>0</v>
      </c>
      <c r="I173" s="67">
        <f ca="1">'Adaptive costs A'!I173-'Adaptive costs B'!I173</f>
        <v>0</v>
      </c>
      <c r="J173" s="67">
        <f ca="1">'Adaptive costs A'!J173-'Adaptive costs B'!J173</f>
        <v>0</v>
      </c>
      <c r="K173" s="67">
        <f ca="1">'Adaptive costs A'!K173-'Adaptive costs B'!K173</f>
        <v>0</v>
      </c>
      <c r="L173" s="75">
        <f ca="1">'Adaptive costs A'!L173-'Adaptive costs B'!L173</f>
        <v>0</v>
      </c>
      <c r="M173" s="4" t="str">
        <f t="shared" si="15"/>
        <v>$M(2015)</v>
      </c>
    </row>
    <row r="174" spans="1:13" s="4" customFormat="1" x14ac:dyDescent="0.25">
      <c r="A174" t="str">
        <v>CA</v>
      </c>
      <c r="B174" s="67">
        <f ca="1">'Adaptive costs A'!B174-'Adaptive costs B'!B174</f>
        <v>0</v>
      </c>
      <c r="C174" s="67">
        <f ca="1">'Adaptive costs A'!C174-'Adaptive costs B'!C174</f>
        <v>0</v>
      </c>
      <c r="D174" s="67">
        <f ca="1">'Adaptive costs A'!D174-'Adaptive costs B'!D174</f>
        <v>0</v>
      </c>
      <c r="E174" s="67">
        <f ca="1">'Adaptive costs A'!E174-'Adaptive costs B'!E174</f>
        <v>0</v>
      </c>
      <c r="F174" s="67">
        <f ca="1">'Adaptive costs A'!F174-'Adaptive costs B'!F174</f>
        <v>0</v>
      </c>
      <c r="G174" s="67">
        <f ca="1">'Adaptive costs A'!G174-'Adaptive costs B'!G174</f>
        <v>0</v>
      </c>
      <c r="H174" s="67">
        <f ca="1">'Adaptive costs A'!H174-'Adaptive costs B'!H174</f>
        <v>0</v>
      </c>
      <c r="I174" s="67">
        <f ca="1">'Adaptive costs A'!I174-'Adaptive costs B'!I174</f>
        <v>0</v>
      </c>
      <c r="J174" s="67">
        <f ca="1">'Adaptive costs A'!J174-'Adaptive costs B'!J174</f>
        <v>0</v>
      </c>
      <c r="K174" s="67">
        <f ca="1">'Adaptive costs A'!K174-'Adaptive costs B'!K174</f>
        <v>0</v>
      </c>
      <c r="L174" s="75">
        <f ca="1">'Adaptive costs A'!L174-'Adaptive costs B'!L174</f>
        <v>0</v>
      </c>
      <c r="M174" s="4" t="str">
        <f t="shared" si="15"/>
        <v>$M(2015)</v>
      </c>
    </row>
    <row r="175" spans="1:13" s="4" customFormat="1" x14ac:dyDescent="0.25">
      <c r="A175" t="str">
        <v>IA</v>
      </c>
      <c r="B175" s="67">
        <f ca="1">'Adaptive costs A'!B175-'Adaptive costs B'!B175</f>
        <v>0</v>
      </c>
      <c r="C175" s="67">
        <f ca="1">'Adaptive costs A'!C175-'Adaptive costs B'!C175</f>
        <v>0</v>
      </c>
      <c r="D175" s="67">
        <f ca="1">'Adaptive costs A'!D175-'Adaptive costs B'!D175</f>
        <v>0</v>
      </c>
      <c r="E175" s="67">
        <f ca="1">'Adaptive costs A'!E175-'Adaptive costs B'!E175</f>
        <v>0</v>
      </c>
      <c r="F175" s="67">
        <f ca="1">'Adaptive costs A'!F175-'Adaptive costs B'!F175</f>
        <v>0</v>
      </c>
      <c r="G175" s="67">
        <f ca="1">'Adaptive costs A'!G175-'Adaptive costs B'!G175</f>
        <v>0</v>
      </c>
      <c r="H175" s="67">
        <f ca="1">'Adaptive costs A'!H175-'Adaptive costs B'!H175</f>
        <v>0</v>
      </c>
      <c r="I175" s="67">
        <f ca="1">'Adaptive costs A'!I175-'Adaptive costs B'!I175</f>
        <v>0</v>
      </c>
      <c r="J175" s="67">
        <f ca="1">'Adaptive costs A'!J175-'Adaptive costs B'!J175</f>
        <v>0</v>
      </c>
      <c r="K175" s="67">
        <f ca="1">'Adaptive costs A'!K175-'Adaptive costs B'!K175</f>
        <v>0</v>
      </c>
      <c r="L175" s="75">
        <f ca="1">'Adaptive costs A'!L175-'Adaptive costs B'!L175</f>
        <v>0</v>
      </c>
      <c r="M175" s="4" t="str">
        <f t="shared" si="15"/>
        <v>$M(2015)</v>
      </c>
    </row>
    <row r="176" spans="1:13" s="4" customFormat="1" x14ac:dyDescent="0.25">
      <c r="A176" t="str">
        <v>AF</v>
      </c>
      <c r="B176" s="67">
        <f ca="1">'Adaptive costs A'!B176-'Adaptive costs B'!B176</f>
        <v>0</v>
      </c>
      <c r="C176" s="67">
        <f ca="1">'Adaptive costs A'!C176-'Adaptive costs B'!C176</f>
        <v>0</v>
      </c>
      <c r="D176" s="67">
        <f ca="1">'Adaptive costs A'!D176-'Adaptive costs B'!D176</f>
        <v>0</v>
      </c>
      <c r="E176" s="67">
        <f ca="1">'Adaptive costs A'!E176-'Adaptive costs B'!E176</f>
        <v>0</v>
      </c>
      <c r="F176" s="67">
        <f ca="1">'Adaptive costs A'!F176-'Adaptive costs B'!F176</f>
        <v>0</v>
      </c>
      <c r="G176" s="67">
        <f ca="1">'Adaptive costs A'!G176-'Adaptive costs B'!G176</f>
        <v>0</v>
      </c>
      <c r="H176" s="67">
        <f ca="1">'Adaptive costs A'!H176-'Adaptive costs B'!H176</f>
        <v>0</v>
      </c>
      <c r="I176" s="67">
        <f ca="1">'Adaptive costs A'!I176-'Adaptive costs B'!I176</f>
        <v>0</v>
      </c>
      <c r="J176" s="67">
        <f ca="1">'Adaptive costs A'!J176-'Adaptive costs B'!J176</f>
        <v>0</v>
      </c>
      <c r="K176" s="67">
        <f ca="1">'Adaptive costs A'!K176-'Adaptive costs B'!K176</f>
        <v>0</v>
      </c>
      <c r="L176" s="75">
        <f ca="1">'Adaptive costs A'!L176-'Adaptive costs B'!L176</f>
        <v>0</v>
      </c>
      <c r="M176" s="4" t="str">
        <f t="shared" si="15"/>
        <v>$M(2015)</v>
      </c>
    </row>
    <row r="177" spans="1:13" s="4" customFormat="1" x14ac:dyDescent="0.25">
      <c r="A177" t="str">
        <v>LA</v>
      </c>
      <c r="B177" s="67">
        <f ca="1">'Adaptive costs A'!B177-'Adaptive costs B'!B177</f>
        <v>0</v>
      </c>
      <c r="C177" s="67">
        <f ca="1">'Adaptive costs A'!C177-'Adaptive costs B'!C177</f>
        <v>0</v>
      </c>
      <c r="D177" s="67">
        <f ca="1">'Adaptive costs A'!D177-'Adaptive costs B'!D177</f>
        <v>0</v>
      </c>
      <c r="E177" s="67">
        <f ca="1">'Adaptive costs A'!E177-'Adaptive costs B'!E177</f>
        <v>0</v>
      </c>
      <c r="F177" s="67">
        <f ca="1">'Adaptive costs A'!F177-'Adaptive costs B'!F177</f>
        <v>0</v>
      </c>
      <c r="G177" s="67">
        <f ca="1">'Adaptive costs A'!G177-'Adaptive costs B'!G177</f>
        <v>0</v>
      </c>
      <c r="H177" s="67">
        <f ca="1">'Adaptive costs A'!H177-'Adaptive costs B'!H177</f>
        <v>0</v>
      </c>
      <c r="I177" s="67">
        <f ca="1">'Adaptive costs A'!I177-'Adaptive costs B'!I177</f>
        <v>0</v>
      </c>
      <c r="J177" s="67">
        <f ca="1">'Adaptive costs A'!J177-'Adaptive costs B'!J177</f>
        <v>0</v>
      </c>
      <c r="K177" s="67">
        <f ca="1">'Adaptive costs A'!K177-'Adaptive costs B'!K177</f>
        <v>0</v>
      </c>
      <c r="L177" s="75">
        <f ca="1">'Adaptive costs A'!L177-'Adaptive costs B'!L177</f>
        <v>0</v>
      </c>
      <c r="M177" s="4" t="str">
        <f t="shared" si="15"/>
        <v>$M(2015)</v>
      </c>
    </row>
    <row r="178" spans="1:13" s="2" customFormat="1" ht="13.5" thickBot="1" x14ac:dyDescent="0.35">
      <c r="A178" s="2" t="s">
        <v>206</v>
      </c>
      <c r="B178" s="73">
        <f ca="1">'Adaptive costs A'!B178-'Adaptive costs B'!B178</f>
        <v>0</v>
      </c>
      <c r="C178" s="73">
        <f ca="1">'Adaptive costs A'!C178-'Adaptive costs B'!C178</f>
        <v>0</v>
      </c>
      <c r="D178" s="73">
        <f ca="1">'Adaptive costs A'!D178-'Adaptive costs B'!D178</f>
        <v>0</v>
      </c>
      <c r="E178" s="73">
        <f ca="1">'Adaptive costs A'!E178-'Adaptive costs B'!E178</f>
        <v>0</v>
      </c>
      <c r="F178" s="73">
        <f ca="1">'Adaptive costs A'!F178-'Adaptive costs B'!F178</f>
        <v>0</v>
      </c>
      <c r="G178" s="73">
        <f ca="1">'Adaptive costs A'!G178-'Adaptive costs B'!G178</f>
        <v>0</v>
      </c>
      <c r="H178" s="73">
        <f ca="1">'Adaptive costs A'!H178-'Adaptive costs B'!H178</f>
        <v>0</v>
      </c>
      <c r="I178" s="73">
        <f ca="1">'Adaptive costs A'!I178-'Adaptive costs B'!I178</f>
        <v>0</v>
      </c>
      <c r="J178" s="73">
        <f ca="1">'Adaptive costs A'!J178-'Adaptive costs B'!J178</f>
        <v>0</v>
      </c>
      <c r="K178" s="73">
        <f ca="1">'Adaptive costs A'!K178-'Adaptive costs B'!K178</f>
        <v>0</v>
      </c>
      <c r="L178" s="75">
        <f ca="1">'Adaptive costs A'!L178-'Adaptive costs B'!L178</f>
        <v>0</v>
      </c>
      <c r="M178" s="4" t="str">
        <f t="shared" si="15"/>
        <v>$M(2015)</v>
      </c>
    </row>
    <row r="179" spans="1:13" ht="14" thickTop="1" thickBot="1" x14ac:dyDescent="0.35">
      <c r="A179" s="2" t="s">
        <v>109</v>
      </c>
      <c r="L179" s="73">
        <f ca="1">'Adaptive costs A'!L179-'Adaptive costs B'!L179</f>
        <v>0</v>
      </c>
      <c r="M179" s="4" t="str">
        <f t="shared" si="15"/>
        <v>$M(2015)</v>
      </c>
    </row>
    <row r="180" spans="1:13" ht="13" thickTop="1" x14ac:dyDescent="0.25"/>
  </sheetData>
  <pageMargins left="0.75" right="0.75" top="1" bottom="1" header="0.5" footer="0.5"/>
  <pageSetup paperSize="9" orientation="portrait" horizontalDpi="360" verticalDpi="36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T444"/>
  <sheetViews>
    <sheetView topLeftCell="B403" workbookViewId="0">
      <selection activeCell="G411" sqref="G411"/>
    </sheetView>
  </sheetViews>
  <sheetFormatPr defaultRowHeight="12.5" x14ac:dyDescent="0.25"/>
  <cols>
    <col min="1" max="1" width="17.81640625" bestFit="1" customWidth="1"/>
    <col min="2" max="2" width="12.54296875" customWidth="1"/>
    <col min="3" max="3" width="10.1796875" bestFit="1" customWidth="1"/>
    <col min="4" max="5" width="9.81640625" bestFit="1" customWidth="1"/>
    <col min="6" max="9" width="10.81640625" bestFit="1" customWidth="1"/>
    <col min="10" max="12" width="11.81640625" bestFit="1" customWidth="1"/>
    <col min="13" max="13" width="11.54296875" customWidth="1"/>
    <col min="14" max="14" width="8.81640625" bestFit="1" customWidth="1"/>
    <col min="17" max="17" width="9.54296875" bestFit="1" customWidth="1"/>
  </cols>
  <sheetData>
    <row r="1" spans="1:7" ht="13" x14ac:dyDescent="0.3">
      <c r="A1" s="2" t="str">
        <f>MODEL_NAME</f>
        <v>PAGE-ICE Nonlinear Arctic Feedbacks</v>
      </c>
      <c r="B1" s="2"/>
      <c r="C1" t="s">
        <v>39</v>
      </c>
      <c r="D1" s="51" t="str">
        <f>VERSION</f>
        <v>6.22</v>
      </c>
    </row>
    <row r="2" spans="1:7" s="3" customFormat="1" x14ac:dyDescent="0.25"/>
    <row r="3" spans="1:7" s="3" customFormat="1" x14ac:dyDescent="0.25">
      <c r="A3" s="3" t="s">
        <v>705</v>
      </c>
    </row>
    <row r="4" spans="1:7" s="3" customFormat="1" x14ac:dyDescent="0.25">
      <c r="A4" s="3" t="str">
        <f t="array" ref="A4:A11">R_CODE</f>
        <v>EU</v>
      </c>
      <c r="C4" s="32">
        <f t="array" aca="1" ref="C4:C11" ca="1" xml:space="preserve"> RTL_ABS_CMIP5_BASE + (RT_G_0_MEAN - RT_G_CMIP5_BASE) * AMPF</f>
        <v>10.609386676836788</v>
      </c>
      <c r="D4" s="3" t="s">
        <v>43</v>
      </c>
      <c r="E4" s="3" t="s">
        <v>726</v>
      </c>
    </row>
    <row r="5" spans="1:7" s="3" customFormat="1" x14ac:dyDescent="0.25">
      <c r="A5" s="3" t="str">
        <v>US</v>
      </c>
      <c r="C5" s="33">
        <f ca="1"/>
        <v>13.942659086417576</v>
      </c>
      <c r="D5" s="3" t="s">
        <v>43</v>
      </c>
      <c r="E5" s="3" t="s">
        <v>726</v>
      </c>
    </row>
    <row r="6" spans="1:7" s="3" customFormat="1" x14ac:dyDescent="0.25">
      <c r="A6" s="3" t="str">
        <v>OT</v>
      </c>
      <c r="C6" s="33">
        <f ca="1"/>
        <v>12.531359717895191</v>
      </c>
      <c r="D6" s="3" t="s">
        <v>43</v>
      </c>
      <c r="E6" s="3" t="s">
        <v>726</v>
      </c>
    </row>
    <row r="7" spans="1:7" s="3" customFormat="1" x14ac:dyDescent="0.25">
      <c r="A7" s="3" t="str">
        <v>EE</v>
      </c>
      <c r="C7" s="33">
        <f ca="1"/>
        <v>7.7461712917308017</v>
      </c>
      <c r="D7" s="3" t="s">
        <v>43</v>
      </c>
      <c r="E7" s="3" t="s">
        <v>726</v>
      </c>
    </row>
    <row r="8" spans="1:7" s="3" customFormat="1" x14ac:dyDescent="0.25">
      <c r="A8" s="3" t="str">
        <v>CA</v>
      </c>
      <c r="C8" s="33">
        <f ca="1"/>
        <v>15.461782611724232</v>
      </c>
      <c r="D8" s="3" t="s">
        <v>43</v>
      </c>
      <c r="E8" s="3" t="s">
        <v>726</v>
      </c>
    </row>
    <row r="9" spans="1:7" s="3" customFormat="1" x14ac:dyDescent="0.25">
      <c r="A9" s="3" t="str">
        <v>IA</v>
      </c>
      <c r="C9" s="33">
        <f ca="1"/>
        <v>25.337426204563457</v>
      </c>
      <c r="D9" s="3" t="s">
        <v>43</v>
      </c>
      <c r="E9" s="3" t="s">
        <v>726</v>
      </c>
    </row>
    <row r="10" spans="1:7" s="3" customFormat="1" x14ac:dyDescent="0.25">
      <c r="A10" s="3" t="str">
        <v>AF</v>
      </c>
      <c r="C10" s="33">
        <f ca="1"/>
        <v>22.35642079387241</v>
      </c>
      <c r="D10" s="3" t="s">
        <v>43</v>
      </c>
      <c r="E10" s="3" t="s">
        <v>726</v>
      </c>
    </row>
    <row r="11" spans="1:7" s="3" customFormat="1" ht="13" thickBot="1" x14ac:dyDescent="0.3">
      <c r="A11" s="3" t="str">
        <v>LA</v>
      </c>
      <c r="C11" s="34">
        <f ca="1"/>
        <v>21.519354574959305</v>
      </c>
      <c r="D11" s="3" t="s">
        <v>43</v>
      </c>
      <c r="E11" s="3" t="s">
        <v>726</v>
      </c>
    </row>
    <row r="12" spans="1:7" s="3" customFormat="1" ht="13" thickTop="1" x14ac:dyDescent="0.25"/>
    <row r="13" spans="1:7" s="3" customFormat="1" x14ac:dyDescent="0.25">
      <c r="A13" s="3" t="s">
        <v>701</v>
      </c>
    </row>
    <row r="14" spans="1:7" s="3" customFormat="1" x14ac:dyDescent="0.25">
      <c r="C14" s="3" t="s">
        <v>698</v>
      </c>
      <c r="E14" s="3" t="s">
        <v>700</v>
      </c>
      <c r="G14" s="3" t="s">
        <v>699</v>
      </c>
    </row>
    <row r="15" spans="1:7" x14ac:dyDescent="0.25">
      <c r="A15" s="1" t="str">
        <f t="array" ref="A15:A22">R_CODE</f>
        <v>EU</v>
      </c>
      <c r="C15" s="32">
        <v>1</v>
      </c>
      <c r="E15" s="32">
        <v>1</v>
      </c>
      <c r="G15" s="32">
        <v>1</v>
      </c>
    </row>
    <row r="16" spans="1:7" x14ac:dyDescent="0.25">
      <c r="A16" s="1" t="str">
        <v>US</v>
      </c>
      <c r="C16" s="33">
        <f t="array" aca="1" ref="C16:C22" ca="1">WF_S</f>
        <v>0.79999999999999993</v>
      </c>
      <c r="E16" s="33">
        <f t="array" aca="1" ref="E16:E22" ca="1">WF_1</f>
        <v>1</v>
      </c>
      <c r="G16" s="33">
        <f t="array" aca="1" ref="G16:G22" ca="1">WF_2</f>
        <v>1</v>
      </c>
    </row>
    <row r="17" spans="1:14" x14ac:dyDescent="0.25">
      <c r="A17" s="1" t="str">
        <v>OT</v>
      </c>
      <c r="C17" s="33">
        <f ca="1"/>
        <v>0.80000000000000016</v>
      </c>
      <c r="E17" s="33">
        <f ca="1"/>
        <v>1</v>
      </c>
      <c r="G17" s="33">
        <f ca="1"/>
        <v>1</v>
      </c>
    </row>
    <row r="18" spans="1:14" x14ac:dyDescent="0.25">
      <c r="A18" s="1" t="str">
        <v>EE</v>
      </c>
      <c r="C18" s="33">
        <f ca="1"/>
        <v>0.40000000000000008</v>
      </c>
      <c r="E18" s="33">
        <f ca="1"/>
        <v>1</v>
      </c>
      <c r="G18" s="33">
        <f ca="1"/>
        <v>1</v>
      </c>
    </row>
    <row r="19" spans="1:14" x14ac:dyDescent="0.25">
      <c r="A19" s="1" t="str">
        <v>CA</v>
      </c>
      <c r="C19" s="33">
        <f ca="1"/>
        <v>0.80000000000000016</v>
      </c>
      <c r="E19" s="33">
        <f ca="1"/>
        <v>1</v>
      </c>
      <c r="G19" s="33">
        <f ca="1"/>
        <v>1</v>
      </c>
    </row>
    <row r="20" spans="1:14" x14ac:dyDescent="0.25">
      <c r="A20" s="1" t="str">
        <v>IA</v>
      </c>
      <c r="C20" s="33">
        <f ca="1"/>
        <v>0.80000000000000016</v>
      </c>
      <c r="E20" s="33">
        <f ca="1"/>
        <v>1</v>
      </c>
      <c r="G20" s="33">
        <f ca="1"/>
        <v>1</v>
      </c>
    </row>
    <row r="21" spans="1:14" x14ac:dyDescent="0.25">
      <c r="A21" s="1" t="str">
        <v>AF</v>
      </c>
      <c r="C21" s="33">
        <f ca="1"/>
        <v>0.6</v>
      </c>
      <c r="E21" s="33">
        <f ca="1"/>
        <v>1</v>
      </c>
      <c r="G21" s="33">
        <f ca="1"/>
        <v>1</v>
      </c>
    </row>
    <row r="22" spans="1:14" ht="13" thickBot="1" x14ac:dyDescent="0.3">
      <c r="A22" s="1" t="str">
        <v>LA</v>
      </c>
      <c r="C22" s="34">
        <f ca="1"/>
        <v>0.6</v>
      </c>
      <c r="E22" s="34">
        <f ca="1"/>
        <v>1</v>
      </c>
      <c r="G22" s="34">
        <f ca="1"/>
        <v>1</v>
      </c>
    </row>
    <row r="23" spans="1:14" ht="13.5" thickTop="1" thickBot="1" x14ac:dyDescent="0.3">
      <c r="A23" s="1"/>
      <c r="C23" s="222"/>
    </row>
    <row r="24" spans="1:14" ht="13.5" thickTop="1" thickBot="1" x14ac:dyDescent="0.3">
      <c r="A24" t="s">
        <v>260</v>
      </c>
      <c r="C24" s="34">
        <f ca="1">ISAT*(1-SAVE/100)</f>
        <v>17</v>
      </c>
      <c r="D24" t="s">
        <v>134</v>
      </c>
    </row>
    <row r="25" spans="1:14" ht="13" thickTop="1" x14ac:dyDescent="0.25"/>
    <row r="26" spans="1:14" x14ac:dyDescent="0.25">
      <c r="B26">
        <f>Y_0</f>
        <v>2015</v>
      </c>
      <c r="C26">
        <f t="array" ref="C26:L26">Y</f>
        <v>2020</v>
      </c>
      <c r="D26">
        <v>2030</v>
      </c>
      <c r="E26">
        <v>2040</v>
      </c>
      <c r="F26">
        <v>2050</v>
      </c>
      <c r="G26">
        <v>2075</v>
      </c>
      <c r="H26">
        <v>2100</v>
      </c>
      <c r="I26">
        <v>2150</v>
      </c>
      <c r="J26">
        <v>2200</v>
      </c>
      <c r="K26">
        <v>2250</v>
      </c>
      <c r="L26">
        <v>2300</v>
      </c>
    </row>
    <row r="27" spans="1:14" s="4" customFormat="1" x14ac:dyDescent="0.25">
      <c r="A27" s="4" t="s">
        <v>59</v>
      </c>
      <c r="C27" s="12">
        <f t="array" ref="C27:L27">YP</f>
        <v>5</v>
      </c>
      <c r="D27" s="12">
        <v>10</v>
      </c>
      <c r="E27" s="12">
        <v>10</v>
      </c>
      <c r="F27" s="12">
        <v>10</v>
      </c>
      <c r="G27" s="12">
        <v>25</v>
      </c>
      <c r="H27" s="12">
        <v>25</v>
      </c>
      <c r="I27" s="12">
        <v>50</v>
      </c>
      <c r="J27" s="12">
        <v>50</v>
      </c>
      <c r="K27" s="12">
        <v>50</v>
      </c>
      <c r="L27" s="12">
        <v>50</v>
      </c>
      <c r="N27" s="4" t="s">
        <v>41</v>
      </c>
    </row>
    <row r="28" spans="1:14" s="4" customFormat="1" x14ac:dyDescent="0.25">
      <c r="A28" s="4" t="s">
        <v>84</v>
      </c>
      <c r="C28" s="14">
        <f t="array" ref="C28:K28">(Y+Y_NOT_1)/2</f>
        <v>2025</v>
      </c>
      <c r="D28" s="14">
        <v>2035</v>
      </c>
      <c r="E28" s="14">
        <v>2045</v>
      </c>
      <c r="F28" s="14">
        <v>2062.5</v>
      </c>
      <c r="G28" s="14">
        <v>2087.5</v>
      </c>
      <c r="H28" s="14">
        <v>2125</v>
      </c>
      <c r="I28" s="14">
        <v>2175</v>
      </c>
      <c r="J28" s="14">
        <v>2225</v>
      </c>
      <c r="K28" s="14">
        <v>2275</v>
      </c>
      <c r="L28" s="14">
        <f>Y_LAST</f>
        <v>2300</v>
      </c>
    </row>
    <row r="29" spans="1:14" s="4" customFormat="1" x14ac:dyDescent="0.25">
      <c r="A29" s="4" t="s">
        <v>85</v>
      </c>
      <c r="C29" s="14">
        <f>Y_0</f>
        <v>2015</v>
      </c>
      <c r="D29" s="14">
        <f t="array" ref="D29:L29">(Y+Y_NOT_1)/2</f>
        <v>2025</v>
      </c>
      <c r="E29" s="14">
        <v>2035</v>
      </c>
      <c r="F29" s="14">
        <v>2045</v>
      </c>
      <c r="G29" s="14">
        <v>2062.5</v>
      </c>
      <c r="H29" s="14">
        <v>2087.5</v>
      </c>
      <c r="I29" s="14">
        <v>2125</v>
      </c>
      <c r="J29" s="14">
        <v>2175</v>
      </c>
      <c r="K29" s="14">
        <v>2225</v>
      </c>
      <c r="L29" s="14">
        <v>2275</v>
      </c>
    </row>
    <row r="30" spans="1:14" s="4" customFormat="1" ht="13" thickBot="1" x14ac:dyDescent="0.3">
      <c r="A30" s="4" t="s">
        <v>83</v>
      </c>
      <c r="C30" s="35">
        <f t="array" ref="C30:L30">Y_HI-Y_LO</f>
        <v>10</v>
      </c>
      <c r="D30" s="35">
        <v>10</v>
      </c>
      <c r="E30" s="35">
        <v>10</v>
      </c>
      <c r="F30" s="35">
        <v>17.5</v>
      </c>
      <c r="G30" s="35">
        <v>25</v>
      </c>
      <c r="H30" s="35">
        <v>37.5</v>
      </c>
      <c r="I30" s="35">
        <v>50</v>
      </c>
      <c r="J30" s="35">
        <v>50</v>
      </c>
      <c r="K30" s="35">
        <v>50</v>
      </c>
      <c r="L30" s="35">
        <v>25</v>
      </c>
      <c r="N30" s="4" t="s">
        <v>41</v>
      </c>
    </row>
    <row r="31" spans="1:14" s="4" customFormat="1" ht="13" thickTop="1" x14ac:dyDescent="0.25"/>
    <row r="32" spans="1:14" ht="13" x14ac:dyDescent="0.3">
      <c r="A32" s="2" t="s">
        <v>79</v>
      </c>
      <c r="B32" s="2"/>
    </row>
    <row r="33" spans="1:14" ht="15.5" x14ac:dyDescent="0.4">
      <c r="C33" s="3" t="s">
        <v>203</v>
      </c>
    </row>
    <row r="34" spans="1:14" x14ac:dyDescent="0.25">
      <c r="A34" t="str">
        <f t="array" ref="A34:A41">R_CODE&amp;" sea level"</f>
        <v>EU sea level</v>
      </c>
      <c r="C34" s="13">
        <f t="array" ref="C34:L41">IF(Y-pstart_s_a&lt;0,0,IF(((Y-pstart_s_a)/pyears_s_a)&lt;1,((Y-pstart_s_a)/pyears_s_a)*plateau_s_a,plateau_s_a))</f>
        <v>0.1</v>
      </c>
      <c r="D34" s="13">
        <v>0.15</v>
      </c>
      <c r="E34" s="13">
        <v>0.2</v>
      </c>
      <c r="F34" s="13">
        <v>0.25</v>
      </c>
      <c r="G34" s="13">
        <v>0.25</v>
      </c>
      <c r="H34" s="13">
        <v>0.25</v>
      </c>
      <c r="I34" s="13">
        <v>0.25</v>
      </c>
      <c r="J34" s="13">
        <v>0.25</v>
      </c>
      <c r="K34" s="13">
        <v>0.25</v>
      </c>
      <c r="L34" s="13">
        <v>0.25</v>
      </c>
      <c r="N34" s="59" t="s">
        <v>182</v>
      </c>
    </row>
    <row r="35" spans="1:14" x14ac:dyDescent="0.25">
      <c r="A35" t="str">
        <v>US sea level</v>
      </c>
      <c r="C35" s="13">
        <v>0.1</v>
      </c>
      <c r="D35" s="13">
        <v>0.15</v>
      </c>
      <c r="E35" s="13">
        <v>0.2</v>
      </c>
      <c r="F35" s="13">
        <v>0.25</v>
      </c>
      <c r="G35" s="13">
        <v>0.25</v>
      </c>
      <c r="H35" s="13">
        <v>0.25</v>
      </c>
      <c r="I35" s="13">
        <v>0.25</v>
      </c>
      <c r="J35" s="13">
        <v>0.25</v>
      </c>
      <c r="K35" s="13">
        <v>0.25</v>
      </c>
      <c r="L35" s="13">
        <v>0.25</v>
      </c>
      <c r="N35" s="59" t="s">
        <v>182</v>
      </c>
    </row>
    <row r="36" spans="1:14" x14ac:dyDescent="0.25">
      <c r="A36" t="str">
        <v>OT sea level</v>
      </c>
      <c r="C36" s="13">
        <v>0.1</v>
      </c>
      <c r="D36" s="13">
        <v>0.15</v>
      </c>
      <c r="E36" s="13">
        <v>0.2</v>
      </c>
      <c r="F36" s="13">
        <v>0.25</v>
      </c>
      <c r="G36" s="13">
        <v>0.25</v>
      </c>
      <c r="H36" s="13">
        <v>0.25</v>
      </c>
      <c r="I36" s="13">
        <v>0.25</v>
      </c>
      <c r="J36" s="13">
        <v>0.25</v>
      </c>
      <c r="K36" s="13">
        <v>0.25</v>
      </c>
      <c r="L36" s="13">
        <v>0.25</v>
      </c>
      <c r="N36" s="59" t="s">
        <v>182</v>
      </c>
    </row>
    <row r="37" spans="1:14" x14ac:dyDescent="0.25">
      <c r="A37" t="str">
        <v>EE sea level</v>
      </c>
      <c r="C37" s="13">
        <v>0.1</v>
      </c>
      <c r="D37" s="13">
        <v>0.15</v>
      </c>
      <c r="E37" s="13">
        <v>0.2</v>
      </c>
      <c r="F37" s="13">
        <v>0.25</v>
      </c>
      <c r="G37" s="13">
        <v>0.25</v>
      </c>
      <c r="H37" s="13">
        <v>0.25</v>
      </c>
      <c r="I37" s="13">
        <v>0.25</v>
      </c>
      <c r="J37" s="13">
        <v>0.25</v>
      </c>
      <c r="K37" s="13">
        <v>0.25</v>
      </c>
      <c r="L37" s="13">
        <v>0.25</v>
      </c>
      <c r="N37" s="59" t="s">
        <v>182</v>
      </c>
    </row>
    <row r="38" spans="1:14" x14ac:dyDescent="0.25">
      <c r="A38" t="str">
        <v>CA sea level</v>
      </c>
      <c r="C38" s="13">
        <v>5.3333333333333337E-2</v>
      </c>
      <c r="D38" s="13">
        <v>8.0000000000000016E-2</v>
      </c>
      <c r="E38" s="13">
        <v>0.10666666666666667</v>
      </c>
      <c r="F38" s="13">
        <v>0.13333333333333333</v>
      </c>
      <c r="G38" s="13">
        <v>0.2</v>
      </c>
      <c r="H38" s="13">
        <v>0.2</v>
      </c>
      <c r="I38" s="13">
        <v>0.2</v>
      </c>
      <c r="J38" s="13">
        <v>0.2</v>
      </c>
      <c r="K38" s="13">
        <v>0.2</v>
      </c>
      <c r="L38" s="13">
        <v>0.2</v>
      </c>
      <c r="N38" s="59" t="s">
        <v>182</v>
      </c>
    </row>
    <row r="39" spans="1:14" x14ac:dyDescent="0.25">
      <c r="A39" t="str">
        <v>IA sea level</v>
      </c>
      <c r="C39" s="13">
        <v>5.3333333333333337E-2</v>
      </c>
      <c r="D39" s="13">
        <v>8.0000000000000016E-2</v>
      </c>
      <c r="E39" s="13">
        <v>0.10666666666666667</v>
      </c>
      <c r="F39" s="13">
        <v>0.13333333333333333</v>
      </c>
      <c r="G39" s="13">
        <v>0.2</v>
      </c>
      <c r="H39" s="13">
        <v>0.2</v>
      </c>
      <c r="I39" s="13">
        <v>0.2</v>
      </c>
      <c r="J39" s="13">
        <v>0.2</v>
      </c>
      <c r="K39" s="13">
        <v>0.2</v>
      </c>
      <c r="L39" s="13">
        <v>0.2</v>
      </c>
      <c r="N39" s="59" t="s">
        <v>182</v>
      </c>
    </row>
    <row r="40" spans="1:14" x14ac:dyDescent="0.25">
      <c r="A40" t="str">
        <v>AF sea level</v>
      </c>
      <c r="C40" s="13">
        <v>5.3333333333333337E-2</v>
      </c>
      <c r="D40" s="13">
        <v>8.0000000000000016E-2</v>
      </c>
      <c r="E40" s="13">
        <v>0.10666666666666667</v>
      </c>
      <c r="F40" s="13">
        <v>0.13333333333333333</v>
      </c>
      <c r="G40" s="13">
        <v>0.2</v>
      </c>
      <c r="H40" s="13">
        <v>0.2</v>
      </c>
      <c r="I40" s="13">
        <v>0.2</v>
      </c>
      <c r="J40" s="13">
        <v>0.2</v>
      </c>
      <c r="K40" s="13">
        <v>0.2</v>
      </c>
      <c r="L40" s="13">
        <v>0.2</v>
      </c>
      <c r="N40" s="59" t="s">
        <v>182</v>
      </c>
    </row>
    <row r="41" spans="1:14" x14ac:dyDescent="0.25">
      <c r="A41" t="str">
        <v>LA sea level</v>
      </c>
      <c r="C41" s="13">
        <v>5.3333333333333337E-2</v>
      </c>
      <c r="D41" s="13">
        <v>8.0000000000000016E-2</v>
      </c>
      <c r="E41" s="13">
        <v>0.10666666666666667</v>
      </c>
      <c r="F41" s="13">
        <v>0.13333333333333333</v>
      </c>
      <c r="G41" s="13">
        <v>0.2</v>
      </c>
      <c r="H41" s="13">
        <v>0.2</v>
      </c>
      <c r="I41" s="13">
        <v>0.2</v>
      </c>
      <c r="J41" s="13">
        <v>0.2</v>
      </c>
      <c r="K41" s="13">
        <v>0.2</v>
      </c>
      <c r="L41" s="13">
        <v>0.2</v>
      </c>
      <c r="N41" s="59" t="s">
        <v>182</v>
      </c>
    </row>
    <row r="42" spans="1:14" ht="15.5" x14ac:dyDescent="0.4">
      <c r="C42" t="s">
        <v>80</v>
      </c>
    </row>
    <row r="43" spans="1:14" x14ac:dyDescent="0.25">
      <c r="A43" t="str">
        <f t="array" ref="A43:A50">R_CODE&amp;" "&amp;I_1_NAME</f>
        <v>EU Economic</v>
      </c>
      <c r="C43" s="13">
        <f t="array" ref="C43:L50">IF(Y-pstart_1_a&lt;0,0,IF(((Y-pstart_1_a)/pyears_1_a)&lt;1,((Y-pstart_1_a)/pyears_1_a)*plateau_1_a,plateau_1_a))</f>
        <v>0</v>
      </c>
      <c r="D43" s="13">
        <v>0</v>
      </c>
      <c r="E43" s="13">
        <v>0</v>
      </c>
      <c r="F43" s="13">
        <v>0</v>
      </c>
      <c r="G43" s="13">
        <v>0</v>
      </c>
      <c r="H43" s="13">
        <v>0</v>
      </c>
      <c r="I43" s="13">
        <v>0</v>
      </c>
      <c r="J43" s="13">
        <v>0</v>
      </c>
      <c r="K43" s="13">
        <v>0</v>
      </c>
      <c r="L43" s="13">
        <v>0</v>
      </c>
      <c r="N43" s="59" t="s">
        <v>43</v>
      </c>
    </row>
    <row r="44" spans="1:14" x14ac:dyDescent="0.25">
      <c r="A44" t="str">
        <v>US Economic</v>
      </c>
      <c r="C44" s="13">
        <v>0</v>
      </c>
      <c r="D44" s="13">
        <v>0</v>
      </c>
      <c r="E44" s="13">
        <v>0</v>
      </c>
      <c r="F44" s="13">
        <v>0</v>
      </c>
      <c r="G44" s="13">
        <v>0</v>
      </c>
      <c r="H44" s="13">
        <v>0</v>
      </c>
      <c r="I44" s="13">
        <v>0</v>
      </c>
      <c r="J44" s="13">
        <v>0</v>
      </c>
      <c r="K44" s="13">
        <v>0</v>
      </c>
      <c r="L44" s="13">
        <v>0</v>
      </c>
      <c r="N44" s="59" t="s">
        <v>43</v>
      </c>
    </row>
    <row r="45" spans="1:14" x14ac:dyDescent="0.25">
      <c r="A45" t="str">
        <v>OT Economic</v>
      </c>
      <c r="C45" s="13">
        <v>0</v>
      </c>
      <c r="D45" s="13">
        <v>0</v>
      </c>
      <c r="E45" s="13">
        <v>0</v>
      </c>
      <c r="F45" s="13">
        <v>0</v>
      </c>
      <c r="G45" s="13">
        <v>0</v>
      </c>
      <c r="H45" s="13">
        <v>0</v>
      </c>
      <c r="I45" s="13">
        <v>0</v>
      </c>
      <c r="J45" s="13">
        <v>0</v>
      </c>
      <c r="K45" s="13">
        <v>0</v>
      </c>
      <c r="L45" s="13">
        <v>0</v>
      </c>
      <c r="N45" s="59" t="s">
        <v>43</v>
      </c>
    </row>
    <row r="46" spans="1:14" x14ac:dyDescent="0.25">
      <c r="A46" t="str">
        <v>EE Economic</v>
      </c>
      <c r="C46" s="13">
        <v>0</v>
      </c>
      <c r="D46" s="13">
        <v>0</v>
      </c>
      <c r="E46" s="13">
        <v>0</v>
      </c>
      <c r="F46" s="13">
        <v>0</v>
      </c>
      <c r="G46" s="13">
        <v>0</v>
      </c>
      <c r="H46" s="13">
        <v>0</v>
      </c>
      <c r="I46" s="13">
        <v>0</v>
      </c>
      <c r="J46" s="13">
        <v>0</v>
      </c>
      <c r="K46" s="13">
        <v>0</v>
      </c>
      <c r="L46" s="13">
        <v>0</v>
      </c>
      <c r="N46" s="59" t="s">
        <v>43</v>
      </c>
    </row>
    <row r="47" spans="1:14" x14ac:dyDescent="0.25">
      <c r="A47" t="str">
        <v>CA Economic</v>
      </c>
      <c r="C47" s="13">
        <v>0</v>
      </c>
      <c r="D47" s="13">
        <v>0</v>
      </c>
      <c r="E47" s="13">
        <v>0</v>
      </c>
      <c r="F47" s="13">
        <v>0</v>
      </c>
      <c r="G47" s="13">
        <v>0</v>
      </c>
      <c r="H47" s="13">
        <v>0</v>
      </c>
      <c r="I47" s="13">
        <v>0</v>
      </c>
      <c r="J47" s="13">
        <v>0</v>
      </c>
      <c r="K47" s="13">
        <v>0</v>
      </c>
      <c r="L47" s="13">
        <v>0</v>
      </c>
      <c r="N47" s="59" t="s">
        <v>43</v>
      </c>
    </row>
    <row r="48" spans="1:14" x14ac:dyDescent="0.25">
      <c r="A48" t="str">
        <v>IA Economic</v>
      </c>
      <c r="C48" s="13">
        <v>0</v>
      </c>
      <c r="D48" s="13">
        <v>0</v>
      </c>
      <c r="E48" s="13">
        <v>0</v>
      </c>
      <c r="F48" s="13">
        <v>0</v>
      </c>
      <c r="G48" s="13">
        <v>0</v>
      </c>
      <c r="H48" s="13">
        <v>0</v>
      </c>
      <c r="I48" s="13">
        <v>0</v>
      </c>
      <c r="J48" s="13">
        <v>0</v>
      </c>
      <c r="K48" s="13">
        <v>0</v>
      </c>
      <c r="L48" s="13">
        <v>0</v>
      </c>
      <c r="N48" s="59" t="s">
        <v>43</v>
      </c>
    </row>
    <row r="49" spans="1:14" x14ac:dyDescent="0.25">
      <c r="A49" t="str">
        <v>AF Economic</v>
      </c>
      <c r="C49" s="13">
        <v>0</v>
      </c>
      <c r="D49" s="13">
        <v>0</v>
      </c>
      <c r="E49" s="13">
        <v>0</v>
      </c>
      <c r="F49" s="13">
        <v>0</v>
      </c>
      <c r="G49" s="13">
        <v>0</v>
      </c>
      <c r="H49" s="13">
        <v>0</v>
      </c>
      <c r="I49" s="13">
        <v>0</v>
      </c>
      <c r="J49" s="13">
        <v>0</v>
      </c>
      <c r="K49" s="13">
        <v>0</v>
      </c>
      <c r="L49" s="13">
        <v>0</v>
      </c>
      <c r="N49" s="59" t="s">
        <v>43</v>
      </c>
    </row>
    <row r="50" spans="1:14" x14ac:dyDescent="0.25">
      <c r="A50" t="str">
        <v>LA Economic</v>
      </c>
      <c r="C50" s="13">
        <v>0</v>
      </c>
      <c r="D50" s="13">
        <v>0</v>
      </c>
      <c r="E50" s="13">
        <v>0</v>
      </c>
      <c r="F50" s="13">
        <v>0</v>
      </c>
      <c r="G50" s="13">
        <v>0</v>
      </c>
      <c r="H50" s="13">
        <v>0</v>
      </c>
      <c r="I50" s="13">
        <v>0</v>
      </c>
      <c r="J50" s="13">
        <v>0</v>
      </c>
      <c r="K50" s="13">
        <v>0</v>
      </c>
      <c r="L50" s="13">
        <v>0</v>
      </c>
      <c r="N50" s="59" t="s">
        <v>43</v>
      </c>
    </row>
    <row r="51" spans="1:14" ht="15.5" x14ac:dyDescent="0.4">
      <c r="C51" t="s">
        <v>81</v>
      </c>
      <c r="N51" s="1"/>
    </row>
    <row r="52" spans="1:14" x14ac:dyDescent="0.25">
      <c r="A52" t="str">
        <f t="array" ref="A52:A59">R_CODE&amp;" "&amp;I_2_NAME</f>
        <v>EU Non-econ</v>
      </c>
      <c r="C52" s="13">
        <f t="array" ref="C52:L59">IF(Y-pstart_2_a&lt;0,0,IF(((Y-pstart_2_a)/pyears_2_a)&lt;1,((Y-pstart_2_a)/pyears_2_a)*plateau_2_a,plateau_2_a))</f>
        <v>0</v>
      </c>
      <c r="D52" s="13">
        <v>0</v>
      </c>
      <c r="E52" s="13">
        <v>0</v>
      </c>
      <c r="F52" s="13">
        <v>0</v>
      </c>
      <c r="G52" s="13">
        <v>0</v>
      </c>
      <c r="H52" s="13">
        <v>0</v>
      </c>
      <c r="I52" s="13">
        <v>0</v>
      </c>
      <c r="J52" s="13">
        <v>0</v>
      </c>
      <c r="K52" s="13">
        <v>0</v>
      </c>
      <c r="L52" s="13">
        <v>0</v>
      </c>
      <c r="N52" s="59" t="s">
        <v>43</v>
      </c>
    </row>
    <row r="53" spans="1:14" x14ac:dyDescent="0.25">
      <c r="A53" t="str">
        <v>US Non-econ</v>
      </c>
      <c r="C53" s="13">
        <v>0</v>
      </c>
      <c r="D53" s="13">
        <v>0</v>
      </c>
      <c r="E53" s="13">
        <v>0</v>
      </c>
      <c r="F53" s="13">
        <v>0</v>
      </c>
      <c r="G53" s="13">
        <v>0</v>
      </c>
      <c r="H53" s="13">
        <v>0</v>
      </c>
      <c r="I53" s="13">
        <v>0</v>
      </c>
      <c r="J53" s="13">
        <v>0</v>
      </c>
      <c r="K53" s="13">
        <v>0</v>
      </c>
      <c r="L53" s="13">
        <v>0</v>
      </c>
      <c r="N53" s="59" t="s">
        <v>43</v>
      </c>
    </row>
    <row r="54" spans="1:14" x14ac:dyDescent="0.25">
      <c r="A54" t="str">
        <v>OT Non-econ</v>
      </c>
      <c r="C54" s="13">
        <v>0</v>
      </c>
      <c r="D54" s="13">
        <v>0</v>
      </c>
      <c r="E54" s="13">
        <v>0</v>
      </c>
      <c r="F54" s="13">
        <v>0</v>
      </c>
      <c r="G54" s="13">
        <v>0</v>
      </c>
      <c r="H54" s="13">
        <v>0</v>
      </c>
      <c r="I54" s="13">
        <v>0</v>
      </c>
      <c r="J54" s="13">
        <v>0</v>
      </c>
      <c r="K54" s="13">
        <v>0</v>
      </c>
      <c r="L54" s="13">
        <v>0</v>
      </c>
      <c r="N54" s="59" t="s">
        <v>43</v>
      </c>
    </row>
    <row r="55" spans="1:14" x14ac:dyDescent="0.25">
      <c r="A55" t="str">
        <v>EE Non-econ</v>
      </c>
      <c r="C55" s="13">
        <v>0</v>
      </c>
      <c r="D55" s="13">
        <v>0</v>
      </c>
      <c r="E55" s="13">
        <v>0</v>
      </c>
      <c r="F55" s="13">
        <v>0</v>
      </c>
      <c r="G55" s="13">
        <v>0</v>
      </c>
      <c r="H55" s="13">
        <v>0</v>
      </c>
      <c r="I55" s="13">
        <v>0</v>
      </c>
      <c r="J55" s="13">
        <v>0</v>
      </c>
      <c r="K55" s="13">
        <v>0</v>
      </c>
      <c r="L55" s="13">
        <v>0</v>
      </c>
      <c r="N55" s="59" t="s">
        <v>43</v>
      </c>
    </row>
    <row r="56" spans="1:14" x14ac:dyDescent="0.25">
      <c r="A56" t="str">
        <v>CA Non-econ</v>
      </c>
      <c r="C56" s="13">
        <v>0</v>
      </c>
      <c r="D56" s="13">
        <v>0</v>
      </c>
      <c r="E56" s="13">
        <v>0</v>
      </c>
      <c r="F56" s="13">
        <v>0</v>
      </c>
      <c r="G56" s="13">
        <v>0</v>
      </c>
      <c r="H56" s="13">
        <v>0</v>
      </c>
      <c r="I56" s="13">
        <v>0</v>
      </c>
      <c r="J56" s="13">
        <v>0</v>
      </c>
      <c r="K56" s="13">
        <v>0</v>
      </c>
      <c r="L56" s="13">
        <v>0</v>
      </c>
      <c r="N56" s="59" t="s">
        <v>43</v>
      </c>
    </row>
    <row r="57" spans="1:14" x14ac:dyDescent="0.25">
      <c r="A57" t="str">
        <v>IA Non-econ</v>
      </c>
      <c r="C57" s="13">
        <v>0</v>
      </c>
      <c r="D57" s="13">
        <v>0</v>
      </c>
      <c r="E57" s="13">
        <v>0</v>
      </c>
      <c r="F57" s="13">
        <v>0</v>
      </c>
      <c r="G57" s="13">
        <v>0</v>
      </c>
      <c r="H57" s="13">
        <v>0</v>
      </c>
      <c r="I57" s="13">
        <v>0</v>
      </c>
      <c r="J57" s="13">
        <v>0</v>
      </c>
      <c r="K57" s="13">
        <v>0</v>
      </c>
      <c r="L57" s="13">
        <v>0</v>
      </c>
      <c r="N57" s="59" t="s">
        <v>43</v>
      </c>
    </row>
    <row r="58" spans="1:14" x14ac:dyDescent="0.25">
      <c r="A58" t="str">
        <v>AF Non-econ</v>
      </c>
      <c r="C58" s="13">
        <v>0</v>
      </c>
      <c r="D58" s="13">
        <v>0</v>
      </c>
      <c r="E58" s="13">
        <v>0</v>
      </c>
      <c r="F58" s="13">
        <v>0</v>
      </c>
      <c r="G58" s="13">
        <v>0</v>
      </c>
      <c r="H58" s="13">
        <v>0</v>
      </c>
      <c r="I58" s="13">
        <v>0</v>
      </c>
      <c r="J58" s="13">
        <v>0</v>
      </c>
      <c r="K58" s="13">
        <v>0</v>
      </c>
      <c r="L58" s="13">
        <v>0</v>
      </c>
      <c r="N58" s="59" t="s">
        <v>43</v>
      </c>
    </row>
    <row r="59" spans="1:14" x14ac:dyDescent="0.25">
      <c r="A59" t="str">
        <v>LA Non-econ</v>
      </c>
      <c r="C59" s="13">
        <v>0</v>
      </c>
      <c r="D59" s="13">
        <v>0</v>
      </c>
      <c r="E59" s="13">
        <v>0</v>
      </c>
      <c r="F59" s="13">
        <v>0</v>
      </c>
      <c r="G59" s="13">
        <v>0</v>
      </c>
      <c r="H59" s="13">
        <v>0</v>
      </c>
      <c r="I59" s="13">
        <v>0</v>
      </c>
      <c r="J59" s="13">
        <v>0</v>
      </c>
      <c r="K59" s="13">
        <v>0</v>
      </c>
      <c r="L59" s="13">
        <v>0</v>
      </c>
      <c r="N59" s="59" t="s">
        <v>43</v>
      </c>
    </row>
    <row r="60" spans="1:14" ht="15.5" x14ac:dyDescent="0.4">
      <c r="C60" s="63" t="s">
        <v>232</v>
      </c>
    </row>
    <row r="61" spans="1:14" x14ac:dyDescent="0.25">
      <c r="A61" t="str">
        <f t="array" ref="A61:A68">R_CODE&amp;" sea level"</f>
        <v>EU sea level</v>
      </c>
      <c r="C61" s="13">
        <f t="array" ref="C61:L68">IF(Y-istart_s_a&lt;0,0,IF(((Y-istart_s_a)/iyears_s_a)&lt;1,((Y-istart_s_a)/iyears_s_a)*impred_s_a,impred_s_a))</f>
        <v>0</v>
      </c>
      <c r="D61" s="13">
        <v>10</v>
      </c>
      <c r="E61" s="13">
        <v>20</v>
      </c>
      <c r="F61" s="13">
        <v>30</v>
      </c>
      <c r="G61" s="13">
        <v>50</v>
      </c>
      <c r="H61" s="13">
        <v>50</v>
      </c>
      <c r="I61" s="13">
        <v>50</v>
      </c>
      <c r="J61" s="13">
        <v>50</v>
      </c>
      <c r="K61" s="13">
        <v>50</v>
      </c>
      <c r="L61" s="13">
        <v>50</v>
      </c>
      <c r="N61" s="59" t="s">
        <v>40</v>
      </c>
    </row>
    <row r="62" spans="1:14" x14ac:dyDescent="0.25">
      <c r="A62" t="str">
        <v>US sea level</v>
      </c>
      <c r="C62" s="13">
        <v>0</v>
      </c>
      <c r="D62" s="13">
        <v>10</v>
      </c>
      <c r="E62" s="13">
        <v>20</v>
      </c>
      <c r="F62" s="13">
        <v>30</v>
      </c>
      <c r="G62" s="13">
        <v>50</v>
      </c>
      <c r="H62" s="13">
        <v>50</v>
      </c>
      <c r="I62" s="13">
        <v>50</v>
      </c>
      <c r="J62" s="13">
        <v>50</v>
      </c>
      <c r="K62" s="13">
        <v>50</v>
      </c>
      <c r="L62" s="13">
        <v>50</v>
      </c>
      <c r="N62" s="59" t="s">
        <v>40</v>
      </c>
    </row>
    <row r="63" spans="1:14" x14ac:dyDescent="0.25">
      <c r="A63" t="str">
        <v>OT sea level</v>
      </c>
      <c r="C63" s="13">
        <v>0</v>
      </c>
      <c r="D63" s="13">
        <v>10</v>
      </c>
      <c r="E63" s="13">
        <v>20</v>
      </c>
      <c r="F63" s="13">
        <v>30</v>
      </c>
      <c r="G63" s="13">
        <v>50</v>
      </c>
      <c r="H63" s="13">
        <v>50</v>
      </c>
      <c r="I63" s="13">
        <v>50</v>
      </c>
      <c r="J63" s="13">
        <v>50</v>
      </c>
      <c r="K63" s="13">
        <v>50</v>
      </c>
      <c r="L63" s="13">
        <v>50</v>
      </c>
      <c r="N63" s="59" t="s">
        <v>40</v>
      </c>
    </row>
    <row r="64" spans="1:14" x14ac:dyDescent="0.25">
      <c r="A64" t="str">
        <v>EE sea level</v>
      </c>
      <c r="C64" s="13">
        <v>0</v>
      </c>
      <c r="D64" s="13">
        <v>10</v>
      </c>
      <c r="E64" s="13">
        <v>20</v>
      </c>
      <c r="F64" s="13">
        <v>30</v>
      </c>
      <c r="G64" s="13">
        <v>50</v>
      </c>
      <c r="H64" s="13">
        <v>50</v>
      </c>
      <c r="I64" s="13">
        <v>50</v>
      </c>
      <c r="J64" s="13">
        <v>50</v>
      </c>
      <c r="K64" s="13">
        <v>50</v>
      </c>
      <c r="L64" s="13">
        <v>50</v>
      </c>
      <c r="N64" s="59" t="s">
        <v>40</v>
      </c>
    </row>
    <row r="65" spans="1:14" x14ac:dyDescent="0.25">
      <c r="A65" t="str">
        <v>CA sea level</v>
      </c>
      <c r="C65" s="13">
        <v>0</v>
      </c>
      <c r="D65" s="13">
        <v>3.3333333333333335</v>
      </c>
      <c r="E65" s="13">
        <v>6.666666666666667</v>
      </c>
      <c r="F65" s="13">
        <v>10</v>
      </c>
      <c r="G65" s="13">
        <v>18.333333333333332</v>
      </c>
      <c r="H65" s="13">
        <v>25</v>
      </c>
      <c r="I65" s="13">
        <v>25</v>
      </c>
      <c r="J65" s="13">
        <v>25</v>
      </c>
      <c r="K65" s="13">
        <v>25</v>
      </c>
      <c r="L65" s="13">
        <v>25</v>
      </c>
      <c r="N65" s="59" t="s">
        <v>40</v>
      </c>
    </row>
    <row r="66" spans="1:14" x14ac:dyDescent="0.25">
      <c r="A66" t="str">
        <v>IA sea level</v>
      </c>
      <c r="C66" s="13">
        <v>0</v>
      </c>
      <c r="D66" s="13">
        <v>3.3333333333333335</v>
      </c>
      <c r="E66" s="13">
        <v>6.666666666666667</v>
      </c>
      <c r="F66" s="13">
        <v>10</v>
      </c>
      <c r="G66" s="13">
        <v>18.333333333333332</v>
      </c>
      <c r="H66" s="13">
        <v>25</v>
      </c>
      <c r="I66" s="13">
        <v>25</v>
      </c>
      <c r="J66" s="13">
        <v>25</v>
      </c>
      <c r="K66" s="13">
        <v>25</v>
      </c>
      <c r="L66" s="13">
        <v>25</v>
      </c>
      <c r="N66" s="59" t="s">
        <v>40</v>
      </c>
    </row>
    <row r="67" spans="1:14" x14ac:dyDescent="0.25">
      <c r="A67" t="str">
        <v>AF sea level</v>
      </c>
      <c r="C67" s="13">
        <v>0</v>
      </c>
      <c r="D67" s="13">
        <v>3.3333333333333335</v>
      </c>
      <c r="E67" s="13">
        <v>6.666666666666667</v>
      </c>
      <c r="F67" s="13">
        <v>10</v>
      </c>
      <c r="G67" s="13">
        <v>18.333333333333332</v>
      </c>
      <c r="H67" s="13">
        <v>25</v>
      </c>
      <c r="I67" s="13">
        <v>25</v>
      </c>
      <c r="J67" s="13">
        <v>25</v>
      </c>
      <c r="K67" s="13">
        <v>25</v>
      </c>
      <c r="L67" s="13">
        <v>25</v>
      </c>
      <c r="N67" s="59" t="s">
        <v>40</v>
      </c>
    </row>
    <row r="68" spans="1:14" x14ac:dyDescent="0.25">
      <c r="A68" t="str">
        <v>LA sea level</v>
      </c>
      <c r="C68" s="13">
        <v>0</v>
      </c>
      <c r="D68" s="13">
        <v>3.3333333333333335</v>
      </c>
      <c r="E68" s="13">
        <v>6.666666666666667</v>
      </c>
      <c r="F68" s="13">
        <v>10</v>
      </c>
      <c r="G68" s="13">
        <v>18.333333333333332</v>
      </c>
      <c r="H68" s="13">
        <v>25</v>
      </c>
      <c r="I68" s="13">
        <v>25</v>
      </c>
      <c r="J68" s="13">
        <v>25</v>
      </c>
      <c r="K68" s="13">
        <v>25</v>
      </c>
      <c r="L68" s="13">
        <v>25</v>
      </c>
      <c r="N68" s="59" t="s">
        <v>40</v>
      </c>
    </row>
    <row r="69" spans="1:14" ht="15.5" x14ac:dyDescent="0.4">
      <c r="C69" s="63" t="s">
        <v>233</v>
      </c>
    </row>
    <row r="70" spans="1:14" x14ac:dyDescent="0.25">
      <c r="A70" t="str">
        <f t="array" ref="A70:A77">R_CODE&amp;" "&amp;I_1_NAME</f>
        <v>EU Economic</v>
      </c>
      <c r="C70" s="13">
        <f t="array" ref="C70:L77">IF(Y-istart_1_a&lt;0,0,IF(((Y-istart_1_a)/iyears_1_a)&lt;1,((Y-istart_1_a)/iyears_1_a)*impred_1_a,impred_1_a))</f>
        <v>10</v>
      </c>
      <c r="D70" s="13">
        <v>20</v>
      </c>
      <c r="E70" s="13">
        <v>30</v>
      </c>
      <c r="F70" s="13">
        <v>30</v>
      </c>
      <c r="G70" s="13">
        <v>30</v>
      </c>
      <c r="H70" s="13">
        <v>30</v>
      </c>
      <c r="I70" s="13">
        <v>30</v>
      </c>
      <c r="J70" s="13">
        <v>30</v>
      </c>
      <c r="K70" s="13">
        <v>30</v>
      </c>
      <c r="L70" s="13">
        <v>30</v>
      </c>
      <c r="N70" s="59" t="s">
        <v>40</v>
      </c>
    </row>
    <row r="71" spans="1:14" x14ac:dyDescent="0.25">
      <c r="A71" t="str">
        <v>US Economic</v>
      </c>
      <c r="C71" s="13">
        <v>10</v>
      </c>
      <c r="D71" s="13">
        <v>20</v>
      </c>
      <c r="E71" s="13">
        <v>30</v>
      </c>
      <c r="F71" s="13">
        <v>30</v>
      </c>
      <c r="G71" s="13">
        <v>30</v>
      </c>
      <c r="H71" s="13">
        <v>30</v>
      </c>
      <c r="I71" s="13">
        <v>30</v>
      </c>
      <c r="J71" s="13">
        <v>30</v>
      </c>
      <c r="K71" s="13">
        <v>30</v>
      </c>
      <c r="L71" s="13">
        <v>30</v>
      </c>
      <c r="N71" s="59" t="s">
        <v>40</v>
      </c>
    </row>
    <row r="72" spans="1:14" x14ac:dyDescent="0.25">
      <c r="A72" t="str">
        <v>OT Economic</v>
      </c>
      <c r="C72" s="13">
        <v>10</v>
      </c>
      <c r="D72" s="13">
        <v>20</v>
      </c>
      <c r="E72" s="13">
        <v>30</v>
      </c>
      <c r="F72" s="13">
        <v>30</v>
      </c>
      <c r="G72" s="13">
        <v>30</v>
      </c>
      <c r="H72" s="13">
        <v>30</v>
      </c>
      <c r="I72" s="13">
        <v>30</v>
      </c>
      <c r="J72" s="13">
        <v>30</v>
      </c>
      <c r="K72" s="13">
        <v>30</v>
      </c>
      <c r="L72" s="13">
        <v>30</v>
      </c>
      <c r="N72" s="59" t="s">
        <v>40</v>
      </c>
    </row>
    <row r="73" spans="1:14" x14ac:dyDescent="0.25">
      <c r="A73" t="str">
        <v>EE Economic</v>
      </c>
      <c r="C73" s="13">
        <v>10</v>
      </c>
      <c r="D73" s="13">
        <v>20</v>
      </c>
      <c r="E73" s="13">
        <v>30</v>
      </c>
      <c r="F73" s="13">
        <v>30</v>
      </c>
      <c r="G73" s="13">
        <v>30</v>
      </c>
      <c r="H73" s="13">
        <v>30</v>
      </c>
      <c r="I73" s="13">
        <v>30</v>
      </c>
      <c r="J73" s="13">
        <v>30</v>
      </c>
      <c r="K73" s="13">
        <v>30</v>
      </c>
      <c r="L73" s="13">
        <v>30</v>
      </c>
      <c r="N73" s="59" t="s">
        <v>40</v>
      </c>
    </row>
    <row r="74" spans="1:14" x14ac:dyDescent="0.25">
      <c r="A74" t="str">
        <v>CA Economic</v>
      </c>
      <c r="C74" s="13">
        <v>0</v>
      </c>
      <c r="D74" s="13">
        <v>4</v>
      </c>
      <c r="E74" s="13">
        <v>8</v>
      </c>
      <c r="F74" s="13">
        <v>12</v>
      </c>
      <c r="G74" s="13">
        <v>20</v>
      </c>
      <c r="H74" s="13">
        <v>20</v>
      </c>
      <c r="I74" s="13">
        <v>20</v>
      </c>
      <c r="J74" s="13">
        <v>20</v>
      </c>
      <c r="K74" s="13">
        <v>20</v>
      </c>
      <c r="L74" s="13">
        <v>20</v>
      </c>
      <c r="N74" s="59" t="s">
        <v>40</v>
      </c>
    </row>
    <row r="75" spans="1:14" x14ac:dyDescent="0.25">
      <c r="A75" t="str">
        <v>IA Economic</v>
      </c>
      <c r="C75" s="13">
        <v>0</v>
      </c>
      <c r="D75" s="13">
        <v>4</v>
      </c>
      <c r="E75" s="13">
        <v>8</v>
      </c>
      <c r="F75" s="13">
        <v>12</v>
      </c>
      <c r="G75" s="13">
        <v>20</v>
      </c>
      <c r="H75" s="13">
        <v>20</v>
      </c>
      <c r="I75" s="13">
        <v>20</v>
      </c>
      <c r="J75" s="13">
        <v>20</v>
      </c>
      <c r="K75" s="13">
        <v>20</v>
      </c>
      <c r="L75" s="13">
        <v>20</v>
      </c>
      <c r="N75" s="59" t="s">
        <v>40</v>
      </c>
    </row>
    <row r="76" spans="1:14" x14ac:dyDescent="0.25">
      <c r="A76" t="str">
        <v>AF Economic</v>
      </c>
      <c r="C76" s="13">
        <v>0</v>
      </c>
      <c r="D76" s="13">
        <v>4</v>
      </c>
      <c r="E76" s="13">
        <v>8</v>
      </c>
      <c r="F76" s="13">
        <v>12</v>
      </c>
      <c r="G76" s="13">
        <v>20</v>
      </c>
      <c r="H76" s="13">
        <v>20</v>
      </c>
      <c r="I76" s="13">
        <v>20</v>
      </c>
      <c r="J76" s="13">
        <v>20</v>
      </c>
      <c r="K76" s="13">
        <v>20</v>
      </c>
      <c r="L76" s="13">
        <v>20</v>
      </c>
      <c r="N76" s="59" t="s">
        <v>40</v>
      </c>
    </row>
    <row r="77" spans="1:14" x14ac:dyDescent="0.25">
      <c r="A77" t="str">
        <v>LA Economic</v>
      </c>
      <c r="C77" s="13">
        <v>0</v>
      </c>
      <c r="D77" s="13">
        <v>4</v>
      </c>
      <c r="E77" s="13">
        <v>8</v>
      </c>
      <c r="F77" s="13">
        <v>12</v>
      </c>
      <c r="G77" s="13">
        <v>20</v>
      </c>
      <c r="H77" s="13">
        <v>20</v>
      </c>
      <c r="I77" s="13">
        <v>20</v>
      </c>
      <c r="J77" s="13">
        <v>20</v>
      </c>
      <c r="K77" s="13">
        <v>20</v>
      </c>
      <c r="L77" s="13">
        <v>20</v>
      </c>
      <c r="N77" s="59" t="s">
        <v>40</v>
      </c>
    </row>
    <row r="78" spans="1:14" ht="15.5" x14ac:dyDescent="0.4">
      <c r="C78" s="63" t="s">
        <v>234</v>
      </c>
    </row>
    <row r="79" spans="1:14" x14ac:dyDescent="0.25">
      <c r="A79" t="str">
        <f t="array" ref="A79:A86">R_CODE&amp;" "&amp;I_2_NAME</f>
        <v>EU Non-econ</v>
      </c>
      <c r="C79" s="13">
        <f t="array" ref="C79:L86">IF(Y-istart_2_a&lt;0,0,IF(((Y-istart_2_a)/iyears_2_a)&lt;1,((Y-istart_2_a)/iyears_2_a)*impred_2_a,impred_2_a))</f>
        <v>3.75</v>
      </c>
      <c r="D79" s="13">
        <v>7.5</v>
      </c>
      <c r="E79" s="13">
        <v>11.25</v>
      </c>
      <c r="F79" s="13">
        <v>15</v>
      </c>
      <c r="G79" s="13">
        <v>15</v>
      </c>
      <c r="H79" s="13">
        <v>15</v>
      </c>
      <c r="I79" s="13">
        <v>15</v>
      </c>
      <c r="J79" s="13">
        <v>15</v>
      </c>
      <c r="K79" s="13">
        <v>15</v>
      </c>
      <c r="L79" s="13">
        <v>15</v>
      </c>
      <c r="N79" s="59" t="s">
        <v>40</v>
      </c>
    </row>
    <row r="80" spans="1:14" x14ac:dyDescent="0.25">
      <c r="A80" t="str">
        <v>US Non-econ</v>
      </c>
      <c r="C80" s="13">
        <v>3.75</v>
      </c>
      <c r="D80" s="13">
        <v>7.5</v>
      </c>
      <c r="E80" s="13">
        <v>11.25</v>
      </c>
      <c r="F80" s="13">
        <v>15</v>
      </c>
      <c r="G80" s="13">
        <v>15</v>
      </c>
      <c r="H80" s="13">
        <v>15</v>
      </c>
      <c r="I80" s="13">
        <v>15</v>
      </c>
      <c r="J80" s="13">
        <v>15</v>
      </c>
      <c r="K80" s="13">
        <v>15</v>
      </c>
      <c r="L80" s="13">
        <v>15</v>
      </c>
      <c r="N80" s="59" t="s">
        <v>40</v>
      </c>
    </row>
    <row r="81" spans="1:14" x14ac:dyDescent="0.25">
      <c r="A81" t="str">
        <v>OT Non-econ</v>
      </c>
      <c r="C81" s="13">
        <v>3.75</v>
      </c>
      <c r="D81" s="13">
        <v>7.5</v>
      </c>
      <c r="E81" s="13">
        <v>11.25</v>
      </c>
      <c r="F81" s="13">
        <v>15</v>
      </c>
      <c r="G81" s="13">
        <v>15</v>
      </c>
      <c r="H81" s="13">
        <v>15</v>
      </c>
      <c r="I81" s="13">
        <v>15</v>
      </c>
      <c r="J81" s="13">
        <v>15</v>
      </c>
      <c r="K81" s="13">
        <v>15</v>
      </c>
      <c r="L81" s="13">
        <v>15</v>
      </c>
      <c r="N81" s="59" t="s">
        <v>40</v>
      </c>
    </row>
    <row r="82" spans="1:14" x14ac:dyDescent="0.25">
      <c r="A82" t="str">
        <v>EE Non-econ</v>
      </c>
      <c r="C82" s="13">
        <v>3.75</v>
      </c>
      <c r="D82" s="13">
        <v>7.5</v>
      </c>
      <c r="E82" s="13">
        <v>11.25</v>
      </c>
      <c r="F82" s="13">
        <v>15</v>
      </c>
      <c r="G82" s="13">
        <v>15</v>
      </c>
      <c r="H82" s="13">
        <v>15</v>
      </c>
      <c r="I82" s="13">
        <v>15</v>
      </c>
      <c r="J82" s="13">
        <v>15</v>
      </c>
      <c r="K82" s="13">
        <v>15</v>
      </c>
      <c r="L82" s="13">
        <v>15</v>
      </c>
      <c r="N82" s="59" t="s">
        <v>40</v>
      </c>
    </row>
    <row r="83" spans="1:14" x14ac:dyDescent="0.25">
      <c r="A83" t="str">
        <v>CA Non-econ</v>
      </c>
      <c r="C83" s="13">
        <v>3.75</v>
      </c>
      <c r="D83" s="13">
        <v>7.5</v>
      </c>
      <c r="E83" s="13">
        <v>11.25</v>
      </c>
      <c r="F83" s="13">
        <v>15</v>
      </c>
      <c r="G83" s="13">
        <v>15</v>
      </c>
      <c r="H83" s="13">
        <v>15</v>
      </c>
      <c r="I83" s="13">
        <v>15</v>
      </c>
      <c r="J83" s="13">
        <v>15</v>
      </c>
      <c r="K83" s="13">
        <v>15</v>
      </c>
      <c r="L83" s="13">
        <v>15</v>
      </c>
      <c r="N83" s="59" t="s">
        <v>40</v>
      </c>
    </row>
    <row r="84" spans="1:14" x14ac:dyDescent="0.25">
      <c r="A84" t="str">
        <v>IA Non-econ</v>
      </c>
      <c r="C84" s="13">
        <v>3.75</v>
      </c>
      <c r="D84" s="13">
        <v>7.5</v>
      </c>
      <c r="E84" s="13">
        <v>11.25</v>
      </c>
      <c r="F84" s="13">
        <v>15</v>
      </c>
      <c r="G84" s="13">
        <v>15</v>
      </c>
      <c r="H84" s="13">
        <v>15</v>
      </c>
      <c r="I84" s="13">
        <v>15</v>
      </c>
      <c r="J84" s="13">
        <v>15</v>
      </c>
      <c r="K84" s="13">
        <v>15</v>
      </c>
      <c r="L84" s="13">
        <v>15</v>
      </c>
      <c r="N84" s="59" t="s">
        <v>40</v>
      </c>
    </row>
    <row r="85" spans="1:14" x14ac:dyDescent="0.25">
      <c r="A85" t="str">
        <v>AF Non-econ</v>
      </c>
      <c r="C85" s="13">
        <v>3.75</v>
      </c>
      <c r="D85" s="13">
        <v>7.5</v>
      </c>
      <c r="E85" s="13">
        <v>11.25</v>
      </c>
      <c r="F85" s="13">
        <v>15</v>
      </c>
      <c r="G85" s="13">
        <v>15</v>
      </c>
      <c r="H85" s="13">
        <v>15</v>
      </c>
      <c r="I85" s="13">
        <v>15</v>
      </c>
      <c r="J85" s="13">
        <v>15</v>
      </c>
      <c r="K85" s="13">
        <v>15</v>
      </c>
      <c r="L85" s="13">
        <v>15</v>
      </c>
      <c r="N85" s="59" t="s">
        <v>40</v>
      </c>
    </row>
    <row r="86" spans="1:14" x14ac:dyDescent="0.25">
      <c r="A86" t="str">
        <v>LA Non-econ</v>
      </c>
      <c r="C86" s="13">
        <v>3.75</v>
      </c>
      <c r="D86" s="13">
        <v>7.5</v>
      </c>
      <c r="E86" s="13">
        <v>11.25</v>
      </c>
      <c r="F86" s="13">
        <v>15</v>
      </c>
      <c r="G86" s="13">
        <v>15</v>
      </c>
      <c r="H86" s="13">
        <v>15</v>
      </c>
      <c r="I86" s="13">
        <v>15</v>
      </c>
      <c r="J86" s="13">
        <v>15</v>
      </c>
      <c r="K86" s="13">
        <v>15</v>
      </c>
      <c r="L86" s="13">
        <v>15</v>
      </c>
      <c r="N86" s="59" t="s">
        <v>40</v>
      </c>
    </row>
    <row r="87" spans="1:14" s="2" customFormat="1" ht="15" x14ac:dyDescent="0.4">
      <c r="A87" s="2" t="s">
        <v>967</v>
      </c>
      <c r="C87" s="2" t="s">
        <v>204</v>
      </c>
    </row>
    <row r="88" spans="1:14" x14ac:dyDescent="0.25">
      <c r="A88" t="str">
        <f t="array" ref="A88:A95">R_CODE&amp;" sea level"</f>
        <v>EU sea level</v>
      </c>
      <c r="C88" s="29">
        <f t="array" ref="C88:L95" ca="1">IF((s-atl_s)&lt;0,0,s-atl_s)</f>
        <v>0.12494611153967325</v>
      </c>
      <c r="D88" s="29">
        <f ca="1"/>
        <v>0.16230023531959817</v>
      </c>
      <c r="E88" s="29">
        <f ca="1"/>
        <v>0.20968660228030556</v>
      </c>
      <c r="F88" s="29">
        <f ca="1"/>
        <v>0.26243537583951848</v>
      </c>
      <c r="G88" s="29">
        <f ca="1"/>
        <v>0.52744798280620286</v>
      </c>
      <c r="H88" s="29">
        <f ca="1"/>
        <v>0.77504819900995026</v>
      </c>
      <c r="I88" s="29">
        <f ca="1"/>
        <v>1.1739734783967941</v>
      </c>
      <c r="J88" s="29">
        <f ca="1"/>
        <v>1.4915897277363477</v>
      </c>
      <c r="K88" s="29">
        <f ca="1"/>
        <v>1.7500933735000457</v>
      </c>
      <c r="L88" s="29">
        <f ca="1"/>
        <v>1.9566636482451538</v>
      </c>
      <c r="M88" s="6"/>
      <c r="N88" s="59" t="s">
        <v>182</v>
      </c>
    </row>
    <row r="89" spans="1:14" x14ac:dyDescent="0.25">
      <c r="A89" t="str">
        <v>US sea level</v>
      </c>
      <c r="C89" s="26">
        <f ca="1"/>
        <v>0.12494611153967325</v>
      </c>
      <c r="D89" s="26">
        <f ca="1"/>
        <v>0.16230023531959817</v>
      </c>
      <c r="E89" s="26">
        <f ca="1"/>
        <v>0.20968660228030556</v>
      </c>
      <c r="F89" s="26">
        <f ca="1"/>
        <v>0.26243537583951848</v>
      </c>
      <c r="G89" s="26">
        <f ca="1"/>
        <v>0.52744798280620286</v>
      </c>
      <c r="H89" s="26">
        <f ca="1"/>
        <v>0.77504819900995026</v>
      </c>
      <c r="I89" s="26">
        <f ca="1"/>
        <v>1.1739734783967941</v>
      </c>
      <c r="J89" s="26">
        <f ca="1"/>
        <v>1.4915897277363477</v>
      </c>
      <c r="K89" s="26">
        <f ca="1"/>
        <v>1.7500933735000457</v>
      </c>
      <c r="L89" s="26">
        <f ca="1"/>
        <v>1.9566636482451538</v>
      </c>
      <c r="M89" s="6"/>
      <c r="N89" s="59" t="s">
        <v>182</v>
      </c>
    </row>
    <row r="90" spans="1:14" x14ac:dyDescent="0.25">
      <c r="A90" t="str">
        <v>OT sea level</v>
      </c>
      <c r="C90" s="26">
        <f ca="1"/>
        <v>0.12494611153967325</v>
      </c>
      <c r="D90" s="26">
        <f ca="1"/>
        <v>0.16230023531959817</v>
      </c>
      <c r="E90" s="26">
        <f ca="1"/>
        <v>0.20968660228030556</v>
      </c>
      <c r="F90" s="26">
        <f ca="1"/>
        <v>0.26243537583951848</v>
      </c>
      <c r="G90" s="26">
        <f ca="1"/>
        <v>0.52744798280620286</v>
      </c>
      <c r="H90" s="26">
        <f ca="1"/>
        <v>0.77504819900995026</v>
      </c>
      <c r="I90" s="26">
        <f ca="1"/>
        <v>1.1739734783967941</v>
      </c>
      <c r="J90" s="26">
        <f ca="1"/>
        <v>1.4915897277363477</v>
      </c>
      <c r="K90" s="26">
        <f ca="1"/>
        <v>1.7500933735000457</v>
      </c>
      <c r="L90" s="26">
        <f ca="1"/>
        <v>1.9566636482451538</v>
      </c>
      <c r="M90" s="6"/>
      <c r="N90" s="59" t="s">
        <v>182</v>
      </c>
    </row>
    <row r="91" spans="1:14" x14ac:dyDescent="0.25">
      <c r="A91" t="str">
        <v>EE sea level</v>
      </c>
      <c r="C91" s="26">
        <f ca="1"/>
        <v>0.12494611153967325</v>
      </c>
      <c r="D91" s="26">
        <f ca="1"/>
        <v>0.16230023531959817</v>
      </c>
      <c r="E91" s="26">
        <f ca="1"/>
        <v>0.20968660228030556</v>
      </c>
      <c r="F91" s="26">
        <f ca="1"/>
        <v>0.26243537583951848</v>
      </c>
      <c r="G91" s="26">
        <f ca="1"/>
        <v>0.52744798280620286</v>
      </c>
      <c r="H91" s="26">
        <f ca="1"/>
        <v>0.77504819900995026</v>
      </c>
      <c r="I91" s="26">
        <f ca="1"/>
        <v>1.1739734783967941</v>
      </c>
      <c r="J91" s="26">
        <f ca="1"/>
        <v>1.4915897277363477</v>
      </c>
      <c r="K91" s="26">
        <f ca="1"/>
        <v>1.7500933735000457</v>
      </c>
      <c r="L91" s="26">
        <f ca="1"/>
        <v>1.9566636482451538</v>
      </c>
      <c r="M91" s="6"/>
      <c r="N91" s="59" t="s">
        <v>182</v>
      </c>
    </row>
    <row r="92" spans="1:14" x14ac:dyDescent="0.25">
      <c r="A92" t="str">
        <v>CA sea level</v>
      </c>
      <c r="C92" s="26">
        <f ca="1"/>
        <v>0.17161277820633991</v>
      </c>
      <c r="D92" s="26">
        <f ca="1"/>
        <v>0.23230023531959815</v>
      </c>
      <c r="E92" s="26">
        <f ca="1"/>
        <v>0.30301993561363888</v>
      </c>
      <c r="F92" s="26">
        <f ca="1"/>
        <v>0.37910204250618518</v>
      </c>
      <c r="G92" s="26">
        <f ca="1"/>
        <v>0.57744798280620291</v>
      </c>
      <c r="H92" s="26">
        <f ca="1"/>
        <v>0.8250481990099503</v>
      </c>
      <c r="I92" s="26">
        <f ca="1"/>
        <v>1.2239734783967942</v>
      </c>
      <c r="J92" s="26">
        <f ca="1"/>
        <v>1.5415897277363477</v>
      </c>
      <c r="K92" s="26">
        <f ca="1"/>
        <v>1.8000933735000457</v>
      </c>
      <c r="L92" s="26">
        <f ca="1"/>
        <v>2.0066636482451536</v>
      </c>
      <c r="M92" s="6"/>
      <c r="N92" s="59" t="s">
        <v>182</v>
      </c>
    </row>
    <row r="93" spans="1:14" x14ac:dyDescent="0.25">
      <c r="A93" t="str">
        <v>IA sea level</v>
      </c>
      <c r="C93" s="26">
        <f ca="1"/>
        <v>0.17161277820633991</v>
      </c>
      <c r="D93" s="26">
        <f ca="1"/>
        <v>0.23230023531959815</v>
      </c>
      <c r="E93" s="26">
        <f ca="1"/>
        <v>0.30301993561363888</v>
      </c>
      <c r="F93" s="26">
        <f ca="1"/>
        <v>0.37910204250618518</v>
      </c>
      <c r="G93" s="26">
        <f ca="1"/>
        <v>0.57744798280620291</v>
      </c>
      <c r="H93" s="26">
        <f ca="1"/>
        <v>0.8250481990099503</v>
      </c>
      <c r="I93" s="26">
        <f ca="1"/>
        <v>1.2239734783967942</v>
      </c>
      <c r="J93" s="26">
        <f ca="1"/>
        <v>1.5415897277363477</v>
      </c>
      <c r="K93" s="26">
        <f ca="1"/>
        <v>1.8000933735000457</v>
      </c>
      <c r="L93" s="26">
        <f ca="1"/>
        <v>2.0066636482451536</v>
      </c>
      <c r="M93" s="6"/>
      <c r="N93" s="59" t="s">
        <v>182</v>
      </c>
    </row>
    <row r="94" spans="1:14" x14ac:dyDescent="0.25">
      <c r="A94" t="str">
        <v>AF sea level</v>
      </c>
      <c r="C94" s="26">
        <f ca="1"/>
        <v>0.17161277820633991</v>
      </c>
      <c r="D94" s="26">
        <f ca="1"/>
        <v>0.23230023531959815</v>
      </c>
      <c r="E94" s="26">
        <f ca="1"/>
        <v>0.30301993561363888</v>
      </c>
      <c r="F94" s="26">
        <f ca="1"/>
        <v>0.37910204250618518</v>
      </c>
      <c r="G94" s="26">
        <f ca="1"/>
        <v>0.57744798280620291</v>
      </c>
      <c r="H94" s="26">
        <f ca="1"/>
        <v>0.8250481990099503</v>
      </c>
      <c r="I94" s="26">
        <f ca="1"/>
        <v>1.2239734783967942</v>
      </c>
      <c r="J94" s="26">
        <f ca="1"/>
        <v>1.5415897277363477</v>
      </c>
      <c r="K94" s="26">
        <f ca="1"/>
        <v>1.8000933735000457</v>
      </c>
      <c r="L94" s="26">
        <f ca="1"/>
        <v>2.0066636482451536</v>
      </c>
      <c r="M94" s="6"/>
      <c r="N94" s="59" t="s">
        <v>182</v>
      </c>
    </row>
    <row r="95" spans="1:14" x14ac:dyDescent="0.25">
      <c r="A95" t="str">
        <v>LA sea level</v>
      </c>
      <c r="C95" s="26">
        <f ca="1"/>
        <v>0.17161277820633991</v>
      </c>
      <c r="D95" s="26">
        <f ca="1"/>
        <v>0.23230023531959815</v>
      </c>
      <c r="E95" s="26">
        <f ca="1"/>
        <v>0.30301993561363888</v>
      </c>
      <c r="F95" s="26">
        <f ca="1"/>
        <v>0.37910204250618518</v>
      </c>
      <c r="G95" s="26">
        <f ca="1"/>
        <v>0.57744798280620291</v>
      </c>
      <c r="H95" s="26">
        <f ca="1"/>
        <v>0.8250481990099503</v>
      </c>
      <c r="I95" s="26">
        <f ca="1"/>
        <v>1.2239734783967942</v>
      </c>
      <c r="J95" s="26">
        <f ca="1"/>
        <v>1.5415897277363477</v>
      </c>
      <c r="K95" s="26">
        <f ca="1"/>
        <v>1.8000933735000457</v>
      </c>
      <c r="L95" s="26">
        <f ca="1"/>
        <v>2.0066636482451536</v>
      </c>
      <c r="M95" s="6"/>
      <c r="N95" s="59" t="s">
        <v>182</v>
      </c>
    </row>
    <row r="96" spans="1:14" ht="15" x14ac:dyDescent="0.4">
      <c r="A96" s="2" t="s">
        <v>968</v>
      </c>
      <c r="B96" s="2"/>
      <c r="C96" s="2" t="s">
        <v>711</v>
      </c>
      <c r="D96" s="6"/>
      <c r="E96" s="6"/>
      <c r="F96" s="6"/>
      <c r="G96" s="6"/>
      <c r="H96" s="6"/>
      <c r="I96" s="6"/>
      <c r="J96" s="6"/>
      <c r="K96" s="6"/>
      <c r="L96" s="6"/>
      <c r="M96" s="6"/>
      <c r="N96" s="59"/>
    </row>
    <row r="97" spans="1:20" ht="13" x14ac:dyDescent="0.3">
      <c r="A97" t="str">
        <f t="array" ref="A97:A104">R_CODE&amp;" "&amp;I_1_NAME</f>
        <v>EU Economic</v>
      </c>
      <c r="C97" s="108">
        <f t="array" ref="C97:L104" ca="1" xml:space="preserve"> ((rtl-RTL_0)-atl_1)+RTL_ABS_0</f>
        <v>10.803790730197441</v>
      </c>
      <c r="D97" s="108">
        <f ca="1"/>
        <v>11.342561620201295</v>
      </c>
      <c r="E97" s="108">
        <f ca="1"/>
        <v>11.693987587251589</v>
      </c>
      <c r="F97" s="108">
        <f ca="1"/>
        <v>11.918973979346008</v>
      </c>
      <c r="G97" s="108">
        <f ca="1"/>
        <v>12.146680898424197</v>
      </c>
      <c r="H97" s="108">
        <f ca="1"/>
        <v>12.137423423422634</v>
      </c>
      <c r="I97" s="108">
        <f ca="1"/>
        <v>11.831881416725816</v>
      </c>
      <c r="J97" s="108">
        <f ca="1"/>
        <v>11.633825607603642</v>
      </c>
      <c r="K97" s="108">
        <f ca="1"/>
        <v>11.510053901370283</v>
      </c>
      <c r="L97" s="108">
        <f ca="1"/>
        <v>11.386266194906701</v>
      </c>
      <c r="M97" s="6"/>
      <c r="N97" s="59" t="s">
        <v>43</v>
      </c>
      <c r="O97" s="3" t="s">
        <v>713</v>
      </c>
      <c r="T97" s="124" t="s">
        <v>822</v>
      </c>
    </row>
    <row r="98" spans="1:20" ht="13" x14ac:dyDescent="0.3">
      <c r="A98" t="str">
        <v>US Economic</v>
      </c>
      <c r="C98" s="108">
        <f ca="1"/>
        <v>14.147778323821731</v>
      </c>
      <c r="D98" s="108">
        <f ca="1"/>
        <v>14.716245247132882</v>
      </c>
      <c r="E98" s="108">
        <f ca="1"/>
        <v>15.087041149374924</v>
      </c>
      <c r="F98" s="108">
        <f ca="1"/>
        <v>15.324428366230453</v>
      </c>
      <c r="G98" s="108">
        <f ca="1"/>
        <v>15.564686060375944</v>
      </c>
      <c r="H98" s="108">
        <f ca="1"/>
        <v>15.554918330846736</v>
      </c>
      <c r="I98" s="108">
        <f ca="1"/>
        <v>15.232535426143006</v>
      </c>
      <c r="J98" s="108">
        <f ca="1"/>
        <v>15.023563155100714</v>
      </c>
      <c r="K98" s="108">
        <f ca="1"/>
        <v>14.892969386319059</v>
      </c>
      <c r="L98" s="108">
        <f ca="1"/>
        <v>14.762358735404728</v>
      </c>
      <c r="M98" s="6"/>
      <c r="N98" s="59" t="s">
        <v>43</v>
      </c>
      <c r="O98" s="3" t="s">
        <v>713</v>
      </c>
      <c r="T98" s="124" t="s">
        <v>957</v>
      </c>
    </row>
    <row r="99" spans="1:20" ht="13" x14ac:dyDescent="0.3">
      <c r="A99" t="str">
        <v>OT Economic</v>
      </c>
      <c r="C99" s="108">
        <f ca="1"/>
        <v>12.718110068367629</v>
      </c>
      <c r="D99" s="108">
        <f ca="1"/>
        <v>13.235669506009126</v>
      </c>
      <c r="E99" s="108">
        <f ca="1"/>
        <v>13.573259805065314</v>
      </c>
      <c r="F99" s="108">
        <f ca="1"/>
        <v>13.789388465187512</v>
      </c>
      <c r="G99" s="108">
        <f ca="1"/>
        <v>14.008130544931912</v>
      </c>
      <c r="H99" s="108">
        <f ca="1"/>
        <v>13.999237537450096</v>
      </c>
      <c r="I99" s="108">
        <f ca="1"/>
        <v>13.705724743615358</v>
      </c>
      <c r="J99" s="108">
        <f ca="1"/>
        <v>13.515466407293271</v>
      </c>
      <c r="K99" s="108">
        <f ca="1"/>
        <v>13.396567602880122</v>
      </c>
      <c r="L99" s="108">
        <f ca="1"/>
        <v>13.277653428167076</v>
      </c>
      <c r="M99" s="6"/>
      <c r="N99" s="59" t="s">
        <v>43</v>
      </c>
      <c r="O99" s="3" t="s">
        <v>713</v>
      </c>
      <c r="T99" s="124" t="s">
        <v>893</v>
      </c>
    </row>
    <row r="100" spans="1:20" ht="13" x14ac:dyDescent="0.3">
      <c r="A100" t="str">
        <v>EE Economic</v>
      </c>
      <c r="C100" s="108">
        <f ca="1"/>
        <v>7.998743487041887</v>
      </c>
      <c r="D100" s="108">
        <f ca="1"/>
        <v>8.6987214149996479</v>
      </c>
      <c r="E100" s="108">
        <f ca="1"/>
        <v>9.1552984588051487</v>
      </c>
      <c r="F100" s="108">
        <f ca="1"/>
        <v>9.4476036138884485</v>
      </c>
      <c r="G100" s="108">
        <f ca="1"/>
        <v>9.7434433119034178</v>
      </c>
      <c r="H100" s="108">
        <f ca="1"/>
        <v>9.7314158837517812</v>
      </c>
      <c r="I100" s="108">
        <f ca="1"/>
        <v>9.334451859303158</v>
      </c>
      <c r="J100" s="108">
        <f ca="1"/>
        <v>9.0771352569003358</v>
      </c>
      <c r="K100" s="108">
        <f ca="1"/>
        <v>8.9163294968333737</v>
      </c>
      <c r="L100" s="108">
        <f ca="1"/>
        <v>8.7555029490657272</v>
      </c>
      <c r="M100" s="6"/>
      <c r="N100" s="59" t="s">
        <v>43</v>
      </c>
      <c r="O100" s="3" t="s">
        <v>713</v>
      </c>
      <c r="T100" s="124" t="s">
        <v>892</v>
      </c>
    </row>
    <row r="101" spans="1:20" x14ac:dyDescent="0.25">
      <c r="A101" t="str">
        <v>CA Economic</v>
      </c>
      <c r="C101" s="108">
        <f ca="1"/>
        <v>15.640879259308456</v>
      </c>
      <c r="D101" s="108">
        <f ca="1"/>
        <v>16.137227244587596</v>
      </c>
      <c r="E101" s="108">
        <f ca="1"/>
        <v>16.460981875649679</v>
      </c>
      <c r="F101" s="108">
        <f ca="1"/>
        <v>16.668252803799653</v>
      </c>
      <c r="G101" s="108">
        <f ca="1"/>
        <v>16.87803004421027</v>
      </c>
      <c r="H101" s="108">
        <f ca="1"/>
        <v>16.869501504248198</v>
      </c>
      <c r="I101" s="108">
        <f ca="1"/>
        <v>16.58801792327554</v>
      </c>
      <c r="J101" s="108">
        <f ca="1"/>
        <v>16.405557059753537</v>
      </c>
      <c r="K101" s="108">
        <f ca="1"/>
        <v>16.291531157160602</v>
      </c>
      <c r="L101" s="108">
        <f ca="1"/>
        <v>16.177490514198087</v>
      </c>
      <c r="M101" s="6"/>
      <c r="N101" s="59" t="s">
        <v>43</v>
      </c>
      <c r="O101" s="3" t="s">
        <v>713</v>
      </c>
    </row>
    <row r="102" spans="1:20" x14ac:dyDescent="0.25">
      <c r="A102" t="str">
        <v>IA Economic</v>
      </c>
      <c r="C102" s="108">
        <f ca="1"/>
        <v>25.492031002905392</v>
      </c>
      <c r="D102" s="108">
        <f ca="1"/>
        <v>25.920502340624992</v>
      </c>
      <c r="E102" s="108">
        <f ca="1"/>
        <v>26.199982834105935</v>
      </c>
      <c r="F102" s="108">
        <f ca="1"/>
        <v>26.378909019944803</v>
      </c>
      <c r="G102" s="108">
        <f ca="1"/>
        <v>26.559998774487301</v>
      </c>
      <c r="H102" s="108">
        <f ca="1"/>
        <v>26.552636530588419</v>
      </c>
      <c r="I102" s="108">
        <f ca="1"/>
        <v>26.309646430774414</v>
      </c>
      <c r="J102" s="108">
        <f ca="1"/>
        <v>26.152137480212687</v>
      </c>
      <c r="K102" s="108">
        <f ca="1"/>
        <v>26.053704863444423</v>
      </c>
      <c r="L102" s="108">
        <f ca="1"/>
        <v>25.955259522083622</v>
      </c>
      <c r="M102" s="6"/>
      <c r="N102" s="59" t="s">
        <v>43</v>
      </c>
      <c r="O102" s="3" t="s">
        <v>713</v>
      </c>
    </row>
    <row r="103" spans="1:20" x14ac:dyDescent="0.25">
      <c r="A103" t="str">
        <v>AF Economic</v>
      </c>
      <c r="C103" s="108">
        <f ca="1"/>
        <v>22.541640403767204</v>
      </c>
      <c r="D103" s="108">
        <f ca="1"/>
        <v>23.05495755093623</v>
      </c>
      <c r="E103" s="108">
        <f ca="1"/>
        <v>23.389780716393599</v>
      </c>
      <c r="F103" s="108">
        <f ca="1"/>
        <v>23.604137830121353</v>
      </c>
      <c r="G103" s="108">
        <f ca="1"/>
        <v>23.821086941998995</v>
      </c>
      <c r="H103" s="108">
        <f ca="1"/>
        <v>23.812266828021126</v>
      </c>
      <c r="I103" s="108">
        <f ca="1"/>
        <v>23.521159876758805</v>
      </c>
      <c r="J103" s="108">
        <f ca="1"/>
        <v>23.332461034996737</v>
      </c>
      <c r="K103" s="108">
        <f ca="1"/>
        <v>23.214536810947628</v>
      </c>
      <c r="L103" s="108">
        <f ca="1"/>
        <v>23.09659734258469</v>
      </c>
      <c r="M103" s="6"/>
      <c r="N103" s="59" t="s">
        <v>43</v>
      </c>
      <c r="O103" s="3" t="s">
        <v>713</v>
      </c>
    </row>
    <row r="104" spans="1:20" x14ac:dyDescent="0.25">
      <c r="A104" t="str">
        <v>LA Economic</v>
      </c>
      <c r="C104" s="108">
        <f ca="1"/>
        <v>21.678551595034172</v>
      </c>
      <c r="D104" s="108">
        <f ca="1"/>
        <v>22.119749804171185</v>
      </c>
      <c r="E104" s="108">
        <f ca="1"/>
        <v>22.40753169844859</v>
      </c>
      <c r="F104" s="108">
        <f ca="1"/>
        <v>22.591772523470791</v>
      </c>
      <c r="G104" s="108">
        <f ca="1"/>
        <v>22.778241181613559</v>
      </c>
      <c r="H104" s="108">
        <f ca="1"/>
        <v>22.770660257202831</v>
      </c>
      <c r="I104" s="108">
        <f ca="1"/>
        <v>22.520452629671578</v>
      </c>
      <c r="J104" s="108">
        <f ca="1"/>
        <v>22.358265195429798</v>
      </c>
      <c r="K104" s="108">
        <f ca="1"/>
        <v>22.256908837569412</v>
      </c>
      <c r="L104" s="108">
        <f ca="1"/>
        <v>22.155539377158288</v>
      </c>
      <c r="M104" s="6"/>
      <c r="N104" s="59" t="s">
        <v>43</v>
      </c>
      <c r="O104" s="3" t="s">
        <v>713</v>
      </c>
    </row>
    <row r="105" spans="1:20" s="2" customFormat="1" ht="15" x14ac:dyDescent="0.4">
      <c r="A105" s="2" t="s">
        <v>969</v>
      </c>
      <c r="C105" s="2" t="s">
        <v>710</v>
      </c>
    </row>
    <row r="106" spans="1:20" x14ac:dyDescent="0.25">
      <c r="A106" t="str">
        <f t="array" ref="A106:A113">R_CODE&amp;" "&amp;I_1_NAME</f>
        <v>EU Economic</v>
      </c>
      <c r="C106" s="29">
        <f t="array" ref="C106:L113" ca="1">IF((rtl-atl_1)&lt;0,0,rtl-atl_1)</f>
        <v>1.3960357200273208</v>
      </c>
      <c r="D106" s="29">
        <f ca="1"/>
        <v>1.9348066100311736</v>
      </c>
      <c r="E106" s="29">
        <f ca="1"/>
        <v>2.2862325770814675</v>
      </c>
      <c r="F106" s="29">
        <f ca="1"/>
        <v>2.5112189691758871</v>
      </c>
      <c r="G106" s="29">
        <f ca="1"/>
        <v>2.7389258882540752</v>
      </c>
      <c r="H106" s="29">
        <f ca="1"/>
        <v>2.729668413252512</v>
      </c>
      <c r="I106" s="29">
        <f ca="1"/>
        <v>2.4241264065556938</v>
      </c>
      <c r="J106" s="29">
        <f ca="1"/>
        <v>2.2260705974335209</v>
      </c>
      <c r="K106" s="29">
        <f ca="1"/>
        <v>2.1022988912001619</v>
      </c>
      <c r="L106" s="29">
        <f ca="1"/>
        <v>1.9785111847365802</v>
      </c>
      <c r="M106" s="6"/>
      <c r="N106" s="59" t="s">
        <v>43</v>
      </c>
      <c r="O106" s="3" t="s">
        <v>712</v>
      </c>
    </row>
    <row r="107" spans="1:20" x14ac:dyDescent="0.25">
      <c r="A107" t="str">
        <v>US Economic</v>
      </c>
      <c r="C107" s="26">
        <f ca="1"/>
        <v>1.4729825707374877</v>
      </c>
      <c r="D107" s="26">
        <f ca="1"/>
        <v>2.0414494940486394</v>
      </c>
      <c r="E107" s="26">
        <f ca="1"/>
        <v>2.412245396290682</v>
      </c>
      <c r="F107" s="26">
        <f ca="1"/>
        <v>2.6496326131462111</v>
      </c>
      <c r="G107" s="26">
        <f ca="1"/>
        <v>2.8898903072917013</v>
      </c>
      <c r="H107" s="26">
        <f ca="1"/>
        <v>2.8801225777624926</v>
      </c>
      <c r="I107" s="26">
        <f ca="1"/>
        <v>2.5577396730587632</v>
      </c>
      <c r="J107" s="26">
        <f ca="1"/>
        <v>2.3487674020164708</v>
      </c>
      <c r="K107" s="26">
        <f ca="1"/>
        <v>2.2181736332348159</v>
      </c>
      <c r="L107" s="26">
        <f ca="1"/>
        <v>2.087562982320486</v>
      </c>
      <c r="M107" s="6"/>
      <c r="N107" s="59" t="s">
        <v>43</v>
      </c>
      <c r="O107" s="3" t="s">
        <v>712</v>
      </c>
    </row>
    <row r="108" spans="1:20" x14ac:dyDescent="0.25">
      <c r="A108" t="str">
        <v>OT Economic</v>
      </c>
      <c r="C108" s="26">
        <f ca="1"/>
        <v>1.3410736838057724</v>
      </c>
      <c r="D108" s="26">
        <f ca="1"/>
        <v>1.8586331214472687</v>
      </c>
      <c r="E108" s="26">
        <f ca="1"/>
        <v>2.1962234205034568</v>
      </c>
      <c r="F108" s="26">
        <f ca="1"/>
        <v>2.4123520806256549</v>
      </c>
      <c r="G108" s="26">
        <f ca="1"/>
        <v>2.6310941603700559</v>
      </c>
      <c r="H108" s="26">
        <f ca="1"/>
        <v>2.622201152888239</v>
      </c>
      <c r="I108" s="26">
        <f ca="1"/>
        <v>2.3286883590535004</v>
      </c>
      <c r="J108" s="26">
        <f ca="1"/>
        <v>2.1384300227314132</v>
      </c>
      <c r="K108" s="26">
        <f ca="1"/>
        <v>2.019531218318265</v>
      </c>
      <c r="L108" s="26">
        <f ca="1"/>
        <v>1.9006170436052183</v>
      </c>
      <c r="M108" s="6"/>
      <c r="N108" s="59" t="s">
        <v>43</v>
      </c>
      <c r="O108" s="3" t="s">
        <v>712</v>
      </c>
    </row>
    <row r="109" spans="1:20" x14ac:dyDescent="0.25">
      <c r="A109" t="str">
        <v>EE Economic</v>
      </c>
      <c r="C109" s="26">
        <f ca="1"/>
        <v>1.8137471953110853</v>
      </c>
      <c r="D109" s="26">
        <f ca="1"/>
        <v>2.5137251232688467</v>
      </c>
      <c r="E109" s="26">
        <f ca="1"/>
        <v>2.9703021670743466</v>
      </c>
      <c r="F109" s="26">
        <f ca="1"/>
        <v>3.2626073221576473</v>
      </c>
      <c r="G109" s="26">
        <f ca="1"/>
        <v>3.5584470201726162</v>
      </c>
      <c r="H109" s="26">
        <f ca="1"/>
        <v>3.5464195920209787</v>
      </c>
      <c r="I109" s="26">
        <f ca="1"/>
        <v>3.1494555675723568</v>
      </c>
      <c r="J109" s="26">
        <f ca="1"/>
        <v>2.8921389651695342</v>
      </c>
      <c r="K109" s="26">
        <f ca="1"/>
        <v>2.7313332051025712</v>
      </c>
      <c r="L109" s="26">
        <f ca="1"/>
        <v>2.570506657334926</v>
      </c>
      <c r="M109" s="6"/>
      <c r="N109" s="59" t="s">
        <v>43</v>
      </c>
      <c r="O109" s="3" t="s">
        <v>712</v>
      </c>
    </row>
    <row r="110" spans="1:20" x14ac:dyDescent="0.25">
      <c r="A110" t="str">
        <v>CA Economic</v>
      </c>
      <c r="C110" s="26">
        <f ca="1"/>
        <v>1.2861116475842242</v>
      </c>
      <c r="D110" s="26">
        <f ca="1"/>
        <v>1.7824596328633642</v>
      </c>
      <c r="E110" s="26">
        <f ca="1"/>
        <v>2.106214263925446</v>
      </c>
      <c r="F110" s="26">
        <f ca="1"/>
        <v>2.3134851920754231</v>
      </c>
      <c r="G110" s="26">
        <f ca="1"/>
        <v>2.5232624324860371</v>
      </c>
      <c r="H110" s="26">
        <f ca="1"/>
        <v>2.5147338925239668</v>
      </c>
      <c r="I110" s="26">
        <f ca="1"/>
        <v>2.2332503115513078</v>
      </c>
      <c r="J110" s="26">
        <f ca="1"/>
        <v>2.0507894480293061</v>
      </c>
      <c r="K110" s="26">
        <f ca="1"/>
        <v>1.936763545436369</v>
      </c>
      <c r="L110" s="26">
        <f ca="1"/>
        <v>1.8227229024738567</v>
      </c>
      <c r="M110" s="6"/>
      <c r="N110" s="59" t="s">
        <v>43</v>
      </c>
      <c r="O110" s="3" t="s">
        <v>712</v>
      </c>
    </row>
    <row r="111" spans="1:20" x14ac:dyDescent="0.25">
      <c r="A111" t="str">
        <v>IA Economic</v>
      </c>
      <c r="C111" s="26">
        <f ca="1"/>
        <v>1.1102331316752707</v>
      </c>
      <c r="D111" s="26">
        <f ca="1"/>
        <v>1.5387044693948702</v>
      </c>
      <c r="E111" s="26">
        <f ca="1"/>
        <v>1.8181849628758124</v>
      </c>
      <c r="F111" s="26">
        <f ca="1"/>
        <v>1.9971111487146815</v>
      </c>
      <c r="G111" s="26">
        <f ca="1"/>
        <v>2.1782009032571774</v>
      </c>
      <c r="H111" s="26">
        <f ca="1"/>
        <v>2.1708386593582962</v>
      </c>
      <c r="I111" s="26">
        <f ca="1"/>
        <v>1.9278485595442916</v>
      </c>
      <c r="J111" s="26">
        <f ca="1"/>
        <v>1.7703396089825636</v>
      </c>
      <c r="K111" s="26">
        <f ca="1"/>
        <v>1.6719069922143015</v>
      </c>
      <c r="L111" s="26">
        <f ca="1"/>
        <v>1.5734616508535004</v>
      </c>
      <c r="M111" s="6"/>
      <c r="N111" s="59" t="s">
        <v>43</v>
      </c>
      <c r="O111" s="3" t="s">
        <v>712</v>
      </c>
    </row>
    <row r="112" spans="1:20" x14ac:dyDescent="0.25">
      <c r="A112" t="str">
        <v>AF Economic</v>
      </c>
      <c r="C112" s="26">
        <f ca="1"/>
        <v>1.3300812765614627</v>
      </c>
      <c r="D112" s="26">
        <f ca="1"/>
        <v>1.8433984237304879</v>
      </c>
      <c r="E112" s="26">
        <f ca="1"/>
        <v>2.1782215891878547</v>
      </c>
      <c r="F112" s="26">
        <f ca="1"/>
        <v>2.3925787029156083</v>
      </c>
      <c r="G112" s="26">
        <f ca="1"/>
        <v>2.6095278147932524</v>
      </c>
      <c r="H112" s="26">
        <f ca="1"/>
        <v>2.6007077008153847</v>
      </c>
      <c r="I112" s="26">
        <f ca="1"/>
        <v>2.3096007495530619</v>
      </c>
      <c r="J112" s="26">
        <f ca="1"/>
        <v>2.1209019077909921</v>
      </c>
      <c r="K112" s="26">
        <f ca="1"/>
        <v>2.0029776837418858</v>
      </c>
      <c r="L112" s="26">
        <f ca="1"/>
        <v>1.885038215378946</v>
      </c>
      <c r="M112" s="6"/>
      <c r="N112" s="59" t="s">
        <v>43</v>
      </c>
      <c r="O112" s="3" t="s">
        <v>712</v>
      </c>
    </row>
    <row r="113" spans="1:15" x14ac:dyDescent="0.25">
      <c r="A113" t="str">
        <v>LA Economic</v>
      </c>
      <c r="C113" s="26">
        <f ca="1"/>
        <v>1.1432103534081994</v>
      </c>
      <c r="D113" s="26">
        <f ca="1"/>
        <v>1.5844085625452129</v>
      </c>
      <c r="E113" s="26">
        <f ca="1"/>
        <v>1.8721904568226189</v>
      </c>
      <c r="F113" s="26">
        <f ca="1"/>
        <v>2.0564312818448207</v>
      </c>
      <c r="G113" s="26">
        <f ca="1"/>
        <v>2.2428999399875886</v>
      </c>
      <c r="H113" s="26">
        <f ca="1"/>
        <v>2.2353190155768599</v>
      </c>
      <c r="I113" s="26">
        <f ca="1"/>
        <v>1.9851113880456071</v>
      </c>
      <c r="J113" s="26">
        <f ca="1"/>
        <v>1.822923953803828</v>
      </c>
      <c r="K113" s="26">
        <f ca="1"/>
        <v>1.7215675959434393</v>
      </c>
      <c r="L113" s="26">
        <f ca="1"/>
        <v>1.6201981355323172</v>
      </c>
      <c r="M113" s="6"/>
      <c r="N113" s="59" t="s">
        <v>43</v>
      </c>
      <c r="O113" s="3" t="s">
        <v>712</v>
      </c>
    </row>
    <row r="114" spans="1:15" s="2" customFormat="1" ht="15" x14ac:dyDescent="0.4">
      <c r="A114" s="2" t="s">
        <v>970</v>
      </c>
      <c r="C114" s="2" t="s">
        <v>82</v>
      </c>
    </row>
    <row r="115" spans="1:15" x14ac:dyDescent="0.25">
      <c r="A115" t="str">
        <f t="array" ref="A115:A122">R_CODE&amp;" "&amp;I_2_NAME</f>
        <v>EU Non-econ</v>
      </c>
      <c r="C115" s="29">
        <f t="array" ref="C115:L122" ca="1">IF((rtl-atl_2)&lt;0,0,rtl-atl_2)</f>
        <v>1.3960357200273208</v>
      </c>
      <c r="D115" s="29">
        <f ca="1"/>
        <v>1.9348066100311736</v>
      </c>
      <c r="E115" s="29">
        <f ca="1"/>
        <v>2.2862325770814675</v>
      </c>
      <c r="F115" s="29">
        <f ca="1"/>
        <v>2.5112189691758871</v>
      </c>
      <c r="G115" s="29">
        <f ca="1"/>
        <v>2.7389258882540752</v>
      </c>
      <c r="H115" s="29">
        <f ca="1"/>
        <v>2.729668413252512</v>
      </c>
      <c r="I115" s="29">
        <f ca="1"/>
        <v>2.4241264065556938</v>
      </c>
      <c r="J115" s="29">
        <f ca="1"/>
        <v>2.2260705974335209</v>
      </c>
      <c r="K115" s="29">
        <f ca="1"/>
        <v>2.1022988912001619</v>
      </c>
      <c r="L115" s="29">
        <f ca="1"/>
        <v>1.9785111847365802</v>
      </c>
      <c r="M115" s="6"/>
      <c r="N115" s="59" t="s">
        <v>43</v>
      </c>
    </row>
    <row r="116" spans="1:15" x14ac:dyDescent="0.25">
      <c r="A116" t="str">
        <v>US Non-econ</v>
      </c>
      <c r="C116" s="26">
        <f ca="1"/>
        <v>1.4729825707374877</v>
      </c>
      <c r="D116" s="26">
        <f ca="1"/>
        <v>2.0414494940486394</v>
      </c>
      <c r="E116" s="26">
        <f ca="1"/>
        <v>2.412245396290682</v>
      </c>
      <c r="F116" s="26">
        <f ca="1"/>
        <v>2.6496326131462111</v>
      </c>
      <c r="G116" s="26">
        <f ca="1"/>
        <v>2.8898903072917013</v>
      </c>
      <c r="H116" s="26">
        <f ca="1"/>
        <v>2.8801225777624926</v>
      </c>
      <c r="I116" s="26">
        <f ca="1"/>
        <v>2.5577396730587632</v>
      </c>
      <c r="J116" s="26">
        <f ca="1"/>
        <v>2.3487674020164708</v>
      </c>
      <c r="K116" s="26">
        <f ca="1"/>
        <v>2.2181736332348159</v>
      </c>
      <c r="L116" s="26">
        <f ca="1"/>
        <v>2.087562982320486</v>
      </c>
      <c r="M116" s="6"/>
      <c r="N116" s="59" t="s">
        <v>43</v>
      </c>
    </row>
    <row r="117" spans="1:15" x14ac:dyDescent="0.25">
      <c r="A117" t="str">
        <v>OT Non-econ</v>
      </c>
      <c r="C117" s="26">
        <f ca="1"/>
        <v>1.3410736838057724</v>
      </c>
      <c r="D117" s="26">
        <f ca="1"/>
        <v>1.8586331214472687</v>
      </c>
      <c r="E117" s="26">
        <f ca="1"/>
        <v>2.1962234205034568</v>
      </c>
      <c r="F117" s="26">
        <f ca="1"/>
        <v>2.4123520806256549</v>
      </c>
      <c r="G117" s="26">
        <f ca="1"/>
        <v>2.6310941603700559</v>
      </c>
      <c r="H117" s="26">
        <f ca="1"/>
        <v>2.622201152888239</v>
      </c>
      <c r="I117" s="26">
        <f ca="1"/>
        <v>2.3286883590535004</v>
      </c>
      <c r="J117" s="26">
        <f ca="1"/>
        <v>2.1384300227314132</v>
      </c>
      <c r="K117" s="26">
        <f ca="1"/>
        <v>2.019531218318265</v>
      </c>
      <c r="L117" s="26">
        <f ca="1"/>
        <v>1.9006170436052183</v>
      </c>
      <c r="M117" s="6"/>
      <c r="N117" s="59" t="s">
        <v>43</v>
      </c>
    </row>
    <row r="118" spans="1:15" x14ac:dyDescent="0.25">
      <c r="A118" t="str">
        <v>EE Non-econ</v>
      </c>
      <c r="C118" s="26">
        <f ca="1"/>
        <v>1.8137471953110853</v>
      </c>
      <c r="D118" s="26">
        <f ca="1"/>
        <v>2.5137251232688467</v>
      </c>
      <c r="E118" s="26">
        <f ca="1"/>
        <v>2.9703021670743466</v>
      </c>
      <c r="F118" s="26">
        <f ca="1"/>
        <v>3.2626073221576473</v>
      </c>
      <c r="G118" s="26">
        <f ca="1"/>
        <v>3.5584470201726162</v>
      </c>
      <c r="H118" s="26">
        <f ca="1"/>
        <v>3.5464195920209787</v>
      </c>
      <c r="I118" s="26">
        <f ca="1"/>
        <v>3.1494555675723568</v>
      </c>
      <c r="J118" s="26">
        <f ca="1"/>
        <v>2.8921389651695342</v>
      </c>
      <c r="K118" s="26">
        <f ca="1"/>
        <v>2.7313332051025712</v>
      </c>
      <c r="L118" s="26">
        <f ca="1"/>
        <v>2.570506657334926</v>
      </c>
      <c r="M118" s="6"/>
      <c r="N118" s="59" t="s">
        <v>43</v>
      </c>
    </row>
    <row r="119" spans="1:15" x14ac:dyDescent="0.25">
      <c r="A119" t="str">
        <v>CA Non-econ</v>
      </c>
      <c r="C119" s="26">
        <f ca="1"/>
        <v>1.2861116475842242</v>
      </c>
      <c r="D119" s="26">
        <f ca="1"/>
        <v>1.7824596328633642</v>
      </c>
      <c r="E119" s="26">
        <f ca="1"/>
        <v>2.106214263925446</v>
      </c>
      <c r="F119" s="26">
        <f ca="1"/>
        <v>2.3134851920754231</v>
      </c>
      <c r="G119" s="26">
        <f ca="1"/>
        <v>2.5232624324860371</v>
      </c>
      <c r="H119" s="26">
        <f ca="1"/>
        <v>2.5147338925239668</v>
      </c>
      <c r="I119" s="26">
        <f ca="1"/>
        <v>2.2332503115513078</v>
      </c>
      <c r="J119" s="26">
        <f ca="1"/>
        <v>2.0507894480293061</v>
      </c>
      <c r="K119" s="26">
        <f ca="1"/>
        <v>1.936763545436369</v>
      </c>
      <c r="L119" s="26">
        <f ca="1"/>
        <v>1.8227229024738567</v>
      </c>
      <c r="M119" s="6"/>
      <c r="N119" s="59" t="s">
        <v>43</v>
      </c>
    </row>
    <row r="120" spans="1:15" x14ac:dyDescent="0.25">
      <c r="A120" t="str">
        <v>IA Non-econ</v>
      </c>
      <c r="C120" s="26">
        <f ca="1"/>
        <v>1.1102331316752707</v>
      </c>
      <c r="D120" s="26">
        <f ca="1"/>
        <v>1.5387044693948702</v>
      </c>
      <c r="E120" s="26">
        <f ca="1"/>
        <v>1.8181849628758124</v>
      </c>
      <c r="F120" s="26">
        <f ca="1"/>
        <v>1.9971111487146815</v>
      </c>
      <c r="G120" s="26">
        <f ca="1"/>
        <v>2.1782009032571774</v>
      </c>
      <c r="H120" s="26">
        <f ca="1"/>
        <v>2.1708386593582962</v>
      </c>
      <c r="I120" s="26">
        <f ca="1"/>
        <v>1.9278485595442916</v>
      </c>
      <c r="J120" s="26">
        <f ca="1"/>
        <v>1.7703396089825636</v>
      </c>
      <c r="K120" s="26">
        <f ca="1"/>
        <v>1.6719069922143015</v>
      </c>
      <c r="L120" s="26">
        <f ca="1"/>
        <v>1.5734616508535004</v>
      </c>
      <c r="M120" s="6"/>
      <c r="N120" s="59" t="s">
        <v>43</v>
      </c>
    </row>
    <row r="121" spans="1:15" x14ac:dyDescent="0.25">
      <c r="A121" t="str">
        <v>AF Non-econ</v>
      </c>
      <c r="C121" s="26">
        <f ca="1"/>
        <v>1.3300812765614627</v>
      </c>
      <c r="D121" s="26">
        <f ca="1"/>
        <v>1.8433984237304879</v>
      </c>
      <c r="E121" s="26">
        <f ca="1"/>
        <v>2.1782215891878547</v>
      </c>
      <c r="F121" s="26">
        <f ca="1"/>
        <v>2.3925787029156083</v>
      </c>
      <c r="G121" s="26">
        <f ca="1"/>
        <v>2.6095278147932524</v>
      </c>
      <c r="H121" s="26">
        <f ca="1"/>
        <v>2.6007077008153847</v>
      </c>
      <c r="I121" s="26">
        <f ca="1"/>
        <v>2.3096007495530619</v>
      </c>
      <c r="J121" s="26">
        <f ca="1"/>
        <v>2.1209019077909921</v>
      </c>
      <c r="K121" s="26">
        <f ca="1"/>
        <v>2.0029776837418858</v>
      </c>
      <c r="L121" s="26">
        <f ca="1"/>
        <v>1.885038215378946</v>
      </c>
      <c r="M121" s="6"/>
      <c r="N121" s="59" t="s">
        <v>43</v>
      </c>
    </row>
    <row r="122" spans="1:15" x14ac:dyDescent="0.25">
      <c r="A122" t="str">
        <v>LA Non-econ</v>
      </c>
      <c r="C122" s="26">
        <f ca="1"/>
        <v>1.1432103534081994</v>
      </c>
      <c r="D122" s="26">
        <f ca="1"/>
        <v>1.5844085625452129</v>
      </c>
      <c r="E122" s="26">
        <f ca="1"/>
        <v>1.8721904568226189</v>
      </c>
      <c r="F122" s="26">
        <f ca="1"/>
        <v>2.0564312818448207</v>
      </c>
      <c r="G122" s="26">
        <f ca="1"/>
        <v>2.2428999399875886</v>
      </c>
      <c r="H122" s="26">
        <f ca="1"/>
        <v>2.2353190155768599</v>
      </c>
      <c r="I122" s="26">
        <f ca="1"/>
        <v>1.9851113880456071</v>
      </c>
      <c r="J122" s="26">
        <f ca="1"/>
        <v>1.822923953803828</v>
      </c>
      <c r="K122" s="26">
        <f ca="1"/>
        <v>1.7215675959434393</v>
      </c>
      <c r="L122" s="26">
        <f ca="1"/>
        <v>1.6201981355323172</v>
      </c>
      <c r="M122" s="6"/>
      <c r="N122" s="59" t="s">
        <v>43</v>
      </c>
    </row>
    <row r="123" spans="1:15" s="2" customFormat="1" ht="15" x14ac:dyDescent="0.4">
      <c r="A123" s="2" t="s">
        <v>971</v>
      </c>
      <c r="C123" s="2" t="s">
        <v>135</v>
      </c>
    </row>
    <row r="124" spans="1:15" x14ac:dyDescent="0.25">
      <c r="A124" t="s">
        <v>136</v>
      </c>
      <c r="C124" s="26">
        <f t="array" ref="C124:L124" ca="1">rt_g-TDIS</f>
        <v>-0.40075927556903901</v>
      </c>
      <c r="D124" s="26">
        <f ca="1"/>
        <v>2.3469771678089169E-2</v>
      </c>
      <c r="E124" s="26">
        <f ca="1"/>
        <v>0.30018313156021037</v>
      </c>
      <c r="F124" s="26">
        <f ca="1"/>
        <v>0.47733777100463515</v>
      </c>
      <c r="G124" s="26">
        <f ca="1"/>
        <v>0.65663455768037382</v>
      </c>
      <c r="H124" s="26">
        <f ca="1"/>
        <v>0.64934520728544198</v>
      </c>
      <c r="I124" s="26">
        <f ca="1"/>
        <v>0.40876095004385293</v>
      </c>
      <c r="J124" s="26">
        <f ca="1"/>
        <v>0.2528114940421422</v>
      </c>
      <c r="K124" s="26">
        <f ca="1"/>
        <v>0.1553534576379223</v>
      </c>
      <c r="L124" s="26">
        <f ca="1"/>
        <v>5.7882822627228103E-2</v>
      </c>
      <c r="M124" s="6"/>
      <c r="N124" s="1" t="s">
        <v>43</v>
      </c>
    </row>
    <row r="125" spans="1:15" x14ac:dyDescent="0.25">
      <c r="A125" t="s">
        <v>137</v>
      </c>
      <c r="C125" s="26">
        <f t="array" ref="C125:L125" ca="1">i_dis*PDIS/100</f>
        <v>-8.0151855113807804E-2</v>
      </c>
      <c r="D125" s="26">
        <f ca="1"/>
        <v>4.6939543356178341E-3</v>
      </c>
      <c r="E125" s="26">
        <f ca="1"/>
        <v>6.0036626312042075E-2</v>
      </c>
      <c r="F125" s="26">
        <f ca="1"/>
        <v>9.5467554200927035E-2</v>
      </c>
      <c r="G125" s="26">
        <f ca="1"/>
        <v>0.13132691153607476</v>
      </c>
      <c r="H125" s="26">
        <f ca="1"/>
        <v>0.12986904145708839</v>
      </c>
      <c r="I125" s="26">
        <f ca="1"/>
        <v>8.1752190008770584E-2</v>
      </c>
      <c r="J125" s="26">
        <f ca="1"/>
        <v>5.0562298808428441E-2</v>
      </c>
      <c r="K125" s="26">
        <f ca="1"/>
        <v>3.107069152758446E-2</v>
      </c>
      <c r="L125" s="26">
        <f ca="1"/>
        <v>1.157656452544562E-2</v>
      </c>
      <c r="M125" s="6"/>
      <c r="N125" s="1"/>
    </row>
    <row r="126" spans="1:15" x14ac:dyDescent="0.25">
      <c r="A126" s="3" t="s">
        <v>250</v>
      </c>
      <c r="C126" s="26">
        <f t="array" aca="1" ref="C126:L126" ca="1">EXP(-YP/DISTAU)</f>
        <v>0.77880078307140488</v>
      </c>
      <c r="D126" s="26">
        <f ca="1"/>
        <v>0.60653065971263342</v>
      </c>
      <c r="E126" s="26">
        <f ca="1"/>
        <v>0.60653065971263342</v>
      </c>
      <c r="F126" s="26">
        <f ca="1"/>
        <v>0.60653065971263342</v>
      </c>
      <c r="G126" s="26">
        <f ca="1"/>
        <v>0.28650479686019009</v>
      </c>
      <c r="H126" s="26">
        <f ca="1"/>
        <v>0.28650479686019009</v>
      </c>
      <c r="I126" s="26">
        <f ca="1"/>
        <v>8.20849986238988E-2</v>
      </c>
      <c r="J126" s="26">
        <f ca="1"/>
        <v>8.20849986238988E-2</v>
      </c>
      <c r="K126" s="26">
        <f ca="1"/>
        <v>8.20849986238988E-2</v>
      </c>
      <c r="L126" s="26">
        <f ca="1"/>
        <v>8.20849986238988E-2</v>
      </c>
      <c r="M126" s="6"/>
      <c r="N126" s="1"/>
      <c r="O126">
        <f ca="1">_xll.RiskOutput()+EXPFDIS_1</f>
        <v>0.77880078307140488</v>
      </c>
    </row>
    <row r="127" spans="1:15" x14ac:dyDescent="0.25">
      <c r="A127" t="s">
        <v>205</v>
      </c>
      <c r="B127" s="14">
        <v>0</v>
      </c>
      <c r="C127" s="14">
        <f t="shared" ref="C127:L127" ca="1" si="0">IF(C125&lt;RAND_DIS,B127,1)</f>
        <v>0</v>
      </c>
      <c r="D127" s="14">
        <f t="shared" ca="1" si="0"/>
        <v>0</v>
      </c>
      <c r="E127" s="14">
        <f t="shared" ca="1" si="0"/>
        <v>0</v>
      </c>
      <c r="F127" s="14">
        <f t="shared" ca="1" si="0"/>
        <v>0</v>
      </c>
      <c r="G127" s="14">
        <f t="shared" ca="1" si="0"/>
        <v>0</v>
      </c>
      <c r="H127" s="14">
        <f t="shared" ca="1" si="0"/>
        <v>0</v>
      </c>
      <c r="I127" s="14">
        <f t="shared" ca="1" si="0"/>
        <v>0</v>
      </c>
      <c r="J127" s="14">
        <f t="shared" ca="1" si="0"/>
        <v>0</v>
      </c>
      <c r="K127" s="14">
        <f t="shared" ca="1" si="0"/>
        <v>0</v>
      </c>
      <c r="L127" s="14">
        <f t="shared" ca="1" si="0"/>
        <v>0</v>
      </c>
      <c r="M127" s="6"/>
      <c r="N127" s="1"/>
    </row>
    <row r="128" spans="1:15" s="1" customFormat="1" x14ac:dyDescent="0.25"/>
    <row r="129" spans="1:16" s="1" customFormat="1" ht="13" x14ac:dyDescent="0.3">
      <c r="A129" s="44" t="s">
        <v>405</v>
      </c>
      <c r="B129" s="6"/>
      <c r="C129" s="6"/>
      <c r="D129" s="6"/>
      <c r="E129" s="6"/>
      <c r="F129" s="6"/>
      <c r="G129" s="6"/>
      <c r="H129" s="6"/>
      <c r="I129" s="6"/>
      <c r="J129" s="6"/>
      <c r="K129" s="6"/>
      <c r="L129" s="6"/>
    </row>
    <row r="130" spans="1:16" s="1" customFormat="1" ht="13" x14ac:dyDescent="0.3">
      <c r="A130" s="1" t="str">
        <f t="array" ref="A130:A137">R_CODE</f>
        <v>EU</v>
      </c>
      <c r="B130" s="6"/>
      <c r="C130" s="108">
        <f t="array" aca="1" ref="C130:L137" ca="1">IF(CONS_PER_CAP-(tct_per_cap+act_per_cap) &lt; 0.01*CONS_PER_CAP_FOCUS_0,  0.01*CONS_PER_CAP_FOCUS_0, CONS_PER_CAP-(tct_per_cap+act_per_cap))</f>
        <v>31323.957165309825</v>
      </c>
      <c r="D130" s="108">
        <f ca="1"/>
        <v>35988.526374269371</v>
      </c>
      <c r="E130" s="108">
        <f ca="1"/>
        <v>42106.238429663157</v>
      </c>
      <c r="F130" s="108">
        <f ca="1"/>
        <v>49516.538036625316</v>
      </c>
      <c r="G130" s="108">
        <f ca="1"/>
        <v>75822.256903607893</v>
      </c>
      <c r="H130" s="108">
        <f ca="1"/>
        <v>116100.09186061885</v>
      </c>
      <c r="I130" s="108">
        <f ca="1"/>
        <v>222940.91197264078</v>
      </c>
      <c r="J130" s="108">
        <f ca="1"/>
        <v>380804.55530305684</v>
      </c>
      <c r="K130" s="108">
        <f ca="1"/>
        <v>591606.61141444393</v>
      </c>
      <c r="L130" s="108">
        <f ca="1"/>
        <v>850324.52668897179</v>
      </c>
      <c r="N130" s="1" t="str">
        <f t="shared" ref="N130:N137" si="1">CURRENCY_NAME&amp;"/"&amp;POP_UNIT_NAME</f>
        <v>$M(2015)/million</v>
      </c>
      <c r="P130" s="242" t="s">
        <v>884</v>
      </c>
    </row>
    <row r="131" spans="1:16" s="1" customFormat="1" x14ac:dyDescent="0.25">
      <c r="A131" s="1" t="str">
        <v>US</v>
      </c>
      <c r="B131" s="6"/>
      <c r="C131" s="108">
        <f ca="1"/>
        <v>49356.317904046773</v>
      </c>
      <c r="D131" s="108">
        <f ca="1"/>
        <v>56379.814413276676</v>
      </c>
      <c r="E131" s="108">
        <f ca="1"/>
        <v>62532.433845116844</v>
      </c>
      <c r="F131" s="108">
        <f ca="1"/>
        <v>69435.24055915905</v>
      </c>
      <c r="G131" s="108">
        <f ca="1"/>
        <v>92949.994948865642</v>
      </c>
      <c r="H131" s="108">
        <f ca="1"/>
        <v>131841.33241240648</v>
      </c>
      <c r="I131" s="108">
        <f ca="1"/>
        <v>267050.00560971751</v>
      </c>
      <c r="J131" s="108">
        <f ca="1"/>
        <v>502031.39501899405</v>
      </c>
      <c r="K131" s="108">
        <f ca="1"/>
        <v>884647.5273368276</v>
      </c>
      <c r="L131" s="108">
        <f ca="1"/>
        <v>1471599.5687750862</v>
      </c>
      <c r="N131" s="1" t="str">
        <f t="shared" si="1"/>
        <v>$M(2015)/million</v>
      </c>
    </row>
    <row r="132" spans="1:16" s="1" customFormat="1" x14ac:dyDescent="0.25">
      <c r="A132" s="1" t="str">
        <v>OT</v>
      </c>
      <c r="B132" s="6"/>
      <c r="C132" s="108">
        <f ca="1"/>
        <v>31579.295434615953</v>
      </c>
      <c r="D132" s="108">
        <f ca="1"/>
        <v>37280.35807488321</v>
      </c>
      <c r="E132" s="108">
        <f ca="1"/>
        <v>43511.996747731675</v>
      </c>
      <c r="F132" s="108">
        <f ca="1"/>
        <v>51026.743812859007</v>
      </c>
      <c r="G132" s="108">
        <f ca="1"/>
        <v>77808.885910626559</v>
      </c>
      <c r="H132" s="108">
        <f ca="1"/>
        <v>118871.53449453114</v>
      </c>
      <c r="I132" s="108">
        <f ca="1"/>
        <v>191532.29374982123</v>
      </c>
      <c r="J132" s="108">
        <f ca="1"/>
        <v>258926.68328533933</v>
      </c>
      <c r="K132" s="108">
        <f ca="1"/>
        <v>313495.19646258315</v>
      </c>
      <c r="L132" s="108">
        <f ca="1"/>
        <v>353973.31908235274</v>
      </c>
      <c r="N132" s="1" t="str">
        <f t="shared" si="1"/>
        <v>$M(2015)/million</v>
      </c>
    </row>
    <row r="133" spans="1:16" s="1" customFormat="1" x14ac:dyDescent="0.25">
      <c r="A133" s="1" t="str">
        <v>EE</v>
      </c>
      <c r="B133" s="6"/>
      <c r="C133" s="108">
        <f ca="1"/>
        <v>14091.376026939201</v>
      </c>
      <c r="D133" s="108">
        <f ca="1"/>
        <v>20833.735227487708</v>
      </c>
      <c r="E133" s="108">
        <f ca="1"/>
        <v>28467.710315426117</v>
      </c>
      <c r="F133" s="108">
        <f ca="1"/>
        <v>35273.307489241386</v>
      </c>
      <c r="G133" s="108">
        <f ca="1"/>
        <v>56047.53206563733</v>
      </c>
      <c r="H133" s="108">
        <f ca="1"/>
        <v>84191.903380122036</v>
      </c>
      <c r="I133" s="108">
        <f ca="1"/>
        <v>117262.83060570651</v>
      </c>
      <c r="J133" s="108">
        <f ca="1"/>
        <v>135323.76325652236</v>
      </c>
      <c r="K133" s="108">
        <f ca="1"/>
        <v>144057.56016073178</v>
      </c>
      <c r="L133" s="108">
        <f ca="1"/>
        <v>148069.03886054896</v>
      </c>
      <c r="N133" s="1" t="str">
        <f t="shared" si="1"/>
        <v>$M(2015)/million</v>
      </c>
    </row>
    <row r="134" spans="1:16" s="1" customFormat="1" x14ac:dyDescent="0.25">
      <c r="A134" s="1" t="str">
        <v>CA</v>
      </c>
      <c r="B134" s="6"/>
      <c r="C134" s="108">
        <f ca="1"/>
        <v>12480.11354047149</v>
      </c>
      <c r="D134" s="108">
        <f ca="1"/>
        <v>23282.896925051846</v>
      </c>
      <c r="E134" s="108">
        <f ca="1"/>
        <v>35284.698128383367</v>
      </c>
      <c r="F134" s="108">
        <f ca="1"/>
        <v>47190.484385018441</v>
      </c>
      <c r="G134" s="108">
        <f ca="1"/>
        <v>72640.464652905081</v>
      </c>
      <c r="H134" s="108">
        <f ca="1"/>
        <v>102779.56072011709</v>
      </c>
      <c r="I134" s="108">
        <f ca="1"/>
        <v>99772.990175967745</v>
      </c>
      <c r="J134" s="108">
        <f ca="1"/>
        <v>96607.244936881107</v>
      </c>
      <c r="K134" s="108">
        <f ca="1"/>
        <v>93421.717289006643</v>
      </c>
      <c r="L134" s="108">
        <f ca="1"/>
        <v>90284.866456329808</v>
      </c>
      <c r="N134" s="1" t="str">
        <f t="shared" si="1"/>
        <v>$M(2015)/million</v>
      </c>
    </row>
    <row r="135" spans="1:16" s="1" customFormat="1" x14ac:dyDescent="0.25">
      <c r="A135" s="1" t="str">
        <v>IA</v>
      </c>
      <c r="B135" s="6"/>
      <c r="C135" s="108">
        <f ca="1"/>
        <v>5944.9394785370487</v>
      </c>
      <c r="D135" s="108">
        <f ca="1"/>
        <v>10190.321072860301</v>
      </c>
      <c r="E135" s="108">
        <f ca="1"/>
        <v>16648.63735464769</v>
      </c>
      <c r="F135" s="108">
        <f ca="1"/>
        <v>25370.236636671914</v>
      </c>
      <c r="G135" s="108">
        <f ca="1"/>
        <v>55744.210057336371</v>
      </c>
      <c r="H135" s="108">
        <f ca="1"/>
        <v>98071.312716242057</v>
      </c>
      <c r="I135" s="108">
        <f ca="1"/>
        <v>162959.45083872031</v>
      </c>
      <c r="J135" s="108">
        <f ca="1"/>
        <v>185438.08201097828</v>
      </c>
      <c r="K135" s="108">
        <f ca="1"/>
        <v>191645.72430313902</v>
      </c>
      <c r="L135" s="108">
        <f ca="1"/>
        <v>193271.05505515489</v>
      </c>
      <c r="N135" s="1" t="str">
        <f t="shared" si="1"/>
        <v>$M(2015)/million</v>
      </c>
    </row>
    <row r="136" spans="1:16" s="1" customFormat="1" x14ac:dyDescent="0.25">
      <c r="A136" s="1" t="str">
        <v>AF</v>
      </c>
      <c r="B136" s="6"/>
      <c r="C136" s="108">
        <f ca="1"/>
        <v>5213.442927245881</v>
      </c>
      <c r="D136" s="108">
        <f ca="1"/>
        <v>7111.5623287110338</v>
      </c>
      <c r="E136" s="108">
        <f ca="1"/>
        <v>10235.837423820811</v>
      </c>
      <c r="F136" s="108">
        <f ca="1"/>
        <v>15242.631263752062</v>
      </c>
      <c r="G136" s="108">
        <f ca="1"/>
        <v>40825.605237283176</v>
      </c>
      <c r="H136" s="108">
        <f ca="1"/>
        <v>88358.004257736844</v>
      </c>
      <c r="I136" s="108">
        <f ca="1"/>
        <v>333249.34985292563</v>
      </c>
      <c r="J136" s="108">
        <f ca="1"/>
        <v>637840.66044005309</v>
      </c>
      <c r="K136" s="108">
        <f ca="1"/>
        <v>875814.0010809435</v>
      </c>
      <c r="L136" s="108">
        <f ca="1"/>
        <v>1022283.3687917753</v>
      </c>
      <c r="N136" s="1" t="str">
        <f t="shared" si="1"/>
        <v>$M(2015)/million</v>
      </c>
      <c r="O136" s="6"/>
    </row>
    <row r="137" spans="1:16" s="1" customFormat="1" x14ac:dyDescent="0.25">
      <c r="A137" s="1" t="str">
        <v>LA</v>
      </c>
      <c r="B137" s="6"/>
      <c r="C137" s="108">
        <f ca="1"/>
        <v>12459.662488192993</v>
      </c>
      <c r="D137" s="108">
        <f ca="1"/>
        <v>16746.810712205592</v>
      </c>
      <c r="E137" s="108">
        <f ca="1"/>
        <v>22829.787934703654</v>
      </c>
      <c r="F137" s="108">
        <f ca="1"/>
        <v>30888.828029538541</v>
      </c>
      <c r="G137" s="108">
        <f ca="1"/>
        <v>60222.991211242203</v>
      </c>
      <c r="H137" s="108">
        <f ca="1"/>
        <v>104383.80763402321</v>
      </c>
      <c r="I137" s="108">
        <f ca="1"/>
        <v>190690.96943552414</v>
      </c>
      <c r="J137" s="108">
        <f ca="1"/>
        <v>242452.09154663779</v>
      </c>
      <c r="K137" s="108">
        <f ca="1"/>
        <v>266789.41146108462</v>
      </c>
      <c r="L137" s="108">
        <f ca="1"/>
        <v>277149.07983271865</v>
      </c>
      <c r="N137" s="1" t="str">
        <f t="shared" si="1"/>
        <v>$M(2015)/million</v>
      </c>
    </row>
    <row r="138" spans="1:16" s="1" customFormat="1" ht="13" x14ac:dyDescent="0.3">
      <c r="A138" s="44" t="s">
        <v>406</v>
      </c>
      <c r="B138" s="6"/>
      <c r="C138" s="6"/>
      <c r="D138" s="6"/>
      <c r="E138" s="6"/>
      <c r="F138" s="6"/>
      <c r="G138" s="6"/>
      <c r="H138" s="6"/>
      <c r="I138" s="6"/>
      <c r="J138" s="6"/>
      <c r="K138" s="6"/>
      <c r="L138" s="6"/>
    </row>
    <row r="139" spans="1:16" s="1" customFormat="1" x14ac:dyDescent="0.25">
      <c r="A139" s="1" t="str">
        <f t="array" ref="A139:A146">R_CODE</f>
        <v>EU</v>
      </c>
      <c r="B139" s="6"/>
      <c r="C139" s="26">
        <f t="array" aca="1" ref="C139:L146" ca="1">cons_per_cap_after_costs/(1-SAVE/100)</f>
        <v>36851.714312129203</v>
      </c>
      <c r="D139" s="26">
        <f ca="1"/>
        <v>42339.442793258087</v>
      </c>
      <c r="E139" s="26">
        <f ca="1"/>
        <v>49536.751093721359</v>
      </c>
      <c r="F139" s="26">
        <f ca="1"/>
        <v>58254.750631323899</v>
      </c>
      <c r="G139" s="26">
        <f ca="1"/>
        <v>89202.65518071517</v>
      </c>
      <c r="H139" s="26">
        <f ca="1"/>
        <v>136588.34336543395</v>
      </c>
      <c r="I139" s="26">
        <f ca="1"/>
        <v>262283.42585016566</v>
      </c>
      <c r="J139" s="26">
        <f ca="1"/>
        <v>448005.35918006691</v>
      </c>
      <c r="K139" s="26">
        <f ca="1"/>
        <v>696007.77813463996</v>
      </c>
      <c r="L139" s="26">
        <f ca="1"/>
        <v>1000381.7961046727</v>
      </c>
      <c r="N139" s="1" t="str">
        <f t="shared" ref="N139:N146" si="2">CURRENCY_NAME&amp;"/"&amp;POP_UNIT_NAME</f>
        <v>$M(2015)/million</v>
      </c>
    </row>
    <row r="140" spans="1:16" s="1" customFormat="1" x14ac:dyDescent="0.25">
      <c r="A140" s="1" t="str">
        <v>US</v>
      </c>
      <c r="B140" s="6"/>
      <c r="C140" s="26">
        <f ca="1"/>
        <v>58066.256357702085</v>
      </c>
      <c r="D140" s="26">
        <f ca="1"/>
        <v>66329.193427384322</v>
      </c>
      <c r="E140" s="26">
        <f ca="1"/>
        <v>73567.569229549234</v>
      </c>
      <c r="F140" s="26">
        <f ca="1"/>
        <v>81688.518304893005</v>
      </c>
      <c r="G140" s="26">
        <f ca="1"/>
        <v>109352.93523395958</v>
      </c>
      <c r="H140" s="26">
        <f ca="1"/>
        <v>155107.44989694882</v>
      </c>
      <c r="I140" s="26">
        <f ca="1"/>
        <v>314176.47718790296</v>
      </c>
      <c r="J140" s="26">
        <f ca="1"/>
        <v>590625.17061058129</v>
      </c>
      <c r="K140" s="26">
        <f ca="1"/>
        <v>1040761.796866856</v>
      </c>
      <c r="L140" s="26">
        <f ca="1"/>
        <v>1731293.610323631</v>
      </c>
      <c r="N140" s="1" t="str">
        <f t="shared" si="2"/>
        <v>$M(2015)/million</v>
      </c>
    </row>
    <row r="141" spans="1:16" s="1" customFormat="1" x14ac:dyDescent="0.25">
      <c r="A141" s="1" t="str">
        <v>OT</v>
      </c>
      <c r="B141" s="6"/>
      <c r="C141" s="26">
        <f ca="1"/>
        <v>37152.112276018772</v>
      </c>
      <c r="D141" s="26">
        <f ca="1"/>
        <v>43859.244793980251</v>
      </c>
      <c r="E141" s="26">
        <f ca="1"/>
        <v>51190.584409096089</v>
      </c>
      <c r="F141" s="26">
        <f ca="1"/>
        <v>60031.46330924589</v>
      </c>
      <c r="G141" s="26">
        <f ca="1"/>
        <v>91539.865777207713</v>
      </c>
      <c r="H141" s="26">
        <f ca="1"/>
        <v>139848.8641112131</v>
      </c>
      <c r="I141" s="26">
        <f ca="1"/>
        <v>225332.11029390732</v>
      </c>
      <c r="J141" s="26">
        <f ca="1"/>
        <v>304619.62739451684</v>
      </c>
      <c r="K141" s="26">
        <f ca="1"/>
        <v>368817.8781912743</v>
      </c>
      <c r="L141" s="26">
        <f ca="1"/>
        <v>416439.19892041502</v>
      </c>
      <c r="N141" s="1" t="str">
        <f t="shared" si="2"/>
        <v>$M(2015)/million</v>
      </c>
    </row>
    <row r="142" spans="1:16" s="1" customFormat="1" x14ac:dyDescent="0.25">
      <c r="A142" s="1" t="str">
        <v>EE</v>
      </c>
      <c r="B142" s="6"/>
      <c r="C142" s="26">
        <f ca="1"/>
        <v>16578.089443457884</v>
      </c>
      <c r="D142" s="26">
        <f ca="1"/>
        <v>24510.276738220833</v>
      </c>
      <c r="E142" s="26">
        <f ca="1"/>
        <v>33491.423900501315</v>
      </c>
      <c r="F142" s="26">
        <f ca="1"/>
        <v>41498.008810872219</v>
      </c>
      <c r="G142" s="26">
        <f ca="1"/>
        <v>65938.273018396867</v>
      </c>
      <c r="H142" s="26">
        <f ca="1"/>
        <v>99049.298094261219</v>
      </c>
      <c r="I142" s="26">
        <f ca="1"/>
        <v>137956.2713008312</v>
      </c>
      <c r="J142" s="26">
        <f ca="1"/>
        <v>159204.42736061456</v>
      </c>
      <c r="K142" s="26">
        <f ca="1"/>
        <v>169479.48254203738</v>
      </c>
      <c r="L142" s="26">
        <f ca="1"/>
        <v>174198.86924770466</v>
      </c>
      <c r="N142" s="1" t="str">
        <f t="shared" si="2"/>
        <v>$M(2015)/million</v>
      </c>
    </row>
    <row r="143" spans="1:16" s="1" customFormat="1" x14ac:dyDescent="0.25">
      <c r="A143" s="1" t="str">
        <v>CA</v>
      </c>
      <c r="B143" s="6"/>
      <c r="C143" s="26">
        <f ca="1"/>
        <v>14682.486518201753</v>
      </c>
      <c r="D143" s="26">
        <f ca="1"/>
        <v>27391.643441237466</v>
      </c>
      <c r="E143" s="26">
        <f ca="1"/>
        <v>41511.409562803965</v>
      </c>
      <c r="F143" s="26">
        <f ca="1"/>
        <v>55518.21692355111</v>
      </c>
      <c r="G143" s="26">
        <f ca="1"/>
        <v>85459.370179888327</v>
      </c>
      <c r="H143" s="26">
        <f ca="1"/>
        <v>120917.13025896129</v>
      </c>
      <c r="I143" s="26">
        <f ca="1"/>
        <v>117379.98844231499</v>
      </c>
      <c r="J143" s="26">
        <f ca="1"/>
        <v>113655.58227868365</v>
      </c>
      <c r="K143" s="26">
        <f ca="1"/>
        <v>109907.90269294899</v>
      </c>
      <c r="L143" s="26">
        <f ca="1"/>
        <v>106217.4899486233</v>
      </c>
      <c r="N143" s="1" t="str">
        <f t="shared" si="2"/>
        <v>$M(2015)/million</v>
      </c>
    </row>
    <row r="144" spans="1:16" s="1" customFormat="1" x14ac:dyDescent="0.25">
      <c r="A144" s="1" t="str">
        <v>IA</v>
      </c>
      <c r="B144" s="6"/>
      <c r="C144" s="26">
        <f ca="1"/>
        <v>6994.0464453377044</v>
      </c>
      <c r="D144" s="26">
        <f ca="1"/>
        <v>11988.613026894473</v>
      </c>
      <c r="E144" s="26">
        <f ca="1"/>
        <v>19586.632181938458</v>
      </c>
      <c r="F144" s="26">
        <f ca="1"/>
        <v>29847.337219614019</v>
      </c>
      <c r="G144" s="26">
        <f ca="1"/>
        <v>65581.423596866327</v>
      </c>
      <c r="H144" s="26">
        <f ca="1"/>
        <v>115378.01496028478</v>
      </c>
      <c r="I144" s="26">
        <f ca="1"/>
        <v>191717.00098672978</v>
      </c>
      <c r="J144" s="26">
        <f ca="1"/>
        <v>218162.44942468032</v>
      </c>
      <c r="K144" s="26">
        <f ca="1"/>
        <v>225465.55800369298</v>
      </c>
      <c r="L144" s="26">
        <f ca="1"/>
        <v>227377.71182959399</v>
      </c>
      <c r="N144" s="1" t="str">
        <f t="shared" si="2"/>
        <v>$M(2015)/million</v>
      </c>
    </row>
    <row r="145" spans="1:15" s="1" customFormat="1" x14ac:dyDescent="0.25">
      <c r="A145" s="1" t="str">
        <v>AF</v>
      </c>
      <c r="B145" s="6"/>
      <c r="C145" s="26">
        <f ca="1"/>
        <v>6133.4622673480953</v>
      </c>
      <c r="D145" s="26">
        <f ca="1"/>
        <v>8366.5439161306276</v>
      </c>
      <c r="E145" s="26">
        <f ca="1"/>
        <v>12042.161675083307</v>
      </c>
      <c r="F145" s="26">
        <f ca="1"/>
        <v>17932.507369120074</v>
      </c>
      <c r="G145" s="26">
        <f ca="1"/>
        <v>48030.123808568445</v>
      </c>
      <c r="H145" s="26">
        <f ca="1"/>
        <v>103950.5932443963</v>
      </c>
      <c r="I145" s="26">
        <f ca="1"/>
        <v>392058.05865050078</v>
      </c>
      <c r="J145" s="26">
        <f ca="1"/>
        <v>750400.77698829782</v>
      </c>
      <c r="K145" s="26">
        <f ca="1"/>
        <v>1030369.4130364042</v>
      </c>
      <c r="L145" s="26">
        <f ca="1"/>
        <v>1202686.3162256181</v>
      </c>
      <c r="N145" s="1" t="str">
        <f t="shared" si="2"/>
        <v>$M(2015)/million</v>
      </c>
      <c r="O145" s="6"/>
    </row>
    <row r="146" spans="1:15" s="1" customFormat="1" x14ac:dyDescent="0.25">
      <c r="A146" s="1" t="str">
        <v>LA</v>
      </c>
      <c r="B146" s="6"/>
      <c r="C146" s="26">
        <f ca="1"/>
        <v>14658.42645669764</v>
      </c>
      <c r="D146" s="26">
        <f ca="1"/>
        <v>19702.130249653637</v>
      </c>
      <c r="E146" s="26">
        <f ca="1"/>
        <v>26858.574040827829</v>
      </c>
      <c r="F146" s="26">
        <f ca="1"/>
        <v>36339.797681810051</v>
      </c>
      <c r="G146" s="26">
        <f ca="1"/>
        <v>70850.577895579059</v>
      </c>
      <c r="H146" s="26">
        <f ca="1"/>
        <v>122804.47956943908</v>
      </c>
      <c r="I146" s="26">
        <f ca="1"/>
        <v>224342.31698296958</v>
      </c>
      <c r="J146" s="26">
        <f ca="1"/>
        <v>285237.75476075034</v>
      </c>
      <c r="K146" s="26">
        <f ca="1"/>
        <v>313869.89583657013</v>
      </c>
      <c r="L146" s="26">
        <f ca="1"/>
        <v>326057.74097966903</v>
      </c>
      <c r="N146" s="1" t="str">
        <f t="shared" si="2"/>
        <v>$M(2015)/million</v>
      </c>
    </row>
    <row r="147" spans="1:15" s="2" customFormat="1" ht="15" x14ac:dyDescent="0.4">
      <c r="A147" s="2" t="s">
        <v>222</v>
      </c>
      <c r="C147" s="2" t="s">
        <v>220</v>
      </c>
    </row>
    <row r="148" spans="1:15" x14ac:dyDescent="0.25">
      <c r="A148" t="str">
        <f t="array" ref="A148:A155">R_CODE&amp;" sea level"</f>
        <v>EU sea level</v>
      </c>
      <c r="C148" s="29">
        <f t="array" ref="C148:L155" ca="1">WINCF_S*((W_S+IBEN_S*SCAL)*(i_s/SCAL)^POW_S-i_s*IBEN_S)</f>
        <v>0.3617029158211878</v>
      </c>
      <c r="D148" s="29">
        <f ca="1"/>
        <v>0.43818351999754906</v>
      </c>
      <c r="E148" s="29">
        <f ca="1"/>
        <v>0.52873796761686487</v>
      </c>
      <c r="F148" s="29">
        <f ca="1"/>
        <v>0.62331140457275713</v>
      </c>
      <c r="G148" s="29">
        <f ca="1"/>
        <v>1.0399690061523443</v>
      </c>
      <c r="H148" s="29">
        <f ca="1"/>
        <v>1.3791019901786117</v>
      </c>
      <c r="I148" s="29">
        <f ca="1"/>
        <v>1.869984785365707</v>
      </c>
      <c r="J148" s="29">
        <f ca="1"/>
        <v>2.228939145896228</v>
      </c>
      <c r="K148" s="29">
        <f ca="1"/>
        <v>2.5061105520934746</v>
      </c>
      <c r="L148" s="29">
        <f ca="1"/>
        <v>2.7197805247000906</v>
      </c>
      <c r="M148" s="6"/>
      <c r="N148" s="59" t="s">
        <v>134</v>
      </c>
    </row>
    <row r="149" spans="1:15" x14ac:dyDescent="0.25">
      <c r="A149" t="str">
        <v>US sea level</v>
      </c>
      <c r="C149" s="26">
        <f ca="1"/>
        <v>0.28936233265695022</v>
      </c>
      <c r="D149" s="26">
        <f ca="1"/>
        <v>0.35054681599803922</v>
      </c>
      <c r="E149" s="26">
        <f ca="1"/>
        <v>0.42299037409349188</v>
      </c>
      <c r="F149" s="26">
        <f ca="1"/>
        <v>0.49864912365820568</v>
      </c>
      <c r="G149" s="26">
        <f ca="1"/>
        <v>0.83197520492187538</v>
      </c>
      <c r="H149" s="26">
        <f ca="1"/>
        <v>1.1032815921428893</v>
      </c>
      <c r="I149" s="26">
        <f ca="1"/>
        <v>1.4959878282925654</v>
      </c>
      <c r="J149" s="26">
        <f ca="1"/>
        <v>1.7831513167169823</v>
      </c>
      <c r="K149" s="26">
        <f ca="1"/>
        <v>2.0048884416747796</v>
      </c>
      <c r="L149" s="26">
        <f ca="1"/>
        <v>2.1758244197600725</v>
      </c>
      <c r="M149" s="6"/>
      <c r="N149" s="59" t="s">
        <v>134</v>
      </c>
    </row>
    <row r="150" spans="1:15" x14ac:dyDescent="0.25">
      <c r="A150" t="str">
        <v>OT sea level</v>
      </c>
      <c r="C150" s="26">
        <f ca="1"/>
        <v>0.28936233265695027</v>
      </c>
      <c r="D150" s="26">
        <f ca="1"/>
        <v>0.35054681599803933</v>
      </c>
      <c r="E150" s="26">
        <f ca="1"/>
        <v>0.42299037409349199</v>
      </c>
      <c r="F150" s="26">
        <f ca="1"/>
        <v>0.4986491236582058</v>
      </c>
      <c r="G150" s="26">
        <f ca="1"/>
        <v>0.8319752049218756</v>
      </c>
      <c r="H150" s="26">
        <f ca="1"/>
        <v>1.1032815921428896</v>
      </c>
      <c r="I150" s="26">
        <f ca="1"/>
        <v>1.4959878282925658</v>
      </c>
      <c r="J150" s="26">
        <f ca="1"/>
        <v>1.7831513167169828</v>
      </c>
      <c r="K150" s="26">
        <f ca="1"/>
        <v>2.0048884416747801</v>
      </c>
      <c r="L150" s="26">
        <f ca="1"/>
        <v>2.1758244197600729</v>
      </c>
      <c r="M150" s="6"/>
      <c r="N150" s="59" t="s">
        <v>134</v>
      </c>
    </row>
    <row r="151" spans="1:15" x14ac:dyDescent="0.25">
      <c r="A151" t="str">
        <v>EE sea level</v>
      </c>
      <c r="C151" s="26">
        <f ca="1"/>
        <v>0.14468116632847514</v>
      </c>
      <c r="D151" s="26">
        <f ca="1"/>
        <v>0.17527340799901966</v>
      </c>
      <c r="E151" s="26">
        <f ca="1"/>
        <v>0.211495187046746</v>
      </c>
      <c r="F151" s="26">
        <f ca="1"/>
        <v>0.2493245618291029</v>
      </c>
      <c r="G151" s="26">
        <f ca="1"/>
        <v>0.4159876024609378</v>
      </c>
      <c r="H151" s="26">
        <f ca="1"/>
        <v>0.55164079607144478</v>
      </c>
      <c r="I151" s="26">
        <f ca="1"/>
        <v>0.74799391414628291</v>
      </c>
      <c r="J151" s="26">
        <f ca="1"/>
        <v>0.8915756583584914</v>
      </c>
      <c r="K151" s="26">
        <f ca="1"/>
        <v>1.00244422083739</v>
      </c>
      <c r="L151" s="26">
        <f ca="1"/>
        <v>1.0879122098800365</v>
      </c>
      <c r="M151" s="6"/>
      <c r="N151" s="59" t="s">
        <v>134</v>
      </c>
    </row>
    <row r="152" spans="1:15" x14ac:dyDescent="0.25">
      <c r="A152" t="str">
        <v>CA sea level</v>
      </c>
      <c r="C152" s="26">
        <f ca="1"/>
        <v>0.36518677377771458</v>
      </c>
      <c r="D152" s="26">
        <f ca="1"/>
        <v>0.45598272918051475</v>
      </c>
      <c r="E152" s="26">
        <f ca="1"/>
        <v>0.55410346373496333</v>
      </c>
      <c r="F152" s="26">
        <f ca="1"/>
        <v>0.65303001284651052</v>
      </c>
      <c r="G152" s="26">
        <f ca="1"/>
        <v>0.889108483447836</v>
      </c>
      <c r="H152" s="26">
        <f ca="1"/>
        <v>1.1550394533495267</v>
      </c>
      <c r="I152" s="26">
        <f ca="1"/>
        <v>1.5424512823622671</v>
      </c>
      <c r="J152" s="26">
        <f ca="1"/>
        <v>1.8267920355847458</v>
      </c>
      <c r="K152" s="26">
        <f ca="1"/>
        <v>2.0467352760455593</v>
      </c>
      <c r="L152" s="26">
        <f ca="1"/>
        <v>2.2164605790711009</v>
      </c>
      <c r="M152" s="6"/>
      <c r="N152" s="59" t="s">
        <v>134</v>
      </c>
    </row>
    <row r="153" spans="1:15" x14ac:dyDescent="0.25">
      <c r="A153" t="str">
        <v>IA sea level</v>
      </c>
      <c r="C153" s="26">
        <f ca="1"/>
        <v>0.36518677377771458</v>
      </c>
      <c r="D153" s="26">
        <f ca="1"/>
        <v>0.45598272918051475</v>
      </c>
      <c r="E153" s="26">
        <f ca="1"/>
        <v>0.55410346373496333</v>
      </c>
      <c r="F153" s="26">
        <f ca="1"/>
        <v>0.65303001284651052</v>
      </c>
      <c r="G153" s="26">
        <f ca="1"/>
        <v>0.889108483447836</v>
      </c>
      <c r="H153" s="26">
        <f ca="1"/>
        <v>1.1550394533495267</v>
      </c>
      <c r="I153" s="26">
        <f ca="1"/>
        <v>1.5424512823622671</v>
      </c>
      <c r="J153" s="26">
        <f ca="1"/>
        <v>1.8267920355847458</v>
      </c>
      <c r="K153" s="26">
        <f ca="1"/>
        <v>2.0467352760455593</v>
      </c>
      <c r="L153" s="26">
        <f ca="1"/>
        <v>2.2164605790711009</v>
      </c>
      <c r="M153" s="6"/>
      <c r="N153" s="59" t="s">
        <v>134</v>
      </c>
    </row>
    <row r="154" spans="1:15" x14ac:dyDescent="0.25">
      <c r="A154" t="str">
        <v>AF sea level</v>
      </c>
      <c r="C154" s="26">
        <f ca="1"/>
        <v>0.27389008033328588</v>
      </c>
      <c r="D154" s="26">
        <f ca="1"/>
        <v>0.341987046885386</v>
      </c>
      <c r="E154" s="26">
        <f ca="1"/>
        <v>0.41557759780122244</v>
      </c>
      <c r="F154" s="26">
        <f ca="1"/>
        <v>0.48977250963488278</v>
      </c>
      <c r="G154" s="26">
        <f ca="1"/>
        <v>0.66683136258587683</v>
      </c>
      <c r="H154" s="26">
        <f ca="1"/>
        <v>0.86627959001214483</v>
      </c>
      <c r="I154" s="26">
        <f ca="1"/>
        <v>1.1568384617717</v>
      </c>
      <c r="J154" s="26">
        <f ca="1"/>
        <v>1.3700940266885591</v>
      </c>
      <c r="K154" s="26">
        <f ca="1"/>
        <v>1.5350514570341691</v>
      </c>
      <c r="L154" s="26">
        <f ca="1"/>
        <v>1.6623454343033253</v>
      </c>
      <c r="M154" s="6"/>
      <c r="N154" s="59" t="s">
        <v>134</v>
      </c>
      <c r="O154" s="6"/>
    </row>
    <row r="155" spans="1:15" x14ac:dyDescent="0.25">
      <c r="A155" t="str">
        <v>LA sea level</v>
      </c>
      <c r="C155" s="26">
        <f ca="1"/>
        <v>0.27389008033328588</v>
      </c>
      <c r="D155" s="26">
        <f ca="1"/>
        <v>0.341987046885386</v>
      </c>
      <c r="E155" s="26">
        <f ca="1"/>
        <v>0.41557759780122244</v>
      </c>
      <c r="F155" s="26">
        <f ca="1"/>
        <v>0.48977250963488278</v>
      </c>
      <c r="G155" s="26">
        <f ca="1"/>
        <v>0.66683136258587683</v>
      </c>
      <c r="H155" s="26">
        <f ca="1"/>
        <v>0.86627959001214483</v>
      </c>
      <c r="I155" s="26">
        <f ca="1"/>
        <v>1.1568384617717</v>
      </c>
      <c r="J155" s="26">
        <f ca="1"/>
        <v>1.3700940266885591</v>
      </c>
      <c r="K155" s="26">
        <f ca="1"/>
        <v>1.5350514570341691</v>
      </c>
      <c r="L155" s="26">
        <f ca="1"/>
        <v>1.6623454343033253</v>
      </c>
      <c r="M155" s="6"/>
      <c r="N155" s="59" t="s">
        <v>134</v>
      </c>
    </row>
    <row r="156" spans="1:15" s="2" customFormat="1" ht="15" x14ac:dyDescent="0.4">
      <c r="A156" s="2" t="s">
        <v>221</v>
      </c>
      <c r="C156" s="2" t="s">
        <v>223</v>
      </c>
    </row>
    <row r="157" spans="1:15" x14ac:dyDescent="0.25">
      <c r="A157" t="str">
        <f t="array" ref="A157:A164">R_CODE&amp;" sea level"</f>
        <v>EU sea level</v>
      </c>
      <c r="C157" s="29">
        <f t="array" ref="C157:L164" ca="1">iref_s*(gdp_per_cap_after_costs/GDP_PER_CAP_FOCUS_0)^IPOW_S</f>
        <v>0.35399644379349055</v>
      </c>
      <c r="D157" s="29">
        <f ca="1"/>
        <v>0.41135492037286053</v>
      </c>
      <c r="E157" s="29">
        <f ca="1"/>
        <v>0.47352884540004209</v>
      </c>
      <c r="F157" s="29">
        <f ca="1"/>
        <v>0.53172841232410573</v>
      </c>
      <c r="G157" s="29">
        <f ca="1"/>
        <v>0.7807127283874874</v>
      </c>
      <c r="H157" s="29">
        <f ca="1"/>
        <v>0.91107995569978739</v>
      </c>
      <c r="I157" s="29">
        <f ca="1"/>
        <v>1.0157597901102629</v>
      </c>
      <c r="J157" s="29">
        <f ca="1"/>
        <v>1.0310920704451625</v>
      </c>
      <c r="K157" s="29">
        <f ca="1"/>
        <v>1.0157812576133973</v>
      </c>
      <c r="L157" s="29">
        <f ca="1"/>
        <v>0.98870862706985407</v>
      </c>
      <c r="M157" s="6"/>
      <c r="N157" s="59" t="s">
        <v>134</v>
      </c>
    </row>
    <row r="158" spans="1:15" x14ac:dyDescent="0.25">
      <c r="A158" t="str">
        <v>US sea level</v>
      </c>
      <c r="C158" s="26">
        <f ca="1"/>
        <v>0.24708651656593006</v>
      </c>
      <c r="D158" s="26">
        <f ca="1"/>
        <v>0.2876198199078181</v>
      </c>
      <c r="E158" s="26">
        <f ca="1"/>
        <v>0.33644088015536205</v>
      </c>
      <c r="F158" s="26">
        <f ca="1"/>
        <v>0.38435359948843617</v>
      </c>
      <c r="G158" s="26">
        <f ca="1"/>
        <v>0.58755083528464414</v>
      </c>
      <c r="H158" s="26">
        <f ca="1"/>
        <v>0.7015857718748838</v>
      </c>
      <c r="I158" s="26">
        <f ca="1"/>
        <v>0.76976854115847693</v>
      </c>
      <c r="J158" s="26">
        <f ca="1"/>
        <v>0.75923952938931316</v>
      </c>
      <c r="K158" s="26">
        <f ca="1"/>
        <v>0.72022635205092189</v>
      </c>
      <c r="L158" s="26">
        <f ca="1"/>
        <v>0.67096030414747121</v>
      </c>
      <c r="M158" s="6"/>
      <c r="N158" s="59" t="s">
        <v>134</v>
      </c>
    </row>
    <row r="159" spans="1:15" x14ac:dyDescent="0.25">
      <c r="A159" t="str">
        <v>OT sea level</v>
      </c>
      <c r="C159" s="26">
        <f ca="1"/>
        <v>0.28250825443179584</v>
      </c>
      <c r="D159" s="26">
        <f ca="1"/>
        <v>0.32562060590244668</v>
      </c>
      <c r="E159" s="26">
        <f ca="1"/>
        <v>0.37510914841510723</v>
      </c>
      <c r="F159" s="26">
        <f ca="1"/>
        <v>0.4215660022087408</v>
      </c>
      <c r="G159" s="26">
        <f ca="1"/>
        <v>0.61974281442196832</v>
      </c>
      <c r="H159" s="26">
        <f ca="1"/>
        <v>0.72372385411067097</v>
      </c>
      <c r="I159" s="26">
        <f ca="1"/>
        <v>0.8504824043674476</v>
      </c>
      <c r="J159" s="26">
        <f ca="1"/>
        <v>0.92607259391896091</v>
      </c>
      <c r="K159" s="26">
        <f ca="1"/>
        <v>0.98317498608228659</v>
      </c>
      <c r="L159" s="26">
        <f ca="1"/>
        <v>1.028827499588207</v>
      </c>
      <c r="M159" s="6"/>
      <c r="N159" s="59" t="s">
        <v>134</v>
      </c>
    </row>
    <row r="160" spans="1:15" x14ac:dyDescent="0.25">
      <c r="A160" t="str">
        <v>EE sea level</v>
      </c>
      <c r="C160" s="26">
        <f ca="1"/>
        <v>0.17994337246232944</v>
      </c>
      <c r="D160" s="26">
        <f ca="1"/>
        <v>0.19386337304517173</v>
      </c>
      <c r="E160" s="26">
        <f ca="1"/>
        <v>0.21301226146939581</v>
      </c>
      <c r="F160" s="26">
        <f ca="1"/>
        <v>0.23547298271240033</v>
      </c>
      <c r="G160" s="26">
        <f ca="1"/>
        <v>0.34191906346669415</v>
      </c>
      <c r="H160" s="26">
        <f ca="1"/>
        <v>0.40131477935845</v>
      </c>
      <c r="I160" s="26">
        <f ca="1"/>
        <v>0.49267420918283678</v>
      </c>
      <c r="J160" s="26">
        <f ca="1"/>
        <v>0.56254317334841375</v>
      </c>
      <c r="K160" s="26">
        <f ca="1"/>
        <v>0.62073934804258035</v>
      </c>
      <c r="L160" s="26">
        <f ca="1"/>
        <v>0.6681353490445987</v>
      </c>
      <c r="M160" s="6"/>
      <c r="N160" s="59" t="s">
        <v>134</v>
      </c>
    </row>
    <row r="161" spans="1:15" x14ac:dyDescent="0.25">
      <c r="A161" t="str">
        <v>CA sea level</v>
      </c>
      <c r="C161" s="26">
        <f ca="1"/>
        <v>0.47104169911097482</v>
      </c>
      <c r="D161" s="26">
        <f ca="1"/>
        <v>0.48780603028542996</v>
      </c>
      <c r="E161" s="26">
        <f ca="1"/>
        <v>0.52326877383589376</v>
      </c>
      <c r="F161" s="26">
        <f ca="1"/>
        <v>0.56517987221835653</v>
      </c>
      <c r="G161" s="26">
        <f ca="1"/>
        <v>0.67610017111134413</v>
      </c>
      <c r="H161" s="26">
        <f ca="1"/>
        <v>0.7914703820620117</v>
      </c>
      <c r="I161" s="26">
        <f ca="1"/>
        <v>1.0663933675181125</v>
      </c>
      <c r="J161" s="26">
        <f ca="1"/>
        <v>1.2752521847287539</v>
      </c>
      <c r="K161" s="26">
        <f ca="1"/>
        <v>1.4432354795720341</v>
      </c>
      <c r="L161" s="26">
        <f ca="1"/>
        <v>1.5790118866979042</v>
      </c>
      <c r="M161" s="6"/>
      <c r="N161" s="59" t="s">
        <v>134</v>
      </c>
    </row>
    <row r="162" spans="1:15" x14ac:dyDescent="0.25">
      <c r="A162" t="str">
        <v>IA sea level</v>
      </c>
      <c r="C162" s="26">
        <f ca="1"/>
        <v>0.58841086653288588</v>
      </c>
      <c r="D162" s="26">
        <f ca="1"/>
        <v>0.62503150555308562</v>
      </c>
      <c r="E162" s="26">
        <f ca="1"/>
        <v>0.65552179033725499</v>
      </c>
      <c r="F162" s="26">
        <f ca="1"/>
        <v>0.68084093903556586</v>
      </c>
      <c r="G162" s="26">
        <f ca="1"/>
        <v>0.73198924528394194</v>
      </c>
      <c r="H162" s="26">
        <f ca="1"/>
        <v>0.80268306104141129</v>
      </c>
      <c r="I162" s="26">
        <f ca="1"/>
        <v>0.92044420118052739</v>
      </c>
      <c r="J162" s="26">
        <f ca="1"/>
        <v>1.048671118649289</v>
      </c>
      <c r="K162" s="26">
        <f ca="1"/>
        <v>1.1633805809244595</v>
      </c>
      <c r="L162" s="26">
        <f ca="1"/>
        <v>1.2566659335505321</v>
      </c>
      <c r="M162" s="6"/>
      <c r="N162" s="59" t="s">
        <v>134</v>
      </c>
    </row>
    <row r="163" spans="1:15" x14ac:dyDescent="0.25">
      <c r="A163" t="str">
        <v>AF sea level</v>
      </c>
      <c r="C163" s="26">
        <f ca="1"/>
        <v>0.45903816216441928</v>
      </c>
      <c r="D163" s="26">
        <f ca="1"/>
        <v>0.52219177452524368</v>
      </c>
      <c r="E163" s="26">
        <f ca="1"/>
        <v>0.56888566497926618</v>
      </c>
      <c r="F163" s="26">
        <f ca="1"/>
        <v>0.59495798516088028</v>
      </c>
      <c r="G163" s="26">
        <f ca="1"/>
        <v>0.60276233104957622</v>
      </c>
      <c r="H163" s="26">
        <f ca="1"/>
        <v>0.62114670929837179</v>
      </c>
      <c r="I163" s="26">
        <f ca="1"/>
        <v>0.55699564799309997</v>
      </c>
      <c r="J163" s="26">
        <f ca="1"/>
        <v>0.54293343653226012</v>
      </c>
      <c r="K163" s="26">
        <f ca="1"/>
        <v>0.5531071198062526</v>
      </c>
      <c r="L163" s="26">
        <f ca="1"/>
        <v>0.57182055422105915</v>
      </c>
      <c r="M163" s="6"/>
      <c r="N163" s="59" t="s">
        <v>134</v>
      </c>
      <c r="O163" s="6"/>
    </row>
    <row r="164" spans="1:15" x14ac:dyDescent="0.25">
      <c r="A164" t="str">
        <v>LA sea level</v>
      </c>
      <c r="C164" s="26">
        <f ca="1"/>
        <v>0.35345513523146754</v>
      </c>
      <c r="D164" s="26">
        <f ca="1"/>
        <v>0.40386842371348963</v>
      </c>
      <c r="E164" s="26">
        <f ca="1"/>
        <v>0.44720993284470001</v>
      </c>
      <c r="F164" s="26">
        <f ca="1"/>
        <v>0.48135318701198754</v>
      </c>
      <c r="G164" s="26">
        <f ca="1"/>
        <v>0.5364104087484195</v>
      </c>
      <c r="H164" s="26">
        <f ca="1"/>
        <v>0.59085105827671924</v>
      </c>
      <c r="I164" s="26">
        <f ca="1"/>
        <v>0.65854211956994702</v>
      </c>
      <c r="J164" s="26">
        <f ca="1"/>
        <v>0.72572564197404543</v>
      </c>
      <c r="K164" s="26">
        <f ca="1"/>
        <v>0.79010031933604785</v>
      </c>
      <c r="L164" s="26">
        <f ca="1"/>
        <v>0.84589628658317217</v>
      </c>
      <c r="M164" s="6"/>
      <c r="N164" s="59" t="s">
        <v>134</v>
      </c>
    </row>
    <row r="165" spans="1:15" s="2" customFormat="1" ht="15" x14ac:dyDescent="0.4">
      <c r="A165" s="2" t="s">
        <v>225</v>
      </c>
      <c r="C165" s="2" t="s">
        <v>224</v>
      </c>
    </row>
    <row r="166" spans="1:15" x14ac:dyDescent="0.25">
      <c r="A166" t="str">
        <f t="array" ref="A166:A173">R_CODE&amp;" sea level"</f>
        <v>EU sea level</v>
      </c>
      <c r="C166" s="29">
        <f t="array" ref="C166:L173" ca="1">IF(igdp_s&lt;ISATG,igdp_s,ISATG+(100-SAVE-ISATG)*((igdp_s-ISATG)/((100-SAVE-ISATG)+(igdp_s-ISATG))))*(1-imp_s/100*IF(i_s&lt;impmax_s_a,1,impmax_s_a/i_s))</f>
        <v>0.35399644379349055</v>
      </c>
      <c r="D166" s="29">
        <f ca="1"/>
        <v>0.37021942833557447</v>
      </c>
      <c r="E166" s="29">
        <f ca="1"/>
        <v>0.3788230763200337</v>
      </c>
      <c r="F166" s="29">
        <f ca="1"/>
        <v>0.37220988862687399</v>
      </c>
      <c r="G166" s="29">
        <f ca="1"/>
        <v>0.3903563641937437</v>
      </c>
      <c r="H166" s="29">
        <f ca="1"/>
        <v>0.4555399778498937</v>
      </c>
      <c r="I166" s="29">
        <f ca="1"/>
        <v>0.5831436327600098</v>
      </c>
      <c r="J166" s="29">
        <f ca="1"/>
        <v>0.68545678908332353</v>
      </c>
      <c r="K166" s="29">
        <f ca="1"/>
        <v>0.72557352555910215</v>
      </c>
      <c r="L166" s="29">
        <f ca="1"/>
        <v>0.73605696975599144</v>
      </c>
      <c r="M166" s="6"/>
      <c r="N166" s="59" t="s">
        <v>134</v>
      </c>
    </row>
    <row r="167" spans="1:15" x14ac:dyDescent="0.25">
      <c r="A167" t="str">
        <v>US sea level</v>
      </c>
      <c r="C167" s="26">
        <f ca="1"/>
        <v>0.24708651656593006</v>
      </c>
      <c r="D167" s="26">
        <f ca="1"/>
        <v>0.25885783791703632</v>
      </c>
      <c r="E167" s="26">
        <f ca="1"/>
        <v>0.26915270412428965</v>
      </c>
      <c r="F167" s="26">
        <f ca="1"/>
        <v>0.26904751964190532</v>
      </c>
      <c r="G167" s="26">
        <f ca="1"/>
        <v>0.29377541764232207</v>
      </c>
      <c r="H167" s="26">
        <f ca="1"/>
        <v>0.3507928859374419</v>
      </c>
      <c r="I167" s="26">
        <f ca="1"/>
        <v>0.44192104062989135</v>
      </c>
      <c r="J167" s="26">
        <f ca="1"/>
        <v>0.50473270513625823</v>
      </c>
      <c r="K167" s="26">
        <f ca="1"/>
        <v>0.51445837333715549</v>
      </c>
      <c r="L167" s="26">
        <f ca="1"/>
        <v>0.49950510673803755</v>
      </c>
      <c r="M167" s="6"/>
      <c r="N167" s="59" t="s">
        <v>134</v>
      </c>
    </row>
    <row r="168" spans="1:15" x14ac:dyDescent="0.25">
      <c r="A168" t="str">
        <v>OT sea level</v>
      </c>
      <c r="C168" s="26">
        <f ca="1"/>
        <v>0.28250825443179584</v>
      </c>
      <c r="D168" s="26">
        <f ca="1"/>
        <v>0.29305854531220205</v>
      </c>
      <c r="E168" s="26">
        <f ca="1"/>
        <v>0.30008731873208583</v>
      </c>
      <c r="F168" s="26">
        <f ca="1"/>
        <v>0.29509620154611854</v>
      </c>
      <c r="G168" s="26">
        <f ca="1"/>
        <v>0.30987140721098416</v>
      </c>
      <c r="H168" s="26">
        <f ca="1"/>
        <v>0.36186192705533549</v>
      </c>
      <c r="I168" s="26">
        <f ca="1"/>
        <v>0.4882585466662982</v>
      </c>
      <c r="J168" s="26">
        <f ca="1"/>
        <v>0.61564118751460783</v>
      </c>
      <c r="K168" s="26">
        <f ca="1"/>
        <v>0.70228283456353191</v>
      </c>
      <c r="L168" s="26">
        <f ca="1"/>
        <v>0.76592398510044168</v>
      </c>
      <c r="M168" s="6"/>
      <c r="N168" s="59" t="s">
        <v>134</v>
      </c>
    </row>
    <row r="169" spans="1:15" x14ac:dyDescent="0.25">
      <c r="A169" t="str">
        <v>EE sea level</v>
      </c>
      <c r="C169" s="26">
        <f ca="1"/>
        <v>0.17994337246232944</v>
      </c>
      <c r="D169" s="26">
        <f ca="1"/>
        <v>0.17447703574065457</v>
      </c>
      <c r="E169" s="26">
        <f ca="1"/>
        <v>0.17040980917551665</v>
      </c>
      <c r="F169" s="26">
        <f ca="1"/>
        <v>0.16483108789868023</v>
      </c>
      <c r="G169" s="26">
        <f ca="1"/>
        <v>0.17095953173334708</v>
      </c>
      <c r="H169" s="26">
        <f ca="1"/>
        <v>0.200657389679225</v>
      </c>
      <c r="I169" s="26">
        <f ca="1"/>
        <v>0.28284229293902002</v>
      </c>
      <c r="J169" s="26">
        <f ca="1"/>
        <v>0.37397148943029801</v>
      </c>
      <c r="K169" s="26">
        <f ca="1"/>
        <v>0.44339471105296885</v>
      </c>
      <c r="L169" s="26">
        <f ca="1"/>
        <v>0.49740203224694163</v>
      </c>
      <c r="M169" s="6"/>
      <c r="N169" s="59" t="s">
        <v>134</v>
      </c>
    </row>
    <row r="170" spans="1:15" x14ac:dyDescent="0.25">
      <c r="A170" t="str">
        <v>CA sea level</v>
      </c>
      <c r="C170" s="26">
        <f ca="1"/>
        <v>0.47104169911097482</v>
      </c>
      <c r="D170" s="26">
        <f ca="1"/>
        <v>0.47154582927591565</v>
      </c>
      <c r="E170" s="26">
        <f ca="1"/>
        <v>0.48838418891350083</v>
      </c>
      <c r="F170" s="26">
        <f ca="1"/>
        <v>0.50866188499652087</v>
      </c>
      <c r="G170" s="26">
        <f ca="1"/>
        <v>0.5521484730742644</v>
      </c>
      <c r="H170" s="26">
        <f ca="1"/>
        <v>0.59360278654650878</v>
      </c>
      <c r="I170" s="26">
        <f ca="1"/>
        <v>0.84857954509058031</v>
      </c>
      <c r="J170" s="26">
        <f ca="1"/>
        <v>1.0684442121235331</v>
      </c>
      <c r="K170" s="26">
        <f ca="1"/>
        <v>1.2427965050140293</v>
      </c>
      <c r="L170" s="26">
        <f ca="1"/>
        <v>1.3822908407868513</v>
      </c>
      <c r="M170" s="6"/>
      <c r="N170" s="59" t="s">
        <v>134</v>
      </c>
    </row>
    <row r="171" spans="1:15" x14ac:dyDescent="0.25">
      <c r="A171" t="str">
        <v>IA sea level</v>
      </c>
      <c r="C171" s="26">
        <f ca="1"/>
        <v>0.58841086653288588</v>
      </c>
      <c r="D171" s="26">
        <f ca="1"/>
        <v>0.60419712203464948</v>
      </c>
      <c r="E171" s="26">
        <f ca="1"/>
        <v>0.61182033764810462</v>
      </c>
      <c r="F171" s="26">
        <f ca="1"/>
        <v>0.61275684513200934</v>
      </c>
      <c r="G171" s="26">
        <f ca="1"/>
        <v>0.59779121698188586</v>
      </c>
      <c r="H171" s="26">
        <f ca="1"/>
        <v>0.60201229578105853</v>
      </c>
      <c r="I171" s="26">
        <f ca="1"/>
        <v>0.7324409034321645</v>
      </c>
      <c r="J171" s="26">
        <f ca="1"/>
        <v>0.8786078554182305</v>
      </c>
      <c r="K171" s="26">
        <f ca="1"/>
        <v>1.0018083261110302</v>
      </c>
      <c r="L171" s="26">
        <f ca="1"/>
        <v>1.1001043275921172</v>
      </c>
      <c r="M171" s="6"/>
      <c r="N171" s="59" t="s">
        <v>134</v>
      </c>
    </row>
    <row r="172" spans="1:15" x14ac:dyDescent="0.25">
      <c r="A172" t="str">
        <v>AF sea level</v>
      </c>
      <c r="C172" s="26">
        <f ca="1"/>
        <v>0.45903816216441928</v>
      </c>
      <c r="D172" s="26">
        <f ca="1"/>
        <v>0.50478538204106893</v>
      </c>
      <c r="E172" s="26">
        <f ca="1"/>
        <v>0.53095995398064844</v>
      </c>
      <c r="F172" s="26">
        <f ca="1"/>
        <v>0.53546218664479228</v>
      </c>
      <c r="G172" s="26">
        <f ca="1"/>
        <v>0.49225590369048722</v>
      </c>
      <c r="H172" s="26">
        <f ca="1"/>
        <v>0.46586003197377884</v>
      </c>
      <c r="I172" s="26">
        <f ca="1"/>
        <v>0.44322773189358738</v>
      </c>
      <c r="J172" s="26">
        <f ca="1"/>
        <v>0.45488578241849387</v>
      </c>
      <c r="K172" s="26">
        <f ca="1"/>
        <v>0.4762906712890837</v>
      </c>
      <c r="L172" s="26">
        <f ca="1"/>
        <v>0.50058034479170099</v>
      </c>
      <c r="M172" s="6"/>
      <c r="N172" s="59" t="s">
        <v>134</v>
      </c>
      <c r="O172" s="6"/>
    </row>
    <row r="173" spans="1:15" x14ac:dyDescent="0.25">
      <c r="A173" t="str">
        <v>LA sea level</v>
      </c>
      <c r="C173" s="26">
        <f ca="1"/>
        <v>0.35345513523146754</v>
      </c>
      <c r="D173" s="26">
        <f ca="1"/>
        <v>0.39040614292303999</v>
      </c>
      <c r="E173" s="26">
        <f ca="1"/>
        <v>0.41739593732172003</v>
      </c>
      <c r="F173" s="26">
        <f ca="1"/>
        <v>0.43321786831078879</v>
      </c>
      <c r="G173" s="26">
        <f ca="1"/>
        <v>0.43806850047787593</v>
      </c>
      <c r="H173" s="26">
        <f ca="1"/>
        <v>0.44313829370753943</v>
      </c>
      <c r="I173" s="26">
        <f ca="1"/>
        <v>0.52403305315771354</v>
      </c>
      <c r="J173" s="26">
        <f ca="1"/>
        <v>0.60803452920312484</v>
      </c>
      <c r="K173" s="26">
        <f ca="1"/>
        <v>0.68036985604905154</v>
      </c>
      <c r="L173" s="26">
        <f ca="1"/>
        <v>0.74051037807243147</v>
      </c>
      <c r="M173" s="6"/>
      <c r="N173" s="59" t="s">
        <v>134</v>
      </c>
    </row>
    <row r="174" spans="1:15" s="2" customFormat="1" ht="15" x14ac:dyDescent="0.4">
      <c r="A174" s="2" t="s">
        <v>226</v>
      </c>
      <c r="C174" s="2" t="s">
        <v>227</v>
      </c>
    </row>
    <row r="175" spans="1:15" x14ac:dyDescent="0.25">
      <c r="A175" t="str">
        <f t="array" ref="A175:A182">R_CODE&amp;" sea level"</f>
        <v>EU sea level</v>
      </c>
      <c r="C175" s="29">
        <f t="array" ref="C175:L182" ca="1">(isat_s/100)*gdp_per_cap_after_costs</f>
        <v>130.45375814187418</v>
      </c>
      <c r="D175" s="29">
        <f ca="1"/>
        <v>156.74884306966769</v>
      </c>
      <c r="E175" s="29">
        <f ca="1"/>
        <v>187.65664440223321</v>
      </c>
      <c r="F175" s="29">
        <f ca="1"/>
        <v>216.82994244471385</v>
      </c>
      <c r="G175" s="29">
        <f ca="1"/>
        <v>348.2082415277219</v>
      </c>
      <c r="H175" s="29">
        <f ca="1"/>
        <v>622.2145091124346</v>
      </c>
      <c r="I175" s="29">
        <f ca="1"/>
        <v>1529.4890976300626</v>
      </c>
      <c r="J175" s="29">
        <f ca="1"/>
        <v>3070.8831499568973</v>
      </c>
      <c r="K175" s="29">
        <f ca="1"/>
        <v>5050.0481739770812</v>
      </c>
      <c r="L175" s="29">
        <f ca="1"/>
        <v>7363.3799343986148</v>
      </c>
      <c r="M175" s="6"/>
      <c r="N175" s="1" t="str">
        <f t="shared" ref="N175:N182" si="3">CURRENCY_NAME&amp;"/"&amp;POP_UNIT_NAME</f>
        <v>$M(2015)/million</v>
      </c>
      <c r="O175" s="1"/>
    </row>
    <row r="176" spans="1:15" x14ac:dyDescent="0.25">
      <c r="A176" t="str">
        <v>US sea level</v>
      </c>
      <c r="C176" s="26">
        <f ca="1"/>
        <v>143.47389013448898</v>
      </c>
      <c r="D176" s="26">
        <f ca="1"/>
        <v>171.69831601393602</v>
      </c>
      <c r="E176" s="26">
        <f ca="1"/>
        <v>198.0091019398406</v>
      </c>
      <c r="F176" s="26">
        <f ca="1"/>
        <v>219.78093233153842</v>
      </c>
      <c r="G176" s="26">
        <f ca="1"/>
        <v>321.25204218770267</v>
      </c>
      <c r="H176" s="26">
        <f ca="1"/>
        <v>544.10589979747851</v>
      </c>
      <c r="I176" s="26">
        <f ca="1"/>
        <v>1388.411957403114</v>
      </c>
      <c r="J176" s="26">
        <f ca="1"/>
        <v>2981.0784008384276</v>
      </c>
      <c r="K176" s="26">
        <f ca="1"/>
        <v>5354.2862104757778</v>
      </c>
      <c r="L176" s="26">
        <f ca="1"/>
        <v>8647.899996195878</v>
      </c>
      <c r="M176" s="6"/>
      <c r="N176" s="1" t="str">
        <f t="shared" si="3"/>
        <v>$M(2015)/million</v>
      </c>
      <c r="O176" s="1"/>
    </row>
    <row r="177" spans="1:15" x14ac:dyDescent="0.25">
      <c r="A177" t="str">
        <v>OT sea level</v>
      </c>
      <c r="C177" s="26">
        <f ca="1"/>
        <v>104.95778387552157</v>
      </c>
      <c r="D177" s="26">
        <f ca="1"/>
        <v>128.53326477815622</v>
      </c>
      <c r="E177" s="26">
        <f ca="1"/>
        <v>153.61645219654162</v>
      </c>
      <c r="F177" s="26">
        <f ca="1"/>
        <v>177.15056795813646</v>
      </c>
      <c r="G177" s="26">
        <f ca="1"/>
        <v>283.65587024287964</v>
      </c>
      <c r="H177" s="26">
        <f ca="1"/>
        <v>506.05979463783319</v>
      </c>
      <c r="I177" s="26">
        <f ca="1"/>
        <v>1100.2032868935319</v>
      </c>
      <c r="J177" s="26">
        <f ca="1"/>
        <v>1875.3638914941771</v>
      </c>
      <c r="K177" s="26">
        <f ca="1"/>
        <v>2590.1446493387557</v>
      </c>
      <c r="L177" s="26">
        <f ca="1"/>
        <v>3189.6077078915982</v>
      </c>
      <c r="M177" s="6"/>
      <c r="N177" s="1" t="str">
        <f t="shared" si="3"/>
        <v>$M(2015)/million</v>
      </c>
      <c r="O177" s="1"/>
    </row>
    <row r="178" spans="1:15" x14ac:dyDescent="0.25">
      <c r="A178" t="str">
        <v>EE sea level</v>
      </c>
      <c r="C178" s="26">
        <f ca="1"/>
        <v>29.831173234379538</v>
      </c>
      <c r="D178" s="26">
        <f ca="1"/>
        <v>42.764804304678904</v>
      </c>
      <c r="E178" s="26">
        <f ca="1"/>
        <v>57.072671559007667</v>
      </c>
      <c r="F178" s="26">
        <f ca="1"/>
        <v>68.401619379250846</v>
      </c>
      <c r="G178" s="26">
        <f ca="1"/>
        <v>112.72776278530722</v>
      </c>
      <c r="H178" s="26">
        <f ca="1"/>
        <v>198.74973605153892</v>
      </c>
      <c r="I178" s="26">
        <f ca="1"/>
        <v>390.19868100044619</v>
      </c>
      <c r="J178" s="26">
        <f ca="1"/>
        <v>595.37916823946716</v>
      </c>
      <c r="K178" s="26">
        <f ca="1"/>
        <v>751.4630619113334</v>
      </c>
      <c r="L178" s="26">
        <f ca="1"/>
        <v>866.46871578927562</v>
      </c>
      <c r="M178" s="6"/>
      <c r="N178" s="1" t="str">
        <f t="shared" si="3"/>
        <v>$M(2015)/million</v>
      </c>
      <c r="O178" s="1"/>
    </row>
    <row r="179" spans="1:15" x14ac:dyDescent="0.25">
      <c r="A179" t="str">
        <v>CA sea level</v>
      </c>
      <c r="C179" s="26">
        <f ca="1"/>
        <v>69.160633967077345</v>
      </c>
      <c r="D179" s="26">
        <f ca="1"/>
        <v>129.16415221728516</v>
      </c>
      <c r="E179" s="26">
        <f ca="1"/>
        <v>202.73516089986157</v>
      </c>
      <c r="F179" s="26">
        <f ca="1"/>
        <v>282.40000871979254</v>
      </c>
      <c r="G179" s="26">
        <f ca="1"/>
        <v>471.86260754713658</v>
      </c>
      <c r="H179" s="26">
        <f ca="1"/>
        <v>717.7674546292659</v>
      </c>
      <c r="I179" s="26">
        <f ca="1"/>
        <v>996.06257195117234</v>
      </c>
      <c r="J179" s="26">
        <f ca="1"/>
        <v>1214.3464906118954</v>
      </c>
      <c r="K179" s="26">
        <f ca="1"/>
        <v>1365.9315734021902</v>
      </c>
      <c r="L179" s="26">
        <f ca="1"/>
        <v>1468.2346348735143</v>
      </c>
      <c r="M179" s="6"/>
      <c r="N179" s="1" t="str">
        <f t="shared" si="3"/>
        <v>$M(2015)/million</v>
      </c>
      <c r="O179" s="1"/>
    </row>
    <row r="180" spans="1:15" x14ac:dyDescent="0.25">
      <c r="A180" t="str">
        <v>IA sea level</v>
      </c>
      <c r="C180" s="26">
        <f ca="1"/>
        <v>41.153729294724087</v>
      </c>
      <c r="D180" s="26">
        <f ca="1"/>
        <v>72.434854880367482</v>
      </c>
      <c r="E180" s="26">
        <f ca="1"/>
        <v>119.83499914942819</v>
      </c>
      <c r="F180" s="26">
        <f ca="1"/>
        <v>182.89160190281885</v>
      </c>
      <c r="G180" s="26">
        <f ca="1"/>
        <v>392.03999023375292</v>
      </c>
      <c r="H180" s="26">
        <f ca="1"/>
        <v>694.58983668902363</v>
      </c>
      <c r="I180" s="26">
        <f ca="1"/>
        <v>1404.2137340602553</v>
      </c>
      <c r="J180" s="26">
        <f ca="1"/>
        <v>1916.7924182180657</v>
      </c>
      <c r="K180" s="26">
        <f ca="1"/>
        <v>2258.7327325936903</v>
      </c>
      <c r="L180" s="26">
        <f ca="1"/>
        <v>2501.3920478172968</v>
      </c>
      <c r="M180" s="6"/>
      <c r="N180" s="1" t="str">
        <f t="shared" si="3"/>
        <v>$M(2015)/million</v>
      </c>
      <c r="O180" s="1"/>
    </row>
    <row r="181" spans="1:15" x14ac:dyDescent="0.25">
      <c r="A181" t="str">
        <v>AF sea level</v>
      </c>
      <c r="C181" s="26">
        <f ca="1"/>
        <v>28.154932469082819</v>
      </c>
      <c r="D181" s="26">
        <f ca="1"/>
        <v>42.233090670673803</v>
      </c>
      <c r="E181" s="26">
        <f ca="1"/>
        <v>63.939056088297612</v>
      </c>
      <c r="F181" s="26">
        <f ca="1"/>
        <v>96.021796078928858</v>
      </c>
      <c r="G181" s="26">
        <f ca="1"/>
        <v>236.43111999752847</v>
      </c>
      <c r="H181" s="26">
        <f ca="1"/>
        <v>484.26426692527735</v>
      </c>
      <c r="I181" s="26">
        <f ca="1"/>
        <v>1737.7100410626451</v>
      </c>
      <c r="J181" s="26">
        <f ca="1"/>
        <v>3413.4664456776759</v>
      </c>
      <c r="K181" s="26">
        <f ca="1"/>
        <v>4907.5533941084814</v>
      </c>
      <c r="L181" s="26">
        <f ca="1"/>
        <v>6020.4113085248064</v>
      </c>
      <c r="M181" s="6"/>
      <c r="N181" s="1" t="str">
        <f t="shared" si="3"/>
        <v>$M(2015)/million</v>
      </c>
      <c r="O181" s="6"/>
    </row>
    <row r="182" spans="1:15" x14ac:dyDescent="0.25">
      <c r="A182" t="str">
        <v>LA sea level</v>
      </c>
      <c r="C182" s="26">
        <f ca="1"/>
        <v>51.810961055325862</v>
      </c>
      <c r="D182" s="26">
        <f ca="1"/>
        <v>76.918326781346266</v>
      </c>
      <c r="E182" s="26">
        <f ca="1"/>
        <v>112.1065968689615</v>
      </c>
      <c r="F182" s="26">
        <f ca="1"/>
        <v>157.43049686559095</v>
      </c>
      <c r="G182" s="26">
        <f ca="1"/>
        <v>310.37406416707262</v>
      </c>
      <c r="H182" s="26">
        <f ca="1"/>
        <v>544.19367536043615</v>
      </c>
      <c r="I182" s="26">
        <f ca="1"/>
        <v>1175.6278932106111</v>
      </c>
      <c r="J182" s="26">
        <f ca="1"/>
        <v>1734.344039269092</v>
      </c>
      <c r="K182" s="26">
        <f ca="1"/>
        <v>2135.4761584845801</v>
      </c>
      <c r="L182" s="26">
        <f ca="1"/>
        <v>2414.4914104629765</v>
      </c>
      <c r="M182" s="6"/>
      <c r="N182" s="1" t="str">
        <f t="shared" si="3"/>
        <v>$M(2015)/million</v>
      </c>
      <c r="O182" s="1"/>
    </row>
    <row r="183" spans="1:15" s="2" customFormat="1" ht="15" x14ac:dyDescent="0.4">
      <c r="A183" s="2" t="s">
        <v>228</v>
      </c>
      <c r="C183" s="2" t="s">
        <v>229</v>
      </c>
    </row>
    <row r="184" spans="1:15" x14ac:dyDescent="0.25">
      <c r="A184" t="str">
        <f t="array" ref="A184:A191">R_CODE&amp;" sea level"</f>
        <v>EU sea level</v>
      </c>
      <c r="C184" s="29">
        <f t="array" ref="C184:L191" ca="1">cons_per_cap_after_costs-isat_s_per_cap</f>
        <v>31193.503407167951</v>
      </c>
      <c r="D184" s="29">
        <f ca="1"/>
        <v>35831.777531199703</v>
      </c>
      <c r="E184" s="29">
        <f ca="1"/>
        <v>41918.581785260925</v>
      </c>
      <c r="F184" s="29">
        <f ca="1"/>
        <v>49299.708094180605</v>
      </c>
      <c r="G184" s="29">
        <f ca="1"/>
        <v>75474.048662080168</v>
      </c>
      <c r="H184" s="29">
        <f ca="1"/>
        <v>115477.87735150641</v>
      </c>
      <c r="I184" s="29">
        <f ca="1"/>
        <v>221411.42287501073</v>
      </c>
      <c r="J184" s="29">
        <f ca="1"/>
        <v>377733.67215309996</v>
      </c>
      <c r="K184" s="29">
        <f ca="1"/>
        <v>586556.56324046687</v>
      </c>
      <c r="L184" s="29">
        <f ca="1"/>
        <v>842961.14675457322</v>
      </c>
      <c r="M184" s="6"/>
      <c r="N184" s="1" t="str">
        <f t="shared" ref="N184:N191" si="4">CURRENCY_NAME&amp;"/"&amp;POP_UNIT_NAME</f>
        <v>$M(2015)/million</v>
      </c>
      <c r="O184" s="1"/>
    </row>
    <row r="185" spans="1:15" x14ac:dyDescent="0.25">
      <c r="A185" t="str">
        <v>US sea level</v>
      </c>
      <c r="C185" s="26">
        <f ca="1"/>
        <v>49212.844013912283</v>
      </c>
      <c r="D185" s="26">
        <f ca="1"/>
        <v>56208.11609726274</v>
      </c>
      <c r="E185" s="26">
        <f ca="1"/>
        <v>62334.424743177005</v>
      </c>
      <c r="F185" s="26">
        <f ca="1"/>
        <v>69215.459626827505</v>
      </c>
      <c r="G185" s="26">
        <f ca="1"/>
        <v>92628.742906677944</v>
      </c>
      <c r="H185" s="26">
        <f ca="1"/>
        <v>131297.22651260899</v>
      </c>
      <c r="I185" s="26">
        <f ca="1"/>
        <v>265661.59365231439</v>
      </c>
      <c r="J185" s="26">
        <f ca="1"/>
        <v>499050.31661815563</v>
      </c>
      <c r="K185" s="26">
        <f ca="1"/>
        <v>879293.24112635187</v>
      </c>
      <c r="L185" s="26">
        <f ca="1"/>
        <v>1462951.6687788903</v>
      </c>
      <c r="M185" s="6"/>
      <c r="N185" s="1" t="str">
        <f t="shared" si="4"/>
        <v>$M(2015)/million</v>
      </c>
      <c r="O185" s="1"/>
    </row>
    <row r="186" spans="1:15" x14ac:dyDescent="0.25">
      <c r="A186" t="str">
        <v>OT sea level</v>
      </c>
      <c r="C186" s="26">
        <f ca="1"/>
        <v>31474.337650740432</v>
      </c>
      <c r="D186" s="26">
        <f ca="1"/>
        <v>37151.824810105056</v>
      </c>
      <c r="E186" s="26">
        <f ca="1"/>
        <v>43358.380295535135</v>
      </c>
      <c r="F186" s="26">
        <f ca="1"/>
        <v>50849.593244900869</v>
      </c>
      <c r="G186" s="26">
        <f ca="1"/>
        <v>77525.230040383685</v>
      </c>
      <c r="H186" s="26">
        <f ca="1"/>
        <v>118365.4746998933</v>
      </c>
      <c r="I186" s="26">
        <f ca="1"/>
        <v>190432.09046292771</v>
      </c>
      <c r="J186" s="26">
        <f ca="1"/>
        <v>257051.31939384516</v>
      </c>
      <c r="K186" s="26">
        <f ca="1"/>
        <v>310905.05181324441</v>
      </c>
      <c r="L186" s="26">
        <f ca="1"/>
        <v>350783.71137446113</v>
      </c>
      <c r="M186" s="6"/>
      <c r="N186" s="1" t="str">
        <f t="shared" si="4"/>
        <v>$M(2015)/million</v>
      </c>
      <c r="O186" s="1"/>
    </row>
    <row r="187" spans="1:15" x14ac:dyDescent="0.25">
      <c r="A187" t="str">
        <v>EE sea level</v>
      </c>
      <c r="C187" s="26">
        <f ca="1"/>
        <v>14061.544853704821</v>
      </c>
      <c r="D187" s="26">
        <f ca="1"/>
        <v>20790.970423183029</v>
      </c>
      <c r="E187" s="26">
        <f ca="1"/>
        <v>28410.63764386711</v>
      </c>
      <c r="F187" s="26">
        <f ca="1"/>
        <v>35204.905869862137</v>
      </c>
      <c r="G187" s="26">
        <f ca="1"/>
        <v>55934.804302852026</v>
      </c>
      <c r="H187" s="26">
        <f ca="1"/>
        <v>83993.153644070495</v>
      </c>
      <c r="I187" s="26">
        <f ca="1"/>
        <v>116872.63192470606</v>
      </c>
      <c r="J187" s="26">
        <f ca="1"/>
        <v>134728.38408828288</v>
      </c>
      <c r="K187" s="26">
        <f ca="1"/>
        <v>143306.09709882044</v>
      </c>
      <c r="L187" s="26">
        <f ca="1"/>
        <v>147202.57014475969</v>
      </c>
      <c r="M187" s="6"/>
      <c r="N187" s="1" t="str">
        <f t="shared" si="4"/>
        <v>$M(2015)/million</v>
      </c>
      <c r="O187" s="1"/>
    </row>
    <row r="188" spans="1:15" x14ac:dyDescent="0.25">
      <c r="A188" t="str">
        <v>CA sea level</v>
      </c>
      <c r="C188" s="26">
        <f ca="1"/>
        <v>12410.952906504412</v>
      </c>
      <c r="D188" s="26">
        <f ca="1"/>
        <v>23153.732772834559</v>
      </c>
      <c r="E188" s="26">
        <f ca="1"/>
        <v>35081.962967483501</v>
      </c>
      <c r="F188" s="26">
        <f ca="1"/>
        <v>46908.084376298648</v>
      </c>
      <c r="G188" s="26">
        <f ca="1"/>
        <v>72168.60204535794</v>
      </c>
      <c r="H188" s="26">
        <f ca="1"/>
        <v>102061.79326548782</v>
      </c>
      <c r="I188" s="26">
        <f ca="1"/>
        <v>98776.927604016571</v>
      </c>
      <c r="J188" s="26">
        <f ca="1"/>
        <v>95392.898446269217</v>
      </c>
      <c r="K188" s="26">
        <f ca="1"/>
        <v>92055.785715604448</v>
      </c>
      <c r="L188" s="26">
        <f ca="1"/>
        <v>88816.631821456293</v>
      </c>
      <c r="M188" s="6"/>
      <c r="N188" s="1" t="str">
        <f t="shared" si="4"/>
        <v>$M(2015)/million</v>
      </c>
      <c r="O188" s="1"/>
    </row>
    <row r="189" spans="1:15" x14ac:dyDescent="0.25">
      <c r="A189" t="str">
        <v>IA sea level</v>
      </c>
      <c r="C189" s="26">
        <f ca="1"/>
        <v>5903.7857492423245</v>
      </c>
      <c r="D189" s="26">
        <f ca="1"/>
        <v>10117.886217979933</v>
      </c>
      <c r="E189" s="26">
        <f ca="1"/>
        <v>16528.802355498261</v>
      </c>
      <c r="F189" s="26">
        <f ca="1"/>
        <v>25187.345034769096</v>
      </c>
      <c r="G189" s="26">
        <f ca="1"/>
        <v>55352.170067102619</v>
      </c>
      <c r="H189" s="26">
        <f ca="1"/>
        <v>97376.722879553039</v>
      </c>
      <c r="I189" s="26">
        <f ca="1"/>
        <v>161555.23710466005</v>
      </c>
      <c r="J189" s="26">
        <f ca="1"/>
        <v>183521.28959276021</v>
      </c>
      <c r="K189" s="26">
        <f ca="1"/>
        <v>189386.99157054533</v>
      </c>
      <c r="L189" s="26">
        <f ca="1"/>
        <v>190769.6630073376</v>
      </c>
      <c r="M189" s="6"/>
      <c r="N189" s="1" t="str">
        <f t="shared" si="4"/>
        <v>$M(2015)/million</v>
      </c>
      <c r="O189" s="1"/>
    </row>
    <row r="190" spans="1:15" x14ac:dyDescent="0.25">
      <c r="A190" t="str">
        <v>AF sea level</v>
      </c>
      <c r="C190" s="26">
        <f ca="1"/>
        <v>5185.2879947767979</v>
      </c>
      <c r="D190" s="26">
        <f ca="1"/>
        <v>7069.32923804036</v>
      </c>
      <c r="E190" s="26">
        <f ca="1"/>
        <v>10171.898367732512</v>
      </c>
      <c r="F190" s="26">
        <f ca="1"/>
        <v>15146.609467673134</v>
      </c>
      <c r="G190" s="26">
        <f ca="1"/>
        <v>40589.174117285649</v>
      </c>
      <c r="H190" s="26">
        <f ca="1"/>
        <v>87873.739990811562</v>
      </c>
      <c r="I190" s="26">
        <f ca="1"/>
        <v>331511.63981186296</v>
      </c>
      <c r="J190" s="26">
        <f ca="1"/>
        <v>634427.19399437541</v>
      </c>
      <c r="K190" s="26">
        <f ca="1"/>
        <v>870906.44768683508</v>
      </c>
      <c r="L190" s="26">
        <f ca="1"/>
        <v>1016262.9574832505</v>
      </c>
      <c r="M190" s="6"/>
      <c r="N190" s="1" t="str">
        <f t="shared" si="4"/>
        <v>$M(2015)/million</v>
      </c>
      <c r="O190" s="6"/>
    </row>
    <row r="191" spans="1:15" x14ac:dyDescent="0.25">
      <c r="A191" t="str">
        <v>LA sea level</v>
      </c>
      <c r="C191" s="26">
        <f ca="1"/>
        <v>12407.851527137667</v>
      </c>
      <c r="D191" s="26">
        <f ca="1"/>
        <v>16669.892385424246</v>
      </c>
      <c r="E191" s="26">
        <f ca="1"/>
        <v>22717.681337834692</v>
      </c>
      <c r="F191" s="26">
        <f ca="1"/>
        <v>30731.397532672949</v>
      </c>
      <c r="G191" s="26">
        <f ca="1"/>
        <v>59912.617147075129</v>
      </c>
      <c r="H191" s="26">
        <f ca="1"/>
        <v>103839.61395866277</v>
      </c>
      <c r="I191" s="26">
        <f ca="1"/>
        <v>189515.34154231352</v>
      </c>
      <c r="J191" s="26">
        <f ca="1"/>
        <v>240717.74750736871</v>
      </c>
      <c r="K191" s="26">
        <f ca="1"/>
        <v>264653.93530260003</v>
      </c>
      <c r="L191" s="26">
        <f ca="1"/>
        <v>274734.58842225565</v>
      </c>
      <c r="M191" s="6"/>
      <c r="N191" s="1" t="str">
        <f t="shared" si="4"/>
        <v>$M(2015)/million</v>
      </c>
      <c r="O191" s="1"/>
    </row>
    <row r="192" spans="1:15" s="2" customFormat="1" ht="15" x14ac:dyDescent="0.4">
      <c r="A192" s="2" t="s">
        <v>230</v>
      </c>
      <c r="C192" s="2" t="s">
        <v>231</v>
      </c>
    </row>
    <row r="193" spans="1:17" x14ac:dyDescent="0.25">
      <c r="A193" t="str">
        <f t="array" ref="A193:A200">R_CODE&amp;" sea level"</f>
        <v>EU sea level</v>
      </c>
      <c r="C193" s="29">
        <f t="array" ref="C193:L200" ca="1" xml:space="preserve"> rcons_s_per_cap/(1-SAVE/100)</f>
        <v>36698.23930255053</v>
      </c>
      <c r="D193" s="29">
        <f ca="1"/>
        <v>42155.032389646709</v>
      </c>
      <c r="E193" s="29">
        <f ca="1"/>
        <v>49315.978570895204</v>
      </c>
      <c r="F193" s="29">
        <f ca="1"/>
        <v>57999.656581388947</v>
      </c>
      <c r="G193" s="29">
        <f ca="1"/>
        <v>88792.998425976664</v>
      </c>
      <c r="H193" s="29">
        <f ca="1"/>
        <v>135856.32629588988</v>
      </c>
      <c r="I193" s="29">
        <f ca="1"/>
        <v>260484.02691177733</v>
      </c>
      <c r="J193" s="29">
        <f ca="1"/>
        <v>444392.55547423527</v>
      </c>
      <c r="K193" s="29">
        <f ca="1"/>
        <v>690066.54498878459</v>
      </c>
      <c r="L193" s="29">
        <f ca="1"/>
        <v>991718.9961818509</v>
      </c>
      <c r="M193" s="6"/>
      <c r="N193" s="1" t="str">
        <f t="shared" ref="N193:N200" si="5">CURRENCY_NAME&amp;"/"&amp;POP_UNIT_NAME</f>
        <v>$M(2015)/million</v>
      </c>
      <c r="O193" s="1"/>
    </row>
    <row r="194" spans="1:17" x14ac:dyDescent="0.25">
      <c r="A194" t="str">
        <v>US sea level</v>
      </c>
      <c r="C194" s="26">
        <f ca="1"/>
        <v>57897.463545779159</v>
      </c>
      <c r="D194" s="26">
        <f ca="1"/>
        <v>66127.195408544401</v>
      </c>
      <c r="E194" s="26">
        <f ca="1"/>
        <v>73334.617344914121</v>
      </c>
      <c r="F194" s="26">
        <f ca="1"/>
        <v>81429.952502150001</v>
      </c>
      <c r="G194" s="26">
        <f ca="1"/>
        <v>108974.99165491523</v>
      </c>
      <c r="H194" s="26">
        <f ca="1"/>
        <v>154467.32530895175</v>
      </c>
      <c r="I194" s="26">
        <f ca="1"/>
        <v>312543.05135566398</v>
      </c>
      <c r="J194" s="26">
        <f ca="1"/>
        <v>587118.01955077134</v>
      </c>
      <c r="K194" s="26">
        <f ca="1"/>
        <v>1034462.6366192375</v>
      </c>
      <c r="L194" s="26">
        <f ca="1"/>
        <v>1721119.6103281062</v>
      </c>
      <c r="M194" s="6"/>
      <c r="N194" s="1" t="str">
        <f t="shared" si="5"/>
        <v>$M(2015)/million</v>
      </c>
      <c r="O194" s="1"/>
    </row>
    <row r="195" spans="1:17" x14ac:dyDescent="0.25">
      <c r="A195" t="str">
        <v>OT sea level</v>
      </c>
      <c r="C195" s="26">
        <f ca="1"/>
        <v>37028.632530282863</v>
      </c>
      <c r="D195" s="26">
        <f ca="1"/>
        <v>43708.029188358887</v>
      </c>
      <c r="E195" s="26">
        <f ca="1"/>
        <v>51009.859171217809</v>
      </c>
      <c r="F195" s="26">
        <f ca="1"/>
        <v>59823.050876353962</v>
      </c>
      <c r="G195" s="26">
        <f ca="1"/>
        <v>91206.152988686692</v>
      </c>
      <c r="H195" s="26">
        <f ca="1"/>
        <v>139253.49964693328</v>
      </c>
      <c r="I195" s="26">
        <f ca="1"/>
        <v>224037.75348579729</v>
      </c>
      <c r="J195" s="26">
        <f ca="1"/>
        <v>302413.31693393551</v>
      </c>
      <c r="K195" s="26">
        <f ca="1"/>
        <v>365770.64919205225</v>
      </c>
      <c r="L195" s="26">
        <f ca="1"/>
        <v>412686.7192640719</v>
      </c>
      <c r="M195" s="6"/>
      <c r="N195" s="1" t="str">
        <f t="shared" si="5"/>
        <v>$M(2015)/million</v>
      </c>
      <c r="O195" s="1"/>
    </row>
    <row r="196" spans="1:17" x14ac:dyDescent="0.25">
      <c r="A196" t="str">
        <v>EE sea level</v>
      </c>
      <c r="C196" s="26">
        <f ca="1"/>
        <v>16542.993945535083</v>
      </c>
      <c r="D196" s="26">
        <f ca="1"/>
        <v>24459.965203744741</v>
      </c>
      <c r="E196" s="26">
        <f ca="1"/>
        <v>33424.279581020128</v>
      </c>
      <c r="F196" s="26">
        <f ca="1"/>
        <v>41417.536317484868</v>
      </c>
      <c r="G196" s="26">
        <f ca="1"/>
        <v>65805.652121002378</v>
      </c>
      <c r="H196" s="26">
        <f ca="1"/>
        <v>98815.474875377055</v>
      </c>
      <c r="I196" s="26">
        <f ca="1"/>
        <v>137497.21402906594</v>
      </c>
      <c r="J196" s="26">
        <f ca="1"/>
        <v>158503.98128033281</v>
      </c>
      <c r="K196" s="26">
        <f ca="1"/>
        <v>168595.40835155346</v>
      </c>
      <c r="L196" s="26">
        <f ca="1"/>
        <v>173179.49428795258</v>
      </c>
      <c r="M196" s="6"/>
      <c r="N196" s="1" t="str">
        <f t="shared" si="5"/>
        <v>$M(2015)/million</v>
      </c>
      <c r="O196" s="1"/>
    </row>
    <row r="197" spans="1:17" x14ac:dyDescent="0.25">
      <c r="A197" t="str">
        <v>CA sea level</v>
      </c>
      <c r="C197" s="26">
        <f ca="1"/>
        <v>14601.121066475778</v>
      </c>
      <c r="D197" s="26">
        <f ca="1"/>
        <v>27239.685615099483</v>
      </c>
      <c r="E197" s="26">
        <f ca="1"/>
        <v>41272.897608804124</v>
      </c>
      <c r="F197" s="26">
        <f ca="1"/>
        <v>55185.981619174883</v>
      </c>
      <c r="G197" s="26">
        <f ca="1"/>
        <v>84904.237700421116</v>
      </c>
      <c r="H197" s="26">
        <f ca="1"/>
        <v>120072.69795939744</v>
      </c>
      <c r="I197" s="26">
        <f ca="1"/>
        <v>116208.15012237243</v>
      </c>
      <c r="J197" s="26">
        <f ca="1"/>
        <v>112226.93934855203</v>
      </c>
      <c r="K197" s="26">
        <f ca="1"/>
        <v>108300.92437129935</v>
      </c>
      <c r="L197" s="26">
        <f ca="1"/>
        <v>104490.15508406622</v>
      </c>
      <c r="M197" s="6"/>
      <c r="N197" s="1" t="str">
        <f t="shared" si="5"/>
        <v>$M(2015)/million</v>
      </c>
      <c r="O197" s="1"/>
    </row>
    <row r="198" spans="1:17" x14ac:dyDescent="0.25">
      <c r="A198" t="str">
        <v>IA sea level</v>
      </c>
      <c r="C198" s="26">
        <f ca="1"/>
        <v>6945.6302932262643</v>
      </c>
      <c r="D198" s="26">
        <f ca="1"/>
        <v>11903.395550564626</v>
      </c>
      <c r="E198" s="26">
        <f ca="1"/>
        <v>19445.649829997954</v>
      </c>
      <c r="F198" s="26">
        <f ca="1"/>
        <v>29632.170629140113</v>
      </c>
      <c r="G198" s="26">
        <f ca="1"/>
        <v>65120.200078944261</v>
      </c>
      <c r="H198" s="26">
        <f ca="1"/>
        <v>114560.85044653299</v>
      </c>
      <c r="I198" s="26">
        <f ca="1"/>
        <v>190064.98482901181</v>
      </c>
      <c r="J198" s="26">
        <f ca="1"/>
        <v>215907.39952089437</v>
      </c>
      <c r="K198" s="26">
        <f ca="1"/>
        <v>222808.22537711216</v>
      </c>
      <c r="L198" s="26">
        <f ca="1"/>
        <v>224434.89765569131</v>
      </c>
      <c r="M198" s="6"/>
      <c r="N198" s="1" t="str">
        <f t="shared" si="5"/>
        <v>$M(2015)/million</v>
      </c>
      <c r="O198" s="1"/>
    </row>
    <row r="199" spans="1:17" x14ac:dyDescent="0.25">
      <c r="A199" t="str">
        <v>AF sea level</v>
      </c>
      <c r="C199" s="26">
        <f ca="1"/>
        <v>6100.3388173844678</v>
      </c>
      <c r="D199" s="26">
        <f ca="1"/>
        <v>8316.8579271063063</v>
      </c>
      <c r="E199" s="26">
        <f ca="1"/>
        <v>11966.939256155898</v>
      </c>
      <c r="F199" s="26">
        <f ca="1"/>
        <v>17819.540550203688</v>
      </c>
      <c r="G199" s="26">
        <f ca="1"/>
        <v>47751.969549747824</v>
      </c>
      <c r="H199" s="26">
        <f ca="1"/>
        <v>103380.87057742538</v>
      </c>
      <c r="I199" s="26">
        <f ca="1"/>
        <v>390013.69389630936</v>
      </c>
      <c r="J199" s="26">
        <f ca="1"/>
        <v>746384.93411102996</v>
      </c>
      <c r="K199" s="26">
        <f ca="1"/>
        <v>1024595.8208080413</v>
      </c>
      <c r="L199" s="26">
        <f ca="1"/>
        <v>1195603.4793920594</v>
      </c>
      <c r="M199" s="6"/>
      <c r="N199" s="1" t="str">
        <f t="shared" si="5"/>
        <v>$M(2015)/million</v>
      </c>
      <c r="O199" s="6"/>
    </row>
    <row r="200" spans="1:17" x14ac:dyDescent="0.25">
      <c r="A200" t="str">
        <v>LA sea level</v>
      </c>
      <c r="C200" s="26">
        <f ca="1"/>
        <v>14597.472384867844</v>
      </c>
      <c r="D200" s="26">
        <f ca="1"/>
        <v>19611.638100499113</v>
      </c>
      <c r="E200" s="26">
        <f ca="1"/>
        <v>26726.683926864345</v>
      </c>
      <c r="F200" s="26">
        <f ca="1"/>
        <v>36154.585332556409</v>
      </c>
      <c r="G200" s="26">
        <f ca="1"/>
        <v>70485.43193773544</v>
      </c>
      <c r="H200" s="26">
        <f ca="1"/>
        <v>122164.25171607385</v>
      </c>
      <c r="I200" s="26">
        <f ca="1"/>
        <v>222959.22534389826</v>
      </c>
      <c r="J200" s="26">
        <f ca="1"/>
        <v>283197.35000866908</v>
      </c>
      <c r="K200" s="26">
        <f ca="1"/>
        <v>311357.57094423531</v>
      </c>
      <c r="L200" s="26">
        <f ca="1"/>
        <v>323217.16284971253</v>
      </c>
      <c r="M200" s="6"/>
      <c r="N200" s="1" t="str">
        <f t="shared" si="5"/>
        <v>$M(2015)/million</v>
      </c>
      <c r="O200" s="1"/>
    </row>
    <row r="201" spans="1:17" ht="15" x14ac:dyDescent="0.4">
      <c r="A201" s="2" t="s">
        <v>966</v>
      </c>
      <c r="C201" s="2" t="s">
        <v>727</v>
      </c>
      <c r="D201" s="6"/>
      <c r="E201" s="6"/>
      <c r="F201" s="6"/>
      <c r="G201" s="6"/>
      <c r="H201" s="6"/>
      <c r="I201" s="6"/>
      <c r="J201" s="6"/>
      <c r="K201" s="6"/>
      <c r="L201" s="6"/>
      <c r="M201" s="6"/>
      <c r="N201" s="1"/>
      <c r="O201" s="1"/>
    </row>
    <row r="202" spans="1:17" ht="13" x14ac:dyDescent="0.3">
      <c r="A202" t="str">
        <f t="array" ref="A202:A209">R_CODE&amp;" "&amp;I_1_NAME</f>
        <v>EU Economic</v>
      </c>
      <c r="C202" s="223">
        <f t="array" ref="C202:L209" ca="1" xml:space="preserve"> (IF(ECON_IMPF = ECON_IMPF_BURKE_LAG1_CONSUM, 1, 0) + IF(ECON_IMPF = ECON_IMPF_BURKE_LAG2_CONSUM, 2, 0)) * ( IMPF_COEFF_LIN * (i_1_burke - RTL_ABS_0) + IMPF_COEFF_QUADR * ( (i_1_burke - TCAL_BURKE)^2 - (RTL_ABS_0 - TCAL_BURKE)^2 ) )</f>
        <v>3.8755841977305321E-4</v>
      </c>
      <c r="D202" s="223">
        <f ca="1"/>
        <v>1.2641288177181473E-3</v>
      </c>
      <c r="E202" s="223">
        <f ca="1"/>
        <v>1.6794722371918907E-3</v>
      </c>
      <c r="F202" s="223">
        <f ca="1"/>
        <v>1.8805363067937921E-3</v>
      </c>
      <c r="G202" s="223">
        <f ca="1"/>
        <v>2.032490585110687E-3</v>
      </c>
      <c r="H202" s="223">
        <f ca="1"/>
        <v>2.0273240024388517E-3</v>
      </c>
      <c r="I202" s="223">
        <f ca="1"/>
        <v>1.8087089146903001E-3</v>
      </c>
      <c r="J202" s="223">
        <f ca="1"/>
        <v>1.6171295486722467E-3</v>
      </c>
      <c r="K202" s="223">
        <f ca="1"/>
        <v>1.4774884826482589E-3</v>
      </c>
      <c r="L202" s="223">
        <f ca="1"/>
        <v>1.3225068546668705E-3</v>
      </c>
      <c r="M202" s="6"/>
      <c r="N202" s="59" t="s">
        <v>716</v>
      </c>
      <c r="O202" s="1"/>
      <c r="Q202" s="124" t="s">
        <v>732</v>
      </c>
    </row>
    <row r="203" spans="1:17" ht="13" x14ac:dyDescent="0.3">
      <c r="A203" t="str">
        <v>US Economic</v>
      </c>
      <c r="C203" s="224">
        <f ca="1"/>
        <v>-2.7590199425603758E-4</v>
      </c>
      <c r="D203" s="224">
        <f ca="1"/>
        <v>-1.2604166357441842E-3</v>
      </c>
      <c r="E203" s="224">
        <f ca="1"/>
        <v>-2.0767280226743987E-3</v>
      </c>
      <c r="F203" s="224">
        <f ca="1"/>
        <v>-2.6715266150775293E-3</v>
      </c>
      <c r="G203" s="224">
        <f ca="1"/>
        <v>-3.3308968127397469E-3</v>
      </c>
      <c r="H203" s="224">
        <f ca="1"/>
        <v>-3.3029642824914038E-3</v>
      </c>
      <c r="I203" s="224">
        <f ca="1"/>
        <v>-2.4345942129623595E-3</v>
      </c>
      <c r="J203" s="224">
        <f ca="1"/>
        <v>-1.9272264692707418E-3</v>
      </c>
      <c r="K203" s="224">
        <f ca="1"/>
        <v>-1.6323281344254896E-3</v>
      </c>
      <c r="L203" s="224">
        <f ca="1"/>
        <v>-1.3544498332089443E-3</v>
      </c>
      <c r="M203" s="6"/>
      <c r="N203" s="59" t="s">
        <v>716</v>
      </c>
      <c r="O203" s="1"/>
      <c r="Q203" s="124" t="s">
        <v>888</v>
      </c>
    </row>
    <row r="204" spans="1:17" x14ac:dyDescent="0.25">
      <c r="A204" t="str">
        <v>OT Economic</v>
      </c>
      <c r="C204" s="224">
        <f ca="1"/>
        <v>1.4083302590570026E-5</v>
      </c>
      <c r="D204" s="224">
        <f ca="1"/>
        <v>-1.291485987400115E-4</v>
      </c>
      <c r="E204" s="224">
        <f ca="1"/>
        <v>-3.669210807436922E-4</v>
      </c>
      <c r="F204" s="224">
        <f ca="1"/>
        <v>-5.7898305937497709E-4</v>
      </c>
      <c r="G204" s="224">
        <f ca="1"/>
        <v>-8.4117187227386418E-4</v>
      </c>
      <c r="H204" s="224">
        <f ca="1"/>
        <v>-8.2957942723941441E-4</v>
      </c>
      <c r="I204" s="224">
        <f ca="1"/>
        <v>-4.9135226358708664E-4</v>
      </c>
      <c r="J204" s="224">
        <f ca="1"/>
        <v>-3.1813062188893251E-4</v>
      </c>
      <c r="K204" s="224">
        <f ca="1"/>
        <v>-2.2825795067175046E-4</v>
      </c>
      <c r="L204" s="224">
        <f ca="1"/>
        <v>-1.5251342475318137E-4</v>
      </c>
      <c r="M204" s="6"/>
      <c r="N204" s="59" t="s">
        <v>716</v>
      </c>
      <c r="O204" s="1"/>
    </row>
    <row r="205" spans="1:17" x14ac:dyDescent="0.25">
      <c r="A205" t="str">
        <v>EE Economic</v>
      </c>
      <c r="C205" s="224">
        <f ca="1"/>
        <v>1.2193484223018388E-3</v>
      </c>
      <c r="D205" s="224">
        <f ca="1"/>
        <v>4.265263181675796E-3</v>
      </c>
      <c r="E205" s="224">
        <f ca="1"/>
        <v>5.9880026001500851E-3</v>
      </c>
      <c r="F205" s="224">
        <f ca="1"/>
        <v>6.9814656657474963E-3</v>
      </c>
      <c r="G205" s="224">
        <f ca="1"/>
        <v>7.8999427592383216E-3</v>
      </c>
      <c r="H205" s="224">
        <f ca="1"/>
        <v>7.8643086479509225E-3</v>
      </c>
      <c r="I205" s="224">
        <f ca="1"/>
        <v>6.6070304846271161E-3</v>
      </c>
      <c r="J205" s="224">
        <f ca="1"/>
        <v>5.7078692507034311E-3</v>
      </c>
      <c r="K205" s="224">
        <f ca="1"/>
        <v>5.1123348197763003E-3</v>
      </c>
      <c r="L205" s="224">
        <f ca="1"/>
        <v>4.4908597199306097E-3</v>
      </c>
      <c r="M205" s="6"/>
      <c r="N205" s="59" t="s">
        <v>716</v>
      </c>
      <c r="O205" s="1"/>
    </row>
    <row r="206" spans="1:17" x14ac:dyDescent="0.25">
      <c r="A206" t="str">
        <v>CA Economic</v>
      </c>
      <c r="C206" s="224">
        <f ca="1"/>
        <v>-5.1064099002471274E-4</v>
      </c>
      <c r="D206" s="224">
        <f ca="1"/>
        <v>-2.0934590397443014E-3</v>
      </c>
      <c r="E206" s="224">
        <f ca="1"/>
        <v>-3.2586462018432596E-3</v>
      </c>
      <c r="F206" s="224">
        <f ca="1"/>
        <v>-4.059644042684254E-3</v>
      </c>
      <c r="G206" s="224">
        <f ca="1"/>
        <v>-4.9140714240037955E-3</v>
      </c>
      <c r="H206" s="224">
        <f ca="1"/>
        <v>-4.8784763057920051E-3</v>
      </c>
      <c r="I206" s="224">
        <f ca="1"/>
        <v>-3.7444802070260288E-3</v>
      </c>
      <c r="J206" s="224">
        <f ca="1"/>
        <v>-3.0517371587470716E-3</v>
      </c>
      <c r="K206" s="224">
        <f ca="1"/>
        <v>-2.6357225347514376E-3</v>
      </c>
      <c r="L206" s="224">
        <f ca="1"/>
        <v>-2.2326586479386643E-3</v>
      </c>
      <c r="M206" s="6"/>
      <c r="N206" s="59" t="s">
        <v>716</v>
      </c>
      <c r="O206" s="1"/>
    </row>
    <row r="207" spans="1:17" x14ac:dyDescent="0.25">
      <c r="A207" t="str">
        <v>IA Economic</v>
      </c>
      <c r="C207" s="224">
        <f ca="1"/>
        <v>-1.9657487317966908E-3</v>
      </c>
      <c r="D207" s="224">
        <f ca="1"/>
        <v>-7.5385362324356187E-3</v>
      </c>
      <c r="E207" s="224">
        <f ca="1"/>
        <v>-1.1272447804123165E-2</v>
      </c>
      <c r="F207" s="224">
        <f ca="1"/>
        <v>-1.3703945810826578E-2</v>
      </c>
      <c r="G207" s="224">
        <f ca="1"/>
        <v>-1.6197443220937892E-2</v>
      </c>
      <c r="H207" s="224">
        <f ca="1"/>
        <v>-1.6095430017439703E-2</v>
      </c>
      <c r="I207" s="224">
        <f ca="1"/>
        <v>-1.2758911545245761E-2</v>
      </c>
      <c r="J207" s="224">
        <f ca="1"/>
        <v>-1.0627683573084541E-2</v>
      </c>
      <c r="K207" s="224">
        <f ca="1"/>
        <v>-9.3084044424242302E-3</v>
      </c>
      <c r="L207" s="224">
        <f ca="1"/>
        <v>-7.9986456906274983E-3</v>
      </c>
      <c r="M207" s="6"/>
      <c r="N207" s="59" t="s">
        <v>716</v>
      </c>
      <c r="O207" s="1"/>
    </row>
    <row r="208" spans="1:17" x14ac:dyDescent="0.25">
      <c r="A208" t="str">
        <v>AF Economic</v>
      </c>
      <c r="C208" s="224">
        <f ca="1"/>
        <v>-1.805696739528146E-3</v>
      </c>
      <c r="D208" s="224">
        <f ca="1"/>
        <v>-6.9892866750827422E-3</v>
      </c>
      <c r="E208" s="224">
        <f ca="1"/>
        <v>-1.051239443557057E-2</v>
      </c>
      <c r="F208" s="224">
        <f ca="1"/>
        <v>-1.2826783742010066E-2</v>
      </c>
      <c r="G208" s="224">
        <f ca="1"/>
        <v>-1.5215944626605492E-2</v>
      </c>
      <c r="H208" s="224">
        <f ca="1"/>
        <v>-1.5117894897073037E-2</v>
      </c>
      <c r="I208" s="224">
        <f ca="1"/>
        <v>-1.1925429420344451E-2</v>
      </c>
      <c r="J208" s="224">
        <f ca="1"/>
        <v>-9.9013066403276142E-3</v>
      </c>
      <c r="K208" s="224">
        <f ca="1"/>
        <v>-8.6544438120029384E-3</v>
      </c>
      <c r="L208" s="224">
        <f ca="1"/>
        <v>-7.4213287130111705E-3</v>
      </c>
      <c r="M208" s="6"/>
      <c r="N208" s="59" t="s">
        <v>716</v>
      </c>
      <c r="O208" s="6"/>
    </row>
    <row r="209" spans="1:17" x14ac:dyDescent="0.25">
      <c r="A209" t="str">
        <v>LA Economic</v>
      </c>
      <c r="C209" s="224">
        <f ca="1"/>
        <v>-1.4166730809028595E-3</v>
      </c>
      <c r="D209" s="224">
        <f ca="1"/>
        <v>-5.4752847398974597E-3</v>
      </c>
      <c r="E209" s="224">
        <f ca="1"/>
        <v>-8.2275038701661793E-3</v>
      </c>
      <c r="F209" s="224">
        <f ca="1"/>
        <v>-1.0032985097435851E-2</v>
      </c>
      <c r="G209" s="224">
        <f ca="1"/>
        <v>-1.1894861220966422E-2</v>
      </c>
      <c r="H209" s="224">
        <f ca="1"/>
        <v>-1.1818488164835023E-2</v>
      </c>
      <c r="I209" s="224">
        <f ca="1"/>
        <v>-9.3300538824079189E-3</v>
      </c>
      <c r="J209" s="224">
        <f ca="1"/>
        <v>-7.750465311311466E-3</v>
      </c>
      <c r="K209" s="224">
        <f ca="1"/>
        <v>-6.7766835373488619E-3</v>
      </c>
      <c r="L209" s="224">
        <f ca="1"/>
        <v>-5.8130510539084988E-3</v>
      </c>
      <c r="M209" s="6"/>
      <c r="N209" s="59" t="s">
        <v>716</v>
      </c>
      <c r="O209" s="1"/>
    </row>
    <row r="210" spans="1:17" ht="15" x14ac:dyDescent="0.4">
      <c r="A210" s="2" t="s">
        <v>717</v>
      </c>
      <c r="C210" s="2" t="s">
        <v>715</v>
      </c>
      <c r="D210" s="6"/>
      <c r="E210" s="6"/>
      <c r="F210" s="6"/>
      <c r="G210" s="6"/>
      <c r="H210" s="6"/>
      <c r="I210" s="6"/>
      <c r="J210" s="6"/>
      <c r="K210" s="6"/>
      <c r="L210" s="6"/>
      <c r="M210" s="6"/>
      <c r="N210" s="1"/>
      <c r="O210" s="1"/>
    </row>
    <row r="211" spans="1:17" ht="13" x14ac:dyDescent="0.3">
      <c r="A211" t="str">
        <f t="array" ref="A211:A218">R_CODE&amp;" "&amp;I_1_NAME</f>
        <v>EU Economic</v>
      </c>
      <c r="C211" s="214">
        <f t="array" ref="C211:L218" ca="1">100 * WINCF_1 * (1 - EXP(i_1_log))</f>
        <v>-3.8763353024040548E-2</v>
      </c>
      <c r="D211" s="214">
        <f ca="1"/>
        <v>-0.1264928165342738</v>
      </c>
      <c r="E211" s="214">
        <f ca="1"/>
        <v>-0.16808833405486112</v>
      </c>
      <c r="F211" s="214">
        <f ca="1"/>
        <v>-0.18823056241090708</v>
      </c>
      <c r="G211" s="214">
        <f ca="1"/>
        <v>-0.20345574941871281</v>
      </c>
      <c r="H211" s="214">
        <f ca="1"/>
        <v>-0.20293804131796822</v>
      </c>
      <c r="I211" s="214">
        <f ca="1"/>
        <v>-0.18103456152822606</v>
      </c>
      <c r="J211" s="214">
        <f ca="1"/>
        <v>-0.16184378077739314</v>
      </c>
      <c r="K211" s="214">
        <f ca="1"/>
        <v>-0.14785805065078428</v>
      </c>
      <c r="L211" s="214">
        <f ca="1"/>
        <v>-0.13233817525009073</v>
      </c>
      <c r="M211" s="6"/>
      <c r="N211" s="59" t="s">
        <v>134</v>
      </c>
      <c r="O211" s="1"/>
      <c r="Q211" s="124" t="s">
        <v>732</v>
      </c>
    </row>
    <row r="212" spans="1:17" x14ac:dyDescent="0.25">
      <c r="A212" t="str">
        <v>US Economic</v>
      </c>
      <c r="C212" s="215">
        <f ca="1"/>
        <v>2.7586393680090193E-2</v>
      </c>
      <c r="D212" s="215">
        <f ca="1"/>
        <v>0.12596226443180036</v>
      </c>
      <c r="E212" s="215">
        <f ca="1"/>
        <v>0.20745731150114688</v>
      </c>
      <c r="F212" s="215">
        <f ca="1"/>
        <v>0.26679612635338579</v>
      </c>
      <c r="G212" s="215">
        <f ca="1"/>
        <v>0.3325355530138796</v>
      </c>
      <c r="H212" s="215">
        <f ca="1"/>
        <v>0.32975154966649045</v>
      </c>
      <c r="I212" s="215">
        <f ca="1"/>
        <v>0.24316329920827107</v>
      </c>
      <c r="J212" s="215">
        <f ca="1"/>
        <v>0.19253705607822358</v>
      </c>
      <c r="K212" s="215">
        <f ca="1"/>
        <v>0.16309966114489427</v>
      </c>
      <c r="L212" s="215">
        <f ca="1"/>
        <v>0.13535329800241636</v>
      </c>
      <c r="M212" s="6"/>
      <c r="N212" s="59" t="s">
        <v>134</v>
      </c>
      <c r="O212" s="1"/>
    </row>
    <row r="213" spans="1:17" ht="13" x14ac:dyDescent="0.3">
      <c r="A213" t="str">
        <v>OT Economic</v>
      </c>
      <c r="C213" s="215">
        <f ca="1"/>
        <v>-1.4083401760789371E-3</v>
      </c>
      <c r="D213" s="215">
        <f ca="1"/>
        <v>1.2914025941879181E-2</v>
      </c>
      <c r="E213" s="215">
        <f ca="1"/>
        <v>3.6685377343637082E-2</v>
      </c>
      <c r="F213" s="215">
        <f ca="1"/>
        <v>5.7881548102667324E-2</v>
      </c>
      <c r="G213" s="215">
        <f ca="1"/>
        <v>8.4081818639170081E-2</v>
      </c>
      <c r="H213" s="215">
        <f ca="1"/>
        <v>8.2923542135970862E-2</v>
      </c>
      <c r="I213" s="215">
        <f ca="1"/>
        <v>4.9123156983210681E-2</v>
      </c>
      <c r="J213" s="215">
        <f ca="1"/>
        <v>3.1808002370836697E-2</v>
      </c>
      <c r="K213" s="215">
        <f ca="1"/>
        <v>2.2823190180776276E-2</v>
      </c>
      <c r="L213" s="215">
        <f ca="1"/>
        <v>1.525017951720109E-2</v>
      </c>
      <c r="M213" s="6"/>
      <c r="N213" s="59" t="s">
        <v>134</v>
      </c>
      <c r="O213" s="1"/>
      <c r="Q213" s="124" t="s">
        <v>720</v>
      </c>
    </row>
    <row r="214" spans="1:17" x14ac:dyDescent="0.25">
      <c r="A214" t="str">
        <v>EE Economic</v>
      </c>
      <c r="C214" s="215">
        <f ca="1"/>
        <v>-0.12200921298382017</v>
      </c>
      <c r="D214" s="215">
        <f ca="1"/>
        <v>-0.42743723630944697</v>
      </c>
      <c r="E214" s="215">
        <f ca="1"/>
        <v>-0.60059665258316297</v>
      </c>
      <c r="F214" s="215">
        <f ca="1"/>
        <v>-0.70058929100700329</v>
      </c>
      <c r="G214" s="215">
        <f ca="1"/>
        <v>-0.79312296409623784</v>
      </c>
      <c r="H214" s="215">
        <f ca="1"/>
        <v>-0.78953135472783487</v>
      </c>
      <c r="I214" s="215">
        <f ca="1"/>
        <v>-0.66289050593304477</v>
      </c>
      <c r="J214" s="215">
        <f ca="1"/>
        <v>-0.57241901741849066</v>
      </c>
      <c r="K214" s="215">
        <f ca="1"/>
        <v>-0.51254251012249341</v>
      </c>
      <c r="L214" s="215">
        <f ca="1"/>
        <v>-0.45009587425479669</v>
      </c>
      <c r="M214" s="6"/>
      <c r="N214" s="59" t="s">
        <v>134</v>
      </c>
      <c r="O214" s="1"/>
    </row>
    <row r="215" spans="1:17" x14ac:dyDescent="0.25">
      <c r="A215" t="str">
        <v>CA Economic</v>
      </c>
      <c r="C215" s="215">
        <f ca="1"/>
        <v>5.1051063510354489E-2</v>
      </c>
      <c r="D215" s="215">
        <f ca="1"/>
        <v>0.20912692826908774</v>
      </c>
      <c r="E215" s="215">
        <f ca="1"/>
        <v>0.32533425767521384</v>
      </c>
      <c r="F215" s="215">
        <f ca="1"/>
        <v>0.40514148274687356</v>
      </c>
      <c r="G215" s="215">
        <f ca="1"/>
        <v>0.49020171283301606</v>
      </c>
      <c r="H215" s="215">
        <f ca="1"/>
        <v>0.48665958675893073</v>
      </c>
      <c r="I215" s="215">
        <f ca="1"/>
        <v>0.37374783831389813</v>
      </c>
      <c r="J215" s="215">
        <f ca="1"/>
        <v>0.3047085342147704</v>
      </c>
      <c r="K215" s="215">
        <f ca="1"/>
        <v>0.26322520678435657</v>
      </c>
      <c r="L215" s="215">
        <f ca="1"/>
        <v>0.22301681194643042</v>
      </c>
      <c r="M215" s="6"/>
      <c r="N215" s="59" t="s">
        <v>134</v>
      </c>
      <c r="O215" s="1"/>
      <c r="Q215" s="3"/>
    </row>
    <row r="216" spans="1:17" x14ac:dyDescent="0.25">
      <c r="A216" t="str">
        <v>IA Economic</v>
      </c>
      <c r="C216" s="215">
        <f ca="1"/>
        <v>0.19638179131337141</v>
      </c>
      <c r="D216" s="215">
        <f ca="1"/>
        <v>0.75101927357178466</v>
      </c>
      <c r="E216" s="215">
        <f ca="1"/>
        <v>1.1209151821175323</v>
      </c>
      <c r="F216" s="215">
        <f ca="1"/>
        <v>1.3610474209180823</v>
      </c>
      <c r="G216" s="215">
        <f ca="1"/>
        <v>1.6066970031338168</v>
      </c>
      <c r="H216" s="215">
        <f ca="1"/>
        <v>1.5966590751004484</v>
      </c>
      <c r="I216" s="215">
        <f ca="1"/>
        <v>1.2677861702119597</v>
      </c>
      <c r="J216" s="215">
        <f ca="1"/>
        <v>1.0571409275593857</v>
      </c>
      <c r="K216" s="215">
        <f ca="1"/>
        <v>0.92652153568358875</v>
      </c>
      <c r="L216" s="215">
        <f ca="1"/>
        <v>0.79667416439095362</v>
      </c>
      <c r="M216" s="6"/>
      <c r="N216" s="59" t="s">
        <v>134</v>
      </c>
      <c r="O216" s="1"/>
    </row>
    <row r="217" spans="1:17" x14ac:dyDescent="0.25">
      <c r="A217" t="str">
        <v>AF Economic</v>
      </c>
      <c r="C217" s="215">
        <f ca="1"/>
        <v>0.18040674499857356</v>
      </c>
      <c r="D217" s="215">
        <f ca="1"/>
        <v>0.696491841626945</v>
      </c>
      <c r="E217" s="215">
        <f ca="1"/>
        <v>1.0457332330947589</v>
      </c>
      <c r="F217" s="215">
        <f ca="1"/>
        <v>1.2744871150494941</v>
      </c>
      <c r="G217" s="215">
        <f ca="1"/>
        <v>1.5100767059642473</v>
      </c>
      <c r="H217" s="215">
        <f ca="1"/>
        <v>1.5004193221794027</v>
      </c>
      <c r="I217" s="215">
        <f ca="1"/>
        <v>1.1854603310411327</v>
      </c>
      <c r="J217" s="215">
        <f ca="1"/>
        <v>0.98524500846071117</v>
      </c>
      <c r="K217" s="215">
        <f ca="1"/>
        <v>0.8617101915250891</v>
      </c>
      <c r="L217" s="215">
        <f ca="1"/>
        <v>0.73938586498727421</v>
      </c>
      <c r="M217" s="6"/>
      <c r="N217" s="59" t="s">
        <v>134</v>
      </c>
      <c r="O217" s="6"/>
    </row>
    <row r="218" spans="1:17" x14ac:dyDescent="0.25">
      <c r="A218" t="str">
        <v>LA Economic</v>
      </c>
      <c r="C218" s="215">
        <f ca="1"/>
        <v>0.14156700732943506</v>
      </c>
      <c r="D218" s="215">
        <f ca="1"/>
        <v>0.54603226880257649</v>
      </c>
      <c r="E218" s="215">
        <f ca="1"/>
        <v>0.81937505920406384</v>
      </c>
      <c r="F218" s="215">
        <f ca="1"/>
        <v>0.99828226024750721</v>
      </c>
      <c r="G218" s="215">
        <f ca="1"/>
        <v>1.1824397023237343</v>
      </c>
      <c r="H218" s="215">
        <f ca="1"/>
        <v>1.174892415043316</v>
      </c>
      <c r="I218" s="215">
        <f ca="1"/>
        <v>0.92866639779196625</v>
      </c>
      <c r="J218" s="215">
        <f ca="1"/>
        <v>0.77205078996284149</v>
      </c>
      <c r="K218" s="215">
        <f ca="1"/>
        <v>0.67537735978147051</v>
      </c>
      <c r="L218" s="215">
        <f ca="1"/>
        <v>0.5796187963787891</v>
      </c>
      <c r="M218" s="6"/>
      <c r="N218" s="59" t="s">
        <v>134</v>
      </c>
      <c r="O218" s="1"/>
    </row>
    <row r="219" spans="1:17" s="2" customFormat="1" ht="15" x14ac:dyDescent="0.4">
      <c r="A219" s="2" t="s">
        <v>718</v>
      </c>
      <c r="C219" s="2" t="s">
        <v>714</v>
      </c>
    </row>
    <row r="220" spans="1:17" x14ac:dyDescent="0.25">
      <c r="A220" t="str">
        <f t="array" ref="A220:A227">R_CODE&amp;" "&amp;I_1_NAME</f>
        <v>EU Economic</v>
      </c>
      <c r="C220" s="214">
        <f t="array" ref="C220:L227" xml:space="preserve"> IF(ECON_IMPF_SWITCH=0, WINCF_1*((W_1+IBEN_1*TCAL)*((i_1/TCAL)^POW_1)-i_1*IBEN_1), 0)</f>
        <v>0</v>
      </c>
      <c r="D220" s="214">
        <v>0</v>
      </c>
      <c r="E220" s="214">
        <v>0</v>
      </c>
      <c r="F220" s="214">
        <v>0</v>
      </c>
      <c r="G220" s="214">
        <v>0</v>
      </c>
      <c r="H220" s="214">
        <v>0</v>
      </c>
      <c r="I220" s="214">
        <v>0</v>
      </c>
      <c r="J220" s="214">
        <v>0</v>
      </c>
      <c r="K220" s="214">
        <v>0</v>
      </c>
      <c r="L220" s="214">
        <v>0</v>
      </c>
      <c r="M220" s="6"/>
      <c r="N220" s="59" t="s">
        <v>134</v>
      </c>
    </row>
    <row r="221" spans="1:17" x14ac:dyDescent="0.25">
      <c r="A221" t="str">
        <v>US Economic</v>
      </c>
      <c r="C221" s="215">
        <v>0</v>
      </c>
      <c r="D221" s="215">
        <v>0</v>
      </c>
      <c r="E221" s="215">
        <v>0</v>
      </c>
      <c r="F221" s="215">
        <v>0</v>
      </c>
      <c r="G221" s="215">
        <v>0</v>
      </c>
      <c r="H221" s="215">
        <v>0</v>
      </c>
      <c r="I221" s="215">
        <v>0</v>
      </c>
      <c r="J221" s="215">
        <v>0</v>
      </c>
      <c r="K221" s="215">
        <v>0</v>
      </c>
      <c r="L221" s="215">
        <v>0</v>
      </c>
      <c r="M221" s="6"/>
      <c r="N221" s="59" t="s">
        <v>134</v>
      </c>
    </row>
    <row r="222" spans="1:17" x14ac:dyDescent="0.25">
      <c r="A222" t="str">
        <v>OT Economic</v>
      </c>
      <c r="C222" s="215">
        <v>0</v>
      </c>
      <c r="D222" s="215">
        <v>0</v>
      </c>
      <c r="E222" s="215">
        <v>0</v>
      </c>
      <c r="F222" s="215">
        <v>0</v>
      </c>
      <c r="G222" s="215">
        <v>0</v>
      </c>
      <c r="H222" s="215">
        <v>0</v>
      </c>
      <c r="I222" s="215">
        <v>0</v>
      </c>
      <c r="J222" s="215">
        <v>0</v>
      </c>
      <c r="K222" s="215">
        <v>0</v>
      </c>
      <c r="L222" s="215">
        <v>0</v>
      </c>
      <c r="M222" s="6"/>
      <c r="N222" s="59" t="s">
        <v>134</v>
      </c>
    </row>
    <row r="223" spans="1:17" x14ac:dyDescent="0.25">
      <c r="A223" t="str">
        <v>EE Economic</v>
      </c>
      <c r="C223" s="215">
        <v>0</v>
      </c>
      <c r="D223" s="215">
        <v>0</v>
      </c>
      <c r="E223" s="215">
        <v>0</v>
      </c>
      <c r="F223" s="215">
        <v>0</v>
      </c>
      <c r="G223" s="215">
        <v>0</v>
      </c>
      <c r="H223" s="215">
        <v>0</v>
      </c>
      <c r="I223" s="215">
        <v>0</v>
      </c>
      <c r="J223" s="215">
        <v>0</v>
      </c>
      <c r="K223" s="215">
        <v>0</v>
      </c>
      <c r="L223" s="215">
        <v>0</v>
      </c>
      <c r="M223" s="6"/>
      <c r="N223" s="59" t="s">
        <v>134</v>
      </c>
    </row>
    <row r="224" spans="1:17" x14ac:dyDescent="0.25">
      <c r="A224" t="str">
        <v>CA Economic</v>
      </c>
      <c r="C224" s="215">
        <v>0</v>
      </c>
      <c r="D224" s="215">
        <v>0</v>
      </c>
      <c r="E224" s="215">
        <v>0</v>
      </c>
      <c r="F224" s="215">
        <v>0</v>
      </c>
      <c r="G224" s="215">
        <v>0</v>
      </c>
      <c r="H224" s="215">
        <v>0</v>
      </c>
      <c r="I224" s="215">
        <v>0</v>
      </c>
      <c r="J224" s="215">
        <v>0</v>
      </c>
      <c r="K224" s="215">
        <v>0</v>
      </c>
      <c r="L224" s="215">
        <v>0</v>
      </c>
      <c r="M224" s="6"/>
      <c r="N224" s="59" t="s">
        <v>134</v>
      </c>
    </row>
    <row r="225" spans="1:17" x14ac:dyDescent="0.25">
      <c r="A225" t="str">
        <v>IA Economic</v>
      </c>
      <c r="C225" s="215">
        <v>0</v>
      </c>
      <c r="D225" s="215">
        <v>0</v>
      </c>
      <c r="E225" s="215">
        <v>0</v>
      </c>
      <c r="F225" s="215">
        <v>0</v>
      </c>
      <c r="G225" s="215">
        <v>0</v>
      </c>
      <c r="H225" s="215">
        <v>0</v>
      </c>
      <c r="I225" s="215">
        <v>0</v>
      </c>
      <c r="J225" s="215">
        <v>0</v>
      </c>
      <c r="K225" s="215">
        <v>0</v>
      </c>
      <c r="L225" s="215">
        <v>0</v>
      </c>
      <c r="M225" s="6"/>
      <c r="N225" s="59" t="s">
        <v>134</v>
      </c>
    </row>
    <row r="226" spans="1:17" x14ac:dyDescent="0.25">
      <c r="A226" t="str">
        <v>AF Economic</v>
      </c>
      <c r="C226" s="215">
        <v>0</v>
      </c>
      <c r="D226" s="215">
        <v>0</v>
      </c>
      <c r="E226" s="215">
        <v>0</v>
      </c>
      <c r="F226" s="215">
        <v>0</v>
      </c>
      <c r="G226" s="215">
        <v>0</v>
      </c>
      <c r="H226" s="215">
        <v>0</v>
      </c>
      <c r="I226" s="215">
        <v>0</v>
      </c>
      <c r="J226" s="215">
        <v>0</v>
      </c>
      <c r="K226" s="215">
        <v>0</v>
      </c>
      <c r="L226" s="215">
        <v>0</v>
      </c>
      <c r="M226" s="6"/>
      <c r="N226" s="59" t="s">
        <v>134</v>
      </c>
    </row>
    <row r="227" spans="1:17" x14ac:dyDescent="0.25">
      <c r="A227" t="str">
        <v>LA Economic</v>
      </c>
      <c r="C227" s="215">
        <v>0</v>
      </c>
      <c r="D227" s="215">
        <v>0</v>
      </c>
      <c r="E227" s="215">
        <v>0</v>
      </c>
      <c r="F227" s="215">
        <v>0</v>
      </c>
      <c r="G227" s="215">
        <v>0</v>
      </c>
      <c r="H227" s="215">
        <v>0</v>
      </c>
      <c r="I227" s="215">
        <v>0</v>
      </c>
      <c r="J227" s="215">
        <v>0</v>
      </c>
      <c r="K227" s="215">
        <v>0</v>
      </c>
      <c r="L227" s="215">
        <v>0</v>
      </c>
      <c r="M227" s="6"/>
      <c r="N227" s="59" t="s">
        <v>134</v>
      </c>
    </row>
    <row r="228" spans="1:17" ht="15" x14ac:dyDescent="0.4">
      <c r="A228" s="2" t="s">
        <v>733</v>
      </c>
      <c r="C228" s="2" t="s">
        <v>734</v>
      </c>
      <c r="D228" s="6"/>
      <c r="E228" s="6"/>
      <c r="F228" s="6"/>
      <c r="G228" s="6"/>
      <c r="H228" s="6"/>
      <c r="I228" s="6"/>
      <c r="J228" s="6"/>
      <c r="K228" s="6"/>
      <c r="L228" s="6"/>
      <c r="M228" s="6"/>
      <c r="N228" s="59"/>
    </row>
    <row r="229" spans="1:17" x14ac:dyDescent="0.25">
      <c r="A229" t="str">
        <f t="array" ref="A229:A236">R_CODE&amp;" "&amp;I_1_NAME</f>
        <v>EU Economic</v>
      </c>
      <c r="C229" s="214">
        <f t="array" ref="C229:L236" ca="1" xml:space="preserve"> IF(ECON_IMPF_SWITCH = 0, iref_1_page, 0) + IF(ECON_IMPF_SWITCH = 1, iref_1_burke, 0)</f>
        <v>-3.8763353024040548E-2</v>
      </c>
      <c r="D229" s="214">
        <f ca="1"/>
        <v>-0.1264928165342738</v>
      </c>
      <c r="E229" s="214">
        <f ca="1"/>
        <v>-0.16808833405486112</v>
      </c>
      <c r="F229" s="214">
        <f ca="1"/>
        <v>-0.18823056241090708</v>
      </c>
      <c r="G229" s="214">
        <f ca="1"/>
        <v>-0.20345574941871281</v>
      </c>
      <c r="H229" s="214">
        <f ca="1"/>
        <v>-0.20293804131796822</v>
      </c>
      <c r="I229" s="214">
        <f ca="1"/>
        <v>-0.18103456152822606</v>
      </c>
      <c r="J229" s="214">
        <f ca="1"/>
        <v>-0.16184378077739314</v>
      </c>
      <c r="K229" s="214">
        <f ca="1"/>
        <v>-0.14785805065078428</v>
      </c>
      <c r="L229" s="214">
        <f ca="1"/>
        <v>-0.13233817525009073</v>
      </c>
      <c r="M229" s="6"/>
      <c r="N229" s="59" t="s">
        <v>134</v>
      </c>
      <c r="P229" s="6"/>
    </row>
    <row r="230" spans="1:17" x14ac:dyDescent="0.25">
      <c r="A230" t="str">
        <v>US Economic</v>
      </c>
      <c r="C230" s="215">
        <f ca="1"/>
        <v>2.7586393680090193E-2</v>
      </c>
      <c r="D230" s="215">
        <f ca="1"/>
        <v>0.12596226443180036</v>
      </c>
      <c r="E230" s="215">
        <f ca="1"/>
        <v>0.20745731150114688</v>
      </c>
      <c r="F230" s="215">
        <f ca="1"/>
        <v>0.26679612635338579</v>
      </c>
      <c r="G230" s="215">
        <f ca="1"/>
        <v>0.3325355530138796</v>
      </c>
      <c r="H230" s="215">
        <f ca="1"/>
        <v>0.32975154966649045</v>
      </c>
      <c r="I230" s="215">
        <f ca="1"/>
        <v>0.24316329920827107</v>
      </c>
      <c r="J230" s="215">
        <f ca="1"/>
        <v>0.19253705607822358</v>
      </c>
      <c r="K230" s="215">
        <f ca="1"/>
        <v>0.16309966114489427</v>
      </c>
      <c r="L230" s="215">
        <f ca="1"/>
        <v>0.13535329800241636</v>
      </c>
      <c r="M230" s="6"/>
      <c r="N230" s="59" t="s">
        <v>134</v>
      </c>
      <c r="P230" s="6"/>
    </row>
    <row r="231" spans="1:17" x14ac:dyDescent="0.25">
      <c r="A231" t="str">
        <v>OT Economic</v>
      </c>
      <c r="C231" s="215">
        <f ca="1"/>
        <v>-1.4083401760789371E-3</v>
      </c>
      <c r="D231" s="215">
        <f ca="1"/>
        <v>1.2914025941879181E-2</v>
      </c>
      <c r="E231" s="215">
        <f ca="1"/>
        <v>3.6685377343637082E-2</v>
      </c>
      <c r="F231" s="215">
        <f ca="1"/>
        <v>5.7881548102667324E-2</v>
      </c>
      <c r="G231" s="215">
        <f ca="1"/>
        <v>8.4081818639170081E-2</v>
      </c>
      <c r="H231" s="215">
        <f ca="1"/>
        <v>8.2923542135970862E-2</v>
      </c>
      <c r="I231" s="215">
        <f ca="1"/>
        <v>4.9123156983210681E-2</v>
      </c>
      <c r="J231" s="215">
        <f ca="1"/>
        <v>3.1808002370836697E-2</v>
      </c>
      <c r="K231" s="215">
        <f ca="1"/>
        <v>2.2823190180776276E-2</v>
      </c>
      <c r="L231" s="215">
        <f ca="1"/>
        <v>1.525017951720109E-2</v>
      </c>
      <c r="M231" s="6"/>
      <c r="N231" s="59" t="s">
        <v>134</v>
      </c>
      <c r="P231" s="6"/>
    </row>
    <row r="232" spans="1:17" x14ac:dyDescent="0.25">
      <c r="A232" t="str">
        <v>EE Economic</v>
      </c>
      <c r="C232" s="215">
        <f ca="1"/>
        <v>-0.12200921298382017</v>
      </c>
      <c r="D232" s="215">
        <f ca="1"/>
        <v>-0.42743723630944697</v>
      </c>
      <c r="E232" s="215">
        <f ca="1"/>
        <v>-0.60059665258316297</v>
      </c>
      <c r="F232" s="215">
        <f ca="1"/>
        <v>-0.70058929100700329</v>
      </c>
      <c r="G232" s="215">
        <f ca="1"/>
        <v>-0.79312296409623784</v>
      </c>
      <c r="H232" s="215">
        <f ca="1"/>
        <v>-0.78953135472783487</v>
      </c>
      <c r="I232" s="215">
        <f ca="1"/>
        <v>-0.66289050593304477</v>
      </c>
      <c r="J232" s="215">
        <f ca="1"/>
        <v>-0.57241901741849066</v>
      </c>
      <c r="K232" s="215">
        <f ca="1"/>
        <v>-0.51254251012249341</v>
      </c>
      <c r="L232" s="215">
        <f ca="1"/>
        <v>-0.45009587425479669</v>
      </c>
      <c r="M232" s="6"/>
      <c r="N232" s="59" t="s">
        <v>134</v>
      </c>
      <c r="P232" s="6"/>
    </row>
    <row r="233" spans="1:17" x14ac:dyDescent="0.25">
      <c r="A233" t="str">
        <v>CA Economic</v>
      </c>
      <c r="C233" s="215">
        <f ca="1"/>
        <v>5.1051063510354489E-2</v>
      </c>
      <c r="D233" s="215">
        <f ca="1"/>
        <v>0.20912692826908774</v>
      </c>
      <c r="E233" s="215">
        <f ca="1"/>
        <v>0.32533425767521384</v>
      </c>
      <c r="F233" s="215">
        <f ca="1"/>
        <v>0.40514148274687356</v>
      </c>
      <c r="G233" s="215">
        <f ca="1"/>
        <v>0.49020171283301606</v>
      </c>
      <c r="H233" s="215">
        <f ca="1"/>
        <v>0.48665958675893073</v>
      </c>
      <c r="I233" s="215">
        <f ca="1"/>
        <v>0.37374783831389813</v>
      </c>
      <c r="J233" s="215">
        <f ca="1"/>
        <v>0.3047085342147704</v>
      </c>
      <c r="K233" s="215">
        <f ca="1"/>
        <v>0.26322520678435657</v>
      </c>
      <c r="L233" s="215">
        <f ca="1"/>
        <v>0.22301681194643042</v>
      </c>
      <c r="M233" s="6"/>
      <c r="N233" s="59" t="s">
        <v>134</v>
      </c>
      <c r="P233" s="6"/>
    </row>
    <row r="234" spans="1:17" x14ac:dyDescent="0.25">
      <c r="A234" t="str">
        <v>IA Economic</v>
      </c>
      <c r="C234" s="215">
        <f ca="1"/>
        <v>0.19638179131337141</v>
      </c>
      <c r="D234" s="215">
        <f ca="1"/>
        <v>0.75101927357178466</v>
      </c>
      <c r="E234" s="215">
        <f ca="1"/>
        <v>1.1209151821175323</v>
      </c>
      <c r="F234" s="215">
        <f ca="1"/>
        <v>1.3610474209180823</v>
      </c>
      <c r="G234" s="215">
        <f ca="1"/>
        <v>1.6066970031338168</v>
      </c>
      <c r="H234" s="215">
        <f ca="1"/>
        <v>1.5966590751004484</v>
      </c>
      <c r="I234" s="215">
        <f ca="1"/>
        <v>1.2677861702119597</v>
      </c>
      <c r="J234" s="215">
        <f ca="1"/>
        <v>1.0571409275593857</v>
      </c>
      <c r="K234" s="215">
        <f ca="1"/>
        <v>0.92652153568358875</v>
      </c>
      <c r="L234" s="215">
        <f ca="1"/>
        <v>0.79667416439095362</v>
      </c>
      <c r="M234" s="6"/>
      <c r="N234" s="59" t="s">
        <v>134</v>
      </c>
      <c r="P234" s="6"/>
    </row>
    <row r="235" spans="1:17" x14ac:dyDescent="0.25">
      <c r="A235" t="str">
        <v>AF Economic</v>
      </c>
      <c r="C235" s="215">
        <f ca="1"/>
        <v>0.18040674499857356</v>
      </c>
      <c r="D235" s="215">
        <f ca="1"/>
        <v>0.696491841626945</v>
      </c>
      <c r="E235" s="215">
        <f ca="1"/>
        <v>1.0457332330947589</v>
      </c>
      <c r="F235" s="215">
        <f ca="1"/>
        <v>1.2744871150494941</v>
      </c>
      <c r="G235" s="215">
        <f ca="1"/>
        <v>1.5100767059642473</v>
      </c>
      <c r="H235" s="215">
        <f ca="1"/>
        <v>1.5004193221794027</v>
      </c>
      <c r="I235" s="215">
        <f ca="1"/>
        <v>1.1854603310411327</v>
      </c>
      <c r="J235" s="215">
        <f ca="1"/>
        <v>0.98524500846071117</v>
      </c>
      <c r="K235" s="215">
        <f ca="1"/>
        <v>0.8617101915250891</v>
      </c>
      <c r="L235" s="215">
        <f ca="1"/>
        <v>0.73938586498727421</v>
      </c>
      <c r="M235" s="6"/>
      <c r="N235" s="59" t="s">
        <v>134</v>
      </c>
      <c r="O235" s="6"/>
      <c r="P235" s="6"/>
    </row>
    <row r="236" spans="1:17" x14ac:dyDescent="0.25">
      <c r="A236" t="str">
        <v>LA Economic</v>
      </c>
      <c r="C236" s="215">
        <f ca="1"/>
        <v>0.14156700732943506</v>
      </c>
      <c r="D236" s="215">
        <f ca="1"/>
        <v>0.54603226880257649</v>
      </c>
      <c r="E236" s="215">
        <f ca="1"/>
        <v>0.81937505920406384</v>
      </c>
      <c r="F236" s="215">
        <f ca="1"/>
        <v>0.99828226024750721</v>
      </c>
      <c r="G236" s="215">
        <f ca="1"/>
        <v>1.1824397023237343</v>
      </c>
      <c r="H236" s="215">
        <f ca="1"/>
        <v>1.174892415043316</v>
      </c>
      <c r="I236" s="215">
        <f ca="1"/>
        <v>0.92866639779196625</v>
      </c>
      <c r="J236" s="215">
        <f ca="1"/>
        <v>0.77205078996284149</v>
      </c>
      <c r="K236" s="215">
        <f ca="1"/>
        <v>0.67537735978147051</v>
      </c>
      <c r="L236" s="215">
        <f ca="1"/>
        <v>0.5796187963787891</v>
      </c>
      <c r="M236" s="6"/>
      <c r="N236" s="59" t="s">
        <v>134</v>
      </c>
      <c r="P236" s="6"/>
    </row>
    <row r="237" spans="1:17" s="2" customFormat="1" ht="15" x14ac:dyDescent="0.4">
      <c r="A237" s="2" t="s">
        <v>221</v>
      </c>
      <c r="C237" s="2" t="s">
        <v>235</v>
      </c>
    </row>
    <row r="238" spans="1:17" ht="13" x14ac:dyDescent="0.3">
      <c r="A238" t="str">
        <f t="array" ref="A238:A245">R_CODE&amp;" "&amp;I_1_NAME</f>
        <v>EU Economic</v>
      </c>
      <c r="C238" s="29">
        <f t="array" ref="C238:L245" ca="1" xml:space="preserve"> iref_1 * ((rgdp_s_per_cap/GDP_PER_CAP_FOCUS_0)^IPOW_1)</f>
        <v>-3.8763353024040548E-2</v>
      </c>
      <c r="D238" s="29">
        <f ca="1"/>
        <v>-0.1264928165342738</v>
      </c>
      <c r="E238" s="29">
        <f ca="1"/>
        <v>-0.16808833405486112</v>
      </c>
      <c r="F238" s="29">
        <f ca="1"/>
        <v>-0.18823056241090708</v>
      </c>
      <c r="G238" s="29">
        <f ca="1"/>
        <v>-0.20345574941871281</v>
      </c>
      <c r="H238" s="29">
        <f ca="1"/>
        <v>-0.20293804131796822</v>
      </c>
      <c r="I238" s="29">
        <f ca="1"/>
        <v>-0.18103456152822606</v>
      </c>
      <c r="J238" s="29">
        <f ca="1"/>
        <v>-0.16184378077739314</v>
      </c>
      <c r="K238" s="29">
        <f ca="1"/>
        <v>-0.14785805065078428</v>
      </c>
      <c r="L238" s="29">
        <f ca="1"/>
        <v>-0.13233817525009073</v>
      </c>
      <c r="M238" s="6"/>
      <c r="N238" s="59" t="s">
        <v>134</v>
      </c>
      <c r="Q238" s="124" t="s">
        <v>728</v>
      </c>
    </row>
    <row r="239" spans="1:17" x14ac:dyDescent="0.25">
      <c r="A239" t="str">
        <v>US Economic</v>
      </c>
      <c r="C239" s="26">
        <f ca="1"/>
        <v>2.7586393680090193E-2</v>
      </c>
      <c r="D239" s="26">
        <f ca="1"/>
        <v>0.12596226443180036</v>
      </c>
      <c r="E239" s="26">
        <f ca="1"/>
        <v>0.20745731150114688</v>
      </c>
      <c r="F239" s="26">
        <f ca="1"/>
        <v>0.26679612635338579</v>
      </c>
      <c r="G239" s="26">
        <f ca="1"/>
        <v>0.3325355530138796</v>
      </c>
      <c r="H239" s="26">
        <f ca="1"/>
        <v>0.32975154966649045</v>
      </c>
      <c r="I239" s="26">
        <f ca="1"/>
        <v>0.24316329920827107</v>
      </c>
      <c r="J239" s="26">
        <f ca="1"/>
        <v>0.19253705607822358</v>
      </c>
      <c r="K239" s="26">
        <f ca="1"/>
        <v>0.16309966114489427</v>
      </c>
      <c r="L239" s="26">
        <f ca="1"/>
        <v>0.13535329800241636</v>
      </c>
      <c r="M239" s="6"/>
      <c r="N239" s="59" t="s">
        <v>134</v>
      </c>
    </row>
    <row r="240" spans="1:17" x14ac:dyDescent="0.25">
      <c r="A240" t="str">
        <v>OT Economic</v>
      </c>
      <c r="C240" s="26">
        <f ca="1"/>
        <v>-1.4083401760789371E-3</v>
      </c>
      <c r="D240" s="26">
        <f ca="1"/>
        <v>1.2914025941879181E-2</v>
      </c>
      <c r="E240" s="26">
        <f ca="1"/>
        <v>3.6685377343637082E-2</v>
      </c>
      <c r="F240" s="26">
        <f ca="1"/>
        <v>5.7881548102667324E-2</v>
      </c>
      <c r="G240" s="26">
        <f ca="1"/>
        <v>8.4081818639170081E-2</v>
      </c>
      <c r="H240" s="26">
        <f ca="1"/>
        <v>8.2923542135970862E-2</v>
      </c>
      <c r="I240" s="26">
        <f ca="1"/>
        <v>4.9123156983210681E-2</v>
      </c>
      <c r="J240" s="26">
        <f ca="1"/>
        <v>3.1808002370836697E-2</v>
      </c>
      <c r="K240" s="26">
        <f ca="1"/>
        <v>2.2823190180776276E-2</v>
      </c>
      <c r="L240" s="26">
        <f ca="1"/>
        <v>1.525017951720109E-2</v>
      </c>
      <c r="M240" s="6"/>
      <c r="N240" s="59" t="s">
        <v>134</v>
      </c>
    </row>
    <row r="241" spans="1:17" x14ac:dyDescent="0.25">
      <c r="A241" t="str">
        <v>EE Economic</v>
      </c>
      <c r="C241" s="26">
        <f ca="1"/>
        <v>-0.12200921298382017</v>
      </c>
      <c r="D241" s="26">
        <f ca="1"/>
        <v>-0.42743723630944697</v>
      </c>
      <c r="E241" s="26">
        <f ca="1"/>
        <v>-0.60059665258316297</v>
      </c>
      <c r="F241" s="26">
        <f ca="1"/>
        <v>-0.70058929100700329</v>
      </c>
      <c r="G241" s="26">
        <f ca="1"/>
        <v>-0.79312296409623784</v>
      </c>
      <c r="H241" s="26">
        <f ca="1"/>
        <v>-0.78953135472783487</v>
      </c>
      <c r="I241" s="26">
        <f ca="1"/>
        <v>-0.66289050593304477</v>
      </c>
      <c r="J241" s="26">
        <f ca="1"/>
        <v>-0.57241901741849066</v>
      </c>
      <c r="K241" s="26">
        <f ca="1"/>
        <v>-0.51254251012249341</v>
      </c>
      <c r="L241" s="26">
        <f ca="1"/>
        <v>-0.45009587425479669</v>
      </c>
      <c r="M241" s="6"/>
      <c r="N241" s="59" t="s">
        <v>134</v>
      </c>
    </row>
    <row r="242" spans="1:17" x14ac:dyDescent="0.25">
      <c r="A242" t="str">
        <v>CA Economic</v>
      </c>
      <c r="C242" s="26">
        <f ca="1"/>
        <v>5.1051063510354489E-2</v>
      </c>
      <c r="D242" s="26">
        <f ca="1"/>
        <v>0.20912692826908774</v>
      </c>
      <c r="E242" s="26">
        <f ca="1"/>
        <v>0.32533425767521384</v>
      </c>
      <c r="F242" s="26">
        <f ca="1"/>
        <v>0.40514148274687356</v>
      </c>
      <c r="G242" s="26">
        <f ca="1"/>
        <v>0.49020171283301606</v>
      </c>
      <c r="H242" s="26">
        <f ca="1"/>
        <v>0.48665958675893073</v>
      </c>
      <c r="I242" s="26">
        <f ca="1"/>
        <v>0.37374783831389813</v>
      </c>
      <c r="J242" s="26">
        <f ca="1"/>
        <v>0.3047085342147704</v>
      </c>
      <c r="K242" s="26">
        <f ca="1"/>
        <v>0.26322520678435657</v>
      </c>
      <c r="L242" s="26">
        <f ca="1"/>
        <v>0.22301681194643042</v>
      </c>
      <c r="M242" s="6"/>
      <c r="N242" s="59" t="s">
        <v>134</v>
      </c>
    </row>
    <row r="243" spans="1:17" x14ac:dyDescent="0.25">
      <c r="A243" t="str">
        <v>IA Economic</v>
      </c>
      <c r="C243" s="26">
        <f ca="1"/>
        <v>0.19638179131337141</v>
      </c>
      <c r="D243" s="26">
        <f ca="1"/>
        <v>0.75101927357178466</v>
      </c>
      <c r="E243" s="26">
        <f ca="1"/>
        <v>1.1209151821175323</v>
      </c>
      <c r="F243" s="26">
        <f ca="1"/>
        <v>1.3610474209180823</v>
      </c>
      <c r="G243" s="26">
        <f ca="1"/>
        <v>1.6066970031338168</v>
      </c>
      <c r="H243" s="26">
        <f ca="1"/>
        <v>1.5966590751004484</v>
      </c>
      <c r="I243" s="26">
        <f ca="1"/>
        <v>1.2677861702119597</v>
      </c>
      <c r="J243" s="26">
        <f ca="1"/>
        <v>1.0571409275593857</v>
      </c>
      <c r="K243" s="26">
        <f ca="1"/>
        <v>0.92652153568358875</v>
      </c>
      <c r="L243" s="26">
        <f ca="1"/>
        <v>0.79667416439095362</v>
      </c>
      <c r="M243" s="6"/>
      <c r="N243" s="59" t="s">
        <v>134</v>
      </c>
    </row>
    <row r="244" spans="1:17" x14ac:dyDescent="0.25">
      <c r="A244" t="str">
        <v>AF Economic</v>
      </c>
      <c r="C244" s="26">
        <f ca="1"/>
        <v>0.18040674499857356</v>
      </c>
      <c r="D244" s="26">
        <f ca="1"/>
        <v>0.696491841626945</v>
      </c>
      <c r="E244" s="26">
        <f ca="1"/>
        <v>1.0457332330947589</v>
      </c>
      <c r="F244" s="26">
        <f ca="1"/>
        <v>1.2744871150494941</v>
      </c>
      <c r="G244" s="26">
        <f ca="1"/>
        <v>1.5100767059642473</v>
      </c>
      <c r="H244" s="26">
        <f ca="1"/>
        <v>1.5004193221794027</v>
      </c>
      <c r="I244" s="26">
        <f ca="1"/>
        <v>1.1854603310411327</v>
      </c>
      <c r="J244" s="26">
        <f ca="1"/>
        <v>0.98524500846071117</v>
      </c>
      <c r="K244" s="26">
        <f ca="1"/>
        <v>0.8617101915250891</v>
      </c>
      <c r="L244" s="26">
        <f ca="1"/>
        <v>0.73938586498727421</v>
      </c>
      <c r="M244" s="6"/>
      <c r="N244" s="59" t="s">
        <v>134</v>
      </c>
      <c r="O244" s="6"/>
    </row>
    <row r="245" spans="1:17" x14ac:dyDescent="0.25">
      <c r="A245" t="str">
        <v>LA Economic</v>
      </c>
      <c r="C245" s="26">
        <f ca="1"/>
        <v>0.14156700732943506</v>
      </c>
      <c r="D245" s="26">
        <f ca="1"/>
        <v>0.54603226880257649</v>
      </c>
      <c r="E245" s="26">
        <f ca="1"/>
        <v>0.81937505920406384</v>
      </c>
      <c r="F245" s="26">
        <f ca="1"/>
        <v>0.99828226024750721</v>
      </c>
      <c r="G245" s="26">
        <f ca="1"/>
        <v>1.1824397023237343</v>
      </c>
      <c r="H245" s="26">
        <f ca="1"/>
        <v>1.174892415043316</v>
      </c>
      <c r="I245" s="26">
        <f ca="1"/>
        <v>0.92866639779196625</v>
      </c>
      <c r="J245" s="26">
        <f ca="1"/>
        <v>0.77205078996284149</v>
      </c>
      <c r="K245" s="26">
        <f ca="1"/>
        <v>0.67537735978147051</v>
      </c>
      <c r="L245" s="26">
        <f ca="1"/>
        <v>0.5796187963787891</v>
      </c>
      <c r="M245" s="6"/>
      <c r="N245" s="59" t="s">
        <v>134</v>
      </c>
    </row>
    <row r="246" spans="1:17" s="2" customFormat="1" ht="15" x14ac:dyDescent="0.4">
      <c r="A246" s="2" t="s">
        <v>225</v>
      </c>
      <c r="C246" s="2" t="s">
        <v>236</v>
      </c>
    </row>
    <row r="247" spans="1:17" ht="13" x14ac:dyDescent="0.3">
      <c r="A247" t="str">
        <f t="array" ref="A247:A254">R_CODE&amp;" "&amp;I_1_NAME</f>
        <v>EU Economic</v>
      </c>
      <c r="C247" s="29">
        <f t="array" ref="C247:L254" ca="1">IF(igdp_1&lt;ISATG,igdp_1,ISATG+(100-SAVE-ISATG)*((igdp_1-ISATG)/((100-SAVE-ISATG)+(igdp_1-ISATG))))</f>
        <v>-3.8763353024040548E-2</v>
      </c>
      <c r="D247" s="29">
        <f ca="1"/>
        <v>-0.1264928165342738</v>
      </c>
      <c r="E247" s="29">
        <f ca="1"/>
        <v>-0.16808833405486112</v>
      </c>
      <c r="F247" s="29">
        <f ca="1"/>
        <v>-0.18823056241090708</v>
      </c>
      <c r="G247" s="29">
        <f ca="1"/>
        <v>-0.20345574941871281</v>
      </c>
      <c r="H247" s="29">
        <f ca="1"/>
        <v>-0.20293804131796822</v>
      </c>
      <c r="I247" s="29">
        <f ca="1"/>
        <v>-0.18103456152822606</v>
      </c>
      <c r="J247" s="29">
        <f ca="1"/>
        <v>-0.16184378077739314</v>
      </c>
      <c r="K247" s="29">
        <f ca="1"/>
        <v>-0.14785805065078428</v>
      </c>
      <c r="L247" s="29">
        <f ca="1"/>
        <v>-0.13233817525009073</v>
      </c>
      <c r="M247" s="6"/>
      <c r="N247" s="59" t="s">
        <v>134</v>
      </c>
      <c r="Q247" s="124" t="s">
        <v>724</v>
      </c>
    </row>
    <row r="248" spans="1:17" x14ac:dyDescent="0.25">
      <c r="A248" t="str">
        <v>US Economic</v>
      </c>
      <c r="C248" s="26">
        <f ca="1"/>
        <v>2.7586393680090193E-2</v>
      </c>
      <c r="D248" s="26">
        <f ca="1"/>
        <v>0.12596226443180036</v>
      </c>
      <c r="E248" s="26">
        <f ca="1"/>
        <v>0.20745731150114688</v>
      </c>
      <c r="F248" s="26">
        <f ca="1"/>
        <v>0.26679612635338579</v>
      </c>
      <c r="G248" s="26">
        <f ca="1"/>
        <v>0.3325355530138796</v>
      </c>
      <c r="H248" s="26">
        <f ca="1"/>
        <v>0.32975154966649045</v>
      </c>
      <c r="I248" s="26">
        <f ca="1"/>
        <v>0.24316329920827107</v>
      </c>
      <c r="J248" s="26">
        <f ca="1"/>
        <v>0.19253705607822358</v>
      </c>
      <c r="K248" s="26">
        <f ca="1"/>
        <v>0.16309966114489427</v>
      </c>
      <c r="L248" s="26">
        <f ca="1"/>
        <v>0.13535329800241636</v>
      </c>
      <c r="M248" s="6"/>
      <c r="N248" s="59" t="s">
        <v>134</v>
      </c>
    </row>
    <row r="249" spans="1:17" x14ac:dyDescent="0.25">
      <c r="A249" t="str">
        <v>OT Economic</v>
      </c>
      <c r="C249" s="26">
        <f ca="1"/>
        <v>-1.4083401760789371E-3</v>
      </c>
      <c r="D249" s="26">
        <f ca="1"/>
        <v>1.2914025941879181E-2</v>
      </c>
      <c r="E249" s="26">
        <f ca="1"/>
        <v>3.6685377343637082E-2</v>
      </c>
      <c r="F249" s="26">
        <f ca="1"/>
        <v>5.7881548102667324E-2</v>
      </c>
      <c r="G249" s="26">
        <f ca="1"/>
        <v>8.4081818639170081E-2</v>
      </c>
      <c r="H249" s="26">
        <f ca="1"/>
        <v>8.2923542135970862E-2</v>
      </c>
      <c r="I249" s="26">
        <f ca="1"/>
        <v>4.9123156983210681E-2</v>
      </c>
      <c r="J249" s="26">
        <f ca="1"/>
        <v>3.1808002370836697E-2</v>
      </c>
      <c r="K249" s="26">
        <f ca="1"/>
        <v>2.2823190180776276E-2</v>
      </c>
      <c r="L249" s="26">
        <f ca="1"/>
        <v>1.525017951720109E-2</v>
      </c>
      <c r="M249" s="6"/>
      <c r="N249" s="59" t="s">
        <v>134</v>
      </c>
    </row>
    <row r="250" spans="1:17" x14ac:dyDescent="0.25">
      <c r="A250" t="str">
        <v>EE Economic</v>
      </c>
      <c r="C250" s="26">
        <f ca="1"/>
        <v>-0.12200921298382017</v>
      </c>
      <c r="D250" s="26">
        <f ca="1"/>
        <v>-0.42743723630944697</v>
      </c>
      <c r="E250" s="26">
        <f ca="1"/>
        <v>-0.60059665258316297</v>
      </c>
      <c r="F250" s="26">
        <f ca="1"/>
        <v>-0.70058929100700329</v>
      </c>
      <c r="G250" s="26">
        <f ca="1"/>
        <v>-0.79312296409623784</v>
      </c>
      <c r="H250" s="26">
        <f ca="1"/>
        <v>-0.78953135472783487</v>
      </c>
      <c r="I250" s="26">
        <f ca="1"/>
        <v>-0.66289050593304477</v>
      </c>
      <c r="J250" s="26">
        <f ca="1"/>
        <v>-0.57241901741849066</v>
      </c>
      <c r="K250" s="26">
        <f ca="1"/>
        <v>-0.51254251012249341</v>
      </c>
      <c r="L250" s="26">
        <f ca="1"/>
        <v>-0.45009587425479669</v>
      </c>
      <c r="M250" s="6"/>
      <c r="N250" s="59" t="s">
        <v>134</v>
      </c>
    </row>
    <row r="251" spans="1:17" x14ac:dyDescent="0.25">
      <c r="A251" t="str">
        <v>CA Economic</v>
      </c>
      <c r="C251" s="26">
        <f ca="1"/>
        <v>5.1051063510354489E-2</v>
      </c>
      <c r="D251" s="26">
        <f ca="1"/>
        <v>0.20912692826908774</v>
      </c>
      <c r="E251" s="26">
        <f ca="1"/>
        <v>0.32533425767521384</v>
      </c>
      <c r="F251" s="26">
        <f ca="1"/>
        <v>0.40514148274687356</v>
      </c>
      <c r="G251" s="26">
        <f ca="1"/>
        <v>0.49020171283301606</v>
      </c>
      <c r="H251" s="26">
        <f ca="1"/>
        <v>0.48665958675893073</v>
      </c>
      <c r="I251" s="26">
        <f ca="1"/>
        <v>0.37374783831389813</v>
      </c>
      <c r="J251" s="26">
        <f ca="1"/>
        <v>0.3047085342147704</v>
      </c>
      <c r="K251" s="26">
        <f ca="1"/>
        <v>0.26322520678435657</v>
      </c>
      <c r="L251" s="26">
        <f ca="1"/>
        <v>0.22301681194643042</v>
      </c>
      <c r="M251" s="6"/>
      <c r="N251" s="59" t="s">
        <v>134</v>
      </c>
    </row>
    <row r="252" spans="1:17" x14ac:dyDescent="0.25">
      <c r="A252" t="str">
        <v>IA Economic</v>
      </c>
      <c r="C252" s="26">
        <f ca="1"/>
        <v>0.19638179131337141</v>
      </c>
      <c r="D252" s="26">
        <f ca="1"/>
        <v>0.75101927357178466</v>
      </c>
      <c r="E252" s="26">
        <f ca="1"/>
        <v>1.1209151821175323</v>
      </c>
      <c r="F252" s="26">
        <f ca="1"/>
        <v>1.3610474209180823</v>
      </c>
      <c r="G252" s="26">
        <f ca="1"/>
        <v>1.6066970031338168</v>
      </c>
      <c r="H252" s="26">
        <f ca="1"/>
        <v>1.5966590751004484</v>
      </c>
      <c r="I252" s="26">
        <f ca="1"/>
        <v>1.2677861702119597</v>
      </c>
      <c r="J252" s="26">
        <f ca="1"/>
        <v>1.0571409275593857</v>
      </c>
      <c r="K252" s="26">
        <f ca="1"/>
        <v>0.92652153568358875</v>
      </c>
      <c r="L252" s="26">
        <f ca="1"/>
        <v>0.79667416439095362</v>
      </c>
      <c r="M252" s="6"/>
      <c r="N252" s="59" t="s">
        <v>134</v>
      </c>
    </row>
    <row r="253" spans="1:17" x14ac:dyDescent="0.25">
      <c r="A253" t="str">
        <v>AF Economic</v>
      </c>
      <c r="C253" s="26">
        <f ca="1"/>
        <v>0.18040674499857356</v>
      </c>
      <c r="D253" s="26">
        <f ca="1"/>
        <v>0.696491841626945</v>
      </c>
      <c r="E253" s="26">
        <f ca="1"/>
        <v>1.0457332330947589</v>
      </c>
      <c r="F253" s="26">
        <f ca="1"/>
        <v>1.2744871150494941</v>
      </c>
      <c r="G253" s="26">
        <f ca="1"/>
        <v>1.5100767059642473</v>
      </c>
      <c r="H253" s="26">
        <f ca="1"/>
        <v>1.5004193221794027</v>
      </c>
      <c r="I253" s="26">
        <f ca="1"/>
        <v>1.1854603310411327</v>
      </c>
      <c r="J253" s="26">
        <f ca="1"/>
        <v>0.98524500846071117</v>
      </c>
      <c r="K253" s="26">
        <f ca="1"/>
        <v>0.8617101915250891</v>
      </c>
      <c r="L253" s="26">
        <f ca="1"/>
        <v>0.73938586498727421</v>
      </c>
      <c r="M253" s="6"/>
      <c r="N253" s="59" t="s">
        <v>134</v>
      </c>
      <c r="O253" s="6"/>
    </row>
    <row r="254" spans="1:17" x14ac:dyDescent="0.25">
      <c r="A254" t="str">
        <v>LA Economic</v>
      </c>
      <c r="C254" s="26">
        <f ca="1"/>
        <v>0.14156700732943506</v>
      </c>
      <c r="D254" s="26">
        <f ca="1"/>
        <v>0.54603226880257649</v>
      </c>
      <c r="E254" s="26">
        <f ca="1"/>
        <v>0.81937505920406384</v>
      </c>
      <c r="F254" s="26">
        <f ca="1"/>
        <v>0.99828226024750721</v>
      </c>
      <c r="G254" s="26">
        <f ca="1"/>
        <v>1.1824397023237343</v>
      </c>
      <c r="H254" s="26">
        <f ca="1"/>
        <v>1.174892415043316</v>
      </c>
      <c r="I254" s="26">
        <f ca="1"/>
        <v>0.92866639779196625</v>
      </c>
      <c r="J254" s="26">
        <f ca="1"/>
        <v>0.77205078996284149</v>
      </c>
      <c r="K254" s="26">
        <f ca="1"/>
        <v>0.67537735978147051</v>
      </c>
      <c r="L254" s="26">
        <f ca="1"/>
        <v>0.5796187963787891</v>
      </c>
      <c r="M254" s="6"/>
      <c r="N254" s="59" t="s">
        <v>134</v>
      </c>
    </row>
    <row r="255" spans="1:17" ht="15" x14ac:dyDescent="0.4">
      <c r="A255" s="2" t="s">
        <v>721</v>
      </c>
      <c r="C255" s="2" t="s">
        <v>723</v>
      </c>
      <c r="D255" s="6"/>
      <c r="E255" s="6"/>
      <c r="F255" s="6"/>
      <c r="G255" s="6"/>
      <c r="H255" s="6"/>
      <c r="I255" s="6"/>
      <c r="J255" s="6"/>
      <c r="K255" s="6"/>
      <c r="L255" s="6"/>
      <c r="M255" s="6"/>
      <c r="N255" s="59"/>
    </row>
    <row r="256" spans="1:17" ht="13" x14ac:dyDescent="0.3">
      <c r="A256" t="str">
        <f t="array" ref="A256:A263">R_CODE&amp;" "&amp;I_1_NAME</f>
        <v>EU Economic</v>
      </c>
      <c r="C256" s="215">
        <f t="array" ref="C256:L263" ca="1" xml:space="preserve"> isat_1 * (1 - (imp_1/100)*IF(i_1&lt;impmax_1_a, 1, impmax_1_a/i_1))</f>
        <v>-3.8763353024040548E-2</v>
      </c>
      <c r="D256" s="215">
        <f ca="1"/>
        <v>-0.1264928165342738</v>
      </c>
      <c r="E256" s="215">
        <f ca="1"/>
        <v>-0.16808833405486112</v>
      </c>
      <c r="F256" s="215">
        <f ca="1"/>
        <v>-0.18823056241090708</v>
      </c>
      <c r="G256" s="215">
        <f ca="1"/>
        <v>-0.20345574941871281</v>
      </c>
      <c r="H256" s="215">
        <f ca="1"/>
        <v>-0.20293804131796822</v>
      </c>
      <c r="I256" s="215">
        <f ca="1"/>
        <v>-0.18103456152822606</v>
      </c>
      <c r="J256" s="215">
        <f ca="1"/>
        <v>-0.16184378077739314</v>
      </c>
      <c r="K256" s="215">
        <f ca="1"/>
        <v>-0.14785805065078428</v>
      </c>
      <c r="L256" s="215">
        <f ca="1"/>
        <v>-0.13233817525009073</v>
      </c>
      <c r="M256" s="6"/>
      <c r="N256" s="59" t="s">
        <v>134</v>
      </c>
      <c r="Q256" s="124" t="s">
        <v>724</v>
      </c>
    </row>
    <row r="257" spans="1:15" x14ac:dyDescent="0.25">
      <c r="A257" t="str">
        <v>US Economic</v>
      </c>
      <c r="C257" s="215">
        <f ca="1"/>
        <v>2.7586393680090193E-2</v>
      </c>
      <c r="D257" s="215">
        <f ca="1"/>
        <v>0.12596226443180036</v>
      </c>
      <c r="E257" s="215">
        <f ca="1"/>
        <v>0.20745731150114688</v>
      </c>
      <c r="F257" s="215">
        <f ca="1"/>
        <v>0.26679612635338579</v>
      </c>
      <c r="G257" s="215">
        <f ca="1"/>
        <v>0.3325355530138796</v>
      </c>
      <c r="H257" s="215">
        <f ca="1"/>
        <v>0.32975154966649045</v>
      </c>
      <c r="I257" s="215">
        <f ca="1"/>
        <v>0.24316329920827107</v>
      </c>
      <c r="J257" s="215">
        <f ca="1"/>
        <v>0.19253705607822358</v>
      </c>
      <c r="K257" s="215">
        <f ca="1"/>
        <v>0.16309966114489427</v>
      </c>
      <c r="L257" s="215">
        <f ca="1"/>
        <v>0.13535329800241636</v>
      </c>
      <c r="M257" s="6"/>
      <c r="N257" s="59" t="s">
        <v>134</v>
      </c>
    </row>
    <row r="258" spans="1:15" x14ac:dyDescent="0.25">
      <c r="A258" t="str">
        <v>OT Economic</v>
      </c>
      <c r="C258" s="215">
        <f ca="1"/>
        <v>-1.4083401760789371E-3</v>
      </c>
      <c r="D258" s="215">
        <f ca="1"/>
        <v>1.2914025941879181E-2</v>
      </c>
      <c r="E258" s="215">
        <f ca="1"/>
        <v>3.6685377343637082E-2</v>
      </c>
      <c r="F258" s="215">
        <f ca="1"/>
        <v>5.7881548102667324E-2</v>
      </c>
      <c r="G258" s="215">
        <f ca="1"/>
        <v>8.4081818639170081E-2</v>
      </c>
      <c r="H258" s="215">
        <f ca="1"/>
        <v>8.2923542135970862E-2</v>
      </c>
      <c r="I258" s="215">
        <f ca="1"/>
        <v>4.9123156983210681E-2</v>
      </c>
      <c r="J258" s="215">
        <f ca="1"/>
        <v>3.1808002370836697E-2</v>
      </c>
      <c r="K258" s="215">
        <f ca="1"/>
        <v>2.2823190180776276E-2</v>
      </c>
      <c r="L258" s="215">
        <f ca="1"/>
        <v>1.525017951720109E-2</v>
      </c>
      <c r="M258" s="6"/>
      <c r="N258" s="59" t="s">
        <v>134</v>
      </c>
    </row>
    <row r="259" spans="1:15" x14ac:dyDescent="0.25">
      <c r="A259" t="str">
        <v>EE Economic</v>
      </c>
      <c r="C259" s="215">
        <f ca="1"/>
        <v>-0.12200921298382017</v>
      </c>
      <c r="D259" s="215">
        <f ca="1"/>
        <v>-0.42743723630944697</v>
      </c>
      <c r="E259" s="215">
        <f ca="1"/>
        <v>-0.60059665258316297</v>
      </c>
      <c r="F259" s="215">
        <f ca="1"/>
        <v>-0.70058929100700329</v>
      </c>
      <c r="G259" s="215">
        <f ca="1"/>
        <v>-0.79312296409623784</v>
      </c>
      <c r="H259" s="215">
        <f ca="1"/>
        <v>-0.78953135472783487</v>
      </c>
      <c r="I259" s="215">
        <f ca="1"/>
        <v>-0.66289050593304477</v>
      </c>
      <c r="J259" s="215">
        <f ca="1"/>
        <v>-0.57241901741849066</v>
      </c>
      <c r="K259" s="215">
        <f ca="1"/>
        <v>-0.51254251012249341</v>
      </c>
      <c r="L259" s="215">
        <f ca="1"/>
        <v>-0.45009587425479669</v>
      </c>
      <c r="M259" s="6"/>
      <c r="N259" s="59" t="s">
        <v>134</v>
      </c>
    </row>
    <row r="260" spans="1:15" x14ac:dyDescent="0.25">
      <c r="A260" t="str">
        <v>CA Economic</v>
      </c>
      <c r="C260" s="215">
        <f ca="1"/>
        <v>5.1051063510354489E-2</v>
      </c>
      <c r="D260" s="215">
        <f ca="1"/>
        <v>0.20912692826908774</v>
      </c>
      <c r="E260" s="215">
        <f ca="1"/>
        <v>0.32533425767521384</v>
      </c>
      <c r="F260" s="215">
        <f ca="1"/>
        <v>0.40514148274687356</v>
      </c>
      <c r="G260" s="215">
        <f ca="1"/>
        <v>0.49020171283301606</v>
      </c>
      <c r="H260" s="215">
        <f ca="1"/>
        <v>0.48665958675893073</v>
      </c>
      <c r="I260" s="215">
        <f ca="1"/>
        <v>0.37374783831389813</v>
      </c>
      <c r="J260" s="215">
        <f ca="1"/>
        <v>0.3047085342147704</v>
      </c>
      <c r="K260" s="215">
        <f ca="1"/>
        <v>0.26322520678435657</v>
      </c>
      <c r="L260" s="215">
        <f ca="1"/>
        <v>0.22301681194643042</v>
      </c>
      <c r="M260" s="6"/>
      <c r="N260" s="59" t="s">
        <v>134</v>
      </c>
    </row>
    <row r="261" spans="1:15" x14ac:dyDescent="0.25">
      <c r="A261" t="str">
        <v>IA Economic</v>
      </c>
      <c r="C261" s="215">
        <f ca="1"/>
        <v>0.19638179131337141</v>
      </c>
      <c r="D261" s="215">
        <f ca="1"/>
        <v>0.75101927357178466</v>
      </c>
      <c r="E261" s="215">
        <f ca="1"/>
        <v>1.1209151821175323</v>
      </c>
      <c r="F261" s="215">
        <f ca="1"/>
        <v>1.3610474209180823</v>
      </c>
      <c r="G261" s="215">
        <f ca="1"/>
        <v>1.6066970031338168</v>
      </c>
      <c r="H261" s="215">
        <f ca="1"/>
        <v>1.5966590751004484</v>
      </c>
      <c r="I261" s="215">
        <f ca="1"/>
        <v>1.2677861702119597</v>
      </c>
      <c r="J261" s="215">
        <f ca="1"/>
        <v>1.0571409275593857</v>
      </c>
      <c r="K261" s="215">
        <f ca="1"/>
        <v>0.92652153568358875</v>
      </c>
      <c r="L261" s="215">
        <f ca="1"/>
        <v>0.79667416439095362</v>
      </c>
      <c r="M261" s="6"/>
      <c r="N261" s="59" t="s">
        <v>134</v>
      </c>
    </row>
    <row r="262" spans="1:15" x14ac:dyDescent="0.25">
      <c r="A262" t="str">
        <v>AF Economic</v>
      </c>
      <c r="C262" s="215">
        <f ca="1"/>
        <v>0.18040674499857356</v>
      </c>
      <c r="D262" s="215">
        <f ca="1"/>
        <v>0.696491841626945</v>
      </c>
      <c r="E262" s="215">
        <f ca="1"/>
        <v>1.0457332330947589</v>
      </c>
      <c r="F262" s="215">
        <f ca="1"/>
        <v>1.2744871150494941</v>
      </c>
      <c r="G262" s="215">
        <f ca="1"/>
        <v>1.5100767059642473</v>
      </c>
      <c r="H262" s="215">
        <f ca="1"/>
        <v>1.5004193221794027</v>
      </c>
      <c r="I262" s="215">
        <f ca="1"/>
        <v>1.1854603310411327</v>
      </c>
      <c r="J262" s="215">
        <f ca="1"/>
        <v>0.98524500846071117</v>
      </c>
      <c r="K262" s="215">
        <f ca="1"/>
        <v>0.8617101915250891</v>
      </c>
      <c r="L262" s="215">
        <f ca="1"/>
        <v>0.73938586498727421</v>
      </c>
      <c r="M262" s="6"/>
      <c r="N262" s="59" t="s">
        <v>134</v>
      </c>
      <c r="O262" s="6"/>
    </row>
    <row r="263" spans="1:15" x14ac:dyDescent="0.25">
      <c r="A263" t="str">
        <v>LA Economic</v>
      </c>
      <c r="C263" s="215">
        <f ca="1"/>
        <v>0.14156700732943506</v>
      </c>
      <c r="D263" s="215">
        <f ca="1"/>
        <v>0.54603226880257649</v>
      </c>
      <c r="E263" s="215">
        <f ca="1"/>
        <v>0.81937505920406384</v>
      </c>
      <c r="F263" s="215">
        <f ca="1"/>
        <v>0.99828226024750721</v>
      </c>
      <c r="G263" s="215">
        <f ca="1"/>
        <v>1.1824397023237343</v>
      </c>
      <c r="H263" s="215">
        <f ca="1"/>
        <v>1.174892415043316</v>
      </c>
      <c r="I263" s="215">
        <f ca="1"/>
        <v>0.92866639779196625</v>
      </c>
      <c r="J263" s="215">
        <f ca="1"/>
        <v>0.77205078996284149</v>
      </c>
      <c r="K263" s="215">
        <f ca="1"/>
        <v>0.67537735978147051</v>
      </c>
      <c r="L263" s="215">
        <f ca="1"/>
        <v>0.5796187963787891</v>
      </c>
      <c r="M263" s="6"/>
      <c r="N263" s="59" t="s">
        <v>134</v>
      </c>
    </row>
    <row r="264" spans="1:15" s="2" customFormat="1" ht="15" x14ac:dyDescent="0.4">
      <c r="A264" s="2" t="s">
        <v>722</v>
      </c>
      <c r="C264" s="2" t="s">
        <v>729</v>
      </c>
    </row>
    <row r="265" spans="1:15" x14ac:dyDescent="0.25">
      <c r="A265" t="str">
        <f t="array" ref="A265:A272">R_CODE&amp;" "&amp;I_1_NAME</f>
        <v>EU Economic</v>
      </c>
      <c r="C265" s="29">
        <f t="array" ref="C265:L272" ca="1">(isatad_1/100)*rgdp_s_per_cap</f>
        <v>-14.225468054454858</v>
      </c>
      <c r="D265" s="29">
        <f ca="1"/>
        <v>-53.323087780599508</v>
      </c>
      <c r="E265" s="29">
        <f ca="1"/>
        <v>-82.894406802670062</v>
      </c>
      <c r="F265" s="29">
        <f ca="1"/>
        <v>-109.1730797795431</v>
      </c>
      <c r="G265" s="29">
        <f ca="1"/>
        <v>-180.6544603789167</v>
      </c>
      <c r="H265" s="29">
        <f ca="1"/>
        <v>-275.70416759142677</v>
      </c>
      <c r="I265" s="29">
        <f ca="1"/>
        <v>-471.56611597080246</v>
      </c>
      <c r="J265" s="29">
        <f ca="1"/>
        <v>-719.22171327277658</v>
      </c>
      <c r="K265" s="29">
        <f ca="1"/>
        <v>-1020.3189416136343</v>
      </c>
      <c r="L265" s="29">
        <f ca="1"/>
        <v>-1312.4228231555785</v>
      </c>
      <c r="M265" s="6"/>
      <c r="N265" s="1" t="str">
        <f t="shared" ref="N265:N272" si="6">CURRENCY_NAME&amp;"/"&amp;POP_UNIT_NAME</f>
        <v>$M(2015)/million</v>
      </c>
      <c r="O265" s="1"/>
    </row>
    <row r="266" spans="1:15" x14ac:dyDescent="0.25">
      <c r="A266" t="str">
        <v>US Economic</v>
      </c>
      <c r="C266" s="26">
        <f ca="1"/>
        <v>15.971822224525345</v>
      </c>
      <c r="D266" s="26">
        <f ca="1"/>
        <v>83.295312741844043</v>
      </c>
      <c r="E266" s="26">
        <f ca="1"/>
        <v>152.13802554341257</v>
      </c>
      <c r="F266" s="26">
        <f ca="1"/>
        <v>217.25195896713814</v>
      </c>
      <c r="G266" s="26">
        <f ca="1"/>
        <v>362.3805911465015</v>
      </c>
      <c r="H266" s="26">
        <f ca="1"/>
        <v>509.35839893464743</v>
      </c>
      <c r="I266" s="26">
        <f ca="1"/>
        <v>759.98999512263345</v>
      </c>
      <c r="J266" s="26">
        <f ca="1"/>
        <v>1130.4197505478244</v>
      </c>
      <c r="K266" s="26">
        <f ca="1"/>
        <v>1687.2050549965152</v>
      </c>
      <c r="L266" s="26">
        <f ca="1"/>
        <v>2329.5921551454289</v>
      </c>
      <c r="M266" s="6"/>
      <c r="N266" s="1" t="str">
        <f t="shared" si="6"/>
        <v>$M(2015)/million</v>
      </c>
      <c r="O266" s="1"/>
    </row>
    <row r="267" spans="1:15" x14ac:dyDescent="0.25">
      <c r="A267" t="str">
        <v>OT Economic</v>
      </c>
      <c r="C267" s="26">
        <f ca="1"/>
        <v>-0.52148910857660824</v>
      </c>
      <c r="D267" s="26">
        <f ca="1"/>
        <v>5.6444662280687909</v>
      </c>
      <c r="E267" s="26">
        <f ca="1"/>
        <v>18.71315931941912</v>
      </c>
      <c r="F267" s="26">
        <f ca="1"/>
        <v>34.626507969479967</v>
      </c>
      <c r="G267" s="26">
        <f ca="1"/>
        <v>76.687792143711548</v>
      </c>
      <c r="H267" s="26">
        <f ca="1"/>
        <v>115.47393445553875</v>
      </c>
      <c r="I267" s="26">
        <f ca="1"/>
        <v>110.05441734648676</v>
      </c>
      <c r="J267" s="26">
        <f ca="1"/>
        <v>96.191635020072098</v>
      </c>
      <c r="K267" s="26">
        <f ca="1"/>
        <v>83.480530890562108</v>
      </c>
      <c r="L267" s="26">
        <f ca="1"/>
        <v>62.935465531418657</v>
      </c>
      <c r="M267" s="6"/>
      <c r="N267" s="1" t="str">
        <f t="shared" si="6"/>
        <v>$M(2015)/million</v>
      </c>
      <c r="O267" s="1"/>
    </row>
    <row r="268" spans="1:15" x14ac:dyDescent="0.25">
      <c r="A268" t="str">
        <v>EE Economic</v>
      </c>
      <c r="C268" s="26">
        <f ca="1"/>
        <v>-20.183976716908376</v>
      </c>
      <c r="D268" s="26">
        <f ca="1"/>
        <v>-104.55099926913891</v>
      </c>
      <c r="E268" s="26">
        <f ca="1"/>
        <v>-200.74510431364453</v>
      </c>
      <c r="F268" s="26">
        <f ca="1"/>
        <v>-290.16682403923534</v>
      </c>
      <c r="G268" s="26">
        <f ca="1"/>
        <v>-521.91973864495287</v>
      </c>
      <c r="H268" s="26">
        <f ca="1"/>
        <v>-780.17915746430776</v>
      </c>
      <c r="I268" s="26">
        <f ca="1"/>
        <v>-911.4559777211166</v>
      </c>
      <c r="J268" s="26">
        <f ca="1"/>
        <v>-907.30693221406943</v>
      </c>
      <c r="K268" s="26">
        <f ca="1"/>
        <v>-864.12313791631993</v>
      </c>
      <c r="L268" s="26">
        <f ca="1"/>
        <v>-779.47375884539588</v>
      </c>
      <c r="M268" s="6"/>
      <c r="N268" s="1" t="str">
        <f t="shared" si="6"/>
        <v>$M(2015)/million</v>
      </c>
      <c r="O268" s="1"/>
    </row>
    <row r="269" spans="1:15" x14ac:dyDescent="0.25">
      <c r="A269" t="str">
        <v>CA Economic</v>
      </c>
      <c r="C269" s="26">
        <f ca="1"/>
        <v>7.4540275888702983</v>
      </c>
      <c r="D269" s="26">
        <f ca="1"/>
        <v>56.965517797014108</v>
      </c>
      <c r="E269" s="26">
        <f ca="1"/>
        <v>134.27487505665397</v>
      </c>
      <c r="F269" s="26">
        <f ca="1"/>
        <v>223.58130420034223</v>
      </c>
      <c r="G269" s="26">
        <f ca="1"/>
        <v>416.20202747527969</v>
      </c>
      <c r="H269" s="26">
        <f ca="1"/>
        <v>584.34529569950257</v>
      </c>
      <c r="I269" s="26">
        <f ca="1"/>
        <v>434.32544902693655</v>
      </c>
      <c r="J269" s="26">
        <f ca="1"/>
        <v>341.96506188307228</v>
      </c>
      <c r="K269" s="26">
        <f ca="1"/>
        <v>285.07533212572235</v>
      </c>
      <c r="L269" s="26">
        <f ca="1"/>
        <v>233.03061266636547</v>
      </c>
      <c r="M269" s="6"/>
      <c r="N269" s="1" t="str">
        <f t="shared" si="6"/>
        <v>$M(2015)/million</v>
      </c>
      <c r="O269" s="1"/>
    </row>
    <row r="270" spans="1:15" x14ac:dyDescent="0.25">
      <c r="A270" t="str">
        <v>IA Economic</v>
      </c>
      <c r="C270" s="26">
        <f ca="1"/>
        <v>13.639953187841909</v>
      </c>
      <c r="D270" s="26">
        <f ca="1"/>
        <v>89.396794794226594</v>
      </c>
      <c r="E270" s="26">
        <f ca="1"/>
        <v>217.96924120585916</v>
      </c>
      <c r="F270" s="26">
        <f ca="1"/>
        <v>403.30789410995698</v>
      </c>
      <c r="G270" s="26">
        <f ca="1"/>
        <v>1046.2843031031427</v>
      </c>
      <c r="H270" s="26">
        <f ca="1"/>
        <v>1829.1462151668215</v>
      </c>
      <c r="I270" s="26">
        <f ca="1"/>
        <v>2409.6175920776709</v>
      </c>
      <c r="J270" s="26">
        <f ca="1"/>
        <v>2282.4454859645316</v>
      </c>
      <c r="K270" s="26">
        <f ca="1"/>
        <v>2064.3661913933711</v>
      </c>
      <c r="L270" s="26">
        <f ca="1"/>
        <v>1788.0148455001706</v>
      </c>
      <c r="M270" s="6"/>
      <c r="N270" s="1" t="str">
        <f t="shared" si="6"/>
        <v>$M(2015)/million</v>
      </c>
      <c r="O270" s="1"/>
    </row>
    <row r="271" spans="1:15" x14ac:dyDescent="0.25">
      <c r="A271" t="str">
        <v>AF Economic</v>
      </c>
      <c r="C271" s="26">
        <f ca="1"/>
        <v>11.005422694327795</v>
      </c>
      <c r="D271" s="26">
        <f ca="1"/>
        <v>57.926236941999278</v>
      </c>
      <c r="E271" s="26">
        <f ca="1"/>
        <v>125.14226078588496</v>
      </c>
      <c r="F271" s="26">
        <f ca="1"/>
        <v>227.10774827336573</v>
      </c>
      <c r="G271" s="26">
        <f ca="1"/>
        <v>721.09136880988228</v>
      </c>
      <c r="H271" s="26">
        <f ca="1"/>
        <v>1551.1465575809714</v>
      </c>
      <c r="I271" s="26">
        <f ca="1"/>
        <v>4623.457626768939</v>
      </c>
      <c r="J271" s="26">
        <f ca="1"/>
        <v>7353.7203072316906</v>
      </c>
      <c r="K271" s="26">
        <f ca="1"/>
        <v>8829.0466098430315</v>
      </c>
      <c r="L271" s="26">
        <f ca="1"/>
        <v>8840.1231279209242</v>
      </c>
      <c r="M271" s="6"/>
      <c r="N271" s="1" t="str">
        <f t="shared" si="6"/>
        <v>$M(2015)/million</v>
      </c>
      <c r="O271" s="6"/>
    </row>
    <row r="272" spans="1:15" x14ac:dyDescent="0.25">
      <c r="A272" t="str">
        <v>LA Economic</v>
      </c>
      <c r="C272" s="26">
        <f ca="1"/>
        <v>20.665204800998119</v>
      </c>
      <c r="D272" s="26">
        <f ca="1"/>
        <v>107.08587246950582</v>
      </c>
      <c r="E272" s="26">
        <f ca="1"/>
        <v>218.99178224902775</v>
      </c>
      <c r="F272" s="26">
        <f ca="1"/>
        <v>360.92481164095784</v>
      </c>
      <c r="G272" s="26">
        <f ca="1"/>
        <v>833.44773158615726</v>
      </c>
      <c r="H272" s="26">
        <f ca="1"/>
        <v>1435.2985273065756</v>
      </c>
      <c r="I272" s="26">
        <f ca="1"/>
        <v>2070.5474065460526</v>
      </c>
      <c r="J272" s="26">
        <f ca="1"/>
        <v>2186.4273778957627</v>
      </c>
      <c r="K272" s="26">
        <f ca="1"/>
        <v>2102.8385421228954</v>
      </c>
      <c r="L272" s="26">
        <f ca="1"/>
        <v>1873.4274289991745</v>
      </c>
      <c r="M272" s="6"/>
      <c r="N272" s="1" t="str">
        <f t="shared" si="6"/>
        <v>$M(2015)/million</v>
      </c>
      <c r="O272" s="1"/>
    </row>
    <row r="273" spans="1:15" s="2" customFormat="1" ht="15" x14ac:dyDescent="0.4">
      <c r="A273" s="2" t="s">
        <v>228</v>
      </c>
      <c r="C273" s="2" t="s">
        <v>238</v>
      </c>
    </row>
    <row r="274" spans="1:15" x14ac:dyDescent="0.25">
      <c r="A274" t="str">
        <f t="array" ref="A274:A281">R_CODE&amp;" "&amp;I_1_NAME</f>
        <v>EU Economic</v>
      </c>
      <c r="C274" s="29">
        <f t="array" ref="C274:L281" ca="1">rcons_s_per_cap-isatad_1_per_cap</f>
        <v>31207.728875222405</v>
      </c>
      <c r="D274" s="29">
        <f ca="1"/>
        <v>35885.100618980301</v>
      </c>
      <c r="E274" s="29">
        <f ca="1"/>
        <v>42001.476192063594</v>
      </c>
      <c r="F274" s="29">
        <f ca="1"/>
        <v>49408.881173960152</v>
      </c>
      <c r="G274" s="29">
        <f ca="1"/>
        <v>75654.70312245909</v>
      </c>
      <c r="H274" s="29">
        <f ca="1"/>
        <v>115753.58151909783</v>
      </c>
      <c r="I274" s="29">
        <f ca="1"/>
        <v>221882.98899098154</v>
      </c>
      <c r="J274" s="29">
        <f ca="1"/>
        <v>378452.89386637276</v>
      </c>
      <c r="K274" s="29">
        <f ca="1"/>
        <v>587576.88218208053</v>
      </c>
      <c r="L274" s="29">
        <f ca="1"/>
        <v>844273.56957772875</v>
      </c>
      <c r="M274" s="6"/>
      <c r="N274" s="1" t="str">
        <f t="shared" ref="N274:N281" si="7">CURRENCY_NAME&amp;"/"&amp;POP_UNIT_NAME</f>
        <v>$M(2015)/million</v>
      </c>
      <c r="O274" s="1"/>
    </row>
    <row r="275" spans="1:15" x14ac:dyDescent="0.25">
      <c r="A275" t="str">
        <v>US Economic</v>
      </c>
      <c r="C275" s="26">
        <f ca="1"/>
        <v>49196.872191687755</v>
      </c>
      <c r="D275" s="26">
        <f ca="1"/>
        <v>56124.820784520896</v>
      </c>
      <c r="E275" s="26">
        <f ca="1"/>
        <v>62182.286717633593</v>
      </c>
      <c r="F275" s="26">
        <f ca="1"/>
        <v>68998.207667860363</v>
      </c>
      <c r="G275" s="26">
        <f ca="1"/>
        <v>92266.362315531442</v>
      </c>
      <c r="H275" s="26">
        <f ca="1"/>
        <v>130787.86811367434</v>
      </c>
      <c r="I275" s="26">
        <f ca="1"/>
        <v>264901.60365719174</v>
      </c>
      <c r="J275" s="26">
        <f ca="1"/>
        <v>497919.89686760778</v>
      </c>
      <c r="K275" s="26">
        <f ca="1"/>
        <v>877606.03607135534</v>
      </c>
      <c r="L275" s="26">
        <f ca="1"/>
        <v>1460622.0766237448</v>
      </c>
      <c r="M275" s="6"/>
      <c r="N275" s="1" t="str">
        <f t="shared" si="7"/>
        <v>$M(2015)/million</v>
      </c>
      <c r="O275" s="1"/>
    </row>
    <row r="276" spans="1:15" x14ac:dyDescent="0.25">
      <c r="A276" t="str">
        <v>OT Economic</v>
      </c>
      <c r="C276" s="26">
        <f ca="1"/>
        <v>31474.85913984901</v>
      </c>
      <c r="D276" s="26">
        <f ca="1"/>
        <v>37146.180343876986</v>
      </c>
      <c r="E276" s="26">
        <f ca="1"/>
        <v>43339.667136215714</v>
      </c>
      <c r="F276" s="26">
        <f ca="1"/>
        <v>50814.96673693139</v>
      </c>
      <c r="G276" s="26">
        <f ca="1"/>
        <v>77448.542248239974</v>
      </c>
      <c r="H276" s="26">
        <f ca="1"/>
        <v>118250.00076543776</v>
      </c>
      <c r="I276" s="26">
        <f ca="1"/>
        <v>190322.03604558122</v>
      </c>
      <c r="J276" s="26">
        <f ca="1"/>
        <v>256955.12775882508</v>
      </c>
      <c r="K276" s="26">
        <f ca="1"/>
        <v>310821.57128235383</v>
      </c>
      <c r="L276" s="26">
        <f ca="1"/>
        <v>350720.7759089297</v>
      </c>
      <c r="M276" s="6"/>
      <c r="N276" s="1" t="str">
        <f t="shared" si="7"/>
        <v>$M(2015)/million</v>
      </c>
      <c r="O276" s="1"/>
    </row>
    <row r="277" spans="1:15" x14ac:dyDescent="0.25">
      <c r="A277" t="str">
        <v>EE Economic</v>
      </c>
      <c r="C277" s="26">
        <f ca="1"/>
        <v>14081.728830421729</v>
      </c>
      <c r="D277" s="26">
        <f ca="1"/>
        <v>20895.52142245217</v>
      </c>
      <c r="E277" s="26">
        <f ca="1"/>
        <v>28611.382748180757</v>
      </c>
      <c r="F277" s="26">
        <f ca="1"/>
        <v>35495.072693901369</v>
      </c>
      <c r="G277" s="26">
        <f ca="1"/>
        <v>56456.724041496978</v>
      </c>
      <c r="H277" s="26">
        <f ca="1"/>
        <v>84773.332801534809</v>
      </c>
      <c r="I277" s="26">
        <f ca="1"/>
        <v>117784.08790242717</v>
      </c>
      <c r="J277" s="26">
        <f ca="1"/>
        <v>135635.69102049695</v>
      </c>
      <c r="K277" s="26">
        <f ca="1"/>
        <v>144170.22023673676</v>
      </c>
      <c r="L277" s="26">
        <f ca="1"/>
        <v>147982.04390360508</v>
      </c>
      <c r="M277" s="6"/>
      <c r="N277" s="1" t="str">
        <f t="shared" si="7"/>
        <v>$M(2015)/million</v>
      </c>
      <c r="O277" s="1"/>
    </row>
    <row r="278" spans="1:15" x14ac:dyDescent="0.25">
      <c r="A278" t="str">
        <v>CA Economic</v>
      </c>
      <c r="C278" s="26">
        <f ca="1"/>
        <v>12403.498878915541</v>
      </c>
      <c r="D278" s="26">
        <f ca="1"/>
        <v>23096.767255037546</v>
      </c>
      <c r="E278" s="26">
        <f ca="1"/>
        <v>34947.688092426848</v>
      </c>
      <c r="F278" s="26">
        <f ca="1"/>
        <v>46684.503072098305</v>
      </c>
      <c r="G278" s="26">
        <f ca="1"/>
        <v>71752.400017882654</v>
      </c>
      <c r="H278" s="26">
        <f ca="1"/>
        <v>101477.44796978832</v>
      </c>
      <c r="I278" s="26">
        <f ca="1"/>
        <v>98342.60215498964</v>
      </c>
      <c r="J278" s="26">
        <f ca="1"/>
        <v>95050.933384386139</v>
      </c>
      <c r="K278" s="26">
        <f ca="1"/>
        <v>91770.710383478727</v>
      </c>
      <c r="L278" s="26">
        <f ca="1"/>
        <v>88583.601208789929</v>
      </c>
      <c r="M278" s="6"/>
      <c r="N278" s="1" t="str">
        <f t="shared" si="7"/>
        <v>$M(2015)/million</v>
      </c>
      <c r="O278" s="1"/>
    </row>
    <row r="279" spans="1:15" x14ac:dyDescent="0.25">
      <c r="A279" t="str">
        <v>IA Economic</v>
      </c>
      <c r="C279" s="26">
        <f ca="1"/>
        <v>5890.1457960544831</v>
      </c>
      <c r="D279" s="26">
        <f ca="1"/>
        <v>10028.489423185705</v>
      </c>
      <c r="E279" s="26">
        <f ca="1"/>
        <v>16310.833114292402</v>
      </c>
      <c r="F279" s="26">
        <f ca="1"/>
        <v>24784.03714065914</v>
      </c>
      <c r="G279" s="26">
        <f ca="1"/>
        <v>54305.885763999475</v>
      </c>
      <c r="H279" s="26">
        <f ca="1"/>
        <v>95547.576664386215</v>
      </c>
      <c r="I279" s="26">
        <f ca="1"/>
        <v>159145.61951258237</v>
      </c>
      <c r="J279" s="26">
        <f ca="1"/>
        <v>181238.84410679567</v>
      </c>
      <c r="K279" s="26">
        <f ca="1"/>
        <v>187322.62537915196</v>
      </c>
      <c r="L279" s="26">
        <f ca="1"/>
        <v>188981.64816183742</v>
      </c>
      <c r="M279" s="6"/>
      <c r="N279" s="1" t="str">
        <f t="shared" si="7"/>
        <v>$M(2015)/million</v>
      </c>
      <c r="O279" s="1"/>
    </row>
    <row r="280" spans="1:15" x14ac:dyDescent="0.25">
      <c r="A280" t="str">
        <v>AF Economic</v>
      </c>
      <c r="C280" s="26">
        <f ca="1"/>
        <v>5174.2825720824703</v>
      </c>
      <c r="D280" s="26">
        <f ca="1"/>
        <v>7011.4030010983606</v>
      </c>
      <c r="E280" s="26">
        <f ca="1"/>
        <v>10046.756106946626</v>
      </c>
      <c r="F280" s="26">
        <f ca="1"/>
        <v>14919.501719399768</v>
      </c>
      <c r="G280" s="26">
        <f ca="1"/>
        <v>39868.082748475768</v>
      </c>
      <c r="H280" s="26">
        <f ca="1"/>
        <v>86322.593433230591</v>
      </c>
      <c r="I280" s="26">
        <f ca="1"/>
        <v>326888.18218509405</v>
      </c>
      <c r="J280" s="26">
        <f ca="1"/>
        <v>627073.47368714376</v>
      </c>
      <c r="K280" s="26">
        <f ca="1"/>
        <v>862077.40107699204</v>
      </c>
      <c r="L280" s="26">
        <f ca="1"/>
        <v>1007422.8343553296</v>
      </c>
      <c r="M280" s="6"/>
      <c r="N280" s="1" t="str">
        <f t="shared" si="7"/>
        <v>$M(2015)/million</v>
      </c>
      <c r="O280" s="6"/>
    </row>
    <row r="281" spans="1:15" x14ac:dyDescent="0.25">
      <c r="A281" t="str">
        <v>LA Economic</v>
      </c>
      <c r="C281" s="26">
        <f ca="1"/>
        <v>12387.186322336669</v>
      </c>
      <c r="D281" s="26">
        <f ca="1"/>
        <v>16562.806512954739</v>
      </c>
      <c r="E281" s="26">
        <f ca="1"/>
        <v>22498.689555585664</v>
      </c>
      <c r="F281" s="26">
        <f ca="1"/>
        <v>30370.472721031991</v>
      </c>
      <c r="G281" s="26">
        <f ca="1"/>
        <v>59079.16941548897</v>
      </c>
      <c r="H281" s="26">
        <f ca="1"/>
        <v>102404.3154313562</v>
      </c>
      <c r="I281" s="26">
        <f ca="1"/>
        <v>187444.79413576747</v>
      </c>
      <c r="J281" s="26">
        <f ca="1"/>
        <v>238531.32012947294</v>
      </c>
      <c r="K281" s="26">
        <f ca="1"/>
        <v>262551.09676047711</v>
      </c>
      <c r="L281" s="26">
        <f ca="1"/>
        <v>272861.16099325649</v>
      </c>
      <c r="M281" s="6"/>
      <c r="N281" s="1" t="str">
        <f t="shared" si="7"/>
        <v>$M(2015)/million</v>
      </c>
      <c r="O281" s="1"/>
    </row>
    <row r="282" spans="1:15" s="2" customFormat="1" ht="15" x14ac:dyDescent="0.4">
      <c r="A282" s="2" t="s">
        <v>230</v>
      </c>
      <c r="C282" s="2" t="s">
        <v>237</v>
      </c>
    </row>
    <row r="283" spans="1:15" x14ac:dyDescent="0.25">
      <c r="A283" t="str">
        <f t="array" ref="A283:A290">R_CODE&amp;" "&amp;I_1_NAME</f>
        <v>EU Economic</v>
      </c>
      <c r="C283" s="29">
        <f t="array" ref="C283:L290" ca="1" xml:space="preserve"> rcons_1_per_cap/(1-SAVE/100)</f>
        <v>36714.975147320474</v>
      </c>
      <c r="D283" s="29">
        <f ca="1"/>
        <v>42217.765434094472</v>
      </c>
      <c r="E283" s="29">
        <f ca="1"/>
        <v>49413.501402427755</v>
      </c>
      <c r="F283" s="29">
        <f ca="1"/>
        <v>58128.095498776653</v>
      </c>
      <c r="G283" s="29">
        <f ca="1"/>
        <v>89005.533085245988</v>
      </c>
      <c r="H283" s="29">
        <f ca="1"/>
        <v>136180.6841401151</v>
      </c>
      <c r="I283" s="29">
        <f ca="1"/>
        <v>261038.81057762535</v>
      </c>
      <c r="J283" s="29">
        <f ca="1"/>
        <v>445238.69866632088</v>
      </c>
      <c r="K283" s="29">
        <f ca="1"/>
        <v>691266.92021421238</v>
      </c>
      <c r="L283" s="29">
        <f ca="1"/>
        <v>993263.02303262206</v>
      </c>
      <c r="M283" s="6"/>
      <c r="N283" s="1" t="str">
        <f t="shared" ref="N283:N290" si="8">CURRENCY_NAME&amp;"/"&amp;POP_UNIT_NAME</f>
        <v>$M(2015)/million</v>
      </c>
      <c r="O283" s="1"/>
    </row>
    <row r="284" spans="1:15" x14ac:dyDescent="0.25">
      <c r="A284" t="str">
        <v>US Economic</v>
      </c>
      <c r="C284" s="26">
        <f ca="1"/>
        <v>57878.673166691478</v>
      </c>
      <c r="D284" s="26">
        <f ca="1"/>
        <v>66029.200922965756</v>
      </c>
      <c r="E284" s="26">
        <f ca="1"/>
        <v>73155.631432510112</v>
      </c>
      <c r="F284" s="26">
        <f ca="1"/>
        <v>81174.361962188661</v>
      </c>
      <c r="G284" s="26">
        <f ca="1"/>
        <v>108548.66154768405</v>
      </c>
      <c r="H284" s="26">
        <f ca="1"/>
        <v>153868.08013373453</v>
      </c>
      <c r="I284" s="26">
        <f ca="1"/>
        <v>311648.94547904911</v>
      </c>
      <c r="J284" s="26">
        <f ca="1"/>
        <v>585788.1139618915</v>
      </c>
      <c r="K284" s="26">
        <f ca="1"/>
        <v>1032477.6894957122</v>
      </c>
      <c r="L284" s="26">
        <f ca="1"/>
        <v>1718378.9136749939</v>
      </c>
      <c r="M284" s="6"/>
      <c r="N284" s="1" t="str">
        <f t="shared" si="8"/>
        <v>$M(2015)/million</v>
      </c>
      <c r="O284" s="1"/>
    </row>
    <row r="285" spans="1:15" x14ac:dyDescent="0.25">
      <c r="A285" t="str">
        <v>OT Economic</v>
      </c>
      <c r="C285" s="26">
        <f ca="1"/>
        <v>37029.246046881191</v>
      </c>
      <c r="D285" s="26">
        <f ca="1"/>
        <v>43701.388639855279</v>
      </c>
      <c r="E285" s="26">
        <f ca="1"/>
        <v>50987.843689665548</v>
      </c>
      <c r="F285" s="26">
        <f ca="1"/>
        <v>59782.313808154577</v>
      </c>
      <c r="G285" s="26">
        <f ca="1"/>
        <v>91115.932056752907</v>
      </c>
      <c r="H285" s="26">
        <f ca="1"/>
        <v>139117.64795933853</v>
      </c>
      <c r="I285" s="26">
        <f ca="1"/>
        <v>223908.2777006838</v>
      </c>
      <c r="J285" s="26">
        <f ca="1"/>
        <v>302300.15030450013</v>
      </c>
      <c r="K285" s="26">
        <f ca="1"/>
        <v>365672.43680276925</v>
      </c>
      <c r="L285" s="26">
        <f ca="1"/>
        <v>412612.67753991729</v>
      </c>
      <c r="M285" s="6"/>
      <c r="N285" s="1" t="str">
        <f t="shared" si="8"/>
        <v>$M(2015)/million</v>
      </c>
      <c r="O285" s="1"/>
    </row>
    <row r="286" spans="1:15" x14ac:dyDescent="0.25">
      <c r="A286" t="str">
        <v>EE Economic</v>
      </c>
      <c r="C286" s="26">
        <f ca="1"/>
        <v>16566.739800496151</v>
      </c>
      <c r="D286" s="26">
        <f ca="1"/>
        <v>24582.966379355494</v>
      </c>
      <c r="E286" s="26">
        <f ca="1"/>
        <v>33660.450291977359</v>
      </c>
      <c r="F286" s="26">
        <f ca="1"/>
        <v>41758.909051648669</v>
      </c>
      <c r="G286" s="26">
        <f ca="1"/>
        <v>66419.675342937626</v>
      </c>
      <c r="H286" s="26">
        <f ca="1"/>
        <v>99733.332707688009</v>
      </c>
      <c r="I286" s="26">
        <f ca="1"/>
        <v>138569.51517932609</v>
      </c>
      <c r="J286" s="26">
        <f ca="1"/>
        <v>159571.40120058466</v>
      </c>
      <c r="K286" s="26">
        <f ca="1"/>
        <v>169612.02380792561</v>
      </c>
      <c r="L286" s="26">
        <f ca="1"/>
        <v>174096.52223953541</v>
      </c>
      <c r="M286" s="6"/>
      <c r="N286" s="1" t="str">
        <f t="shared" si="8"/>
        <v>$M(2015)/million</v>
      </c>
      <c r="O286" s="1"/>
    </row>
    <row r="287" spans="1:15" x14ac:dyDescent="0.25">
      <c r="A287" t="str">
        <v>CA Economic</v>
      </c>
      <c r="C287" s="26">
        <f ca="1"/>
        <v>14592.351622253578</v>
      </c>
      <c r="D287" s="26">
        <f ca="1"/>
        <v>27172.667358867704</v>
      </c>
      <c r="E287" s="26">
        <f ca="1"/>
        <v>41114.927167561</v>
      </c>
      <c r="F287" s="26">
        <f ca="1"/>
        <v>54922.944790703892</v>
      </c>
      <c r="G287" s="26">
        <f ca="1"/>
        <v>84414.588256332543</v>
      </c>
      <c r="H287" s="26">
        <f ca="1"/>
        <v>119385.23290563333</v>
      </c>
      <c r="I287" s="26">
        <f ca="1"/>
        <v>115697.17900587017</v>
      </c>
      <c r="J287" s="26">
        <f ca="1"/>
        <v>111824.62751104252</v>
      </c>
      <c r="K287" s="26">
        <f ca="1"/>
        <v>107965.54162762203</v>
      </c>
      <c r="L287" s="26">
        <f ca="1"/>
        <v>104216.00142210581</v>
      </c>
      <c r="M287" s="6"/>
      <c r="N287" s="1" t="str">
        <f t="shared" si="8"/>
        <v>$M(2015)/million</v>
      </c>
      <c r="O287" s="1"/>
    </row>
    <row r="288" spans="1:15" x14ac:dyDescent="0.25">
      <c r="A288" t="str">
        <v>IA Economic</v>
      </c>
      <c r="C288" s="26">
        <f ca="1"/>
        <v>6929.5832894758623</v>
      </c>
      <c r="D288" s="26">
        <f ca="1"/>
        <v>11798.222850806713</v>
      </c>
      <c r="E288" s="26">
        <f ca="1"/>
        <v>19189.215428579297</v>
      </c>
      <c r="F288" s="26">
        <f ca="1"/>
        <v>29157.690753716637</v>
      </c>
      <c r="G288" s="26">
        <f ca="1"/>
        <v>63889.277369411146</v>
      </c>
      <c r="H288" s="26">
        <f ca="1"/>
        <v>112408.91372280731</v>
      </c>
      <c r="I288" s="26">
        <f ca="1"/>
        <v>187230.1406030381</v>
      </c>
      <c r="J288" s="26">
        <f ca="1"/>
        <v>213222.16953740668</v>
      </c>
      <c r="K288" s="26">
        <f ca="1"/>
        <v>220379.55926959054</v>
      </c>
      <c r="L288" s="26">
        <f ca="1"/>
        <v>222331.35077863227</v>
      </c>
      <c r="M288" s="6"/>
      <c r="N288" s="1" t="str">
        <f t="shared" si="8"/>
        <v>$M(2015)/million</v>
      </c>
      <c r="O288" s="1"/>
    </row>
    <row r="289" spans="1:15" x14ac:dyDescent="0.25">
      <c r="A289" t="str">
        <v>AF Economic</v>
      </c>
      <c r="C289" s="26">
        <f ca="1"/>
        <v>6087.3912612734948</v>
      </c>
      <c r="D289" s="26">
        <f ca="1"/>
        <v>8248.7094130568948</v>
      </c>
      <c r="E289" s="26">
        <f ca="1"/>
        <v>11819.713066996032</v>
      </c>
      <c r="F289" s="26">
        <f ca="1"/>
        <v>17552.354963999729</v>
      </c>
      <c r="G289" s="26">
        <f ca="1"/>
        <v>46903.626762912667</v>
      </c>
      <c r="H289" s="26">
        <f ca="1"/>
        <v>101555.99227438893</v>
      </c>
      <c r="I289" s="26">
        <f ca="1"/>
        <v>384574.3319824636</v>
      </c>
      <c r="J289" s="26">
        <f ca="1"/>
        <v>737733.49845546333</v>
      </c>
      <c r="K289" s="26">
        <f ca="1"/>
        <v>1014208.7071494025</v>
      </c>
      <c r="L289" s="26">
        <f ca="1"/>
        <v>1185203.3345356819</v>
      </c>
      <c r="M289" s="6"/>
      <c r="N289" s="1" t="str">
        <f t="shared" si="8"/>
        <v>$M(2015)/million</v>
      </c>
      <c r="O289" s="6"/>
    </row>
    <row r="290" spans="1:15" x14ac:dyDescent="0.25">
      <c r="A290" t="str">
        <v>LA Economic</v>
      </c>
      <c r="C290" s="26">
        <f ca="1"/>
        <v>14573.160379219611</v>
      </c>
      <c r="D290" s="26">
        <f ca="1"/>
        <v>19485.654721123225</v>
      </c>
      <c r="E290" s="26">
        <f ca="1"/>
        <v>26469.046535983136</v>
      </c>
      <c r="F290" s="26">
        <f ca="1"/>
        <v>35729.967907096463</v>
      </c>
      <c r="G290" s="26">
        <f ca="1"/>
        <v>69504.90519469291</v>
      </c>
      <c r="H290" s="26">
        <f ca="1"/>
        <v>120475.66521336023</v>
      </c>
      <c r="I290" s="26">
        <f ca="1"/>
        <v>220523.28721854996</v>
      </c>
      <c r="J290" s="26">
        <f ca="1"/>
        <v>280625.08250526228</v>
      </c>
      <c r="K290" s="26">
        <f ca="1"/>
        <v>308883.64324762014</v>
      </c>
      <c r="L290" s="26">
        <f ca="1"/>
        <v>321013.13058030175</v>
      </c>
      <c r="M290" s="6"/>
      <c r="N290" s="1" t="str">
        <f t="shared" si="8"/>
        <v>$M(2015)/million</v>
      </c>
      <c r="O290" s="1"/>
    </row>
    <row r="291" spans="1:15" s="2" customFormat="1" ht="15" x14ac:dyDescent="0.4">
      <c r="A291" s="2" t="s">
        <v>222</v>
      </c>
      <c r="C291" s="2" t="s">
        <v>239</v>
      </c>
    </row>
    <row r="292" spans="1:15" x14ac:dyDescent="0.25">
      <c r="A292" t="str">
        <f t="array" ref="A292:A299">R_CODE&amp;" "&amp;I_2_NAME</f>
        <v>EU Non-econ</v>
      </c>
      <c r="C292" s="29">
        <f t="array" ref="C292:L299" ca="1">WINCF_2*((W_2+IBEN_2*TCAL)*(i_2/TCAL)^POW_2-i_2*IBEN_2)</f>
        <v>5.2049070898255889E-2</v>
      </c>
      <c r="D292" s="29">
        <f ca="1"/>
        <v>0.18028124880976895</v>
      </c>
      <c r="E292" s="29">
        <f ca="1"/>
        <v>0.29977410062359122</v>
      </c>
      <c r="F292" s="29">
        <f ca="1"/>
        <v>0.39159895290171121</v>
      </c>
      <c r="G292" s="29">
        <f ca="1"/>
        <v>0.49694734930275153</v>
      </c>
      <c r="H292" s="29">
        <f ca="1"/>
        <v>0.49241851205164155</v>
      </c>
      <c r="I292" s="29">
        <f ca="1"/>
        <v>0.35461736422378703</v>
      </c>
      <c r="J292" s="29">
        <f ca="1"/>
        <v>0.27726169362453301</v>
      </c>
      <c r="K292" s="29">
        <f ca="1"/>
        <v>0.23362946071843282</v>
      </c>
      <c r="L292" s="29">
        <f ca="1"/>
        <v>0.19357413974595677</v>
      </c>
      <c r="M292" s="6"/>
      <c r="N292" s="59" t="s">
        <v>134</v>
      </c>
    </row>
    <row r="293" spans="1:15" x14ac:dyDescent="0.25">
      <c r="A293" t="str">
        <v>US Non-econ</v>
      </c>
      <c r="C293" s="26">
        <f ca="1"/>
        <v>6.6394355872927635E-2</v>
      </c>
      <c r="D293" s="26">
        <f ca="1"/>
        <v>0.21349424401212441</v>
      </c>
      <c r="E293" s="26">
        <f ca="1"/>
        <v>0.3497134218208714</v>
      </c>
      <c r="F293" s="26">
        <f ca="1"/>
        <v>0.45413572547841324</v>
      </c>
      <c r="G293" s="26">
        <f ca="1"/>
        <v>0.57376412491755269</v>
      </c>
      <c r="H293" s="26">
        <f ca="1"/>
        <v>0.56862442102832689</v>
      </c>
      <c r="I293" s="26">
        <f ca="1"/>
        <v>0.41210061695608252</v>
      </c>
      <c r="J293" s="26">
        <f ca="1"/>
        <v>0.32408412368815515</v>
      </c>
      <c r="K293" s="26">
        <f ca="1"/>
        <v>0.27437019542358715</v>
      </c>
      <c r="L293" s="26">
        <f ca="1"/>
        <v>0.2286740280994197</v>
      </c>
      <c r="M293" s="6"/>
      <c r="N293" s="59" t="s">
        <v>134</v>
      </c>
    </row>
    <row r="294" spans="1:15" x14ac:dyDescent="0.25">
      <c r="A294" t="str">
        <v>OT Non-econ</v>
      </c>
      <c r="C294" s="26">
        <f ca="1"/>
        <v>4.2594803011027721E-2</v>
      </c>
      <c r="D294" s="26">
        <f ca="1"/>
        <v>0.15816473467762798</v>
      </c>
      <c r="E294" s="26">
        <f ca="1"/>
        <v>0.26641031100618295</v>
      </c>
      <c r="F294" s="26">
        <f ca="1"/>
        <v>0.34975730597593435</v>
      </c>
      <c r="G294" s="26">
        <f ca="1"/>
        <v>0.44549072646951476</v>
      </c>
      <c r="H294" s="26">
        <f ca="1"/>
        <v>0.4413732811558142</v>
      </c>
      <c r="I294" s="26">
        <f ca="1"/>
        <v>0.31617719924473708</v>
      </c>
      <c r="J294" s="26">
        <f ca="1"/>
        <v>0.24599472728395977</v>
      </c>
      <c r="K294" s="26">
        <f ca="1"/>
        <v>0.20645270844386424</v>
      </c>
      <c r="L294" s="26">
        <f ca="1"/>
        <v>0.17018953484438265</v>
      </c>
      <c r="M294" s="6"/>
      <c r="N294" s="59" t="s">
        <v>134</v>
      </c>
    </row>
    <row r="295" spans="1:15" x14ac:dyDescent="0.25">
      <c r="A295" t="str">
        <v>EE Non-econ</v>
      </c>
      <c r="C295" s="26">
        <f ca="1"/>
        <v>0.14575531404447017</v>
      </c>
      <c r="D295" s="26">
        <f ca="1"/>
        <v>0.39269011631342543</v>
      </c>
      <c r="E295" s="26">
        <f ca="1"/>
        <v>0.61697138080866509</v>
      </c>
      <c r="F295" s="26">
        <f ca="1"/>
        <v>0.78757869991442564</v>
      </c>
      <c r="G295" s="26">
        <f ca="1"/>
        <v>0.98213623399807637</v>
      </c>
      <c r="H295" s="26">
        <f ca="1"/>
        <v>0.97379292224644398</v>
      </c>
      <c r="I295" s="26">
        <f ca="1"/>
        <v>0.71900427410420265</v>
      </c>
      <c r="J295" s="26">
        <f ca="1"/>
        <v>0.57495068190939402</v>
      </c>
      <c r="K295" s="26">
        <f ca="1"/>
        <v>0.49323139883927181</v>
      </c>
      <c r="L295" s="26">
        <f ca="1"/>
        <v>0.41781838913623304</v>
      </c>
      <c r="M295" s="6"/>
      <c r="N295" s="59" t="s">
        <v>134</v>
      </c>
    </row>
    <row r="296" spans="1:15" x14ac:dyDescent="0.25">
      <c r="A296" t="str">
        <v>CA Non-econ</v>
      </c>
      <c r="C296" s="26">
        <f ca="1"/>
        <v>3.3795865171721631E-2</v>
      </c>
      <c r="D296" s="26">
        <f ca="1"/>
        <v>0.13737734500548665</v>
      </c>
      <c r="E296" s="26">
        <f ca="1"/>
        <v>0.23495466833934331</v>
      </c>
      <c r="F296" s="26">
        <f ca="1"/>
        <v>0.31025414193437884</v>
      </c>
      <c r="G296" s="26">
        <f ca="1"/>
        <v>0.39685643633419626</v>
      </c>
      <c r="H296" s="26">
        <f ca="1"/>
        <v>0.39312975502942604</v>
      </c>
      <c r="I296" s="26">
        <f ca="1"/>
        <v>0.27990334457830496</v>
      </c>
      <c r="J296" s="26">
        <f ca="1"/>
        <v>0.21652878129694986</v>
      </c>
      <c r="K296" s="26">
        <f ca="1"/>
        <v>0.18086702486549466</v>
      </c>
      <c r="L296" s="26">
        <f ca="1"/>
        <v>0.14819996258447193</v>
      </c>
      <c r="M296" s="6"/>
      <c r="N296" s="59" t="s">
        <v>134</v>
      </c>
    </row>
    <row r="297" spans="1:15" x14ac:dyDescent="0.25">
      <c r="A297" t="str">
        <v>IA Non-econ</v>
      </c>
      <c r="C297" s="26">
        <f ca="1"/>
        <v>9.9889353556475713E-3</v>
      </c>
      <c r="D297" s="26">
        <f ca="1"/>
        <v>7.9679595502881645E-2</v>
      </c>
      <c r="E297" s="26">
        <f ca="1"/>
        <v>0.14696169865075553</v>
      </c>
      <c r="F297" s="26">
        <f ca="1"/>
        <v>0.19936540480965104</v>
      </c>
      <c r="G297" s="26">
        <f ca="1"/>
        <v>0.25995958836135391</v>
      </c>
      <c r="H297" s="26">
        <f ca="1"/>
        <v>0.25734643658859535</v>
      </c>
      <c r="I297" s="26">
        <f ca="1"/>
        <v>0.17820562353339184</v>
      </c>
      <c r="J297" s="26">
        <f ca="1"/>
        <v>0.13419180158818167</v>
      </c>
      <c r="K297" s="26">
        <f ca="1"/>
        <v>0.10955335698485449</v>
      </c>
      <c r="L297" s="26">
        <f ca="1"/>
        <v>8.7092686117558937E-2</v>
      </c>
      <c r="M297" s="6"/>
      <c r="N297" s="59" t="s">
        <v>134</v>
      </c>
    </row>
    <row r="298" spans="1:15" x14ac:dyDescent="0.25">
      <c r="A298" t="str">
        <v>AF Non-econ</v>
      </c>
      <c r="C298" s="26">
        <f ca="1"/>
        <v>4.0782732547466824E-2</v>
      </c>
      <c r="D298" s="26">
        <f ca="1"/>
        <v>0.153901217846106</v>
      </c>
      <c r="E298" s="26">
        <f ca="1"/>
        <v>0.25996694857431973</v>
      </c>
      <c r="F298" s="26">
        <f ca="1"/>
        <v>0.34167010663199882</v>
      </c>
      <c r="G298" s="26">
        <f ca="1"/>
        <v>0.43553869987808724</v>
      </c>
      <c r="H298" s="26">
        <f ca="1"/>
        <v>0.43150105308322273</v>
      </c>
      <c r="I298" s="26">
        <f ca="1"/>
        <v>0.30874959787816464</v>
      </c>
      <c r="J298" s="26">
        <f ca="1"/>
        <v>0.23995785085659338</v>
      </c>
      <c r="K298" s="26">
        <f ca="1"/>
        <v>0.20120863465433242</v>
      </c>
      <c r="L298" s="26">
        <f ca="1"/>
        <v>0.16568032327374557</v>
      </c>
      <c r="M298" s="6"/>
      <c r="N298" s="59" t="s">
        <v>134</v>
      </c>
      <c r="O298" s="6"/>
    </row>
    <row r="299" spans="1:15" x14ac:dyDescent="0.25">
      <c r="A299" t="str">
        <v>LA Non-econ</v>
      </c>
      <c r="C299" s="26">
        <f ca="1"/>
        <v>1.3952399597187609E-2</v>
      </c>
      <c r="D299" s="26">
        <f ca="1"/>
        <v>8.9483156059282837E-2</v>
      </c>
      <c r="E299" s="26">
        <f ca="1"/>
        <v>0.16200353761940417</v>
      </c>
      <c r="F299" s="26">
        <f ca="1"/>
        <v>0.21837164485508542</v>
      </c>
      <c r="G299" s="26">
        <f ca="1"/>
        <v>0.28347293679290125</v>
      </c>
      <c r="H299" s="26">
        <f ca="1"/>
        <v>0.28066674736063146</v>
      </c>
      <c r="I299" s="26">
        <f ca="1"/>
        <v>0.19561999935459173</v>
      </c>
      <c r="J299" s="26">
        <f ca="1"/>
        <v>0.14825493205701992</v>
      </c>
      <c r="K299" s="26">
        <f ca="1"/>
        <v>0.12170991156715369</v>
      </c>
      <c r="L299" s="26">
        <f ca="1"/>
        <v>9.7485213027706241E-2</v>
      </c>
      <c r="M299" s="6"/>
      <c r="N299" s="59" t="s">
        <v>134</v>
      </c>
    </row>
    <row r="300" spans="1:15" s="2" customFormat="1" ht="15" x14ac:dyDescent="0.4">
      <c r="A300" s="2" t="s">
        <v>221</v>
      </c>
      <c r="C300" s="2" t="s">
        <v>240</v>
      </c>
    </row>
    <row r="301" spans="1:15" x14ac:dyDescent="0.25">
      <c r="A301" t="str">
        <f t="array" ref="A301:A308">R_CODE&amp;" "&amp;I_2_NAME</f>
        <v>EU Non-econ</v>
      </c>
      <c r="C301" s="29">
        <f t="array" ref="C301:L308" ca="1">iref_2*(rgdp_1_per_cap/GDP_PER_CAP_FOCUS_0)^IPOW_2</f>
        <v>5.2049070898255889E-2</v>
      </c>
      <c r="D301" s="29">
        <f ca="1"/>
        <v>0.18028124880976895</v>
      </c>
      <c r="E301" s="29">
        <f ca="1"/>
        <v>0.29977410062359122</v>
      </c>
      <c r="F301" s="29">
        <f ca="1"/>
        <v>0.39159895290171121</v>
      </c>
      <c r="G301" s="29">
        <f ca="1"/>
        <v>0.49694734930275153</v>
      </c>
      <c r="H301" s="29">
        <f ca="1"/>
        <v>0.49241851205164155</v>
      </c>
      <c r="I301" s="29">
        <f ca="1"/>
        <v>0.35461736422378703</v>
      </c>
      <c r="J301" s="29">
        <f ca="1"/>
        <v>0.27726169362453301</v>
      </c>
      <c r="K301" s="29">
        <f ca="1"/>
        <v>0.23362946071843282</v>
      </c>
      <c r="L301" s="29">
        <f ca="1"/>
        <v>0.19357413974595677</v>
      </c>
      <c r="M301" s="6"/>
      <c r="N301" s="59" t="s">
        <v>134</v>
      </c>
    </row>
    <row r="302" spans="1:15" x14ac:dyDescent="0.25">
      <c r="A302" t="str">
        <v>US Non-econ</v>
      </c>
      <c r="C302" s="26">
        <f ca="1"/>
        <v>6.6394355872927635E-2</v>
      </c>
      <c r="D302" s="26">
        <f ca="1"/>
        <v>0.21349424401212441</v>
      </c>
      <c r="E302" s="26">
        <f ca="1"/>
        <v>0.3497134218208714</v>
      </c>
      <c r="F302" s="26">
        <f ca="1"/>
        <v>0.45413572547841324</v>
      </c>
      <c r="G302" s="26">
        <f ca="1"/>
        <v>0.57376412491755269</v>
      </c>
      <c r="H302" s="26">
        <f ca="1"/>
        <v>0.56862442102832689</v>
      </c>
      <c r="I302" s="26">
        <f ca="1"/>
        <v>0.41210061695608252</v>
      </c>
      <c r="J302" s="26">
        <f ca="1"/>
        <v>0.32408412368815515</v>
      </c>
      <c r="K302" s="26">
        <f ca="1"/>
        <v>0.27437019542358715</v>
      </c>
      <c r="L302" s="26">
        <f ca="1"/>
        <v>0.2286740280994197</v>
      </c>
      <c r="M302" s="6"/>
      <c r="N302" s="59" t="s">
        <v>134</v>
      </c>
    </row>
    <row r="303" spans="1:15" x14ac:dyDescent="0.25">
      <c r="A303" t="str">
        <v>OT Non-econ</v>
      </c>
      <c r="C303" s="26">
        <f ca="1"/>
        <v>4.2594803011027721E-2</v>
      </c>
      <c r="D303" s="26">
        <f ca="1"/>
        <v>0.15816473467762798</v>
      </c>
      <c r="E303" s="26">
        <f ca="1"/>
        <v>0.26641031100618295</v>
      </c>
      <c r="F303" s="26">
        <f ca="1"/>
        <v>0.34975730597593435</v>
      </c>
      <c r="G303" s="26">
        <f ca="1"/>
        <v>0.44549072646951476</v>
      </c>
      <c r="H303" s="26">
        <f ca="1"/>
        <v>0.4413732811558142</v>
      </c>
      <c r="I303" s="26">
        <f ca="1"/>
        <v>0.31617719924473708</v>
      </c>
      <c r="J303" s="26">
        <f ca="1"/>
        <v>0.24599472728395977</v>
      </c>
      <c r="K303" s="26">
        <f ca="1"/>
        <v>0.20645270844386424</v>
      </c>
      <c r="L303" s="26">
        <f ca="1"/>
        <v>0.17018953484438265</v>
      </c>
      <c r="M303" s="6"/>
      <c r="N303" s="59" t="s">
        <v>134</v>
      </c>
    </row>
    <row r="304" spans="1:15" x14ac:dyDescent="0.25">
      <c r="A304" t="str">
        <v>EE Non-econ</v>
      </c>
      <c r="C304" s="26">
        <f ca="1"/>
        <v>0.14575531404447017</v>
      </c>
      <c r="D304" s="26">
        <f ca="1"/>
        <v>0.39269011631342543</v>
      </c>
      <c r="E304" s="26">
        <f ca="1"/>
        <v>0.61697138080866509</v>
      </c>
      <c r="F304" s="26">
        <f ca="1"/>
        <v>0.78757869991442564</v>
      </c>
      <c r="G304" s="26">
        <f ca="1"/>
        <v>0.98213623399807637</v>
      </c>
      <c r="H304" s="26">
        <f ca="1"/>
        <v>0.97379292224644398</v>
      </c>
      <c r="I304" s="26">
        <f ca="1"/>
        <v>0.71900427410420265</v>
      </c>
      <c r="J304" s="26">
        <f ca="1"/>
        <v>0.57495068190939402</v>
      </c>
      <c r="K304" s="26">
        <f ca="1"/>
        <v>0.49323139883927181</v>
      </c>
      <c r="L304" s="26">
        <f ca="1"/>
        <v>0.41781838913623304</v>
      </c>
      <c r="M304" s="6"/>
      <c r="N304" s="59" t="s">
        <v>134</v>
      </c>
    </row>
    <row r="305" spans="1:15" x14ac:dyDescent="0.25">
      <c r="A305" t="str">
        <v>CA Non-econ</v>
      </c>
      <c r="C305" s="26">
        <f ca="1"/>
        <v>3.3795865171721631E-2</v>
      </c>
      <c r="D305" s="26">
        <f ca="1"/>
        <v>0.13737734500548665</v>
      </c>
      <c r="E305" s="26">
        <f ca="1"/>
        <v>0.23495466833934331</v>
      </c>
      <c r="F305" s="26">
        <f ca="1"/>
        <v>0.31025414193437884</v>
      </c>
      <c r="G305" s="26">
        <f ca="1"/>
        <v>0.39685643633419626</v>
      </c>
      <c r="H305" s="26">
        <f ca="1"/>
        <v>0.39312975502942604</v>
      </c>
      <c r="I305" s="26">
        <f ca="1"/>
        <v>0.27990334457830496</v>
      </c>
      <c r="J305" s="26">
        <f ca="1"/>
        <v>0.21652878129694986</v>
      </c>
      <c r="K305" s="26">
        <f ca="1"/>
        <v>0.18086702486549466</v>
      </c>
      <c r="L305" s="26">
        <f ca="1"/>
        <v>0.14819996258447193</v>
      </c>
      <c r="M305" s="6"/>
      <c r="N305" s="59" t="s">
        <v>134</v>
      </c>
    </row>
    <row r="306" spans="1:15" x14ac:dyDescent="0.25">
      <c r="A306" t="str">
        <v>IA Non-econ</v>
      </c>
      <c r="C306" s="26">
        <f ca="1"/>
        <v>9.9889353556475713E-3</v>
      </c>
      <c r="D306" s="26">
        <f ca="1"/>
        <v>7.9679595502881645E-2</v>
      </c>
      <c r="E306" s="26">
        <f ca="1"/>
        <v>0.14696169865075553</v>
      </c>
      <c r="F306" s="26">
        <f ca="1"/>
        <v>0.19936540480965104</v>
      </c>
      <c r="G306" s="26">
        <f ca="1"/>
        <v>0.25995958836135391</v>
      </c>
      <c r="H306" s="26">
        <f ca="1"/>
        <v>0.25734643658859535</v>
      </c>
      <c r="I306" s="26">
        <f ca="1"/>
        <v>0.17820562353339184</v>
      </c>
      <c r="J306" s="26">
        <f ca="1"/>
        <v>0.13419180158818167</v>
      </c>
      <c r="K306" s="26">
        <f ca="1"/>
        <v>0.10955335698485449</v>
      </c>
      <c r="L306" s="26">
        <f ca="1"/>
        <v>8.7092686117558937E-2</v>
      </c>
      <c r="M306" s="6"/>
      <c r="N306" s="59" t="s">
        <v>134</v>
      </c>
    </row>
    <row r="307" spans="1:15" x14ac:dyDescent="0.25">
      <c r="A307" t="str">
        <v>AF Non-econ</v>
      </c>
      <c r="C307" s="26">
        <f ca="1"/>
        <v>4.0782732547466824E-2</v>
      </c>
      <c r="D307" s="26">
        <f ca="1"/>
        <v>0.153901217846106</v>
      </c>
      <c r="E307" s="26">
        <f ca="1"/>
        <v>0.25996694857431973</v>
      </c>
      <c r="F307" s="26">
        <f ca="1"/>
        <v>0.34167010663199882</v>
      </c>
      <c r="G307" s="26">
        <f ca="1"/>
        <v>0.43553869987808724</v>
      </c>
      <c r="H307" s="26">
        <f ca="1"/>
        <v>0.43150105308322273</v>
      </c>
      <c r="I307" s="26">
        <f ca="1"/>
        <v>0.30874959787816464</v>
      </c>
      <c r="J307" s="26">
        <f ca="1"/>
        <v>0.23995785085659338</v>
      </c>
      <c r="K307" s="26">
        <f ca="1"/>
        <v>0.20120863465433242</v>
      </c>
      <c r="L307" s="26">
        <f ca="1"/>
        <v>0.16568032327374557</v>
      </c>
      <c r="M307" s="6"/>
      <c r="N307" s="59" t="s">
        <v>134</v>
      </c>
      <c r="O307" s="6"/>
    </row>
    <row r="308" spans="1:15" x14ac:dyDescent="0.25">
      <c r="A308" t="str">
        <v>LA Non-econ</v>
      </c>
      <c r="C308" s="26">
        <f ca="1"/>
        <v>1.3952399597187609E-2</v>
      </c>
      <c r="D308" s="26">
        <f ca="1"/>
        <v>8.9483156059282837E-2</v>
      </c>
      <c r="E308" s="26">
        <f ca="1"/>
        <v>0.16200353761940417</v>
      </c>
      <c r="F308" s="26">
        <f ca="1"/>
        <v>0.21837164485508542</v>
      </c>
      <c r="G308" s="26">
        <f ca="1"/>
        <v>0.28347293679290125</v>
      </c>
      <c r="H308" s="26">
        <f ca="1"/>
        <v>0.28066674736063146</v>
      </c>
      <c r="I308" s="26">
        <f ca="1"/>
        <v>0.19561999935459173</v>
      </c>
      <c r="J308" s="26">
        <f ca="1"/>
        <v>0.14825493205701992</v>
      </c>
      <c r="K308" s="26">
        <f ca="1"/>
        <v>0.12170991156715369</v>
      </c>
      <c r="L308" s="26">
        <f ca="1"/>
        <v>9.7485213027706241E-2</v>
      </c>
      <c r="M308" s="6"/>
      <c r="N308" s="59" t="s">
        <v>134</v>
      </c>
    </row>
    <row r="309" spans="1:15" s="2" customFormat="1" ht="15" x14ac:dyDescent="0.4">
      <c r="A309" s="2" t="s">
        <v>225</v>
      </c>
      <c r="C309" s="2" t="s">
        <v>241</v>
      </c>
    </row>
    <row r="310" spans="1:15" x14ac:dyDescent="0.25">
      <c r="A310" t="str">
        <f t="array" ref="A310:A317">R_CODE&amp;" "&amp;I_2_NAME</f>
        <v>EU Non-econ</v>
      </c>
      <c r="C310" s="29">
        <f t="array" ref="C310:L317" ca="1">IF(igdp_2&lt;ISATG,igdp_2,ISATG+(100-SAVE-ISATG)*((igdp_2-ISATG)/((100-SAVE-ISATG)+(igdp_2-ISATG))))*(1-imp_2/100*IF(i_2&lt;impmax_2_a,1,impmax_2_a/i_2))</f>
        <v>5.2049070898255889E-2</v>
      </c>
      <c r="D310" s="29">
        <f ca="1"/>
        <v>0.18028124880976895</v>
      </c>
      <c r="E310" s="29">
        <f ca="1"/>
        <v>0.29977410062359122</v>
      </c>
      <c r="F310" s="29">
        <f ca="1"/>
        <v>0.39159895290171121</v>
      </c>
      <c r="G310" s="29">
        <f ca="1"/>
        <v>0.49694734930275153</v>
      </c>
      <c r="H310" s="29">
        <f ca="1"/>
        <v>0.49241851205164155</v>
      </c>
      <c r="I310" s="29">
        <f ca="1"/>
        <v>0.35461736422378703</v>
      </c>
      <c r="J310" s="29">
        <f ca="1"/>
        <v>0.27726169362453301</v>
      </c>
      <c r="K310" s="29">
        <f ca="1"/>
        <v>0.23362946071843282</v>
      </c>
      <c r="L310" s="29">
        <f ca="1"/>
        <v>0.19357413974595677</v>
      </c>
      <c r="M310" s="6"/>
      <c r="N310" s="59" t="s">
        <v>134</v>
      </c>
    </row>
    <row r="311" spans="1:15" x14ac:dyDescent="0.25">
      <c r="A311" t="str">
        <v>US Non-econ</v>
      </c>
      <c r="C311" s="26">
        <f ca="1"/>
        <v>6.6394355872927635E-2</v>
      </c>
      <c r="D311" s="26">
        <f ca="1"/>
        <v>0.21349424401212441</v>
      </c>
      <c r="E311" s="26">
        <f ca="1"/>
        <v>0.3497134218208714</v>
      </c>
      <c r="F311" s="26">
        <f ca="1"/>
        <v>0.45413572547841324</v>
      </c>
      <c r="G311" s="26">
        <f ca="1"/>
        <v>0.57376412491755269</v>
      </c>
      <c r="H311" s="26">
        <f ca="1"/>
        <v>0.56862442102832689</v>
      </c>
      <c r="I311" s="26">
        <f ca="1"/>
        <v>0.41210061695608252</v>
      </c>
      <c r="J311" s="26">
        <f ca="1"/>
        <v>0.32408412368815515</v>
      </c>
      <c r="K311" s="26">
        <f ca="1"/>
        <v>0.27437019542358715</v>
      </c>
      <c r="L311" s="26">
        <f ca="1"/>
        <v>0.2286740280994197</v>
      </c>
      <c r="M311" s="6"/>
      <c r="N311" s="59" t="s">
        <v>134</v>
      </c>
    </row>
    <row r="312" spans="1:15" x14ac:dyDescent="0.25">
      <c r="A312" t="str">
        <v>OT Non-econ</v>
      </c>
      <c r="C312" s="26">
        <f ca="1"/>
        <v>4.2594803011027721E-2</v>
      </c>
      <c r="D312" s="26">
        <f ca="1"/>
        <v>0.15816473467762798</v>
      </c>
      <c r="E312" s="26">
        <f ca="1"/>
        <v>0.26641031100618295</v>
      </c>
      <c r="F312" s="26">
        <f ca="1"/>
        <v>0.34975730597593435</v>
      </c>
      <c r="G312" s="26">
        <f ca="1"/>
        <v>0.44549072646951476</v>
      </c>
      <c r="H312" s="26">
        <f ca="1"/>
        <v>0.4413732811558142</v>
      </c>
      <c r="I312" s="26">
        <f ca="1"/>
        <v>0.31617719924473708</v>
      </c>
      <c r="J312" s="26">
        <f ca="1"/>
        <v>0.24599472728395977</v>
      </c>
      <c r="K312" s="26">
        <f ca="1"/>
        <v>0.20645270844386424</v>
      </c>
      <c r="L312" s="26">
        <f ca="1"/>
        <v>0.17018953484438265</v>
      </c>
      <c r="M312" s="6"/>
      <c r="N312" s="59" t="s">
        <v>134</v>
      </c>
    </row>
    <row r="313" spans="1:15" x14ac:dyDescent="0.25">
      <c r="A313" t="str">
        <v>EE Non-econ</v>
      </c>
      <c r="C313" s="26">
        <f ca="1"/>
        <v>0.14575531404447017</v>
      </c>
      <c r="D313" s="26">
        <f ca="1"/>
        <v>0.39269011631342543</v>
      </c>
      <c r="E313" s="26">
        <f ca="1"/>
        <v>0.61697138080866509</v>
      </c>
      <c r="F313" s="26">
        <f ca="1"/>
        <v>0.78757869991442564</v>
      </c>
      <c r="G313" s="26">
        <f ca="1"/>
        <v>0.98213623399807637</v>
      </c>
      <c r="H313" s="26">
        <f ca="1"/>
        <v>0.97379292224644398</v>
      </c>
      <c r="I313" s="26">
        <f ca="1"/>
        <v>0.71900427410420265</v>
      </c>
      <c r="J313" s="26">
        <f ca="1"/>
        <v>0.57495068190939402</v>
      </c>
      <c r="K313" s="26">
        <f ca="1"/>
        <v>0.49323139883927181</v>
      </c>
      <c r="L313" s="26">
        <f ca="1"/>
        <v>0.41781838913623304</v>
      </c>
      <c r="M313" s="6"/>
      <c r="N313" s="59" t="s">
        <v>134</v>
      </c>
    </row>
    <row r="314" spans="1:15" x14ac:dyDescent="0.25">
      <c r="A314" t="str">
        <v>CA Non-econ</v>
      </c>
      <c r="C314" s="26">
        <f ca="1"/>
        <v>3.3795865171721631E-2</v>
      </c>
      <c r="D314" s="26">
        <f ca="1"/>
        <v>0.13737734500548665</v>
      </c>
      <c r="E314" s="26">
        <f ca="1"/>
        <v>0.23495466833934331</v>
      </c>
      <c r="F314" s="26">
        <f ca="1"/>
        <v>0.31025414193437884</v>
      </c>
      <c r="G314" s="26">
        <f ca="1"/>
        <v>0.39685643633419626</v>
      </c>
      <c r="H314" s="26">
        <f ca="1"/>
        <v>0.39312975502942604</v>
      </c>
      <c r="I314" s="26">
        <f ca="1"/>
        <v>0.27990334457830496</v>
      </c>
      <c r="J314" s="26">
        <f ca="1"/>
        <v>0.21652878129694986</v>
      </c>
      <c r="K314" s="26">
        <f ca="1"/>
        <v>0.18086702486549466</v>
      </c>
      <c r="L314" s="26">
        <f ca="1"/>
        <v>0.14819996258447193</v>
      </c>
      <c r="M314" s="6"/>
      <c r="N314" s="59" t="s">
        <v>134</v>
      </c>
    </row>
    <row r="315" spans="1:15" x14ac:dyDescent="0.25">
      <c r="A315" t="str">
        <v>IA Non-econ</v>
      </c>
      <c r="C315" s="26">
        <f ca="1"/>
        <v>9.9889353556475713E-3</v>
      </c>
      <c r="D315" s="26">
        <f ca="1"/>
        <v>7.9679595502881645E-2</v>
      </c>
      <c r="E315" s="26">
        <f ca="1"/>
        <v>0.14696169865075553</v>
      </c>
      <c r="F315" s="26">
        <f ca="1"/>
        <v>0.19936540480965104</v>
      </c>
      <c r="G315" s="26">
        <f ca="1"/>
        <v>0.25995958836135391</v>
      </c>
      <c r="H315" s="26">
        <f ca="1"/>
        <v>0.25734643658859535</v>
      </c>
      <c r="I315" s="26">
        <f ca="1"/>
        <v>0.17820562353339184</v>
      </c>
      <c r="J315" s="26">
        <f ca="1"/>
        <v>0.13419180158818167</v>
      </c>
      <c r="K315" s="26">
        <f ca="1"/>
        <v>0.10955335698485449</v>
      </c>
      <c r="L315" s="26">
        <f ca="1"/>
        <v>8.7092686117558937E-2</v>
      </c>
      <c r="M315" s="6"/>
      <c r="N315" s="59" t="s">
        <v>134</v>
      </c>
    </row>
    <row r="316" spans="1:15" x14ac:dyDescent="0.25">
      <c r="A316" t="str">
        <v>AF Non-econ</v>
      </c>
      <c r="C316" s="26">
        <f ca="1"/>
        <v>4.0782732547466824E-2</v>
      </c>
      <c r="D316" s="26">
        <f ca="1"/>
        <v>0.153901217846106</v>
      </c>
      <c r="E316" s="26">
        <f ca="1"/>
        <v>0.25996694857431973</v>
      </c>
      <c r="F316" s="26">
        <f ca="1"/>
        <v>0.34167010663199882</v>
      </c>
      <c r="G316" s="26">
        <f ca="1"/>
        <v>0.43553869987808724</v>
      </c>
      <c r="H316" s="26">
        <f ca="1"/>
        <v>0.43150105308322273</v>
      </c>
      <c r="I316" s="26">
        <f ca="1"/>
        <v>0.30874959787816464</v>
      </c>
      <c r="J316" s="26">
        <f ca="1"/>
        <v>0.23995785085659338</v>
      </c>
      <c r="K316" s="26">
        <f ca="1"/>
        <v>0.20120863465433242</v>
      </c>
      <c r="L316" s="26">
        <f ca="1"/>
        <v>0.16568032327374557</v>
      </c>
      <c r="M316" s="6"/>
      <c r="N316" s="59" t="s">
        <v>134</v>
      </c>
      <c r="O316" s="6"/>
    </row>
    <row r="317" spans="1:15" x14ac:dyDescent="0.25">
      <c r="A317" t="str">
        <v>LA Non-econ</v>
      </c>
      <c r="C317" s="26">
        <f ca="1"/>
        <v>1.3952399597187609E-2</v>
      </c>
      <c r="D317" s="26">
        <f ca="1"/>
        <v>8.9483156059282837E-2</v>
      </c>
      <c r="E317" s="26">
        <f ca="1"/>
        <v>0.16200353761940417</v>
      </c>
      <c r="F317" s="26">
        <f ca="1"/>
        <v>0.21837164485508542</v>
      </c>
      <c r="G317" s="26">
        <f ca="1"/>
        <v>0.28347293679290125</v>
      </c>
      <c r="H317" s="26">
        <f ca="1"/>
        <v>0.28066674736063146</v>
      </c>
      <c r="I317" s="26">
        <f ca="1"/>
        <v>0.19561999935459173</v>
      </c>
      <c r="J317" s="26">
        <f ca="1"/>
        <v>0.14825493205701992</v>
      </c>
      <c r="K317" s="26">
        <f ca="1"/>
        <v>0.12170991156715369</v>
      </c>
      <c r="L317" s="26">
        <f ca="1"/>
        <v>9.7485213027706241E-2</v>
      </c>
      <c r="M317" s="6"/>
      <c r="N317" s="59" t="s">
        <v>134</v>
      </c>
    </row>
    <row r="318" spans="1:15" s="2" customFormat="1" ht="15" x14ac:dyDescent="0.4">
      <c r="A318" s="2" t="s">
        <v>226</v>
      </c>
      <c r="C318" s="2" t="s">
        <v>242</v>
      </c>
    </row>
    <row r="319" spans="1:15" x14ac:dyDescent="0.25">
      <c r="A319" t="str">
        <f t="array" ref="A319:A326">R_CODE&amp;" "&amp;I_2_NAME</f>
        <v>EU Non-econ</v>
      </c>
      <c r="C319" s="29">
        <f t="array" ref="C319:L326" ca="1">(isat_2/100)*rgdp_1_per_cap</f>
        <v>19.109803444705864</v>
      </c>
      <c r="D319" s="29">
        <f ca="1"/>
        <v>76.110714744164483</v>
      </c>
      <c r="E319" s="29">
        <f ca="1"/>
        <v>148.12887941575343</v>
      </c>
      <c r="F319" s="29">
        <f ca="1"/>
        <v>227.62901331491611</v>
      </c>
      <c r="G319" s="29">
        <f ca="1"/>
        <v>442.31063739991345</v>
      </c>
      <c r="H319" s="29">
        <f ca="1"/>
        <v>670.57889854450059</v>
      </c>
      <c r="I319" s="29">
        <f ca="1"/>
        <v>925.68894967149913</v>
      </c>
      <c r="J319" s="29">
        <f ca="1"/>
        <v>1234.4763565940725</v>
      </c>
      <c r="K319" s="29">
        <f ca="1"/>
        <v>1615.0031778213836</v>
      </c>
      <c r="L319" s="29">
        <f ca="1"/>
        <v>1922.7003522500827</v>
      </c>
      <c r="M319" s="6"/>
      <c r="N319" s="1" t="str">
        <f t="shared" ref="N319:N326" si="9">CURRENCY_NAME&amp;"/"&amp;POP_UNIT_NAME</f>
        <v>$M(2015)/million</v>
      </c>
      <c r="O319" s="1"/>
    </row>
    <row r="320" spans="1:15" x14ac:dyDescent="0.25">
      <c r="A320" t="str">
        <v>US Non-econ</v>
      </c>
      <c r="C320" s="26">
        <f ca="1"/>
        <v>38.428172236821815</v>
      </c>
      <c r="D320" s="26">
        <f ca="1"/>
        <v>140.9685433377324</v>
      </c>
      <c r="E320" s="26">
        <f ca="1"/>
        <v>255.83506193729608</v>
      </c>
      <c r="F320" s="26">
        <f ca="1"/>
        <v>368.64177759945858</v>
      </c>
      <c r="G320" s="26">
        <f ca="1"/>
        <v>622.81327803878537</v>
      </c>
      <c r="H320" s="26">
        <f ca="1"/>
        <v>874.93147980785011</v>
      </c>
      <c r="I320" s="26">
        <f ca="1"/>
        <v>1284.3072270562868</v>
      </c>
      <c r="J320" s="26">
        <f ca="1"/>
        <v>1898.4462758027678</v>
      </c>
      <c r="K320" s="26">
        <f ca="1"/>
        <v>2832.8110543743228</v>
      </c>
      <c r="L320" s="26">
        <f ca="1"/>
        <v>3929.4862799116581</v>
      </c>
      <c r="M320" s="6"/>
      <c r="N320" s="1" t="str">
        <f t="shared" si="9"/>
        <v>$M(2015)/million</v>
      </c>
      <c r="O320" s="1"/>
    </row>
    <row r="321" spans="1:15" x14ac:dyDescent="0.25">
      <c r="A321" t="str">
        <v>OT Non-econ</v>
      </c>
      <c r="C321" s="26">
        <f ca="1"/>
        <v>15.772534410137814</v>
      </c>
      <c r="D321" s="26">
        <f ca="1"/>
        <v>69.120185392666158</v>
      </c>
      <c r="E321" s="26">
        <f ca="1"/>
        <v>135.83687294898442</v>
      </c>
      <c r="F321" s="26">
        <f ca="1"/>
        <v>209.09301022548047</v>
      </c>
      <c r="G321" s="26">
        <f ca="1"/>
        <v>405.91302764909801</v>
      </c>
      <c r="H321" s="26">
        <f ca="1"/>
        <v>614.02812746492702</v>
      </c>
      <c r="I321" s="26">
        <f ca="1"/>
        <v>707.94692131115016</v>
      </c>
      <c r="J321" s="26">
        <f ca="1"/>
        <v>743.6424303205556</v>
      </c>
      <c r="K321" s="26">
        <f ca="1"/>
        <v>754.94064981199494</v>
      </c>
      <c r="L321" s="26">
        <f ca="1"/>
        <v>702.2235966141377</v>
      </c>
      <c r="M321" s="6"/>
      <c r="N321" s="1" t="str">
        <f t="shared" si="9"/>
        <v>$M(2015)/million</v>
      </c>
      <c r="O321" s="1"/>
    </row>
    <row r="322" spans="1:15" x14ac:dyDescent="0.25">
      <c r="A322" t="str">
        <v>EE Non-econ</v>
      </c>
      <c r="C322" s="26">
        <f ca="1"/>
        <v>24.146903623143395</v>
      </c>
      <c r="D322" s="26">
        <f ca="1"/>
        <v>96.53487926838136</v>
      </c>
      <c r="E322" s="26">
        <f ca="1"/>
        <v>207.67534495282706</v>
      </c>
      <c r="F322" s="26">
        <f ca="1"/>
        <v>328.884273007422</v>
      </c>
      <c r="G322" s="26">
        <f ca="1"/>
        <v>652.33169804687657</v>
      </c>
      <c r="H322" s="26">
        <f ca="1"/>
        <v>971.19613502796358</v>
      </c>
      <c r="I322" s="26">
        <f ca="1"/>
        <v>996.32073674482638</v>
      </c>
      <c r="J322" s="26">
        <f ca="1"/>
        <v>917.45685933513641</v>
      </c>
      <c r="K322" s="26">
        <f ca="1"/>
        <v>836.57975762743024</v>
      </c>
      <c r="L322" s="26">
        <f ca="1"/>
        <v>727.40728476343054</v>
      </c>
      <c r="M322" s="6"/>
      <c r="N322" s="1" t="str">
        <f t="shared" si="9"/>
        <v>$M(2015)/million</v>
      </c>
      <c r="O322" s="1"/>
    </row>
    <row r="323" spans="1:15" x14ac:dyDescent="0.25">
      <c r="A323" t="str">
        <v>CA Non-econ</v>
      </c>
      <c r="C323" s="26">
        <f ca="1"/>
        <v>4.9316114796403534</v>
      </c>
      <c r="D323" s="26">
        <f ca="1"/>
        <v>37.329088984784939</v>
      </c>
      <c r="E323" s="26">
        <f ca="1"/>
        <v>96.601440764505512</v>
      </c>
      <c r="F323" s="26">
        <f ca="1"/>
        <v>170.40071108549097</v>
      </c>
      <c r="G323" s="26">
        <f ca="1"/>
        <v>335.00472670026625</v>
      </c>
      <c r="H323" s="26">
        <f ca="1"/>
        <v>469.33887366322597</v>
      </c>
      <c r="I323" s="26">
        <f ca="1"/>
        <v>323.84027362017912</v>
      </c>
      <c r="J323" s="26">
        <f ca="1"/>
        <v>242.13250313951409</v>
      </c>
      <c r="K323" s="26">
        <f ca="1"/>
        <v>195.27406302179713</v>
      </c>
      <c r="L323" s="26">
        <f ca="1"/>
        <v>154.44807511459354</v>
      </c>
      <c r="M323" s="6"/>
      <c r="N323" s="1" t="str">
        <f t="shared" si="9"/>
        <v>$M(2015)/million</v>
      </c>
      <c r="O323" s="1"/>
    </row>
    <row r="324" spans="1:15" x14ac:dyDescent="0.25">
      <c r="A324" t="str">
        <v>IA Non-econ</v>
      </c>
      <c r="C324" s="26">
        <f ca="1"/>
        <v>0.69219159520150042</v>
      </c>
      <c r="D324" s="26">
        <f ca="1"/>
        <v>9.4007762440513396</v>
      </c>
      <c r="E324" s="26">
        <f ca="1"/>
        <v>28.200796951592991</v>
      </c>
      <c r="F324" s="26">
        <f ca="1"/>
        <v>58.130348204293362</v>
      </c>
      <c r="G324" s="26">
        <f ca="1"/>
        <v>166.08630245656485</v>
      </c>
      <c r="H324" s="26">
        <f ca="1"/>
        <v>289.28033387359318</v>
      </c>
      <c r="I324" s="26">
        <f ca="1"/>
        <v>333.65463950409031</v>
      </c>
      <c r="J324" s="26">
        <f ca="1"/>
        <v>286.12667068765313</v>
      </c>
      <c r="K324" s="26">
        <f ca="1"/>
        <v>241.43320528826351</v>
      </c>
      <c r="L324" s="26">
        <f ca="1"/>
        <v>193.63434547456313</v>
      </c>
      <c r="M324" s="6"/>
      <c r="N324" s="1" t="str">
        <f t="shared" si="9"/>
        <v>$M(2015)/million</v>
      </c>
      <c r="O324" s="1"/>
    </row>
    <row r="325" spans="1:15" x14ac:dyDescent="0.25">
      <c r="A325" t="str">
        <v>AF Non-econ</v>
      </c>
      <c r="C325" s="26">
        <f ca="1"/>
        <v>2.4826044972030368</v>
      </c>
      <c r="D325" s="26">
        <f ca="1"/>
        <v>12.694864243280943</v>
      </c>
      <c r="E325" s="26">
        <f ca="1"/>
        <v>30.727347390509721</v>
      </c>
      <c r="F325" s="26">
        <f ca="1"/>
        <v>59.971149921924805</v>
      </c>
      <c r="G325" s="26">
        <f ca="1"/>
        <v>204.28344619886042</v>
      </c>
      <c r="H325" s="26">
        <f ca="1"/>
        <v>438.21517613310459</v>
      </c>
      <c r="I325" s="26">
        <f ca="1"/>
        <v>1187.3717035384943</v>
      </c>
      <c r="J325" s="26">
        <f ca="1"/>
        <v>1770.2494479428892</v>
      </c>
      <c r="K325" s="26">
        <f ca="1"/>
        <v>2040.6754922006694</v>
      </c>
      <c r="L325" s="26">
        <f ca="1"/>
        <v>1963.6487161099299</v>
      </c>
      <c r="M325" s="6"/>
      <c r="N325" s="1" t="str">
        <f t="shared" si="9"/>
        <v>$M(2015)/million</v>
      </c>
      <c r="O325" s="6"/>
    </row>
    <row r="326" spans="1:15" x14ac:dyDescent="0.25">
      <c r="A326" t="str">
        <v>LA Non-econ</v>
      </c>
      <c r="C326" s="26">
        <f ca="1"/>
        <v>2.0333055700477414</v>
      </c>
      <c r="D326" s="26">
        <f ca="1"/>
        <v>17.43637882327571</v>
      </c>
      <c r="E326" s="26">
        <f ca="1"/>
        <v>42.880791762419037</v>
      </c>
      <c r="F326" s="26">
        <f ca="1"/>
        <v>78.024118624920675</v>
      </c>
      <c r="G326" s="26">
        <f ca="1"/>
        <v>197.02759597051778</v>
      </c>
      <c r="H326" s="26">
        <f ca="1"/>
        <v>338.13513091542188</v>
      </c>
      <c r="I326" s="26">
        <f ca="1"/>
        <v>431.38765303365193</v>
      </c>
      <c r="J326" s="26">
        <f ca="1"/>
        <v>416.04052540313268</v>
      </c>
      <c r="K326" s="26">
        <f ca="1"/>
        <v>375.942009042081</v>
      </c>
      <c r="L326" s="26">
        <f ca="1"/>
        <v>312.94033419311597</v>
      </c>
      <c r="M326" s="6"/>
      <c r="N326" s="1" t="str">
        <f t="shared" si="9"/>
        <v>$M(2015)/million</v>
      </c>
      <c r="O326" s="1"/>
    </row>
    <row r="327" spans="1:15" s="2" customFormat="1" ht="15" x14ac:dyDescent="0.4">
      <c r="A327" s="2" t="s">
        <v>228</v>
      </c>
      <c r="C327" s="2" t="s">
        <v>244</v>
      </c>
    </row>
    <row r="328" spans="1:15" x14ac:dyDescent="0.25">
      <c r="A328" t="str">
        <f t="array" ref="A328:A335">R_CODE&amp;" "&amp;I_2_NAME</f>
        <v>EU Non-econ</v>
      </c>
      <c r="C328" s="29">
        <f t="array" ref="C328:L335" ca="1">rcons_1_per_cap-isat_2_per_cap</f>
        <v>31188.619071777699</v>
      </c>
      <c r="D328" s="29">
        <f ca="1"/>
        <v>35808.989904236136</v>
      </c>
      <c r="E328" s="29">
        <f ca="1"/>
        <v>41853.347312647842</v>
      </c>
      <c r="F328" s="29">
        <f ca="1"/>
        <v>49181.252160645236</v>
      </c>
      <c r="G328" s="29">
        <f ca="1"/>
        <v>75212.392485059172</v>
      </c>
      <c r="H328" s="29">
        <f ca="1"/>
        <v>115083.00262055334</v>
      </c>
      <c r="I328" s="29">
        <f ca="1"/>
        <v>220957.30004131005</v>
      </c>
      <c r="J328" s="29">
        <f ca="1"/>
        <v>377218.41750977869</v>
      </c>
      <c r="K328" s="29">
        <f ca="1"/>
        <v>585961.87900425913</v>
      </c>
      <c r="L328" s="29">
        <f ca="1"/>
        <v>842350.86922547861</v>
      </c>
      <c r="M328" s="6"/>
      <c r="N328" s="1" t="str">
        <f t="shared" ref="N328:N335" si="10">CURRENCY_NAME&amp;"/"&amp;POP_UNIT_NAME</f>
        <v>$M(2015)/million</v>
      </c>
      <c r="O328" s="1"/>
    </row>
    <row r="329" spans="1:15" x14ac:dyDescent="0.25">
      <c r="A329" t="str">
        <v>US Non-econ</v>
      </c>
      <c r="C329" s="26">
        <f ca="1"/>
        <v>49158.44401945093</v>
      </c>
      <c r="D329" s="26">
        <f ca="1"/>
        <v>55983.852241183165</v>
      </c>
      <c r="E329" s="26">
        <f ca="1"/>
        <v>61926.451655696299</v>
      </c>
      <c r="F329" s="26">
        <f ca="1"/>
        <v>68629.565890260899</v>
      </c>
      <c r="G329" s="26">
        <f ca="1"/>
        <v>91643.549037492659</v>
      </c>
      <c r="H329" s="26">
        <f ca="1"/>
        <v>129912.93663386648</v>
      </c>
      <c r="I329" s="26">
        <f ca="1"/>
        <v>263617.29643013544</v>
      </c>
      <c r="J329" s="26">
        <f ca="1"/>
        <v>496021.45059180498</v>
      </c>
      <c r="K329" s="26">
        <f ca="1"/>
        <v>874773.22501698101</v>
      </c>
      <c r="L329" s="26">
        <f ca="1"/>
        <v>1456692.5903438332</v>
      </c>
      <c r="M329" s="6"/>
      <c r="N329" s="1" t="str">
        <f t="shared" si="10"/>
        <v>$M(2015)/million</v>
      </c>
      <c r="O329" s="1"/>
    </row>
    <row r="330" spans="1:15" x14ac:dyDescent="0.25">
      <c r="A330" t="str">
        <v>OT Non-econ</v>
      </c>
      <c r="C330" s="26">
        <f ca="1"/>
        <v>31459.086605438872</v>
      </c>
      <c r="D330" s="26">
        <f ca="1"/>
        <v>37077.060158484317</v>
      </c>
      <c r="E330" s="26">
        <f ca="1"/>
        <v>43203.830263266733</v>
      </c>
      <c r="F330" s="26">
        <f ca="1"/>
        <v>50605.873726705911</v>
      </c>
      <c r="G330" s="26">
        <f ca="1"/>
        <v>77042.629220590868</v>
      </c>
      <c r="H330" s="26">
        <f ca="1"/>
        <v>117635.97263797282</v>
      </c>
      <c r="I330" s="26">
        <f ca="1"/>
        <v>189614.08912427007</v>
      </c>
      <c r="J330" s="26">
        <f ca="1"/>
        <v>256211.48532850452</v>
      </c>
      <c r="K330" s="26">
        <f ca="1"/>
        <v>310066.63063254184</v>
      </c>
      <c r="L330" s="26">
        <f ca="1"/>
        <v>350018.55231231556</v>
      </c>
      <c r="M330" s="6"/>
      <c r="N330" s="1" t="str">
        <f t="shared" si="10"/>
        <v>$M(2015)/million</v>
      </c>
      <c r="O330" s="1"/>
    </row>
    <row r="331" spans="1:15" x14ac:dyDescent="0.25">
      <c r="A331" t="str">
        <v>EE Non-econ</v>
      </c>
      <c r="C331" s="26">
        <f ca="1"/>
        <v>14057.581926798586</v>
      </c>
      <c r="D331" s="26">
        <f ca="1"/>
        <v>20798.98654318379</v>
      </c>
      <c r="E331" s="26">
        <f ca="1"/>
        <v>28403.707403227931</v>
      </c>
      <c r="F331" s="26">
        <f ca="1"/>
        <v>35166.188420893945</v>
      </c>
      <c r="G331" s="26">
        <f ca="1"/>
        <v>55804.392343450105</v>
      </c>
      <c r="H331" s="26">
        <f ca="1"/>
        <v>83802.136666506849</v>
      </c>
      <c r="I331" s="26">
        <f ca="1"/>
        <v>116787.76716568235</v>
      </c>
      <c r="J331" s="26">
        <f ca="1"/>
        <v>134718.23416116182</v>
      </c>
      <c r="K331" s="26">
        <f ca="1"/>
        <v>143333.64047910934</v>
      </c>
      <c r="L331" s="26">
        <f ca="1"/>
        <v>147254.63661884164</v>
      </c>
      <c r="M331" s="6"/>
      <c r="N331" s="1" t="str">
        <f t="shared" si="10"/>
        <v>$M(2015)/million</v>
      </c>
      <c r="O331" s="1"/>
    </row>
    <row r="332" spans="1:15" x14ac:dyDescent="0.25">
      <c r="A332" t="str">
        <v>CA Non-econ</v>
      </c>
      <c r="C332" s="26">
        <f ca="1"/>
        <v>12398.567267435901</v>
      </c>
      <c r="D332" s="26">
        <f ca="1"/>
        <v>23059.438166052762</v>
      </c>
      <c r="E332" s="26">
        <f ca="1"/>
        <v>34851.086651662343</v>
      </c>
      <c r="F332" s="26">
        <f ca="1"/>
        <v>46514.10236101281</v>
      </c>
      <c r="G332" s="26">
        <f ca="1"/>
        <v>71417.395291182387</v>
      </c>
      <c r="H332" s="26">
        <f ca="1"/>
        <v>101008.10909612509</v>
      </c>
      <c r="I332" s="26">
        <f ca="1"/>
        <v>98018.761881369457</v>
      </c>
      <c r="J332" s="26">
        <f ca="1"/>
        <v>94808.800881246629</v>
      </c>
      <c r="K332" s="26">
        <f ca="1"/>
        <v>91575.436320456924</v>
      </c>
      <c r="L332" s="26">
        <f ca="1"/>
        <v>88429.15313367534</v>
      </c>
      <c r="M332" s="6"/>
      <c r="N332" s="1" t="str">
        <f t="shared" si="10"/>
        <v>$M(2015)/million</v>
      </c>
      <c r="O332" s="1"/>
    </row>
    <row r="333" spans="1:15" x14ac:dyDescent="0.25">
      <c r="A333" t="str">
        <v>IA Non-econ</v>
      </c>
      <c r="C333" s="26">
        <f ca="1"/>
        <v>5889.4536044592815</v>
      </c>
      <c r="D333" s="26">
        <f ca="1"/>
        <v>10019.088646941655</v>
      </c>
      <c r="E333" s="26">
        <f ca="1"/>
        <v>16282.632317340809</v>
      </c>
      <c r="F333" s="26">
        <f ca="1"/>
        <v>24725.906792454847</v>
      </c>
      <c r="G333" s="26">
        <f ca="1"/>
        <v>54139.799461542912</v>
      </c>
      <c r="H333" s="26">
        <f ca="1"/>
        <v>95258.296330512618</v>
      </c>
      <c r="I333" s="26">
        <f ca="1"/>
        <v>158811.96487307828</v>
      </c>
      <c r="J333" s="26">
        <f ca="1"/>
        <v>180952.71743610801</v>
      </c>
      <c r="K333" s="26">
        <f ca="1"/>
        <v>187081.1921738637</v>
      </c>
      <c r="L333" s="26">
        <f ca="1"/>
        <v>188788.01381636286</v>
      </c>
      <c r="M333" s="6"/>
      <c r="N333" s="1" t="str">
        <f t="shared" si="10"/>
        <v>$M(2015)/million</v>
      </c>
      <c r="O333" s="1"/>
    </row>
    <row r="334" spans="1:15" x14ac:dyDescent="0.25">
      <c r="A334" t="str">
        <v>AF Non-econ</v>
      </c>
      <c r="C334" s="26">
        <f ca="1"/>
        <v>5171.799967585267</v>
      </c>
      <c r="D334" s="26">
        <f ca="1"/>
        <v>6998.7081368550798</v>
      </c>
      <c r="E334" s="26">
        <f ca="1"/>
        <v>10016.028759556117</v>
      </c>
      <c r="F334" s="26">
        <f ca="1"/>
        <v>14859.530569477844</v>
      </c>
      <c r="G334" s="26">
        <f ca="1"/>
        <v>39663.799302276908</v>
      </c>
      <c r="H334" s="26">
        <f ca="1"/>
        <v>85884.378257097487</v>
      </c>
      <c r="I334" s="26">
        <f ca="1"/>
        <v>325700.81048155553</v>
      </c>
      <c r="J334" s="26">
        <f ca="1"/>
        <v>625303.22423920082</v>
      </c>
      <c r="K334" s="26">
        <f ca="1"/>
        <v>860036.72558479139</v>
      </c>
      <c r="L334" s="26">
        <f ca="1"/>
        <v>1005459.1856392197</v>
      </c>
      <c r="M334" s="6"/>
      <c r="N334" s="1" t="str">
        <f t="shared" si="10"/>
        <v>$M(2015)/million</v>
      </c>
      <c r="O334" s="6"/>
    </row>
    <row r="335" spans="1:15" x14ac:dyDescent="0.25">
      <c r="A335" t="str">
        <v>LA Non-econ</v>
      </c>
      <c r="C335" s="26">
        <f ca="1"/>
        <v>12385.153016766621</v>
      </c>
      <c r="D335" s="26">
        <f ca="1"/>
        <v>16545.370134131463</v>
      </c>
      <c r="E335" s="26">
        <f ca="1"/>
        <v>22455.808763823246</v>
      </c>
      <c r="F335" s="26">
        <f ca="1"/>
        <v>30292.448602407068</v>
      </c>
      <c r="G335" s="26">
        <f ca="1"/>
        <v>58882.141819518452</v>
      </c>
      <c r="H335" s="26">
        <f ca="1"/>
        <v>102066.18030044077</v>
      </c>
      <c r="I335" s="26">
        <f ca="1"/>
        <v>187013.40648273382</v>
      </c>
      <c r="J335" s="26">
        <f ca="1"/>
        <v>238115.2796040698</v>
      </c>
      <c r="K335" s="26">
        <f ca="1"/>
        <v>262175.15475143504</v>
      </c>
      <c r="L335" s="26">
        <f ca="1"/>
        <v>272548.22065906337</v>
      </c>
      <c r="M335" s="6"/>
      <c r="N335" s="1" t="str">
        <f t="shared" si="10"/>
        <v>$M(2015)/million</v>
      </c>
      <c r="O335" s="1"/>
    </row>
    <row r="336" spans="1:15" s="2" customFormat="1" ht="15" x14ac:dyDescent="0.4">
      <c r="A336" s="2" t="s">
        <v>230</v>
      </c>
      <c r="C336" s="2" t="s">
        <v>243</v>
      </c>
    </row>
    <row r="337" spans="1:17" x14ac:dyDescent="0.25">
      <c r="A337" t="str">
        <f t="array" ref="A337:A344">R_CODE&amp;" "&amp;I_2_NAME</f>
        <v>EU Non-econ</v>
      </c>
      <c r="C337" s="29">
        <f t="array" ref="C337:L344" ca="1" xml:space="preserve"> rcons_2_per_cap/(1-SAVE/100)</f>
        <v>36692.493025620824</v>
      </c>
      <c r="D337" s="29">
        <f ca="1"/>
        <v>42128.223416748398</v>
      </c>
      <c r="E337" s="29">
        <f ca="1"/>
        <v>49239.232132526871</v>
      </c>
      <c r="F337" s="29">
        <f ca="1"/>
        <v>57860.296659582629</v>
      </c>
      <c r="G337" s="29">
        <f ca="1"/>
        <v>88485.167629481381</v>
      </c>
      <c r="H337" s="29">
        <f ca="1"/>
        <v>135391.76778888627</v>
      </c>
      <c r="I337" s="29">
        <f ca="1"/>
        <v>259949.76475448243</v>
      </c>
      <c r="J337" s="29">
        <f ca="1"/>
        <v>443786.37354091613</v>
      </c>
      <c r="K337" s="29">
        <f ca="1"/>
        <v>689366.91647559905</v>
      </c>
      <c r="L337" s="29">
        <f ca="1"/>
        <v>991001.02261821018</v>
      </c>
      <c r="M337" s="6"/>
      <c r="N337" s="1" t="str">
        <f t="shared" ref="N337:N344" si="11">CURRENCY_NAME&amp;"/"&amp;POP_UNIT_NAME</f>
        <v>$M(2015)/million</v>
      </c>
      <c r="O337" s="1"/>
    </row>
    <row r="338" spans="1:17" x14ac:dyDescent="0.25">
      <c r="A338" t="str">
        <v>US Non-econ</v>
      </c>
      <c r="C338" s="26">
        <f ca="1"/>
        <v>57833.463552295216</v>
      </c>
      <c r="D338" s="26">
        <f ca="1"/>
        <v>65863.355577862545</v>
      </c>
      <c r="E338" s="26">
        <f ca="1"/>
        <v>72854.649006701526</v>
      </c>
      <c r="F338" s="26">
        <f ca="1"/>
        <v>80740.665753248119</v>
      </c>
      <c r="G338" s="26">
        <f ca="1"/>
        <v>107815.94004410901</v>
      </c>
      <c r="H338" s="26">
        <f ca="1"/>
        <v>152838.74898101939</v>
      </c>
      <c r="I338" s="26">
        <f ca="1"/>
        <v>310137.99580015935</v>
      </c>
      <c r="J338" s="26">
        <f ca="1"/>
        <v>583554.64775506465</v>
      </c>
      <c r="K338" s="26">
        <f ca="1"/>
        <v>1029144.970608213</v>
      </c>
      <c r="L338" s="26">
        <f ca="1"/>
        <v>1713755.9886398038</v>
      </c>
      <c r="M338" s="6"/>
      <c r="N338" s="1" t="str">
        <f t="shared" si="11"/>
        <v>$M(2015)/million</v>
      </c>
      <c r="O338" s="1"/>
    </row>
    <row r="339" spans="1:17" x14ac:dyDescent="0.25">
      <c r="A339" t="str">
        <v>OT Non-econ</v>
      </c>
      <c r="C339" s="26">
        <f ca="1"/>
        <v>37010.69012404573</v>
      </c>
      <c r="D339" s="26">
        <f ca="1"/>
        <v>43620.070774687432</v>
      </c>
      <c r="E339" s="26">
        <f ca="1"/>
        <v>50828.035603843215</v>
      </c>
      <c r="F339" s="26">
        <f ca="1"/>
        <v>59536.32203141872</v>
      </c>
      <c r="G339" s="26">
        <f ca="1"/>
        <v>90638.387318342197</v>
      </c>
      <c r="H339" s="26">
        <f ca="1"/>
        <v>138395.26192702685</v>
      </c>
      <c r="I339" s="26">
        <f ca="1"/>
        <v>223075.39896972952</v>
      </c>
      <c r="J339" s="26">
        <f ca="1"/>
        <v>301425.27685706416</v>
      </c>
      <c r="K339" s="26">
        <f ca="1"/>
        <v>364784.27133240219</v>
      </c>
      <c r="L339" s="26">
        <f ca="1"/>
        <v>411786.53213213594</v>
      </c>
      <c r="M339" s="6"/>
      <c r="N339" s="1" t="str">
        <f t="shared" si="11"/>
        <v>$M(2015)/million</v>
      </c>
      <c r="O339" s="1"/>
    </row>
    <row r="340" spans="1:17" x14ac:dyDescent="0.25">
      <c r="A340" t="str">
        <v>EE Non-econ</v>
      </c>
      <c r="C340" s="26">
        <f ca="1"/>
        <v>16538.331678586572</v>
      </c>
      <c r="D340" s="26">
        <f ca="1"/>
        <v>24469.395933157401</v>
      </c>
      <c r="E340" s="26">
        <f ca="1"/>
        <v>33416.126356738743</v>
      </c>
      <c r="F340" s="26">
        <f ca="1"/>
        <v>41371.986377522291</v>
      </c>
      <c r="G340" s="26">
        <f ca="1"/>
        <v>65652.226286411897</v>
      </c>
      <c r="H340" s="26">
        <f ca="1"/>
        <v>98590.749019419818</v>
      </c>
      <c r="I340" s="26">
        <f ca="1"/>
        <v>137397.3731360969</v>
      </c>
      <c r="J340" s="26">
        <f ca="1"/>
        <v>158492.04018960215</v>
      </c>
      <c r="K340" s="26">
        <f ca="1"/>
        <v>168627.81232836394</v>
      </c>
      <c r="L340" s="26">
        <f ca="1"/>
        <v>173240.74896334313</v>
      </c>
      <c r="M340" s="6"/>
      <c r="N340" s="1" t="str">
        <f t="shared" si="11"/>
        <v>$M(2015)/million</v>
      </c>
      <c r="O340" s="1"/>
    </row>
    <row r="341" spans="1:17" x14ac:dyDescent="0.25">
      <c r="A341" t="str">
        <v>CA Non-econ</v>
      </c>
      <c r="C341" s="26">
        <f ca="1"/>
        <v>14586.549726395178</v>
      </c>
      <c r="D341" s="26">
        <f ca="1"/>
        <v>27128.750783591484</v>
      </c>
      <c r="E341" s="26">
        <f ca="1"/>
        <v>41001.278413720407</v>
      </c>
      <c r="F341" s="26">
        <f ca="1"/>
        <v>54722.473365897422</v>
      </c>
      <c r="G341" s="26">
        <f ca="1"/>
        <v>84020.465048449871</v>
      </c>
      <c r="H341" s="26">
        <f ca="1"/>
        <v>118833.06952485305</v>
      </c>
      <c r="I341" s="26">
        <f ca="1"/>
        <v>115316.19044866995</v>
      </c>
      <c r="J341" s="26">
        <f ca="1"/>
        <v>111539.7657426431</v>
      </c>
      <c r="K341" s="26">
        <f ca="1"/>
        <v>107735.80743583168</v>
      </c>
      <c r="L341" s="26">
        <f ca="1"/>
        <v>104034.29780432393</v>
      </c>
      <c r="M341" s="6"/>
      <c r="N341" s="1" t="str">
        <f t="shared" si="11"/>
        <v>$M(2015)/million</v>
      </c>
      <c r="O341" s="1"/>
    </row>
    <row r="342" spans="1:17" x14ac:dyDescent="0.25">
      <c r="A342" t="str">
        <v>IA Non-econ</v>
      </c>
      <c r="C342" s="26">
        <f ca="1"/>
        <v>6928.7689464226842</v>
      </c>
      <c r="D342" s="26">
        <f ca="1"/>
        <v>11787.163114049006</v>
      </c>
      <c r="E342" s="26">
        <f ca="1"/>
        <v>19156.038020400953</v>
      </c>
      <c r="F342" s="26">
        <f ca="1"/>
        <v>29089.302108770411</v>
      </c>
      <c r="G342" s="26">
        <f ca="1"/>
        <v>63693.881719462253</v>
      </c>
      <c r="H342" s="26">
        <f ca="1"/>
        <v>112068.58391825014</v>
      </c>
      <c r="I342" s="26">
        <f ca="1"/>
        <v>186837.60573303327</v>
      </c>
      <c r="J342" s="26">
        <f ca="1"/>
        <v>212885.54992483297</v>
      </c>
      <c r="K342" s="26">
        <f ca="1"/>
        <v>220095.52020454555</v>
      </c>
      <c r="L342" s="26">
        <f ca="1"/>
        <v>222103.54566630925</v>
      </c>
      <c r="M342" s="6"/>
      <c r="N342" s="1" t="str">
        <f t="shared" si="11"/>
        <v>$M(2015)/million</v>
      </c>
      <c r="O342" s="1"/>
      <c r="Q342" s="6"/>
    </row>
    <row r="343" spans="1:17" x14ac:dyDescent="0.25">
      <c r="A343" t="str">
        <v>AF Non-econ</v>
      </c>
      <c r="C343" s="26">
        <f ca="1"/>
        <v>6084.4705501003145</v>
      </c>
      <c r="D343" s="26">
        <f ca="1"/>
        <v>8233.7742786530362</v>
      </c>
      <c r="E343" s="26">
        <f ca="1"/>
        <v>11783.563246536609</v>
      </c>
      <c r="F343" s="26">
        <f ca="1"/>
        <v>17481.800669973934</v>
      </c>
      <c r="G343" s="26">
        <f ca="1"/>
        <v>46663.293296796364</v>
      </c>
      <c r="H343" s="26">
        <f ca="1"/>
        <v>101040.44500834998</v>
      </c>
      <c r="I343" s="26">
        <f ca="1"/>
        <v>383177.4240959477</v>
      </c>
      <c r="J343" s="26">
        <f ca="1"/>
        <v>735650.85204611858</v>
      </c>
      <c r="K343" s="26">
        <f ca="1"/>
        <v>1011807.9124526958</v>
      </c>
      <c r="L343" s="26">
        <f ca="1"/>
        <v>1182893.1595755527</v>
      </c>
      <c r="M343" s="6"/>
      <c r="N343" s="1" t="str">
        <f t="shared" si="11"/>
        <v>$M(2015)/million</v>
      </c>
      <c r="O343" s="6"/>
      <c r="Q343" s="6"/>
    </row>
    <row r="344" spans="1:17" x14ac:dyDescent="0.25">
      <c r="A344" t="str">
        <v>LA Non-econ</v>
      </c>
      <c r="C344" s="26">
        <f ca="1"/>
        <v>14570.768255019553</v>
      </c>
      <c r="D344" s="26">
        <f ca="1"/>
        <v>19465.14133427231</v>
      </c>
      <c r="E344" s="26">
        <f ca="1"/>
        <v>26418.598545674409</v>
      </c>
      <c r="F344" s="26">
        <f ca="1"/>
        <v>35638.174826361261</v>
      </c>
      <c r="G344" s="26">
        <f ca="1"/>
        <v>69273.108022962886</v>
      </c>
      <c r="H344" s="26">
        <f ca="1"/>
        <v>120077.85917698915</v>
      </c>
      <c r="I344" s="26">
        <f ca="1"/>
        <v>220015.77233262802</v>
      </c>
      <c r="J344" s="26">
        <f ca="1"/>
        <v>280135.62306361157</v>
      </c>
      <c r="K344" s="26">
        <f ca="1"/>
        <v>308441.35853110004</v>
      </c>
      <c r="L344" s="26">
        <f ca="1"/>
        <v>320644.96548125101</v>
      </c>
      <c r="M344" s="6"/>
      <c r="N344" s="1" t="str">
        <f t="shared" si="11"/>
        <v>$M(2015)/million</v>
      </c>
      <c r="O344" s="1"/>
    </row>
    <row r="345" spans="1:17" s="2" customFormat="1" ht="15" x14ac:dyDescent="0.4">
      <c r="A345" s="2" t="s">
        <v>245</v>
      </c>
      <c r="C345" s="2" t="s">
        <v>246</v>
      </c>
    </row>
    <row r="346" spans="1:17" x14ac:dyDescent="0.25">
      <c r="A346" t="str">
        <f t="array" ref="A346:A353">R_CODE&amp;" discontinuity"</f>
        <v>EU discontinuity</v>
      </c>
      <c r="C346" s="29">
        <f t="array" aca="1" ref="C346:L353" ca="1">WINCF_S*WDIS</f>
        <v>3</v>
      </c>
      <c r="D346" s="29">
        <f ca="1"/>
        <v>3</v>
      </c>
      <c r="E346" s="29">
        <f ca="1"/>
        <v>3</v>
      </c>
      <c r="F346" s="29">
        <f ca="1"/>
        <v>3</v>
      </c>
      <c r="G346" s="29">
        <f ca="1"/>
        <v>3</v>
      </c>
      <c r="H346" s="29">
        <f ca="1"/>
        <v>3</v>
      </c>
      <c r="I346" s="29">
        <f ca="1"/>
        <v>3</v>
      </c>
      <c r="J346" s="29">
        <f ca="1"/>
        <v>3</v>
      </c>
      <c r="K346" s="29">
        <f ca="1"/>
        <v>3</v>
      </c>
      <c r="L346" s="29">
        <f ca="1"/>
        <v>3</v>
      </c>
      <c r="M346" s="6"/>
      <c r="N346" s="59" t="s">
        <v>134</v>
      </c>
    </row>
    <row r="347" spans="1:17" x14ac:dyDescent="0.25">
      <c r="A347" t="str">
        <v>US discontinuity</v>
      </c>
      <c r="C347" s="26">
        <f ca="1"/>
        <v>2.4</v>
      </c>
      <c r="D347" s="26">
        <f ca="1"/>
        <v>2.4</v>
      </c>
      <c r="E347" s="26">
        <f ca="1"/>
        <v>2.4</v>
      </c>
      <c r="F347" s="26">
        <f ca="1"/>
        <v>2.4</v>
      </c>
      <c r="G347" s="26">
        <f ca="1"/>
        <v>2.4</v>
      </c>
      <c r="H347" s="26">
        <f ca="1"/>
        <v>2.4</v>
      </c>
      <c r="I347" s="26">
        <f ca="1"/>
        <v>2.4</v>
      </c>
      <c r="J347" s="26">
        <f ca="1"/>
        <v>2.4</v>
      </c>
      <c r="K347" s="26">
        <f ca="1"/>
        <v>2.4</v>
      </c>
      <c r="L347" s="26">
        <f ca="1"/>
        <v>2.4</v>
      </c>
      <c r="M347" s="6"/>
      <c r="N347" s="59" t="s">
        <v>134</v>
      </c>
    </row>
    <row r="348" spans="1:17" x14ac:dyDescent="0.25">
      <c r="A348" t="str">
        <v>OT discontinuity</v>
      </c>
      <c r="C348" s="26">
        <f ca="1"/>
        <v>2.4000000000000004</v>
      </c>
      <c r="D348" s="26">
        <f ca="1"/>
        <v>2.4000000000000004</v>
      </c>
      <c r="E348" s="26">
        <f ca="1"/>
        <v>2.4000000000000004</v>
      </c>
      <c r="F348" s="26">
        <f ca="1"/>
        <v>2.4000000000000004</v>
      </c>
      <c r="G348" s="26">
        <f ca="1"/>
        <v>2.4000000000000004</v>
      </c>
      <c r="H348" s="26">
        <f ca="1"/>
        <v>2.4000000000000004</v>
      </c>
      <c r="I348" s="26">
        <f ca="1"/>
        <v>2.4000000000000004</v>
      </c>
      <c r="J348" s="26">
        <f ca="1"/>
        <v>2.4000000000000004</v>
      </c>
      <c r="K348" s="26">
        <f ca="1"/>
        <v>2.4000000000000004</v>
      </c>
      <c r="L348" s="26">
        <f ca="1"/>
        <v>2.4000000000000004</v>
      </c>
      <c r="M348" s="6"/>
      <c r="N348" s="59" t="s">
        <v>134</v>
      </c>
    </row>
    <row r="349" spans="1:17" x14ac:dyDescent="0.25">
      <c r="A349" t="str">
        <v>EE discontinuity</v>
      </c>
      <c r="C349" s="26">
        <f ca="1"/>
        <v>1.2000000000000002</v>
      </c>
      <c r="D349" s="26">
        <f ca="1"/>
        <v>1.2000000000000002</v>
      </c>
      <c r="E349" s="26">
        <f ca="1"/>
        <v>1.2000000000000002</v>
      </c>
      <c r="F349" s="26">
        <f ca="1"/>
        <v>1.2000000000000002</v>
      </c>
      <c r="G349" s="26">
        <f ca="1"/>
        <v>1.2000000000000002</v>
      </c>
      <c r="H349" s="26">
        <f ca="1"/>
        <v>1.2000000000000002</v>
      </c>
      <c r="I349" s="26">
        <f ca="1"/>
        <v>1.2000000000000002</v>
      </c>
      <c r="J349" s="26">
        <f ca="1"/>
        <v>1.2000000000000002</v>
      </c>
      <c r="K349" s="26">
        <f ca="1"/>
        <v>1.2000000000000002</v>
      </c>
      <c r="L349" s="26">
        <f ca="1"/>
        <v>1.2000000000000002</v>
      </c>
      <c r="M349" s="6"/>
      <c r="N349" s="59" t="s">
        <v>134</v>
      </c>
    </row>
    <row r="350" spans="1:17" x14ac:dyDescent="0.25">
      <c r="A350" t="str">
        <v>CA discontinuity</v>
      </c>
      <c r="C350" s="26">
        <f ca="1"/>
        <v>2.4000000000000004</v>
      </c>
      <c r="D350" s="26">
        <f ca="1"/>
        <v>2.4000000000000004</v>
      </c>
      <c r="E350" s="26">
        <f ca="1"/>
        <v>2.4000000000000004</v>
      </c>
      <c r="F350" s="26">
        <f ca="1"/>
        <v>2.4000000000000004</v>
      </c>
      <c r="G350" s="26">
        <f ca="1"/>
        <v>2.4000000000000004</v>
      </c>
      <c r="H350" s="26">
        <f ca="1"/>
        <v>2.4000000000000004</v>
      </c>
      <c r="I350" s="26">
        <f ca="1"/>
        <v>2.4000000000000004</v>
      </c>
      <c r="J350" s="26">
        <f ca="1"/>
        <v>2.4000000000000004</v>
      </c>
      <c r="K350" s="26">
        <f ca="1"/>
        <v>2.4000000000000004</v>
      </c>
      <c r="L350" s="26">
        <f ca="1"/>
        <v>2.4000000000000004</v>
      </c>
      <c r="M350" s="6"/>
      <c r="N350" s="59" t="s">
        <v>134</v>
      </c>
    </row>
    <row r="351" spans="1:17" x14ac:dyDescent="0.25">
      <c r="A351" t="str">
        <v>IA discontinuity</v>
      </c>
      <c r="C351" s="26">
        <f ca="1"/>
        <v>2.4000000000000004</v>
      </c>
      <c r="D351" s="26">
        <f ca="1"/>
        <v>2.4000000000000004</v>
      </c>
      <c r="E351" s="26">
        <f ca="1"/>
        <v>2.4000000000000004</v>
      </c>
      <c r="F351" s="26">
        <f ca="1"/>
        <v>2.4000000000000004</v>
      </c>
      <c r="G351" s="26">
        <f ca="1"/>
        <v>2.4000000000000004</v>
      </c>
      <c r="H351" s="26">
        <f ca="1"/>
        <v>2.4000000000000004</v>
      </c>
      <c r="I351" s="26">
        <f ca="1"/>
        <v>2.4000000000000004</v>
      </c>
      <c r="J351" s="26">
        <f ca="1"/>
        <v>2.4000000000000004</v>
      </c>
      <c r="K351" s="26">
        <f ca="1"/>
        <v>2.4000000000000004</v>
      </c>
      <c r="L351" s="26">
        <f ca="1"/>
        <v>2.4000000000000004</v>
      </c>
      <c r="M351" s="6"/>
      <c r="N351" s="59" t="s">
        <v>134</v>
      </c>
      <c r="Q351" s="6"/>
    </row>
    <row r="352" spans="1:17" x14ac:dyDescent="0.25">
      <c r="A352" t="str">
        <v>AF discontinuity</v>
      </c>
      <c r="C352" s="26">
        <f ca="1"/>
        <v>1.7999999999999998</v>
      </c>
      <c r="D352" s="26">
        <f ca="1"/>
        <v>1.7999999999999998</v>
      </c>
      <c r="E352" s="26">
        <f ca="1"/>
        <v>1.7999999999999998</v>
      </c>
      <c r="F352" s="26">
        <f ca="1"/>
        <v>1.7999999999999998</v>
      </c>
      <c r="G352" s="26">
        <f ca="1"/>
        <v>1.7999999999999998</v>
      </c>
      <c r="H352" s="26">
        <f ca="1"/>
        <v>1.7999999999999998</v>
      </c>
      <c r="I352" s="26">
        <f ca="1"/>
        <v>1.7999999999999998</v>
      </c>
      <c r="J352" s="26">
        <f ca="1"/>
        <v>1.7999999999999998</v>
      </c>
      <c r="K352" s="26">
        <f ca="1"/>
        <v>1.7999999999999998</v>
      </c>
      <c r="L352" s="26">
        <f ca="1"/>
        <v>1.7999999999999998</v>
      </c>
      <c r="M352" s="6"/>
      <c r="N352" s="59" t="s">
        <v>134</v>
      </c>
      <c r="O352" s="6"/>
      <c r="Q352" s="6"/>
    </row>
    <row r="353" spans="1:17" x14ac:dyDescent="0.25">
      <c r="A353" t="str">
        <v>LA discontinuity</v>
      </c>
      <c r="C353" s="26">
        <f ca="1"/>
        <v>1.7999999999999998</v>
      </c>
      <c r="D353" s="26">
        <f ca="1"/>
        <v>1.7999999999999998</v>
      </c>
      <c r="E353" s="26">
        <f ca="1"/>
        <v>1.7999999999999998</v>
      </c>
      <c r="F353" s="26">
        <f ca="1"/>
        <v>1.7999999999999998</v>
      </c>
      <c r="G353" s="26">
        <f ca="1"/>
        <v>1.7999999999999998</v>
      </c>
      <c r="H353" s="26">
        <f ca="1"/>
        <v>1.7999999999999998</v>
      </c>
      <c r="I353" s="26">
        <f ca="1"/>
        <v>1.7999999999999998</v>
      </c>
      <c r="J353" s="26">
        <f ca="1"/>
        <v>1.7999999999999998</v>
      </c>
      <c r="K353" s="26">
        <f ca="1"/>
        <v>1.7999999999999998</v>
      </c>
      <c r="L353" s="26">
        <f ca="1"/>
        <v>1.7999999999999998</v>
      </c>
      <c r="M353" s="6"/>
      <c r="N353" s="59" t="s">
        <v>134</v>
      </c>
    </row>
    <row r="354" spans="1:17" s="2" customFormat="1" ht="15" x14ac:dyDescent="0.4">
      <c r="A354" s="2" t="s">
        <v>247</v>
      </c>
      <c r="C354" s="2" t="s">
        <v>248</v>
      </c>
    </row>
    <row r="355" spans="1:17" x14ac:dyDescent="0.25">
      <c r="A355" t="str">
        <f t="array" ref="A355:A362">R_CODE&amp;" discontinuity"</f>
        <v>EU discontinuity</v>
      </c>
      <c r="C355" s="29">
        <f t="array" ref="C355:L362" ca="1">IREFEQDIS*(rgdp_2_per_cap/GDP_PER_CAP_FOCUS_0)^IPOWDIS</f>
        <v>2.9731378562571815</v>
      </c>
      <c r="D355" s="29">
        <f ca="1"/>
        <v>2.9188756267834326</v>
      </c>
      <c r="E355" s="29">
        <f ca="1"/>
        <v>2.858800437405475</v>
      </c>
      <c r="F355" s="29">
        <f ca="1"/>
        <v>2.7979584140103611</v>
      </c>
      <c r="G355" s="29">
        <f ca="1"/>
        <v>2.6438853133751632</v>
      </c>
      <c r="H355" s="29">
        <f ca="1"/>
        <v>2.4981185345284613</v>
      </c>
      <c r="I355" s="29">
        <f ca="1"/>
        <v>2.290024272739672</v>
      </c>
      <c r="J355" s="29">
        <f ca="1"/>
        <v>2.1324006898571328</v>
      </c>
      <c r="K355" s="29">
        <f ca="1"/>
        <v>2.0107833685341454</v>
      </c>
      <c r="L355" s="29">
        <f ca="1"/>
        <v>1.9157939425251382</v>
      </c>
      <c r="M355" s="6"/>
      <c r="N355" s="59" t="s">
        <v>134</v>
      </c>
    </row>
    <row r="356" spans="1:17" x14ac:dyDescent="0.25">
      <c r="A356" t="str">
        <v>US discontinuity</v>
      </c>
      <c r="C356" s="26">
        <f ca="1"/>
        <v>2.2385051753053893</v>
      </c>
      <c r="D356" s="26">
        <f ca="1"/>
        <v>2.2000344562761969</v>
      </c>
      <c r="E356" s="26">
        <f ca="1"/>
        <v>2.170639459761067</v>
      </c>
      <c r="F356" s="26">
        <f ca="1"/>
        <v>2.1410970491947374</v>
      </c>
      <c r="G356" s="26">
        <f ca="1"/>
        <v>2.060112480944539</v>
      </c>
      <c r="H356" s="26">
        <f ca="1"/>
        <v>1.9664558481503529</v>
      </c>
      <c r="I356" s="26">
        <f ca="1"/>
        <v>1.7894023345833625</v>
      </c>
      <c r="J356" s="26">
        <f ca="1"/>
        <v>1.644767283645111</v>
      </c>
      <c r="K356" s="26">
        <f ca="1"/>
        <v>1.5249366031850475</v>
      </c>
      <c r="L356" s="26">
        <f ca="1"/>
        <v>1.4246957596359557</v>
      </c>
      <c r="M356" s="6"/>
      <c r="N356" s="59" t="s">
        <v>134</v>
      </c>
    </row>
    <row r="357" spans="1:17" x14ac:dyDescent="0.25">
      <c r="A357" t="str">
        <v>OT discontinuity</v>
      </c>
      <c r="C357" s="26">
        <f ca="1"/>
        <v>2.3757735265985498</v>
      </c>
      <c r="D357" s="26">
        <f ca="1"/>
        <v>2.3242908951514845</v>
      </c>
      <c r="E357" s="26">
        <f ca="1"/>
        <v>2.277376769857661</v>
      </c>
      <c r="F357" s="26">
        <f ca="1"/>
        <v>2.2298606800640282</v>
      </c>
      <c r="G357" s="26">
        <f ca="1"/>
        <v>2.108338666921874</v>
      </c>
      <c r="H357" s="26">
        <f ca="1"/>
        <v>1.9926567751700945</v>
      </c>
      <c r="I357" s="26">
        <f ca="1"/>
        <v>1.8697710847282165</v>
      </c>
      <c r="J357" s="26">
        <f ca="1"/>
        <v>1.7962138494255009</v>
      </c>
      <c r="K357" s="26">
        <f ca="1"/>
        <v>1.7510982574420175</v>
      </c>
      <c r="L357" s="26">
        <f ca="1"/>
        <v>1.7230281704598767</v>
      </c>
      <c r="M357" s="6"/>
      <c r="N357" s="59" t="s">
        <v>134</v>
      </c>
    </row>
    <row r="358" spans="1:17" x14ac:dyDescent="0.25">
      <c r="A358" t="str">
        <v>EE discontinuity</v>
      </c>
      <c r="C358" s="26">
        <f ca="1"/>
        <v>1.3225733714672574</v>
      </c>
      <c r="D358" s="26">
        <f ca="1"/>
        <v>1.2552654275153152</v>
      </c>
      <c r="E358" s="26">
        <f ca="1"/>
        <v>1.2041793817247464</v>
      </c>
      <c r="F358" s="26">
        <f ca="1"/>
        <v>1.1703735123265844</v>
      </c>
      <c r="G358" s="26">
        <f ca="1"/>
        <v>1.1004882410740844</v>
      </c>
      <c r="H358" s="26">
        <f ca="1"/>
        <v>1.0424146636019747</v>
      </c>
      <c r="I358" s="26">
        <f ca="1"/>
        <v>0.997290181772996</v>
      </c>
      <c r="J358" s="26">
        <f ca="1"/>
        <v>0.97847786745032528</v>
      </c>
      <c r="K358" s="26">
        <f ca="1"/>
        <v>0.9704238017139154</v>
      </c>
      <c r="L358" s="26">
        <f ca="1"/>
        <v>0.96693807206228299</v>
      </c>
      <c r="M358" s="6"/>
      <c r="N358" s="59" t="s">
        <v>134</v>
      </c>
    </row>
    <row r="359" spans="1:17" x14ac:dyDescent="0.25">
      <c r="A359" t="str">
        <v>CA discontinuity</v>
      </c>
      <c r="C359" s="26">
        <f ca="1"/>
        <v>2.6898103034478535</v>
      </c>
      <c r="D359" s="26">
        <f ca="1"/>
        <v>2.4762321444656372</v>
      </c>
      <c r="E359" s="26">
        <f ca="1"/>
        <v>2.3435578405779194</v>
      </c>
      <c r="F359" s="26">
        <f ca="1"/>
        <v>2.2550693415201182</v>
      </c>
      <c r="G359" s="26">
        <f ca="1"/>
        <v>2.1297599323110967</v>
      </c>
      <c r="H359" s="26">
        <f ca="1"/>
        <v>2.0335601418606801</v>
      </c>
      <c r="I359" s="26">
        <f ca="1"/>
        <v>2.0417220772641769</v>
      </c>
      <c r="J359" s="26">
        <f ca="1"/>
        <v>2.0508065665353916</v>
      </c>
      <c r="K359" s="26">
        <f ca="1"/>
        <v>2.0603167200706585</v>
      </c>
      <c r="L359" s="26">
        <f ca="1"/>
        <v>2.0699433397065437</v>
      </c>
      <c r="M359" s="6"/>
      <c r="N359" s="59" t="s">
        <v>134</v>
      </c>
    </row>
    <row r="360" spans="1:17" x14ac:dyDescent="0.25">
      <c r="A360" t="str">
        <v>IA discontinuity</v>
      </c>
      <c r="C360" s="26">
        <f ca="1"/>
        <v>2.9704883437373089</v>
      </c>
      <c r="D360" s="26">
        <f ca="1"/>
        <v>2.7673287644202849</v>
      </c>
      <c r="E360" s="26">
        <f ca="1"/>
        <v>2.5938283799769137</v>
      </c>
      <c r="F360" s="26">
        <f ca="1"/>
        <v>2.4533013028884048</v>
      </c>
      <c r="G360" s="26">
        <f ca="1"/>
        <v>2.2098814046012047</v>
      </c>
      <c r="H360" s="26">
        <f ca="1"/>
        <v>2.0495136346020892</v>
      </c>
      <c r="I360" s="26">
        <f ca="1"/>
        <v>1.9144914183803068</v>
      </c>
      <c r="J360" s="26">
        <f ca="1"/>
        <v>1.8814636779473823</v>
      </c>
      <c r="K360" s="26">
        <f ca="1"/>
        <v>1.873126764277085</v>
      </c>
      <c r="L360" s="26">
        <f ca="1"/>
        <v>1.8708598904129947</v>
      </c>
      <c r="M360" s="6"/>
      <c r="N360" s="59" t="s">
        <v>134</v>
      </c>
      <c r="Q360" s="6"/>
    </row>
    <row r="361" spans="1:17" x14ac:dyDescent="0.25">
      <c r="A361" t="str">
        <v>AF discontinuity</v>
      </c>
      <c r="C361" s="26">
        <f ca="1"/>
        <v>2.2668018271428449</v>
      </c>
      <c r="D361" s="26">
        <f ca="1"/>
        <v>2.1771920118211865</v>
      </c>
      <c r="E361" s="26">
        <f ca="1"/>
        <v>2.0755811037594971</v>
      </c>
      <c r="F361" s="26">
        <f ca="1"/>
        <v>1.9692390441025798</v>
      </c>
      <c r="G361" s="26">
        <f ca="1"/>
        <v>1.7276133113711591</v>
      </c>
      <c r="H361" s="26">
        <f ca="1"/>
        <v>1.558513468576973</v>
      </c>
      <c r="I361" s="26">
        <f ca="1"/>
        <v>1.3047378801552616</v>
      </c>
      <c r="J361" s="26">
        <f ca="1"/>
        <v>1.196062004158913</v>
      </c>
      <c r="K361" s="26">
        <f ca="1"/>
        <v>1.1462961936444027</v>
      </c>
      <c r="L361" s="26">
        <f ca="1"/>
        <v>1.1226658799321181</v>
      </c>
      <c r="M361" s="6"/>
      <c r="N361" s="59" t="s">
        <v>134</v>
      </c>
      <c r="O361" s="6"/>
      <c r="Q361" s="6"/>
    </row>
    <row r="362" spans="1:17" x14ac:dyDescent="0.25">
      <c r="A362" t="str">
        <v>LA discontinuity</v>
      </c>
      <c r="C362" s="26">
        <f ca="1"/>
        <v>2.0176489219410003</v>
      </c>
      <c r="D362" s="26">
        <f ca="1"/>
        <v>1.9412237003124582</v>
      </c>
      <c r="E362" s="26">
        <f ca="1"/>
        <v>1.8637541482422131</v>
      </c>
      <c r="F362" s="26">
        <f ca="1"/>
        <v>1.7908307073549556</v>
      </c>
      <c r="G362" s="26">
        <f ca="1"/>
        <v>1.6389585494135919</v>
      </c>
      <c r="H362" s="26">
        <f ca="1"/>
        <v>1.5230524805619032</v>
      </c>
      <c r="I362" s="26">
        <f ca="1"/>
        <v>1.4049129567120384</v>
      </c>
      <c r="J362" s="26">
        <f ca="1"/>
        <v>1.3603818049893419</v>
      </c>
      <c r="K362" s="26">
        <f ca="1"/>
        <v>1.3430337057442014</v>
      </c>
      <c r="L362" s="26">
        <f ca="1"/>
        <v>1.3361031967973964</v>
      </c>
      <c r="M362" s="6"/>
      <c r="N362" s="59" t="s">
        <v>134</v>
      </c>
    </row>
    <row r="363" spans="1:17" s="2" customFormat="1" ht="15" x14ac:dyDescent="0.4">
      <c r="A363" s="2" t="s">
        <v>221</v>
      </c>
      <c r="C363" s="2" t="s">
        <v>249</v>
      </c>
    </row>
    <row r="364" spans="1:17" x14ac:dyDescent="0.25">
      <c r="A364" t="str">
        <f t="array" ref="A364:A371">R_CODE&amp;" discontinuity"</f>
        <v>EU discontinuity</v>
      </c>
      <c r="C364" s="29">
        <f t="array" aca="1" ref="C364:C371" ca="1">occur_dis_1*(1-EXPFDIS_1)*igdpeqdis_1</f>
        <v>0</v>
      </c>
      <c r="D364" s="29">
        <f t="array" ref="D364:L371" ca="1">igdpdis+occur_dis_not_1*(1-EXPFDIS_NOT_1)*(igdpeqdis_not_1-igdpdis)</f>
        <v>0</v>
      </c>
      <c r="E364" s="29">
        <f ca="1"/>
        <v>0</v>
      </c>
      <c r="F364" s="29">
        <f ca="1"/>
        <v>0</v>
      </c>
      <c r="G364" s="29">
        <f ca="1"/>
        <v>0</v>
      </c>
      <c r="H364" s="29">
        <f ca="1"/>
        <v>0</v>
      </c>
      <c r="I364" s="29">
        <f ca="1"/>
        <v>0</v>
      </c>
      <c r="J364" s="29">
        <f ca="1"/>
        <v>0</v>
      </c>
      <c r="K364" s="29">
        <f ca="1"/>
        <v>0</v>
      </c>
      <c r="L364" s="29">
        <f ca="1"/>
        <v>0</v>
      </c>
      <c r="M364" s="6"/>
      <c r="N364" s="59" t="s">
        <v>134</v>
      </c>
    </row>
    <row r="365" spans="1:17" x14ac:dyDescent="0.25">
      <c r="A365" t="str">
        <v>US discontinuity</v>
      </c>
      <c r="C365" s="26">
        <f ca="1"/>
        <v>0</v>
      </c>
      <c r="D365" s="26">
        <f ca="1"/>
        <v>0</v>
      </c>
      <c r="E365" s="26">
        <f ca="1"/>
        <v>0</v>
      </c>
      <c r="F365" s="26">
        <f ca="1"/>
        <v>0</v>
      </c>
      <c r="G365" s="26">
        <f ca="1"/>
        <v>0</v>
      </c>
      <c r="H365" s="26">
        <f ca="1"/>
        <v>0</v>
      </c>
      <c r="I365" s="26">
        <f ca="1"/>
        <v>0</v>
      </c>
      <c r="J365" s="26">
        <f ca="1"/>
        <v>0</v>
      </c>
      <c r="K365" s="26">
        <f ca="1"/>
        <v>0</v>
      </c>
      <c r="L365" s="26">
        <f ca="1"/>
        <v>0</v>
      </c>
      <c r="M365" s="6"/>
      <c r="N365" s="59" t="s">
        <v>134</v>
      </c>
    </row>
    <row r="366" spans="1:17" x14ac:dyDescent="0.25">
      <c r="A366" t="str">
        <v>OT discontinuity</v>
      </c>
      <c r="C366" s="26">
        <f ca="1"/>
        <v>0</v>
      </c>
      <c r="D366" s="26">
        <f ca="1"/>
        <v>0</v>
      </c>
      <c r="E366" s="26">
        <f ca="1"/>
        <v>0</v>
      </c>
      <c r="F366" s="26">
        <f ca="1"/>
        <v>0</v>
      </c>
      <c r="G366" s="26">
        <f ca="1"/>
        <v>0</v>
      </c>
      <c r="H366" s="26">
        <f ca="1"/>
        <v>0</v>
      </c>
      <c r="I366" s="26">
        <f ca="1"/>
        <v>0</v>
      </c>
      <c r="J366" s="26">
        <f ca="1"/>
        <v>0</v>
      </c>
      <c r="K366" s="26">
        <f ca="1"/>
        <v>0</v>
      </c>
      <c r="L366" s="26">
        <f ca="1"/>
        <v>0</v>
      </c>
      <c r="M366" s="6"/>
      <c r="N366" s="59" t="s">
        <v>134</v>
      </c>
    </row>
    <row r="367" spans="1:17" x14ac:dyDescent="0.25">
      <c r="A367" t="str">
        <v>EE discontinuity</v>
      </c>
      <c r="C367" s="26">
        <f ca="1"/>
        <v>0</v>
      </c>
      <c r="D367" s="26">
        <f ca="1"/>
        <v>0</v>
      </c>
      <c r="E367" s="26">
        <f ca="1"/>
        <v>0</v>
      </c>
      <c r="F367" s="26">
        <f ca="1"/>
        <v>0</v>
      </c>
      <c r="G367" s="26">
        <f ca="1"/>
        <v>0</v>
      </c>
      <c r="H367" s="26">
        <f ca="1"/>
        <v>0</v>
      </c>
      <c r="I367" s="26">
        <f ca="1"/>
        <v>0</v>
      </c>
      <c r="J367" s="26">
        <f ca="1"/>
        <v>0</v>
      </c>
      <c r="K367" s="26">
        <f ca="1"/>
        <v>0</v>
      </c>
      <c r="L367" s="26">
        <f ca="1"/>
        <v>0</v>
      </c>
      <c r="M367" s="6"/>
      <c r="N367" s="59" t="s">
        <v>134</v>
      </c>
    </row>
    <row r="368" spans="1:17" x14ac:dyDescent="0.25">
      <c r="A368" t="str">
        <v>CA discontinuity</v>
      </c>
      <c r="C368" s="26">
        <f ca="1"/>
        <v>0</v>
      </c>
      <c r="D368" s="26">
        <f ca="1"/>
        <v>0</v>
      </c>
      <c r="E368" s="26">
        <f ca="1"/>
        <v>0</v>
      </c>
      <c r="F368" s="26">
        <f ca="1"/>
        <v>0</v>
      </c>
      <c r="G368" s="26">
        <f ca="1"/>
        <v>0</v>
      </c>
      <c r="H368" s="26">
        <f ca="1"/>
        <v>0</v>
      </c>
      <c r="I368" s="26">
        <f ca="1"/>
        <v>0</v>
      </c>
      <c r="J368" s="26">
        <f ca="1"/>
        <v>0</v>
      </c>
      <c r="K368" s="26">
        <f ca="1"/>
        <v>0</v>
      </c>
      <c r="L368" s="26">
        <f ca="1"/>
        <v>0</v>
      </c>
      <c r="M368" s="6"/>
      <c r="N368" s="59" t="s">
        <v>134</v>
      </c>
    </row>
    <row r="369" spans="1:17" x14ac:dyDescent="0.25">
      <c r="A369" t="str">
        <v>IA discontinuity</v>
      </c>
      <c r="C369" s="26">
        <f ca="1"/>
        <v>0</v>
      </c>
      <c r="D369" s="26">
        <f ca="1"/>
        <v>0</v>
      </c>
      <c r="E369" s="26">
        <f ca="1"/>
        <v>0</v>
      </c>
      <c r="F369" s="26">
        <f ca="1"/>
        <v>0</v>
      </c>
      <c r="G369" s="26">
        <f ca="1"/>
        <v>0</v>
      </c>
      <c r="H369" s="26">
        <f ca="1"/>
        <v>0</v>
      </c>
      <c r="I369" s="26">
        <f ca="1"/>
        <v>0</v>
      </c>
      <c r="J369" s="26">
        <f ca="1"/>
        <v>0</v>
      </c>
      <c r="K369" s="26">
        <f ca="1"/>
        <v>0</v>
      </c>
      <c r="L369" s="26">
        <f ca="1"/>
        <v>0</v>
      </c>
      <c r="M369" s="6"/>
      <c r="N369" s="59" t="s">
        <v>134</v>
      </c>
      <c r="O369" s="6"/>
      <c r="Q369" s="6"/>
    </row>
    <row r="370" spans="1:17" x14ac:dyDescent="0.25">
      <c r="A370" t="str">
        <v>AF discontinuity</v>
      </c>
      <c r="C370" s="26">
        <f ca="1"/>
        <v>0</v>
      </c>
      <c r="D370" s="26">
        <f ca="1"/>
        <v>0</v>
      </c>
      <c r="E370" s="26">
        <f ca="1"/>
        <v>0</v>
      </c>
      <c r="F370" s="26">
        <f ca="1"/>
        <v>0</v>
      </c>
      <c r="G370" s="26">
        <f ca="1"/>
        <v>0</v>
      </c>
      <c r="H370" s="26">
        <f ca="1"/>
        <v>0</v>
      </c>
      <c r="I370" s="26">
        <f ca="1"/>
        <v>0</v>
      </c>
      <c r="J370" s="26">
        <f ca="1"/>
        <v>0</v>
      </c>
      <c r="K370" s="26">
        <f ca="1"/>
        <v>0</v>
      </c>
      <c r="L370" s="26">
        <f ca="1"/>
        <v>0</v>
      </c>
      <c r="M370" s="6"/>
      <c r="N370" s="59" t="s">
        <v>134</v>
      </c>
      <c r="O370" s="6"/>
      <c r="Q370" s="6"/>
    </row>
    <row r="371" spans="1:17" x14ac:dyDescent="0.25">
      <c r="A371" t="str">
        <v>LA discontinuity</v>
      </c>
      <c r="C371" s="26">
        <f ca="1"/>
        <v>0</v>
      </c>
      <c r="D371" s="26">
        <f ca="1"/>
        <v>0</v>
      </c>
      <c r="E371" s="26">
        <f ca="1"/>
        <v>0</v>
      </c>
      <c r="F371" s="26">
        <f ca="1"/>
        <v>0</v>
      </c>
      <c r="G371" s="26">
        <f ca="1"/>
        <v>0</v>
      </c>
      <c r="H371" s="26">
        <f ca="1"/>
        <v>0</v>
      </c>
      <c r="I371" s="26">
        <f ca="1"/>
        <v>0</v>
      </c>
      <c r="J371" s="26">
        <f ca="1"/>
        <v>0</v>
      </c>
      <c r="K371" s="26">
        <f ca="1"/>
        <v>0</v>
      </c>
      <c r="L371" s="26">
        <f ca="1"/>
        <v>0</v>
      </c>
      <c r="M371" s="6"/>
      <c r="N371" s="59" t="s">
        <v>134</v>
      </c>
    </row>
    <row r="372" spans="1:17" s="2" customFormat="1" ht="15" x14ac:dyDescent="0.4">
      <c r="A372" s="2" t="s">
        <v>225</v>
      </c>
      <c r="C372" s="2" t="s">
        <v>251</v>
      </c>
    </row>
    <row r="373" spans="1:17" x14ac:dyDescent="0.25">
      <c r="A373" t="str">
        <f t="array" ref="A373:A380">R_CODE&amp;" discontinuity"</f>
        <v>EU discontinuity</v>
      </c>
      <c r="C373" s="29">
        <f t="array" ref="C373:L380" ca="1">IF(igdpdis&lt;ISATG,igdpdis,ISATG+(100-SAVE-ISATG)*((igdpdis-ISATG)/((100-SAVE-ISATG)+(igdpdis-ISATG))))</f>
        <v>0</v>
      </c>
      <c r="D373" s="29">
        <f ca="1"/>
        <v>0</v>
      </c>
      <c r="E373" s="29">
        <f ca="1"/>
        <v>0</v>
      </c>
      <c r="F373" s="29">
        <f ca="1"/>
        <v>0</v>
      </c>
      <c r="G373" s="29">
        <f ca="1"/>
        <v>0</v>
      </c>
      <c r="H373" s="29">
        <f ca="1"/>
        <v>0</v>
      </c>
      <c r="I373" s="29">
        <f ca="1"/>
        <v>0</v>
      </c>
      <c r="J373" s="29">
        <f ca="1"/>
        <v>0</v>
      </c>
      <c r="K373" s="29">
        <f ca="1"/>
        <v>0</v>
      </c>
      <c r="L373" s="29">
        <f ca="1"/>
        <v>0</v>
      </c>
      <c r="M373" s="6"/>
      <c r="N373" s="59" t="s">
        <v>134</v>
      </c>
    </row>
    <row r="374" spans="1:17" x14ac:dyDescent="0.25">
      <c r="A374" t="str">
        <v>US discontinuity</v>
      </c>
      <c r="C374" s="26">
        <f ca="1"/>
        <v>0</v>
      </c>
      <c r="D374" s="26">
        <f ca="1"/>
        <v>0</v>
      </c>
      <c r="E374" s="26">
        <f ca="1"/>
        <v>0</v>
      </c>
      <c r="F374" s="26">
        <f ca="1"/>
        <v>0</v>
      </c>
      <c r="G374" s="26">
        <f ca="1"/>
        <v>0</v>
      </c>
      <c r="H374" s="26">
        <f ca="1"/>
        <v>0</v>
      </c>
      <c r="I374" s="26">
        <f ca="1"/>
        <v>0</v>
      </c>
      <c r="J374" s="26">
        <f ca="1"/>
        <v>0</v>
      </c>
      <c r="K374" s="26">
        <f ca="1"/>
        <v>0</v>
      </c>
      <c r="L374" s="26">
        <f ca="1"/>
        <v>0</v>
      </c>
      <c r="M374" s="6"/>
      <c r="N374" s="59" t="s">
        <v>134</v>
      </c>
    </row>
    <row r="375" spans="1:17" x14ac:dyDescent="0.25">
      <c r="A375" t="str">
        <v>OT discontinuity</v>
      </c>
      <c r="C375" s="26">
        <f ca="1"/>
        <v>0</v>
      </c>
      <c r="D375" s="26">
        <f ca="1"/>
        <v>0</v>
      </c>
      <c r="E375" s="26">
        <f ca="1"/>
        <v>0</v>
      </c>
      <c r="F375" s="26">
        <f ca="1"/>
        <v>0</v>
      </c>
      <c r="G375" s="26">
        <f ca="1"/>
        <v>0</v>
      </c>
      <c r="H375" s="26">
        <f ca="1"/>
        <v>0</v>
      </c>
      <c r="I375" s="26">
        <f ca="1"/>
        <v>0</v>
      </c>
      <c r="J375" s="26">
        <f ca="1"/>
        <v>0</v>
      </c>
      <c r="K375" s="26">
        <f ca="1"/>
        <v>0</v>
      </c>
      <c r="L375" s="26">
        <f ca="1"/>
        <v>0</v>
      </c>
      <c r="M375" s="6"/>
      <c r="N375" s="59" t="s">
        <v>134</v>
      </c>
    </row>
    <row r="376" spans="1:17" x14ac:dyDescent="0.25">
      <c r="A376" t="str">
        <v>EE discontinuity</v>
      </c>
      <c r="C376" s="26">
        <f ca="1"/>
        <v>0</v>
      </c>
      <c r="D376" s="26">
        <f ca="1"/>
        <v>0</v>
      </c>
      <c r="E376" s="26">
        <f ca="1"/>
        <v>0</v>
      </c>
      <c r="F376" s="26">
        <f ca="1"/>
        <v>0</v>
      </c>
      <c r="G376" s="26">
        <f ca="1"/>
        <v>0</v>
      </c>
      <c r="H376" s="26">
        <f ca="1"/>
        <v>0</v>
      </c>
      <c r="I376" s="26">
        <f ca="1"/>
        <v>0</v>
      </c>
      <c r="J376" s="26">
        <f ca="1"/>
        <v>0</v>
      </c>
      <c r="K376" s="26">
        <f ca="1"/>
        <v>0</v>
      </c>
      <c r="L376" s="26">
        <f ca="1"/>
        <v>0</v>
      </c>
      <c r="M376" s="6"/>
      <c r="N376" s="59" t="s">
        <v>134</v>
      </c>
    </row>
    <row r="377" spans="1:17" x14ac:dyDescent="0.25">
      <c r="A377" t="str">
        <v>CA discontinuity</v>
      </c>
      <c r="C377" s="26">
        <f ca="1"/>
        <v>0</v>
      </c>
      <c r="D377" s="26">
        <f ca="1"/>
        <v>0</v>
      </c>
      <c r="E377" s="26">
        <f ca="1"/>
        <v>0</v>
      </c>
      <c r="F377" s="26">
        <f ca="1"/>
        <v>0</v>
      </c>
      <c r="G377" s="26">
        <f ca="1"/>
        <v>0</v>
      </c>
      <c r="H377" s="26">
        <f ca="1"/>
        <v>0</v>
      </c>
      <c r="I377" s="26">
        <f ca="1"/>
        <v>0</v>
      </c>
      <c r="J377" s="26">
        <f ca="1"/>
        <v>0</v>
      </c>
      <c r="K377" s="26">
        <f ca="1"/>
        <v>0</v>
      </c>
      <c r="L377" s="26">
        <f ca="1"/>
        <v>0</v>
      </c>
      <c r="M377" s="6"/>
      <c r="N377" s="59" t="s">
        <v>134</v>
      </c>
    </row>
    <row r="378" spans="1:17" x14ac:dyDescent="0.25">
      <c r="A378" t="str">
        <v>IA discontinuity</v>
      </c>
      <c r="C378" s="26">
        <f ca="1"/>
        <v>0</v>
      </c>
      <c r="D378" s="26">
        <f ca="1"/>
        <v>0</v>
      </c>
      <c r="E378" s="26">
        <f ca="1"/>
        <v>0</v>
      </c>
      <c r="F378" s="26">
        <f ca="1"/>
        <v>0</v>
      </c>
      <c r="G378" s="26">
        <f ca="1"/>
        <v>0</v>
      </c>
      <c r="H378" s="26">
        <f ca="1"/>
        <v>0</v>
      </c>
      <c r="I378" s="26">
        <f ca="1"/>
        <v>0</v>
      </c>
      <c r="J378" s="26">
        <f ca="1"/>
        <v>0</v>
      </c>
      <c r="K378" s="26">
        <f ca="1"/>
        <v>0</v>
      </c>
      <c r="L378" s="26">
        <f ca="1"/>
        <v>0</v>
      </c>
      <c r="M378" s="6"/>
      <c r="N378" s="59" t="s">
        <v>134</v>
      </c>
      <c r="Q378" s="6"/>
    </row>
    <row r="379" spans="1:17" x14ac:dyDescent="0.25">
      <c r="A379" t="str">
        <v>AF discontinuity</v>
      </c>
      <c r="C379" s="26">
        <f ca="1"/>
        <v>0</v>
      </c>
      <c r="D379" s="26">
        <f ca="1"/>
        <v>0</v>
      </c>
      <c r="E379" s="26">
        <f ca="1"/>
        <v>0</v>
      </c>
      <c r="F379" s="26">
        <f ca="1"/>
        <v>0</v>
      </c>
      <c r="G379" s="26">
        <f ca="1"/>
        <v>0</v>
      </c>
      <c r="H379" s="26">
        <f ca="1"/>
        <v>0</v>
      </c>
      <c r="I379" s="26">
        <f ca="1"/>
        <v>0</v>
      </c>
      <c r="J379" s="26">
        <f ca="1"/>
        <v>0</v>
      </c>
      <c r="K379" s="26">
        <f ca="1"/>
        <v>0</v>
      </c>
      <c r="L379" s="26">
        <f ca="1"/>
        <v>0</v>
      </c>
      <c r="M379" s="6"/>
      <c r="N379" s="59" t="s">
        <v>134</v>
      </c>
      <c r="Q379" s="6"/>
    </row>
    <row r="380" spans="1:17" x14ac:dyDescent="0.25">
      <c r="A380" t="str">
        <v>LA discontinuity</v>
      </c>
      <c r="C380" s="26">
        <f ca="1"/>
        <v>0</v>
      </c>
      <c r="D380" s="26">
        <f ca="1"/>
        <v>0</v>
      </c>
      <c r="E380" s="26">
        <f ca="1"/>
        <v>0</v>
      </c>
      <c r="F380" s="26">
        <f ca="1"/>
        <v>0</v>
      </c>
      <c r="G380" s="26">
        <f ca="1"/>
        <v>0</v>
      </c>
      <c r="H380" s="26">
        <f ca="1"/>
        <v>0</v>
      </c>
      <c r="I380" s="26">
        <f ca="1"/>
        <v>0</v>
      </c>
      <c r="J380" s="26">
        <f ca="1"/>
        <v>0</v>
      </c>
      <c r="K380" s="26">
        <f ca="1"/>
        <v>0</v>
      </c>
      <c r="L380" s="26">
        <f ca="1"/>
        <v>0</v>
      </c>
      <c r="M380" s="6"/>
      <c r="N380" s="59" t="s">
        <v>134</v>
      </c>
    </row>
    <row r="381" spans="1:17" s="2" customFormat="1" ht="15" x14ac:dyDescent="0.4">
      <c r="A381" s="2" t="s">
        <v>226</v>
      </c>
      <c r="C381" s="2" t="s">
        <v>252</v>
      </c>
    </row>
    <row r="382" spans="1:17" x14ac:dyDescent="0.25">
      <c r="A382" t="str">
        <f t="array" ref="A382:A389">R_CODE&amp;" discontinuity"</f>
        <v>EU discontinuity</v>
      </c>
      <c r="C382" s="29">
        <f t="array" aca="1" ref="C382:L389" ca="1">(isatdis/100)*rgdp_2_per_cap</f>
        <v>0</v>
      </c>
      <c r="D382" s="29">
        <f ca="1"/>
        <v>0</v>
      </c>
      <c r="E382" s="29">
        <f ca="1"/>
        <v>0</v>
      </c>
      <c r="F382" s="29">
        <f ca="1"/>
        <v>0</v>
      </c>
      <c r="G382" s="29">
        <f ca="1"/>
        <v>0</v>
      </c>
      <c r="H382" s="29">
        <f ca="1"/>
        <v>0</v>
      </c>
      <c r="I382" s="29">
        <f ca="1"/>
        <v>0</v>
      </c>
      <c r="J382" s="29">
        <f ca="1"/>
        <v>0</v>
      </c>
      <c r="K382" s="29">
        <f ca="1"/>
        <v>0</v>
      </c>
      <c r="L382" s="29">
        <f ca="1"/>
        <v>0</v>
      </c>
      <c r="M382" s="6"/>
      <c r="N382" s="1" t="str">
        <f t="shared" ref="N382:N389" si="12">CURRENCY_NAME&amp;"/"&amp;POP_UNIT_NAME</f>
        <v>$M(2015)/million</v>
      </c>
      <c r="O382" s="1"/>
    </row>
    <row r="383" spans="1:17" x14ac:dyDescent="0.25">
      <c r="A383" t="str">
        <v>US discontinuity</v>
      </c>
      <c r="C383" s="26">
        <f ca="1"/>
        <v>0</v>
      </c>
      <c r="D383" s="26">
        <f ca="1"/>
        <v>0</v>
      </c>
      <c r="E383" s="26">
        <f ca="1"/>
        <v>0</v>
      </c>
      <c r="F383" s="26">
        <f ca="1"/>
        <v>0</v>
      </c>
      <c r="G383" s="26">
        <f ca="1"/>
        <v>0</v>
      </c>
      <c r="H383" s="26">
        <f ca="1"/>
        <v>0</v>
      </c>
      <c r="I383" s="26">
        <f ca="1"/>
        <v>0</v>
      </c>
      <c r="J383" s="26">
        <f ca="1"/>
        <v>0</v>
      </c>
      <c r="K383" s="26">
        <f ca="1"/>
        <v>0</v>
      </c>
      <c r="L383" s="26">
        <f ca="1"/>
        <v>0</v>
      </c>
      <c r="M383" s="6"/>
      <c r="N383" s="1" t="str">
        <f t="shared" si="12"/>
        <v>$M(2015)/million</v>
      </c>
      <c r="O383" s="1"/>
    </row>
    <row r="384" spans="1:17" x14ac:dyDescent="0.25">
      <c r="A384" t="str">
        <v>OT discontinuity</v>
      </c>
      <c r="C384" s="26">
        <f ca="1"/>
        <v>0</v>
      </c>
      <c r="D384" s="26">
        <f ca="1"/>
        <v>0</v>
      </c>
      <c r="E384" s="26">
        <f ca="1"/>
        <v>0</v>
      </c>
      <c r="F384" s="26">
        <f ca="1"/>
        <v>0</v>
      </c>
      <c r="G384" s="26">
        <f ca="1"/>
        <v>0</v>
      </c>
      <c r="H384" s="26">
        <f ca="1"/>
        <v>0</v>
      </c>
      <c r="I384" s="26">
        <f ca="1"/>
        <v>0</v>
      </c>
      <c r="J384" s="26">
        <f ca="1"/>
        <v>0</v>
      </c>
      <c r="K384" s="26">
        <f ca="1"/>
        <v>0</v>
      </c>
      <c r="L384" s="26">
        <f ca="1"/>
        <v>0</v>
      </c>
      <c r="M384" s="6"/>
      <c r="N384" s="1" t="str">
        <f t="shared" si="12"/>
        <v>$M(2015)/million</v>
      </c>
      <c r="O384" s="1"/>
    </row>
    <row r="385" spans="1:17" x14ac:dyDescent="0.25">
      <c r="A385" t="str">
        <v>EE discontinuity</v>
      </c>
      <c r="C385" s="26">
        <f ca="1"/>
        <v>0</v>
      </c>
      <c r="D385" s="26">
        <f ca="1"/>
        <v>0</v>
      </c>
      <c r="E385" s="26">
        <f ca="1"/>
        <v>0</v>
      </c>
      <c r="F385" s="26">
        <f ca="1"/>
        <v>0</v>
      </c>
      <c r="G385" s="26">
        <f ca="1"/>
        <v>0</v>
      </c>
      <c r="H385" s="26">
        <f ca="1"/>
        <v>0</v>
      </c>
      <c r="I385" s="26">
        <f ca="1"/>
        <v>0</v>
      </c>
      <c r="J385" s="26">
        <f ca="1"/>
        <v>0</v>
      </c>
      <c r="K385" s="26">
        <f ca="1"/>
        <v>0</v>
      </c>
      <c r="L385" s="26">
        <f ca="1"/>
        <v>0</v>
      </c>
      <c r="M385" s="6"/>
      <c r="N385" s="1" t="str">
        <f t="shared" si="12"/>
        <v>$M(2015)/million</v>
      </c>
      <c r="O385" s="1"/>
    </row>
    <row r="386" spans="1:17" x14ac:dyDescent="0.25">
      <c r="A386" t="str">
        <v>CA discontinuity</v>
      </c>
      <c r="C386" s="26">
        <f ca="1"/>
        <v>0</v>
      </c>
      <c r="D386" s="26">
        <f ca="1"/>
        <v>0</v>
      </c>
      <c r="E386" s="26">
        <f ca="1"/>
        <v>0</v>
      </c>
      <c r="F386" s="26">
        <f ca="1"/>
        <v>0</v>
      </c>
      <c r="G386" s="26">
        <f ca="1"/>
        <v>0</v>
      </c>
      <c r="H386" s="26">
        <f ca="1"/>
        <v>0</v>
      </c>
      <c r="I386" s="26">
        <f ca="1"/>
        <v>0</v>
      </c>
      <c r="J386" s="26">
        <f ca="1"/>
        <v>0</v>
      </c>
      <c r="K386" s="26">
        <f ca="1"/>
        <v>0</v>
      </c>
      <c r="L386" s="26">
        <f ca="1"/>
        <v>0</v>
      </c>
      <c r="M386" s="6"/>
      <c r="N386" s="1" t="str">
        <f t="shared" si="12"/>
        <v>$M(2015)/million</v>
      </c>
      <c r="O386" s="1"/>
    </row>
    <row r="387" spans="1:17" x14ac:dyDescent="0.25">
      <c r="A387" t="str">
        <v>IA discontinuity</v>
      </c>
      <c r="C387" s="26">
        <f ca="1"/>
        <v>0</v>
      </c>
      <c r="D387" s="26">
        <f ca="1"/>
        <v>0</v>
      </c>
      <c r="E387" s="26">
        <f ca="1"/>
        <v>0</v>
      </c>
      <c r="F387" s="26">
        <f ca="1"/>
        <v>0</v>
      </c>
      <c r="G387" s="26">
        <f ca="1"/>
        <v>0</v>
      </c>
      <c r="H387" s="26">
        <f ca="1"/>
        <v>0</v>
      </c>
      <c r="I387" s="26">
        <f ca="1"/>
        <v>0</v>
      </c>
      <c r="J387" s="26">
        <f ca="1"/>
        <v>0</v>
      </c>
      <c r="K387" s="26">
        <f ca="1"/>
        <v>0</v>
      </c>
      <c r="L387" s="26">
        <f ca="1"/>
        <v>0</v>
      </c>
      <c r="M387" s="6"/>
      <c r="N387" s="1" t="str">
        <f t="shared" si="12"/>
        <v>$M(2015)/million</v>
      </c>
      <c r="O387" s="1"/>
      <c r="Q387" s="6"/>
    </row>
    <row r="388" spans="1:17" x14ac:dyDescent="0.25">
      <c r="A388" t="str">
        <v>AF discontinuity</v>
      </c>
      <c r="C388" s="26">
        <f ca="1"/>
        <v>0</v>
      </c>
      <c r="D388" s="26">
        <f ca="1"/>
        <v>0</v>
      </c>
      <c r="E388" s="26">
        <f ca="1"/>
        <v>0</v>
      </c>
      <c r="F388" s="26">
        <f ca="1"/>
        <v>0</v>
      </c>
      <c r="G388" s="26">
        <f ca="1"/>
        <v>0</v>
      </c>
      <c r="H388" s="26">
        <f ca="1"/>
        <v>0</v>
      </c>
      <c r="I388" s="26">
        <f ca="1"/>
        <v>0</v>
      </c>
      <c r="J388" s="26">
        <f ca="1"/>
        <v>0</v>
      </c>
      <c r="K388" s="26">
        <f ca="1"/>
        <v>0</v>
      </c>
      <c r="L388" s="26">
        <f ca="1"/>
        <v>0</v>
      </c>
      <c r="M388" s="6"/>
      <c r="N388" s="1" t="str">
        <f t="shared" si="12"/>
        <v>$M(2015)/million</v>
      </c>
      <c r="O388" s="1"/>
      <c r="Q388" s="6"/>
    </row>
    <row r="389" spans="1:17" x14ac:dyDescent="0.25">
      <c r="A389" t="str">
        <v>LA discontinuity</v>
      </c>
      <c r="C389" s="26">
        <f ca="1"/>
        <v>0</v>
      </c>
      <c r="D389" s="26">
        <f ca="1"/>
        <v>0</v>
      </c>
      <c r="E389" s="26">
        <f ca="1"/>
        <v>0</v>
      </c>
      <c r="F389" s="26">
        <f ca="1"/>
        <v>0</v>
      </c>
      <c r="G389" s="26">
        <f ca="1"/>
        <v>0</v>
      </c>
      <c r="H389" s="26">
        <f ca="1"/>
        <v>0</v>
      </c>
      <c r="I389" s="26">
        <f ca="1"/>
        <v>0</v>
      </c>
      <c r="J389" s="26">
        <f ca="1"/>
        <v>0</v>
      </c>
      <c r="K389" s="26">
        <f ca="1"/>
        <v>0</v>
      </c>
      <c r="L389" s="26">
        <f ca="1"/>
        <v>0</v>
      </c>
      <c r="M389" s="6"/>
      <c r="N389" s="1" t="str">
        <f t="shared" si="12"/>
        <v>$M(2015)/million</v>
      </c>
      <c r="O389" s="1"/>
    </row>
    <row r="390" spans="1:17" s="2" customFormat="1" ht="15" x14ac:dyDescent="0.4">
      <c r="A390" s="2" t="s">
        <v>228</v>
      </c>
      <c r="C390" s="2" t="s">
        <v>254</v>
      </c>
    </row>
    <row r="391" spans="1:17" x14ac:dyDescent="0.25">
      <c r="A391" t="str">
        <f t="array" ref="A391:A398">R_CODE&amp;" discontinuity"</f>
        <v>EU discontinuity</v>
      </c>
      <c r="C391" s="29">
        <f t="array" ref="C391:L398" ca="1">rcons_2_per_cap-isatdis_per_cap</f>
        <v>31188.619071777699</v>
      </c>
      <c r="D391" s="29">
        <f ca="1"/>
        <v>35808.989904236136</v>
      </c>
      <c r="E391" s="29">
        <f ca="1"/>
        <v>41853.347312647842</v>
      </c>
      <c r="F391" s="29">
        <f ca="1"/>
        <v>49181.252160645236</v>
      </c>
      <c r="G391" s="29">
        <f ca="1"/>
        <v>75212.392485059172</v>
      </c>
      <c r="H391" s="29">
        <f ca="1"/>
        <v>115083.00262055334</v>
      </c>
      <c r="I391" s="29">
        <f ca="1"/>
        <v>220957.30004131005</v>
      </c>
      <c r="J391" s="29">
        <f ca="1"/>
        <v>377218.41750977869</v>
      </c>
      <c r="K391" s="29">
        <f ca="1"/>
        <v>585961.87900425913</v>
      </c>
      <c r="L391" s="29">
        <f ca="1"/>
        <v>842350.86922547861</v>
      </c>
      <c r="M391" s="6"/>
      <c r="N391" s="1" t="str">
        <f t="shared" ref="N391:N398" si="13">CURRENCY_NAME&amp;"/"&amp;POP_UNIT_NAME</f>
        <v>$M(2015)/million</v>
      </c>
      <c r="O391" s="1"/>
    </row>
    <row r="392" spans="1:17" x14ac:dyDescent="0.25">
      <c r="A392" t="str">
        <v>US discontinuity</v>
      </c>
      <c r="C392" s="26">
        <f ca="1"/>
        <v>49158.44401945093</v>
      </c>
      <c r="D392" s="26">
        <f ca="1"/>
        <v>55983.852241183165</v>
      </c>
      <c r="E392" s="26">
        <f ca="1"/>
        <v>61926.451655696299</v>
      </c>
      <c r="F392" s="26">
        <f ca="1"/>
        <v>68629.565890260899</v>
      </c>
      <c r="G392" s="26">
        <f ca="1"/>
        <v>91643.549037492659</v>
      </c>
      <c r="H392" s="26">
        <f ca="1"/>
        <v>129912.93663386648</v>
      </c>
      <c r="I392" s="26">
        <f ca="1"/>
        <v>263617.29643013544</v>
      </c>
      <c r="J392" s="26">
        <f ca="1"/>
        <v>496021.45059180498</v>
      </c>
      <c r="K392" s="26">
        <f ca="1"/>
        <v>874773.22501698101</v>
      </c>
      <c r="L392" s="26">
        <f ca="1"/>
        <v>1456692.5903438332</v>
      </c>
      <c r="M392" s="6"/>
      <c r="N392" s="1" t="str">
        <f t="shared" si="13"/>
        <v>$M(2015)/million</v>
      </c>
      <c r="O392" s="1"/>
    </row>
    <row r="393" spans="1:17" x14ac:dyDescent="0.25">
      <c r="A393" t="str">
        <v>OT discontinuity</v>
      </c>
      <c r="C393" s="26">
        <f ca="1"/>
        <v>31459.086605438872</v>
      </c>
      <c r="D393" s="26">
        <f ca="1"/>
        <v>37077.060158484317</v>
      </c>
      <c r="E393" s="26">
        <f ca="1"/>
        <v>43203.830263266733</v>
      </c>
      <c r="F393" s="26">
        <f ca="1"/>
        <v>50605.873726705911</v>
      </c>
      <c r="G393" s="26">
        <f ca="1"/>
        <v>77042.629220590868</v>
      </c>
      <c r="H393" s="26">
        <f ca="1"/>
        <v>117635.97263797282</v>
      </c>
      <c r="I393" s="26">
        <f ca="1"/>
        <v>189614.08912427007</v>
      </c>
      <c r="J393" s="26">
        <f ca="1"/>
        <v>256211.48532850452</v>
      </c>
      <c r="K393" s="26">
        <f ca="1"/>
        <v>310066.63063254184</v>
      </c>
      <c r="L393" s="26">
        <f ca="1"/>
        <v>350018.55231231556</v>
      </c>
      <c r="M393" s="6"/>
      <c r="N393" s="1" t="str">
        <f t="shared" si="13"/>
        <v>$M(2015)/million</v>
      </c>
      <c r="O393" s="1"/>
    </row>
    <row r="394" spans="1:17" x14ac:dyDescent="0.25">
      <c r="A394" t="str">
        <v>EE discontinuity</v>
      </c>
      <c r="C394" s="26">
        <f ca="1"/>
        <v>14057.581926798586</v>
      </c>
      <c r="D394" s="26">
        <f ca="1"/>
        <v>20798.98654318379</v>
      </c>
      <c r="E394" s="26">
        <f ca="1"/>
        <v>28403.707403227931</v>
      </c>
      <c r="F394" s="26">
        <f ca="1"/>
        <v>35166.188420893945</v>
      </c>
      <c r="G394" s="26">
        <f ca="1"/>
        <v>55804.392343450105</v>
      </c>
      <c r="H394" s="26">
        <f ca="1"/>
        <v>83802.136666506849</v>
      </c>
      <c r="I394" s="26">
        <f ca="1"/>
        <v>116787.76716568235</v>
      </c>
      <c r="J394" s="26">
        <f ca="1"/>
        <v>134718.23416116182</v>
      </c>
      <c r="K394" s="26">
        <f ca="1"/>
        <v>143333.64047910934</v>
      </c>
      <c r="L394" s="26">
        <f ca="1"/>
        <v>147254.63661884164</v>
      </c>
      <c r="M394" s="6"/>
      <c r="N394" s="1" t="str">
        <f t="shared" si="13"/>
        <v>$M(2015)/million</v>
      </c>
      <c r="O394" s="1"/>
    </row>
    <row r="395" spans="1:17" x14ac:dyDescent="0.25">
      <c r="A395" t="str">
        <v>CA discontinuity</v>
      </c>
      <c r="C395" s="26">
        <f ca="1"/>
        <v>12398.567267435901</v>
      </c>
      <c r="D395" s="26">
        <f ca="1"/>
        <v>23059.438166052762</v>
      </c>
      <c r="E395" s="26">
        <f ca="1"/>
        <v>34851.086651662343</v>
      </c>
      <c r="F395" s="26">
        <f ca="1"/>
        <v>46514.10236101281</v>
      </c>
      <c r="G395" s="26">
        <f ca="1"/>
        <v>71417.395291182387</v>
      </c>
      <c r="H395" s="26">
        <f ca="1"/>
        <v>101008.10909612509</v>
      </c>
      <c r="I395" s="26">
        <f ca="1"/>
        <v>98018.761881369457</v>
      </c>
      <c r="J395" s="26">
        <f ca="1"/>
        <v>94808.800881246629</v>
      </c>
      <c r="K395" s="26">
        <f ca="1"/>
        <v>91575.436320456924</v>
      </c>
      <c r="L395" s="26">
        <f ca="1"/>
        <v>88429.15313367534</v>
      </c>
      <c r="M395" s="6"/>
      <c r="N395" s="1" t="str">
        <f t="shared" si="13"/>
        <v>$M(2015)/million</v>
      </c>
      <c r="O395" s="1"/>
    </row>
    <row r="396" spans="1:17" x14ac:dyDescent="0.25">
      <c r="A396" t="str">
        <v>IA discontinuity</v>
      </c>
      <c r="C396" s="26">
        <f ca="1"/>
        <v>5889.4536044592815</v>
      </c>
      <c r="D396" s="26">
        <f ca="1"/>
        <v>10019.088646941655</v>
      </c>
      <c r="E396" s="26">
        <f ca="1"/>
        <v>16282.632317340809</v>
      </c>
      <c r="F396" s="26">
        <f ca="1"/>
        <v>24725.906792454847</v>
      </c>
      <c r="G396" s="26">
        <f ca="1"/>
        <v>54139.799461542912</v>
      </c>
      <c r="H396" s="26">
        <f ca="1"/>
        <v>95258.296330512618</v>
      </c>
      <c r="I396" s="26">
        <f ca="1"/>
        <v>158811.96487307828</v>
      </c>
      <c r="J396" s="26">
        <f ca="1"/>
        <v>180952.71743610801</v>
      </c>
      <c r="K396" s="26">
        <f ca="1"/>
        <v>187081.1921738637</v>
      </c>
      <c r="L396" s="26">
        <f ca="1"/>
        <v>188788.01381636286</v>
      </c>
      <c r="M396" s="6"/>
      <c r="N396" s="1" t="str">
        <f t="shared" si="13"/>
        <v>$M(2015)/million</v>
      </c>
      <c r="O396" s="1"/>
      <c r="Q396" s="6"/>
    </row>
    <row r="397" spans="1:17" x14ac:dyDescent="0.25">
      <c r="A397" t="str">
        <v>AF discontinuity</v>
      </c>
      <c r="C397" s="26">
        <f ca="1"/>
        <v>5171.799967585267</v>
      </c>
      <c r="D397" s="26">
        <f ca="1"/>
        <v>6998.7081368550798</v>
      </c>
      <c r="E397" s="26">
        <f ca="1"/>
        <v>10016.028759556117</v>
      </c>
      <c r="F397" s="26">
        <f ca="1"/>
        <v>14859.530569477844</v>
      </c>
      <c r="G397" s="26">
        <f ca="1"/>
        <v>39663.799302276908</v>
      </c>
      <c r="H397" s="26">
        <f ca="1"/>
        <v>85884.378257097487</v>
      </c>
      <c r="I397" s="26">
        <f ca="1"/>
        <v>325700.81048155553</v>
      </c>
      <c r="J397" s="26">
        <f ca="1"/>
        <v>625303.22423920082</v>
      </c>
      <c r="K397" s="26">
        <f ca="1"/>
        <v>860036.72558479139</v>
      </c>
      <c r="L397" s="26">
        <f ca="1"/>
        <v>1005459.1856392197</v>
      </c>
      <c r="M397" s="6"/>
      <c r="N397" s="1" t="str">
        <f t="shared" si="13"/>
        <v>$M(2015)/million</v>
      </c>
      <c r="O397" s="1"/>
      <c r="Q397" s="6"/>
    </row>
    <row r="398" spans="1:17" x14ac:dyDescent="0.25">
      <c r="A398" t="str">
        <v>LA discontinuity</v>
      </c>
      <c r="C398" s="26">
        <f ca="1"/>
        <v>12385.153016766621</v>
      </c>
      <c r="D398" s="26">
        <f ca="1"/>
        <v>16545.370134131463</v>
      </c>
      <c r="E398" s="26">
        <f ca="1"/>
        <v>22455.808763823246</v>
      </c>
      <c r="F398" s="26">
        <f ca="1"/>
        <v>30292.448602407068</v>
      </c>
      <c r="G398" s="26">
        <f ca="1"/>
        <v>58882.141819518452</v>
      </c>
      <c r="H398" s="26">
        <f ca="1"/>
        <v>102066.18030044077</v>
      </c>
      <c r="I398" s="26">
        <f ca="1"/>
        <v>187013.40648273382</v>
      </c>
      <c r="J398" s="26">
        <f ca="1"/>
        <v>238115.2796040698</v>
      </c>
      <c r="K398" s="26">
        <f ca="1"/>
        <v>262175.15475143504</v>
      </c>
      <c r="L398" s="26">
        <f ca="1"/>
        <v>272548.22065906337</v>
      </c>
      <c r="M398" s="6"/>
      <c r="N398" s="1" t="str">
        <f t="shared" si="13"/>
        <v>$M(2015)/million</v>
      </c>
      <c r="O398" s="1"/>
    </row>
    <row r="399" spans="1:17" s="2" customFormat="1" ht="15" x14ac:dyDescent="0.4">
      <c r="A399" s="2" t="s">
        <v>230</v>
      </c>
      <c r="C399" s="2" t="s">
        <v>253</v>
      </c>
    </row>
    <row r="400" spans="1:17" x14ac:dyDescent="0.25">
      <c r="A400" t="str">
        <f t="array" ref="A400:A407">R_CODE&amp;" discontinuity"</f>
        <v>EU discontinuity</v>
      </c>
      <c r="C400" s="29">
        <f t="array" aca="1" ref="C400:L407" ca="1" xml:space="preserve"> rconsdis_per_cap/(1-SAVE/100)</f>
        <v>36692.493025620824</v>
      </c>
      <c r="D400" s="29">
        <f ca="1"/>
        <v>42128.223416748398</v>
      </c>
      <c r="E400" s="29">
        <f ca="1"/>
        <v>49239.232132526871</v>
      </c>
      <c r="F400" s="29">
        <f ca="1"/>
        <v>57860.296659582629</v>
      </c>
      <c r="G400" s="29">
        <f ca="1"/>
        <v>88485.167629481381</v>
      </c>
      <c r="H400" s="29">
        <f ca="1"/>
        <v>135391.76778888627</v>
      </c>
      <c r="I400" s="29">
        <f ca="1"/>
        <v>259949.76475448243</v>
      </c>
      <c r="J400" s="29">
        <f ca="1"/>
        <v>443786.37354091613</v>
      </c>
      <c r="K400" s="29">
        <f ca="1"/>
        <v>689366.91647559905</v>
      </c>
      <c r="L400" s="29">
        <f ca="1"/>
        <v>991001.02261821018</v>
      </c>
      <c r="M400" s="6"/>
      <c r="N400" s="1" t="str">
        <f t="shared" ref="N400:N407" si="14">CURRENCY_NAME&amp;"/"&amp;POP_UNIT_NAME</f>
        <v>$M(2015)/million</v>
      </c>
      <c r="O400" s="1"/>
      <c r="Q400" s="6"/>
    </row>
    <row r="401" spans="1:17" x14ac:dyDescent="0.25">
      <c r="A401" t="str">
        <v>US discontinuity</v>
      </c>
      <c r="C401" s="26">
        <f ca="1"/>
        <v>57833.463552295216</v>
      </c>
      <c r="D401" s="26">
        <f ca="1"/>
        <v>65863.355577862545</v>
      </c>
      <c r="E401" s="26">
        <f ca="1"/>
        <v>72854.649006701526</v>
      </c>
      <c r="F401" s="26">
        <f ca="1"/>
        <v>80740.665753248119</v>
      </c>
      <c r="G401" s="26">
        <f ca="1"/>
        <v>107815.94004410901</v>
      </c>
      <c r="H401" s="26">
        <f ca="1"/>
        <v>152838.74898101939</v>
      </c>
      <c r="I401" s="26">
        <f ca="1"/>
        <v>310137.99580015935</v>
      </c>
      <c r="J401" s="26">
        <f ca="1"/>
        <v>583554.64775506465</v>
      </c>
      <c r="K401" s="26">
        <f ca="1"/>
        <v>1029144.970608213</v>
      </c>
      <c r="L401" s="26">
        <f ca="1"/>
        <v>1713755.9886398038</v>
      </c>
      <c r="M401" s="6"/>
      <c r="N401" s="1" t="str">
        <f t="shared" si="14"/>
        <v>$M(2015)/million</v>
      </c>
      <c r="O401" s="1"/>
      <c r="Q401" s="6"/>
    </row>
    <row r="402" spans="1:17" x14ac:dyDescent="0.25">
      <c r="A402" t="str">
        <v>OT discontinuity</v>
      </c>
      <c r="C402" s="26">
        <f ca="1"/>
        <v>37010.69012404573</v>
      </c>
      <c r="D402" s="26">
        <f ca="1"/>
        <v>43620.070774687432</v>
      </c>
      <c r="E402" s="26">
        <f ca="1"/>
        <v>50828.035603843215</v>
      </c>
      <c r="F402" s="26">
        <f ca="1"/>
        <v>59536.32203141872</v>
      </c>
      <c r="G402" s="26">
        <f ca="1"/>
        <v>90638.387318342197</v>
      </c>
      <c r="H402" s="26">
        <f ca="1"/>
        <v>138395.26192702685</v>
      </c>
      <c r="I402" s="26">
        <f ca="1"/>
        <v>223075.39896972952</v>
      </c>
      <c r="J402" s="26">
        <f ca="1"/>
        <v>301425.27685706416</v>
      </c>
      <c r="K402" s="26">
        <f ca="1"/>
        <v>364784.27133240219</v>
      </c>
      <c r="L402" s="26">
        <f ca="1"/>
        <v>411786.53213213594</v>
      </c>
      <c r="M402" s="6"/>
      <c r="N402" s="1" t="str">
        <f t="shared" si="14"/>
        <v>$M(2015)/million</v>
      </c>
      <c r="O402" s="1"/>
      <c r="Q402" s="6"/>
    </row>
    <row r="403" spans="1:17" x14ac:dyDescent="0.25">
      <c r="A403" t="str">
        <v>EE discontinuity</v>
      </c>
      <c r="C403" s="26">
        <f ca="1"/>
        <v>16538.331678586572</v>
      </c>
      <c r="D403" s="26">
        <f ca="1"/>
        <v>24469.395933157401</v>
      </c>
      <c r="E403" s="26">
        <f ca="1"/>
        <v>33416.126356738743</v>
      </c>
      <c r="F403" s="26">
        <f ca="1"/>
        <v>41371.986377522291</v>
      </c>
      <c r="G403" s="26">
        <f ca="1"/>
        <v>65652.226286411897</v>
      </c>
      <c r="H403" s="26">
        <f ca="1"/>
        <v>98590.749019419818</v>
      </c>
      <c r="I403" s="26">
        <f ca="1"/>
        <v>137397.3731360969</v>
      </c>
      <c r="J403" s="26">
        <f ca="1"/>
        <v>158492.04018960215</v>
      </c>
      <c r="K403" s="26">
        <f ca="1"/>
        <v>168627.81232836394</v>
      </c>
      <c r="L403" s="26">
        <f ca="1"/>
        <v>173240.74896334313</v>
      </c>
      <c r="M403" s="6"/>
      <c r="N403" s="1" t="str">
        <f t="shared" si="14"/>
        <v>$M(2015)/million</v>
      </c>
      <c r="O403" s="1"/>
      <c r="Q403" s="6"/>
    </row>
    <row r="404" spans="1:17" x14ac:dyDescent="0.25">
      <c r="A404" t="str">
        <v>CA discontinuity</v>
      </c>
      <c r="C404" s="26">
        <f ca="1"/>
        <v>14586.549726395178</v>
      </c>
      <c r="D404" s="26">
        <f ca="1"/>
        <v>27128.750783591484</v>
      </c>
      <c r="E404" s="26">
        <f ca="1"/>
        <v>41001.278413720407</v>
      </c>
      <c r="F404" s="26">
        <f ca="1"/>
        <v>54722.473365897422</v>
      </c>
      <c r="G404" s="26">
        <f ca="1"/>
        <v>84020.465048449871</v>
      </c>
      <c r="H404" s="26">
        <f ca="1"/>
        <v>118833.06952485305</v>
      </c>
      <c r="I404" s="26">
        <f ca="1"/>
        <v>115316.19044866995</v>
      </c>
      <c r="J404" s="26">
        <f ca="1"/>
        <v>111539.7657426431</v>
      </c>
      <c r="K404" s="26">
        <f ca="1"/>
        <v>107735.80743583168</v>
      </c>
      <c r="L404" s="26">
        <f ca="1"/>
        <v>104034.29780432393</v>
      </c>
      <c r="M404" s="6"/>
      <c r="N404" s="1" t="str">
        <f t="shared" si="14"/>
        <v>$M(2015)/million</v>
      </c>
      <c r="O404" s="1"/>
      <c r="Q404" s="6"/>
    </row>
    <row r="405" spans="1:17" x14ac:dyDescent="0.25">
      <c r="A405" t="str">
        <v>IA discontinuity</v>
      </c>
      <c r="C405" s="26">
        <f ca="1"/>
        <v>6928.7689464226842</v>
      </c>
      <c r="D405" s="26">
        <f ca="1"/>
        <v>11787.163114049006</v>
      </c>
      <c r="E405" s="26">
        <f ca="1"/>
        <v>19156.038020400953</v>
      </c>
      <c r="F405" s="26">
        <f ca="1"/>
        <v>29089.302108770411</v>
      </c>
      <c r="G405" s="26">
        <f ca="1"/>
        <v>63693.881719462253</v>
      </c>
      <c r="H405" s="26">
        <f ca="1"/>
        <v>112068.58391825014</v>
      </c>
      <c r="I405" s="26">
        <f ca="1"/>
        <v>186837.60573303327</v>
      </c>
      <c r="J405" s="26">
        <f ca="1"/>
        <v>212885.54992483297</v>
      </c>
      <c r="K405" s="26">
        <f ca="1"/>
        <v>220095.52020454555</v>
      </c>
      <c r="L405" s="26">
        <f ca="1"/>
        <v>222103.54566630925</v>
      </c>
      <c r="M405" s="6"/>
      <c r="N405" s="1" t="str">
        <f t="shared" si="14"/>
        <v>$M(2015)/million</v>
      </c>
      <c r="O405" s="1"/>
      <c r="Q405" s="6"/>
    </row>
    <row r="406" spans="1:17" x14ac:dyDescent="0.25">
      <c r="A406" t="str">
        <v>AF discontinuity</v>
      </c>
      <c r="C406" s="26">
        <f ca="1"/>
        <v>6084.4705501003145</v>
      </c>
      <c r="D406" s="26">
        <f ca="1"/>
        <v>8233.7742786530362</v>
      </c>
      <c r="E406" s="26">
        <f ca="1"/>
        <v>11783.563246536609</v>
      </c>
      <c r="F406" s="26">
        <f ca="1"/>
        <v>17481.800669973934</v>
      </c>
      <c r="G406" s="26">
        <f ca="1"/>
        <v>46663.293296796364</v>
      </c>
      <c r="H406" s="26">
        <f ca="1"/>
        <v>101040.44500834998</v>
      </c>
      <c r="I406" s="26">
        <f ca="1"/>
        <v>383177.4240959477</v>
      </c>
      <c r="J406" s="26">
        <f ca="1"/>
        <v>735650.85204611858</v>
      </c>
      <c r="K406" s="26">
        <f ca="1"/>
        <v>1011807.9124526958</v>
      </c>
      <c r="L406" s="26">
        <f ca="1"/>
        <v>1182893.1595755527</v>
      </c>
      <c r="M406" s="6"/>
      <c r="N406" s="1" t="str">
        <f t="shared" si="14"/>
        <v>$M(2015)/million</v>
      </c>
      <c r="O406" s="1"/>
      <c r="Q406" s="6"/>
    </row>
    <row r="407" spans="1:17" x14ac:dyDescent="0.25">
      <c r="A407" t="str">
        <v>LA discontinuity</v>
      </c>
      <c r="C407" s="26">
        <f ca="1"/>
        <v>14570.768255019553</v>
      </c>
      <c r="D407" s="26">
        <f ca="1"/>
        <v>19465.14133427231</v>
      </c>
      <c r="E407" s="26">
        <f ca="1"/>
        <v>26418.598545674409</v>
      </c>
      <c r="F407" s="26">
        <f ca="1"/>
        <v>35638.174826361261</v>
      </c>
      <c r="G407" s="26">
        <f ca="1"/>
        <v>69273.108022962886</v>
      </c>
      <c r="H407" s="26">
        <f ca="1"/>
        <v>120077.85917698915</v>
      </c>
      <c r="I407" s="26">
        <f ca="1"/>
        <v>220015.77233262802</v>
      </c>
      <c r="J407" s="26">
        <f ca="1"/>
        <v>280135.62306361157</v>
      </c>
      <c r="K407" s="26">
        <f ca="1"/>
        <v>308441.35853110004</v>
      </c>
      <c r="L407" s="26">
        <f ca="1"/>
        <v>320644.96548125101</v>
      </c>
      <c r="M407" s="6"/>
      <c r="N407" s="1" t="str">
        <f t="shared" si="14"/>
        <v>$M(2015)/million</v>
      </c>
      <c r="O407" s="1"/>
      <c r="Q407" s="6"/>
    </row>
    <row r="408" spans="1:17" ht="15" x14ac:dyDescent="0.4">
      <c r="A408" s="2" t="s">
        <v>117</v>
      </c>
      <c r="B408" s="2"/>
      <c r="C408" s="53" t="s">
        <v>255</v>
      </c>
      <c r="D408" s="1"/>
      <c r="E408" s="1"/>
      <c r="F408" s="1"/>
      <c r="G408" s="1"/>
      <c r="H408" s="1"/>
      <c r="I408" s="1"/>
      <c r="J408" s="1"/>
      <c r="K408" s="1"/>
      <c r="L408" s="1"/>
      <c r="M408" s="1"/>
      <c r="N408" s="1"/>
    </row>
    <row r="409" spans="1:17" ht="13" x14ac:dyDescent="0.3">
      <c r="A409" s="1" t="str">
        <f t="array" ref="A409:A416">R_CODE&amp;" total"</f>
        <v>EU total</v>
      </c>
      <c r="C409" s="224">
        <f t="array" aca="1" ref="C409:L416" ca="1">IF(EQUITY_SWITCH=0, (cons_per_cap_after_costs - rconsdis_per_cap), (((CONS_PER_CAP_FOCUS_0)^EMUC)/(1-EMUC))*( (cons_per_cap_after_costs)^(1-EMUC) - (rconsdis_per_cap) ^(1-EMUC))) * POP</f>
        <v>63420.417050785851</v>
      </c>
      <c r="D409" s="224">
        <f ca="1"/>
        <v>72444.383829914572</v>
      </c>
      <c r="E409" s="224">
        <f ca="1"/>
        <v>85270.957986675683</v>
      </c>
      <c r="F409" s="224">
        <f ca="1"/>
        <v>93240.033352457904</v>
      </c>
      <c r="G409" s="224">
        <f ca="1"/>
        <v>98202.114232158026</v>
      </c>
      <c r="H409" s="224">
        <f ca="1"/>
        <v>91993.081196451938</v>
      </c>
      <c r="I409" s="224">
        <f ca="1"/>
        <v>83811.649064447498</v>
      </c>
      <c r="J409" s="224">
        <f ca="1"/>
        <v>81160.171179570985</v>
      </c>
      <c r="K409" s="224">
        <f ca="1"/>
        <v>76413.778113300286</v>
      </c>
      <c r="L409" s="224">
        <f ca="1"/>
        <v>70686.040550031335</v>
      </c>
      <c r="M409" s="1"/>
      <c r="N409" s="1" t="str">
        <f t="array" ref="N409:N417">CURRENCY_NAME</f>
        <v>$M(2015)</v>
      </c>
      <c r="P409" s="124" t="s">
        <v>1038</v>
      </c>
    </row>
    <row r="410" spans="1:17" x14ac:dyDescent="0.25">
      <c r="A410" s="1" t="str">
        <v>US total</v>
      </c>
      <c r="C410" s="224">
        <f ca="1"/>
        <v>35390.159147387174</v>
      </c>
      <c r="D410" s="224">
        <f ca="1"/>
        <v>65132.630407249126</v>
      </c>
      <c r="E410" s="224">
        <f ca="1"/>
        <v>93832.852872556279</v>
      </c>
      <c r="F410" s="224">
        <f ca="1"/>
        <v>115954.15967825019</v>
      </c>
      <c r="G410" s="224">
        <f ca="1"/>
        <v>146582.30120433506</v>
      </c>
      <c r="H410" s="224">
        <f ca="1"/>
        <v>146496.66027648398</v>
      </c>
      <c r="I410" s="224">
        <f ca="1"/>
        <v>114335.9946614262</v>
      </c>
      <c r="J410" s="224">
        <f ca="1"/>
        <v>95799.296711791889</v>
      </c>
      <c r="K410" s="224">
        <f ca="1"/>
        <v>81235.379029864882</v>
      </c>
      <c r="L410" s="224">
        <f ca="1"/>
        <v>67687.516966896816</v>
      </c>
      <c r="M410" s="1"/>
      <c r="N410" s="1" t="str">
        <v>$M(2015)</v>
      </c>
    </row>
    <row r="411" spans="1:17" x14ac:dyDescent="0.25">
      <c r="A411" s="1" t="str">
        <v>OT total</v>
      </c>
      <c r="C411" s="224">
        <f ca="1"/>
        <v>30952.007264788022</v>
      </c>
      <c r="D411" s="224">
        <f ca="1"/>
        <v>44044.414898320814</v>
      </c>
      <c r="E411" s="224">
        <f ca="1"/>
        <v>56024.503394108237</v>
      </c>
      <c r="F411" s="224">
        <f ca="1"/>
        <v>62946.634568787929</v>
      </c>
      <c r="G411" s="224">
        <f ca="1"/>
        <v>64073.774833460855</v>
      </c>
      <c r="H411" s="224">
        <f ca="1"/>
        <v>54094.600667467341</v>
      </c>
      <c r="I411" s="224">
        <f ca="1"/>
        <v>48127.797099412928</v>
      </c>
      <c r="J411" s="224">
        <f ca="1"/>
        <v>47936.436748217668</v>
      </c>
      <c r="K411" s="224">
        <f ca="1"/>
        <v>48439.029675843929</v>
      </c>
      <c r="L411" s="224">
        <f ca="1"/>
        <v>48499.200964578136</v>
      </c>
      <c r="M411" s="1"/>
      <c r="N411" s="1" t="str">
        <v>$M(2015)</v>
      </c>
    </row>
    <row r="412" spans="1:17" x14ac:dyDescent="0.25">
      <c r="A412" s="1" t="str">
        <v>EE total</v>
      </c>
      <c r="C412" s="224">
        <f ca="1"/>
        <v>24239.636913532107</v>
      </c>
      <c r="D412" s="224">
        <f ca="1"/>
        <v>15443.908504283801</v>
      </c>
      <c r="E412" s="224">
        <f ca="1"/>
        <v>19183.793235798548</v>
      </c>
      <c r="F412" s="224">
        <f ca="1"/>
        <v>23983.56462614108</v>
      </c>
      <c r="G412" s="224">
        <f ca="1"/>
        <v>26829.696793520208</v>
      </c>
      <c r="H412" s="224">
        <f ca="1"/>
        <v>21780.867116725542</v>
      </c>
      <c r="I412" s="224">
        <f ca="1"/>
        <v>18030.313140730072</v>
      </c>
      <c r="J412" s="224">
        <f ca="1"/>
        <v>19449.645592021043</v>
      </c>
      <c r="K412" s="224">
        <f ca="1"/>
        <v>21623.108161666216</v>
      </c>
      <c r="L412" s="224">
        <f ca="1"/>
        <v>23565.210832548368</v>
      </c>
      <c r="M412" s="1"/>
      <c r="N412" s="1" t="str">
        <v>$M(2015)</v>
      </c>
    </row>
    <row r="413" spans="1:17" x14ac:dyDescent="0.25">
      <c r="A413" s="1" t="str">
        <v>CA total</v>
      </c>
      <c r="C413" s="224">
        <f ca="1"/>
        <v>344904.23849026678</v>
      </c>
      <c r="D413" s="224">
        <f ca="1"/>
        <v>454231.55436564877</v>
      </c>
      <c r="E413" s="224">
        <f ca="1"/>
        <v>524282.35559040494</v>
      </c>
      <c r="F413" s="224">
        <f ca="1"/>
        <v>545345.88192950271</v>
      </c>
      <c r="G413" s="224">
        <f ca="1"/>
        <v>453977.48000372952</v>
      </c>
      <c r="H413" s="224">
        <f ca="1"/>
        <v>306044.30426439765</v>
      </c>
      <c r="I413" s="224">
        <f ca="1"/>
        <v>313814.51695900247</v>
      </c>
      <c r="J413" s="224">
        <f ca="1"/>
        <v>334262.06118172774</v>
      </c>
      <c r="K413" s="224">
        <f ca="1"/>
        <v>357085.48429631768</v>
      </c>
      <c r="L413" s="224">
        <f ca="1"/>
        <v>373675.20974788821</v>
      </c>
      <c r="M413" s="1"/>
      <c r="N413" s="1" t="str">
        <v>$M(2015)</v>
      </c>
    </row>
    <row r="414" spans="1:17" x14ac:dyDescent="0.25">
      <c r="A414" s="1" t="str">
        <v>IA total</v>
      </c>
      <c r="C414" s="224">
        <f ca="1"/>
        <v>826954.81086534879</v>
      </c>
      <c r="D414" s="224">
        <f ca="1"/>
        <v>1461345.5137049581</v>
      </c>
      <c r="E414" s="224">
        <f ca="1"/>
        <v>1837260.1345668461</v>
      </c>
      <c r="F414" s="224">
        <f ca="1"/>
        <v>2002527.5101688507</v>
      </c>
      <c r="G414" s="224">
        <f ca="1"/>
        <v>1831602.9637533284</v>
      </c>
      <c r="H414" s="224">
        <f ca="1"/>
        <v>1352173.9132949407</v>
      </c>
      <c r="I414" s="224">
        <f ca="1"/>
        <v>1100304.6285638241</v>
      </c>
      <c r="J414" s="224">
        <f ca="1"/>
        <v>1022647.9947306307</v>
      </c>
      <c r="K414" s="224">
        <f ca="1"/>
        <v>1001256.3869469989</v>
      </c>
      <c r="L414" s="224">
        <f ca="1"/>
        <v>973379.01977141981</v>
      </c>
      <c r="M414" s="1"/>
      <c r="N414" s="1" t="str">
        <v>$M(2015)</v>
      </c>
    </row>
    <row r="415" spans="1:17" x14ac:dyDescent="0.25">
      <c r="A415" s="1" t="str">
        <v>AF total</v>
      </c>
      <c r="C415" s="224">
        <f ca="1"/>
        <v>450152.65891970613</v>
      </c>
      <c r="D415" s="224">
        <f ca="1"/>
        <v>991123.65236025129</v>
      </c>
      <c r="E415" s="224">
        <f ca="1"/>
        <v>1441035.2165679736</v>
      </c>
      <c r="F415" s="224">
        <f ca="1"/>
        <v>1752398.7221464489</v>
      </c>
      <c r="G415" s="224">
        <f ca="1"/>
        <v>1968968.15412611</v>
      </c>
      <c r="H415" s="224">
        <f ca="1"/>
        <v>1745710.5187835849</v>
      </c>
      <c r="I415" s="224">
        <f ca="1"/>
        <v>1128512.4486592798</v>
      </c>
      <c r="J415" s="224">
        <f ca="1"/>
        <v>877295.45991223573</v>
      </c>
      <c r="K415" s="224">
        <f ca="1"/>
        <v>761897.88390315743</v>
      </c>
      <c r="L415" s="224">
        <f ca="1"/>
        <v>677712.83844724181</v>
      </c>
      <c r="M415" s="1"/>
      <c r="N415" s="1" t="str">
        <v>$M(2015)</v>
      </c>
    </row>
    <row r="416" spans="1:17" x14ac:dyDescent="0.25">
      <c r="A416" s="1" t="str">
        <v>LA total</v>
      </c>
      <c r="C416" s="224">
        <f ca="1"/>
        <v>127760.51582344269</v>
      </c>
      <c r="D416" s="224">
        <f ca="1"/>
        <v>261149.64244218322</v>
      </c>
      <c r="E416" s="224">
        <f ca="1"/>
        <v>351706.2557676789</v>
      </c>
      <c r="F416" s="224">
        <f ca="1"/>
        <v>398014.01007935038</v>
      </c>
      <c r="G416" s="224">
        <f ca="1"/>
        <v>384482.3289942072</v>
      </c>
      <c r="H416" s="224">
        <f ca="1"/>
        <v>295700.6632677053</v>
      </c>
      <c r="I416" s="224">
        <f ca="1"/>
        <v>231901.24654432732</v>
      </c>
      <c r="J416" s="224">
        <f ca="1"/>
        <v>206478.64324162665</v>
      </c>
      <c r="K416" s="224">
        <f ca="1"/>
        <v>196420.87349766266</v>
      </c>
      <c r="L416" s="224">
        <f ca="1"/>
        <v>187259.50030315827</v>
      </c>
      <c r="M416" s="1"/>
      <c r="N416" s="1" t="str">
        <v>$M(2015)</v>
      </c>
    </row>
    <row r="417" spans="1:16" ht="13" x14ac:dyDescent="0.3">
      <c r="A417" s="2" t="s">
        <v>257</v>
      </c>
      <c r="B417" s="2"/>
      <c r="C417" s="40">
        <f ca="1">_xll.RiskOutput(,A417,1)+SUM(C409:C416)</f>
        <v>1903774.4444752575</v>
      </c>
      <c r="D417" s="40">
        <f ca="1">_xll.RiskOutput(,A417,2)+SUM(D409:D416)</f>
        <v>3364915.7005128092</v>
      </c>
      <c r="E417" s="40">
        <f ca="1">_xll.RiskOutput(,A417,3)+SUM(E409:E416)</f>
        <v>4408596.0699820425</v>
      </c>
      <c r="F417" s="40">
        <f ca="1">_xll.RiskOutput(,A417,4)+SUM(F409:F416)</f>
        <v>4994410.5165497893</v>
      </c>
      <c r="G417" s="40">
        <f ca="1">_xll.RiskOutput(,A417,5)+SUM(G409:G416)</f>
        <v>4974718.8139408492</v>
      </c>
      <c r="H417" s="40">
        <f ca="1">_xll.RiskOutput(,A417,6)+SUM(H409:H416)</f>
        <v>4013994.6088677575</v>
      </c>
      <c r="I417" s="40">
        <f ca="1">_xll.RiskOutput(,A417,7)+SUM(I409:I416)</f>
        <v>3038838.5946924505</v>
      </c>
      <c r="J417" s="40">
        <f ca="1">_xll.RiskOutput(,A417,8)+SUM(J409:J416)</f>
        <v>2685029.7092978223</v>
      </c>
      <c r="K417" s="40">
        <f ca="1">_xll.RiskOutput(,A417,9)+SUM(K409:K416)</f>
        <v>2544371.9236248122</v>
      </c>
      <c r="L417" s="40">
        <f ca="1">_xll.RiskOutput(,A417,10)+SUM(L409:L416)</f>
        <v>2422464.5375837623</v>
      </c>
      <c r="M417" s="1"/>
      <c r="N417" s="1" t="str">
        <v>$M(2015)</v>
      </c>
    </row>
    <row r="418" spans="1:16" ht="15" x14ac:dyDescent="0.4">
      <c r="A418" s="2" t="s">
        <v>87</v>
      </c>
      <c r="B418" s="2"/>
      <c r="C418" s="53" t="s">
        <v>256</v>
      </c>
      <c r="D418" s="1"/>
      <c r="E418" s="1"/>
      <c r="F418" s="1"/>
      <c r="G418" s="1"/>
      <c r="H418" s="1"/>
      <c r="I418" s="1"/>
      <c r="J418" s="1"/>
      <c r="K418" s="1"/>
      <c r="L418" s="1"/>
      <c r="M418" s="1"/>
      <c r="N418" s="1"/>
    </row>
    <row r="419" spans="1:16" ht="13" x14ac:dyDescent="0.3">
      <c r="A419" s="1" t="str">
        <f t="array" ref="A419:A426">R_CODE&amp;" total"</f>
        <v>EU total</v>
      </c>
      <c r="C419" s="224">
        <f t="array" aca="1" ref="C419:L426" ca="1">IF(EQUITY_SWITCH=0,wit*DFC,wit*DF)</f>
        <v>60242.8743944409</v>
      </c>
      <c r="D419" s="224">
        <f ca="1"/>
        <v>62091.835494226238</v>
      </c>
      <c r="E419" s="224">
        <f ca="1"/>
        <v>65945.338362601266</v>
      </c>
      <c r="F419" s="224">
        <f ca="1"/>
        <v>65063.67089046492</v>
      </c>
      <c r="G419" s="224">
        <f ca="1"/>
        <v>52995.615331437322</v>
      </c>
      <c r="H419" s="224">
        <f ca="1"/>
        <v>38393.457604382784</v>
      </c>
      <c r="I419" s="224">
        <f ca="1"/>
        <v>20920.514615856606</v>
      </c>
      <c r="J419" s="224">
        <f ca="1"/>
        <v>12116.490593487601</v>
      </c>
      <c r="K419" s="224">
        <f ca="1"/>
        <v>6822.9389555808057</v>
      </c>
      <c r="L419" s="224">
        <f ca="1"/>
        <v>3774.8472790527621</v>
      </c>
      <c r="M419" s="1"/>
      <c r="N419" s="1" t="str">
        <f t="array" ref="N419:N427">CURRENCY_NAME</f>
        <v>$M(2015)</v>
      </c>
      <c r="P419" s="124" t="s">
        <v>1038</v>
      </c>
    </row>
    <row r="420" spans="1:16" x14ac:dyDescent="0.25">
      <c r="A420" s="1" t="str">
        <v>US total</v>
      </c>
      <c r="C420" s="224">
        <f ca="1"/>
        <v>33617.011862410975</v>
      </c>
      <c r="D420" s="224">
        <f ca="1"/>
        <v>55824.956452775717</v>
      </c>
      <c r="E420" s="224">
        <f ca="1"/>
        <v>72566.784498607478</v>
      </c>
      <c r="F420" s="224">
        <f ca="1"/>
        <v>80913.777188038832</v>
      </c>
      <c r="G420" s="224">
        <f ca="1"/>
        <v>79104.399225632777</v>
      </c>
      <c r="H420" s="224">
        <f ca="1"/>
        <v>61140.61234124405</v>
      </c>
      <c r="I420" s="224">
        <f ca="1"/>
        <v>28539.801735598241</v>
      </c>
      <c r="J420" s="224">
        <f ca="1"/>
        <v>14301.981632134968</v>
      </c>
      <c r="K420" s="224">
        <f ca="1"/>
        <v>7253.4567173529686</v>
      </c>
      <c r="L420" s="224">
        <f ca="1"/>
        <v>3614.7170963335961</v>
      </c>
      <c r="M420" s="1"/>
      <c r="N420" s="1" t="str">
        <v>$M(2015)</v>
      </c>
    </row>
    <row r="421" spans="1:16" x14ac:dyDescent="0.25">
      <c r="A421" s="1" t="str">
        <v>OT total</v>
      </c>
      <c r="C421" s="224">
        <f ca="1"/>
        <v>29401.223968856608</v>
      </c>
      <c r="D421" s="224">
        <f ca="1"/>
        <v>37750.318516432722</v>
      </c>
      <c r="E421" s="224">
        <f ca="1"/>
        <v>43327.234971354213</v>
      </c>
      <c r="F421" s="224">
        <f ca="1"/>
        <v>43924.68522361396</v>
      </c>
      <c r="G421" s="224">
        <f ca="1"/>
        <v>34577.963524081257</v>
      </c>
      <c r="H421" s="224">
        <f ca="1"/>
        <v>22576.466951000733</v>
      </c>
      <c r="I421" s="224">
        <f ca="1"/>
        <v>12013.345327127727</v>
      </c>
      <c r="J421" s="224">
        <f ca="1"/>
        <v>7156.4829953351873</v>
      </c>
      <c r="K421" s="224">
        <f ca="1"/>
        <v>4325.0909810507756</v>
      </c>
      <c r="L421" s="224">
        <f ca="1"/>
        <v>2590.0032789046877</v>
      </c>
      <c r="M421" s="1"/>
      <c r="N421" s="1" t="str">
        <v>$M(2015)</v>
      </c>
    </row>
    <row r="422" spans="1:16" x14ac:dyDescent="0.25">
      <c r="A422" s="1" t="str">
        <v>EE total</v>
      </c>
      <c r="C422" s="224">
        <f ca="1"/>
        <v>23025.162398087283</v>
      </c>
      <c r="D422" s="224">
        <f ca="1"/>
        <v>13236.921560231347</v>
      </c>
      <c r="E422" s="224">
        <f ca="1"/>
        <v>14836.021148145146</v>
      </c>
      <c r="F422" s="224">
        <f ca="1"/>
        <v>16735.93090337847</v>
      </c>
      <c r="G422" s="224">
        <f ca="1"/>
        <v>14478.876568452557</v>
      </c>
      <c r="H422" s="224">
        <f ca="1"/>
        <v>9090.2792618381191</v>
      </c>
      <c r="I422" s="224">
        <f ca="1"/>
        <v>4500.608612283263</v>
      </c>
      <c r="J422" s="224">
        <f ca="1"/>
        <v>2903.6588321256454</v>
      </c>
      <c r="K422" s="224">
        <f ca="1"/>
        <v>1930.7139453073403</v>
      </c>
      <c r="L422" s="224">
        <f ca="1"/>
        <v>1258.453172640046</v>
      </c>
      <c r="M422" s="1"/>
      <c r="N422" s="1" t="str">
        <v>$M(2015)</v>
      </c>
    </row>
    <row r="423" spans="1:16" x14ac:dyDescent="0.25">
      <c r="A423" s="1" t="str">
        <v>CA total</v>
      </c>
      <c r="C423" s="224">
        <f ca="1"/>
        <v>327623.55852754466</v>
      </c>
      <c r="D423" s="224">
        <f ca="1"/>
        <v>389320.32352123054</v>
      </c>
      <c r="E423" s="224">
        <f ca="1"/>
        <v>405460.17252853391</v>
      </c>
      <c r="F423" s="224">
        <f ca="1"/>
        <v>380546.89286955469</v>
      </c>
      <c r="G423" s="224">
        <f ca="1"/>
        <v>244992.85058706446</v>
      </c>
      <c r="H423" s="224">
        <f ca="1"/>
        <v>127728.07332918384</v>
      </c>
      <c r="I423" s="224">
        <f ca="1"/>
        <v>78332.323274780923</v>
      </c>
      <c r="J423" s="224">
        <f ca="1"/>
        <v>49902.348174046696</v>
      </c>
      <c r="K423" s="224">
        <f ca="1"/>
        <v>31883.941894161078</v>
      </c>
      <c r="L423" s="224">
        <f ca="1"/>
        <v>19955.380691720758</v>
      </c>
      <c r="M423" s="1"/>
      <c r="N423" s="1" t="str">
        <v>$M(2015)</v>
      </c>
    </row>
    <row r="424" spans="1:16" x14ac:dyDescent="0.25">
      <c r="A424" s="1" t="str">
        <v>IA total</v>
      </c>
      <c r="C424" s="224">
        <f ca="1"/>
        <v>785522.03087763418</v>
      </c>
      <c r="D424" s="224">
        <f ca="1"/>
        <v>1252514.2797850033</v>
      </c>
      <c r="E424" s="224">
        <f ca="1"/>
        <v>1420867.5977706395</v>
      </c>
      <c r="F424" s="224">
        <f ca="1"/>
        <v>1397380.3546188201</v>
      </c>
      <c r="G424" s="224">
        <f ca="1"/>
        <v>988440.28833755641</v>
      </c>
      <c r="H424" s="224">
        <f ca="1"/>
        <v>564331.91647290927</v>
      </c>
      <c r="I424" s="224">
        <f ca="1"/>
        <v>274650.83100874908</v>
      </c>
      <c r="J424" s="224">
        <f ca="1"/>
        <v>152672.23600584996</v>
      </c>
      <c r="K424" s="224">
        <f ca="1"/>
        <v>89401.563117263286</v>
      </c>
      <c r="L424" s="224">
        <f ca="1"/>
        <v>51981.368820205615</v>
      </c>
      <c r="M424" s="1"/>
      <c r="N424" s="1" t="str">
        <v>$M(2015)</v>
      </c>
    </row>
    <row r="425" spans="1:16" x14ac:dyDescent="0.25">
      <c r="A425" s="1" t="str">
        <v>AF total</v>
      </c>
      <c r="C425" s="224">
        <f ca="1"/>
        <v>427598.73477191874</v>
      </c>
      <c r="D425" s="224">
        <f ca="1"/>
        <v>849488.7184253654</v>
      </c>
      <c r="E425" s="224">
        <f ca="1"/>
        <v>1114442.2109559106</v>
      </c>
      <c r="F425" s="224">
        <f ca="1"/>
        <v>1222838.4056407271</v>
      </c>
      <c r="G425" s="224">
        <f ca="1"/>
        <v>1062570.5944500668</v>
      </c>
      <c r="H425" s="224">
        <f ca="1"/>
        <v>728575.03978274914</v>
      </c>
      <c r="I425" s="224">
        <f ca="1"/>
        <v>281691.88221315457</v>
      </c>
      <c r="J425" s="224">
        <f ca="1"/>
        <v>130972.39733781661</v>
      </c>
      <c r="K425" s="224">
        <f ca="1"/>
        <v>68029.390518417844</v>
      </c>
      <c r="L425" s="224">
        <f ca="1"/>
        <v>36191.90499687085</v>
      </c>
      <c r="M425" s="1"/>
      <c r="N425" s="1" t="str">
        <v>$M(2015)</v>
      </c>
    </row>
    <row r="426" spans="1:16" x14ac:dyDescent="0.25">
      <c r="A426" s="1" t="str">
        <v>LA total</v>
      </c>
      <c r="C426" s="224">
        <f ca="1"/>
        <v>121359.35184969376</v>
      </c>
      <c r="D426" s="224">
        <f ca="1"/>
        <v>223830.47215870238</v>
      </c>
      <c r="E426" s="224">
        <f ca="1"/>
        <v>271996.33484201424</v>
      </c>
      <c r="F426" s="224">
        <f ca="1"/>
        <v>277737.48711249675</v>
      </c>
      <c r="G426" s="224">
        <f ca="1"/>
        <v>207489.19479413502</v>
      </c>
      <c r="H426" s="224">
        <f ca="1"/>
        <v>123411.13843672826</v>
      </c>
      <c r="I426" s="224">
        <f ca="1"/>
        <v>57885.669497272138</v>
      </c>
      <c r="J426" s="224">
        <f ca="1"/>
        <v>30825.42215267018</v>
      </c>
      <c r="K426" s="224">
        <f ca="1"/>
        <v>17538.298230579803</v>
      </c>
      <c r="L426" s="224">
        <f ca="1"/>
        <v>10000.220831379464</v>
      </c>
      <c r="M426" s="1"/>
      <c r="N426" s="1" t="str">
        <v>$M(2015)</v>
      </c>
    </row>
    <row r="427" spans="1:16" ht="13" x14ac:dyDescent="0.3">
      <c r="A427" s="2" t="s">
        <v>257</v>
      </c>
      <c r="B427" s="2"/>
      <c r="C427" s="40">
        <f t="shared" ref="C427:L427" ca="1" si="15">SUM(C419:C426)</f>
        <v>1808389.9486505871</v>
      </c>
      <c r="D427" s="40">
        <f t="shared" ca="1" si="15"/>
        <v>2884057.825913968</v>
      </c>
      <c r="E427" s="40">
        <f t="shared" ca="1" si="15"/>
        <v>3409441.6950778062</v>
      </c>
      <c r="F427" s="40">
        <f t="shared" ca="1" si="15"/>
        <v>3485141.2044470953</v>
      </c>
      <c r="G427" s="40">
        <f t="shared" ca="1" si="15"/>
        <v>2684649.7828184268</v>
      </c>
      <c r="H427" s="40">
        <f t="shared" ca="1" si="15"/>
        <v>1675246.984180036</v>
      </c>
      <c r="I427" s="40">
        <f t="shared" ca="1" si="15"/>
        <v>758534.97628482257</v>
      </c>
      <c r="J427" s="40">
        <f t="shared" ca="1" si="15"/>
        <v>400851.01772346679</v>
      </c>
      <c r="K427" s="40">
        <f t="shared" ca="1" si="15"/>
        <v>227185.39435971389</v>
      </c>
      <c r="L427" s="40">
        <f t="shared" ca="1" si="15"/>
        <v>129366.89616710777</v>
      </c>
      <c r="M427" s="1"/>
      <c r="N427" s="1" t="str">
        <v>$M(2015)</v>
      </c>
    </row>
    <row r="428" spans="1:16" ht="15" x14ac:dyDescent="0.4">
      <c r="A428" s="2" t="s">
        <v>86</v>
      </c>
      <c r="B428" s="2"/>
      <c r="C428" s="2" t="s">
        <v>258</v>
      </c>
      <c r="D428" s="1"/>
      <c r="E428" s="1"/>
      <c r="F428" s="1"/>
      <c r="G428" s="1"/>
      <c r="H428" s="1"/>
      <c r="I428" s="1"/>
      <c r="J428" s="1"/>
      <c r="K428" s="1"/>
      <c r="L428" s="1"/>
      <c r="M428" s="1"/>
      <c r="N428" s="1"/>
    </row>
    <row r="429" spans="1:16" x14ac:dyDescent="0.25">
      <c r="A429" s="1" t="str">
        <f t="array" ref="A429:A436">R_CODE&amp;" total"</f>
        <v>EU total</v>
      </c>
      <c r="B429" s="3"/>
      <c r="C429" s="28">
        <f t="array" aca="1" ref="C429:L436" ca="1">widt*YAGG</f>
        <v>602428.74394440895</v>
      </c>
      <c r="D429" s="28">
        <f ca="1"/>
        <v>620918.35494226241</v>
      </c>
      <c r="E429" s="28">
        <f ca="1"/>
        <v>659453.3836260126</v>
      </c>
      <c r="F429" s="28">
        <f ca="1"/>
        <v>1138614.2405831362</v>
      </c>
      <c r="G429" s="28">
        <f ca="1"/>
        <v>1324890.3832859332</v>
      </c>
      <c r="H429" s="28">
        <f ca="1"/>
        <v>1439754.6601643544</v>
      </c>
      <c r="I429" s="28">
        <f ca="1"/>
        <v>1046025.7307928302</v>
      </c>
      <c r="J429" s="28">
        <f ca="1"/>
        <v>605824.52967438009</v>
      </c>
      <c r="K429" s="28">
        <f ca="1"/>
        <v>341146.94777904026</v>
      </c>
      <c r="L429" s="28">
        <f ca="1"/>
        <v>94371.181976319058</v>
      </c>
      <c r="M429" s="40">
        <f t="shared" ref="M429:M436" ca="1" si="16">SUM(C429:L429)</f>
        <v>7873428.1567686768</v>
      </c>
      <c r="N429" s="1" t="str">
        <f t="array" ref="N429:N437">CURRENCY_NAME</f>
        <v>$M(2015)</v>
      </c>
    </row>
    <row r="430" spans="1:16" x14ac:dyDescent="0.25">
      <c r="A430" s="1" t="str">
        <v>US total</v>
      </c>
      <c r="B430" s="3"/>
      <c r="C430" s="28">
        <f ca="1"/>
        <v>336170.11862410977</v>
      </c>
      <c r="D430" s="28">
        <f ca="1"/>
        <v>558249.56452775723</v>
      </c>
      <c r="E430" s="28">
        <f ca="1"/>
        <v>725667.84498607484</v>
      </c>
      <c r="F430" s="28">
        <f ca="1"/>
        <v>1415991.1007906795</v>
      </c>
      <c r="G430" s="28">
        <f ca="1"/>
        <v>1977609.9806408193</v>
      </c>
      <c r="H430" s="28">
        <f ca="1"/>
        <v>2292772.9627966518</v>
      </c>
      <c r="I430" s="28">
        <f ca="1"/>
        <v>1426990.086779912</v>
      </c>
      <c r="J430" s="28">
        <f ca="1"/>
        <v>715099.0816067484</v>
      </c>
      <c r="K430" s="28">
        <f ca="1"/>
        <v>362672.83586764842</v>
      </c>
      <c r="L430" s="28">
        <f ca="1"/>
        <v>90367.927408339907</v>
      </c>
      <c r="M430" s="40">
        <f t="shared" ca="1" si="16"/>
        <v>9901591.5040287394</v>
      </c>
      <c r="N430" s="1" t="str">
        <v>$M(2015)</v>
      </c>
    </row>
    <row r="431" spans="1:16" x14ac:dyDescent="0.25">
      <c r="A431" s="1" t="str">
        <v>OT total</v>
      </c>
      <c r="B431" s="3"/>
      <c r="C431" s="28">
        <f ca="1"/>
        <v>294012.23968856607</v>
      </c>
      <c r="D431" s="28">
        <f ca="1"/>
        <v>377503.18516432721</v>
      </c>
      <c r="E431" s="28">
        <f ca="1"/>
        <v>433272.34971354215</v>
      </c>
      <c r="F431" s="28">
        <f ca="1"/>
        <v>768681.99141324428</v>
      </c>
      <c r="G431" s="28">
        <f ca="1"/>
        <v>864449.08810203138</v>
      </c>
      <c r="H431" s="28">
        <f ca="1"/>
        <v>846617.51066252752</v>
      </c>
      <c r="I431" s="28">
        <f ca="1"/>
        <v>600667.26635638636</v>
      </c>
      <c r="J431" s="28">
        <f ca="1"/>
        <v>357824.14976675936</v>
      </c>
      <c r="K431" s="28">
        <f ca="1"/>
        <v>216254.54905253879</v>
      </c>
      <c r="L431" s="28">
        <f ca="1"/>
        <v>64750.08197261719</v>
      </c>
      <c r="M431" s="40">
        <f t="shared" ca="1" si="16"/>
        <v>4824032.4118925389</v>
      </c>
      <c r="N431" s="1" t="str">
        <v>$M(2015)</v>
      </c>
    </row>
    <row r="432" spans="1:16" x14ac:dyDescent="0.25">
      <c r="A432" s="1" t="str">
        <v>EE total</v>
      </c>
      <c r="B432" s="3"/>
      <c r="C432" s="28">
        <f ca="1"/>
        <v>230251.62398087283</v>
      </c>
      <c r="D432" s="28">
        <f ca="1"/>
        <v>132369.21560231346</v>
      </c>
      <c r="E432" s="28">
        <f ca="1"/>
        <v>148360.21148145146</v>
      </c>
      <c r="F432" s="28">
        <f ca="1"/>
        <v>292878.79080912325</v>
      </c>
      <c r="G432" s="28">
        <f ca="1"/>
        <v>361971.91421131394</v>
      </c>
      <c r="H432" s="28">
        <f ca="1"/>
        <v>340885.47231892945</v>
      </c>
      <c r="I432" s="28">
        <f ca="1"/>
        <v>225030.43061416314</v>
      </c>
      <c r="J432" s="28">
        <f ca="1"/>
        <v>145182.94160628226</v>
      </c>
      <c r="K432" s="28">
        <f ca="1"/>
        <v>96535.697265367009</v>
      </c>
      <c r="L432" s="28">
        <f ca="1"/>
        <v>31461.329316001149</v>
      </c>
      <c r="M432" s="40">
        <f t="shared" ca="1" si="16"/>
        <v>2004927.627205818</v>
      </c>
      <c r="N432" s="1" t="str">
        <v>$M(2015)</v>
      </c>
    </row>
    <row r="433" spans="1:15" x14ac:dyDescent="0.25">
      <c r="A433" s="1" t="str">
        <v>CA total</v>
      </c>
      <c r="B433" s="3"/>
      <c r="C433" s="28">
        <f ca="1"/>
        <v>3276235.5852754465</v>
      </c>
      <c r="D433" s="28">
        <f ca="1"/>
        <v>3893203.2352123056</v>
      </c>
      <c r="E433" s="28">
        <f ca="1"/>
        <v>4054601.7252853392</v>
      </c>
      <c r="F433" s="28">
        <f ca="1"/>
        <v>6659570.6252172068</v>
      </c>
      <c r="G433" s="28">
        <f ca="1"/>
        <v>6124821.2646766119</v>
      </c>
      <c r="H433" s="28">
        <f ca="1"/>
        <v>4789802.7498443937</v>
      </c>
      <c r="I433" s="28">
        <f ca="1"/>
        <v>3916616.1637390461</v>
      </c>
      <c r="J433" s="28">
        <f ca="1"/>
        <v>2495117.4087023349</v>
      </c>
      <c r="K433" s="28">
        <f ca="1"/>
        <v>1594197.0947080539</v>
      </c>
      <c r="L433" s="28">
        <f ca="1"/>
        <v>498884.51729301899</v>
      </c>
      <c r="M433" s="40">
        <f t="shared" ca="1" si="16"/>
        <v>37303050.369953766</v>
      </c>
      <c r="N433" s="1" t="str">
        <v>$M(2015)</v>
      </c>
    </row>
    <row r="434" spans="1:15" x14ac:dyDescent="0.25">
      <c r="A434" s="1" t="str">
        <v>IA total</v>
      </c>
      <c r="B434" s="3"/>
      <c r="C434" s="28">
        <f ca="1"/>
        <v>7855220.3087763414</v>
      </c>
      <c r="D434" s="28">
        <f ca="1"/>
        <v>12525142.797850033</v>
      </c>
      <c r="E434" s="28">
        <f ca="1"/>
        <v>14208675.977706395</v>
      </c>
      <c r="F434" s="28">
        <f ca="1"/>
        <v>24454156.205829352</v>
      </c>
      <c r="G434" s="28">
        <f ca="1"/>
        <v>24711007.208438911</v>
      </c>
      <c r="H434" s="28">
        <f ca="1"/>
        <v>21162446.867734097</v>
      </c>
      <c r="I434" s="28">
        <f ca="1"/>
        <v>13732541.550437454</v>
      </c>
      <c r="J434" s="28">
        <f ca="1"/>
        <v>7633611.8002924984</v>
      </c>
      <c r="K434" s="28">
        <f ca="1"/>
        <v>4470078.155863164</v>
      </c>
      <c r="L434" s="28">
        <f ca="1"/>
        <v>1299534.2205051403</v>
      </c>
      <c r="M434" s="40">
        <f t="shared" ca="1" si="16"/>
        <v>132052415.09343337</v>
      </c>
      <c r="N434" s="1" t="str">
        <v>$M(2015)</v>
      </c>
    </row>
    <row r="435" spans="1:15" x14ac:dyDescent="0.25">
      <c r="A435" s="1" t="str">
        <v>AF total</v>
      </c>
      <c r="B435" s="3"/>
      <c r="C435" s="28">
        <f ca="1"/>
        <v>4275987.3477191869</v>
      </c>
      <c r="D435" s="28">
        <f ca="1"/>
        <v>8494887.1842536535</v>
      </c>
      <c r="E435" s="28">
        <f ca="1"/>
        <v>11144422.109559106</v>
      </c>
      <c r="F435" s="28">
        <f ca="1"/>
        <v>21399672.098712724</v>
      </c>
      <c r="G435" s="28">
        <f ca="1"/>
        <v>26564264.861251671</v>
      </c>
      <c r="H435" s="28">
        <f ca="1"/>
        <v>27321563.991853092</v>
      </c>
      <c r="I435" s="28">
        <f ca="1"/>
        <v>14084594.110657729</v>
      </c>
      <c r="J435" s="28">
        <f ca="1"/>
        <v>6548619.8668908309</v>
      </c>
      <c r="K435" s="28">
        <f ca="1"/>
        <v>3401469.5259208921</v>
      </c>
      <c r="L435" s="28">
        <f ca="1"/>
        <v>904797.62492177123</v>
      </c>
      <c r="M435" s="40">
        <f t="shared" ca="1" si="16"/>
        <v>124140278.72174065</v>
      </c>
      <c r="N435" s="1" t="str">
        <v>$M(2015)</v>
      </c>
    </row>
    <row r="436" spans="1:15" x14ac:dyDescent="0.25">
      <c r="A436" s="1" t="str">
        <v>LA total</v>
      </c>
      <c r="B436" s="3"/>
      <c r="C436" s="28">
        <f ca="1"/>
        <v>1213593.5184969376</v>
      </c>
      <c r="D436" s="28">
        <f ca="1"/>
        <v>2238304.7215870237</v>
      </c>
      <c r="E436" s="28">
        <f ca="1"/>
        <v>2719963.3484201422</v>
      </c>
      <c r="F436" s="28">
        <f ca="1"/>
        <v>4860406.024468693</v>
      </c>
      <c r="G436" s="28">
        <f ca="1"/>
        <v>5187229.8698533755</v>
      </c>
      <c r="H436" s="28">
        <f ca="1"/>
        <v>4627917.6913773101</v>
      </c>
      <c r="I436" s="28">
        <f ca="1"/>
        <v>2894283.474863607</v>
      </c>
      <c r="J436" s="28">
        <f ca="1"/>
        <v>1541271.107633509</v>
      </c>
      <c r="K436" s="28">
        <f ca="1"/>
        <v>876914.91152899014</v>
      </c>
      <c r="L436" s="28">
        <f ca="1"/>
        <v>250005.52078448658</v>
      </c>
      <c r="M436" s="40">
        <f t="shared" ca="1" si="16"/>
        <v>26409890.189014073</v>
      </c>
      <c r="N436" s="1" t="str">
        <v>$M(2015)</v>
      </c>
    </row>
    <row r="437" spans="1:15" ht="13" x14ac:dyDescent="0.3">
      <c r="A437" s="2" t="s">
        <v>257</v>
      </c>
      <c r="B437" s="2"/>
      <c r="C437" s="40">
        <f ca="1">_xll.RiskOutput(,A437,1)+SUM(C429:C436)</f>
        <v>18083899.486505874</v>
      </c>
      <c r="D437" s="40">
        <f ca="1">_xll.RiskOutput(,A437,2)+SUM(D429:D436)</f>
        <v>28840578.259139679</v>
      </c>
      <c r="E437" s="40">
        <f ca="1">_xll.RiskOutput(,A437,3)+SUM(E429:E436)</f>
        <v>34094416.950778067</v>
      </c>
      <c r="F437" s="40">
        <f ca="1">_xll.RiskOutput(,A437,4)+SUM(F429:F436)</f>
        <v>60989971.07782416</v>
      </c>
      <c r="G437" s="40">
        <f ca="1">_xll.RiskOutput(,A437,5)+SUM(G429:G436)</f>
        <v>67116244.570460662</v>
      </c>
      <c r="H437" s="40">
        <f ca="1">_xll.RiskOutput(,A437,6)+SUM(H429:H436)</f>
        <v>62821761.906751357</v>
      </c>
      <c r="I437" s="40">
        <f ca="1">_xll.RiskOutput(,A437,7)+SUM(I429:I436)</f>
        <v>37926748.814241126</v>
      </c>
      <c r="J437" s="40">
        <f ca="1">_xll.RiskOutput(,A437,8)+SUM(J429:J436)</f>
        <v>20042550.886173345</v>
      </c>
      <c r="K437" s="40">
        <f ca="1">_xll.RiskOutput(,A437,9)+SUM(K429:K436)</f>
        <v>11359269.717985693</v>
      </c>
      <c r="L437" s="40">
        <f ca="1">_xll.RiskOutput(,A437,10)+SUM(L429:L436)</f>
        <v>3234172.4041776941</v>
      </c>
      <c r="M437" s="40">
        <f ca="1">SUM(M429:M436)</f>
        <v>344509614.07403761</v>
      </c>
      <c r="N437" s="1" t="str">
        <v>$M(2015)</v>
      </c>
    </row>
    <row r="438" spans="1:15" ht="13.5" thickBot="1" x14ac:dyDescent="0.35">
      <c r="A438" s="2" t="s">
        <v>89</v>
      </c>
      <c r="B438" s="2"/>
      <c r="M438" s="42">
        <f ca="1">MIN(addt_gt,CIV_VALUE)</f>
        <v>344509614.07403761</v>
      </c>
      <c r="N438" s="1" t="str">
        <f>CURRENCY_NAME</f>
        <v>$M(2015)</v>
      </c>
    </row>
    <row r="439" spans="1:15" ht="13" thickTop="1" x14ac:dyDescent="0.25"/>
    <row r="440" spans="1:15" ht="13" x14ac:dyDescent="0.3">
      <c r="A440" s="2" t="s">
        <v>594</v>
      </c>
      <c r="B440" s="7"/>
      <c r="C440" s="37">
        <f t="array" aca="1" ref="C440:L440" ca="1">DF*((CONS_PER_CAP_FOCUS/CONS_PER_CAP_FOCUS_0)^-EMUC)*OCCUR_SCC</f>
        <v>0.87351698122551846</v>
      </c>
      <c r="D440" s="37">
        <f ca="1"/>
        <v>0</v>
      </c>
      <c r="E440" s="37">
        <f ca="1"/>
        <v>0</v>
      </c>
      <c r="F440" s="37">
        <f ca="1"/>
        <v>0</v>
      </c>
      <c r="G440" s="37">
        <f ca="1"/>
        <v>0</v>
      </c>
      <c r="H440" s="37">
        <f ca="1"/>
        <v>0</v>
      </c>
      <c r="I440" s="37">
        <f ca="1"/>
        <v>0</v>
      </c>
      <c r="J440" s="37">
        <f ca="1"/>
        <v>0</v>
      </c>
      <c r="K440" s="37">
        <f ca="1"/>
        <v>0</v>
      </c>
      <c r="L440" s="37">
        <f ca="1"/>
        <v>0</v>
      </c>
      <c r="M440" s="85">
        <f ca="1">SUM(C440:L440)</f>
        <v>0.87351698122551846</v>
      </c>
    </row>
    <row r="442" spans="1:15" ht="13.5" thickBot="1" x14ac:dyDescent="0.35">
      <c r="A442" s="2" t="s">
        <v>415</v>
      </c>
      <c r="M442" s="42">
        <f ca="1">td/UDFT</f>
        <v>394393722.70782971</v>
      </c>
      <c r="N442" s="1" t="str">
        <f>CURRENCY_NAME</f>
        <v>$M(2015)</v>
      </c>
    </row>
    <row r="443" spans="1:15" ht="14" thickTop="1" thickBot="1" x14ac:dyDescent="0.35">
      <c r="A443" s="2" t="s">
        <v>417</v>
      </c>
      <c r="M443" s="42">
        <f>IF(DROP = 0, 0, tdu/DROP)</f>
        <v>0</v>
      </c>
      <c r="N443" s="1" t="str">
        <f>CURRENCY_NAME</f>
        <v>$M(2015)</v>
      </c>
      <c r="O443" t="s">
        <v>416</v>
      </c>
    </row>
    <row r="444" spans="1:15" ht="13.5" thickTop="1" x14ac:dyDescent="0.3">
      <c r="A444" s="2"/>
      <c r="M444" s="1"/>
      <c r="N444" s="1"/>
    </row>
  </sheetData>
  <phoneticPr fontId="0" type="noConversion"/>
  <pageMargins left="0.75" right="0.75" top="1" bottom="1" header="0.5" footer="0.5"/>
  <pageSetup paperSize="9" orientation="portrait" horizontalDpi="360"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T443"/>
  <sheetViews>
    <sheetView topLeftCell="B422" workbookViewId="0">
      <selection activeCell="J440" sqref="J440"/>
    </sheetView>
  </sheetViews>
  <sheetFormatPr defaultRowHeight="12.5" x14ac:dyDescent="0.25"/>
  <cols>
    <col min="1" max="1" width="17.81640625" bestFit="1" customWidth="1"/>
    <col min="2" max="2" width="12.54296875" customWidth="1"/>
    <col min="3" max="3" width="10.1796875" bestFit="1" customWidth="1"/>
    <col min="4" max="6" width="9.81640625" bestFit="1" customWidth="1"/>
    <col min="7" max="10" width="10.81640625" bestFit="1" customWidth="1"/>
    <col min="11" max="12" width="11.54296875" bestFit="1" customWidth="1"/>
    <col min="13" max="13" width="11.54296875" customWidth="1"/>
    <col min="14" max="14" width="8.81640625" bestFit="1" customWidth="1"/>
  </cols>
  <sheetData>
    <row r="1" spans="1:4" ht="13" x14ac:dyDescent="0.3">
      <c r="A1" s="2" t="str">
        <f>MODEL_NAME</f>
        <v>PAGE-ICE Nonlinear Arctic Feedbacks</v>
      </c>
      <c r="B1" s="2"/>
      <c r="C1" t="s">
        <v>39</v>
      </c>
      <c r="D1" s="51" t="str">
        <f>VERSION</f>
        <v>6.22</v>
      </c>
    </row>
    <row r="2" spans="1:4" s="3" customFormat="1" x14ac:dyDescent="0.25"/>
    <row r="3" spans="1:4" s="3" customFormat="1" x14ac:dyDescent="0.25">
      <c r="A3" s="3" t="s">
        <v>705</v>
      </c>
      <c r="C3"/>
    </row>
    <row r="4" spans="1:4" s="3" customFormat="1" x14ac:dyDescent="0.25"/>
    <row r="5" spans="1:4" ht="13" x14ac:dyDescent="0.3">
      <c r="A5" s="1"/>
      <c r="C5" s="124" t="s">
        <v>725</v>
      </c>
    </row>
    <row r="6" spans="1:4" ht="13" x14ac:dyDescent="0.3">
      <c r="A6" s="1"/>
      <c r="C6" s="124"/>
    </row>
    <row r="7" spans="1:4" x14ac:dyDescent="0.25">
      <c r="A7" s="1"/>
    </row>
    <row r="8" spans="1:4" x14ac:dyDescent="0.25">
      <c r="A8" s="1"/>
    </row>
    <row r="9" spans="1:4" x14ac:dyDescent="0.25">
      <c r="A9" s="1"/>
    </row>
    <row r="10" spans="1:4" x14ac:dyDescent="0.25">
      <c r="A10" s="1"/>
    </row>
    <row r="11" spans="1:4" x14ac:dyDescent="0.25">
      <c r="A11" s="1"/>
    </row>
    <row r="12" spans="1:4" x14ac:dyDescent="0.25">
      <c r="A12" s="1"/>
    </row>
    <row r="13" spans="1:4" x14ac:dyDescent="0.25">
      <c r="A13" s="3" t="s">
        <v>701</v>
      </c>
    </row>
    <row r="15" spans="1:4" ht="13" x14ac:dyDescent="0.3">
      <c r="C15" s="124" t="s">
        <v>725</v>
      </c>
    </row>
    <row r="26" spans="1:14" x14ac:dyDescent="0.25">
      <c r="B26">
        <f>Y_0</f>
        <v>2015</v>
      </c>
      <c r="C26">
        <f t="array" ref="C26:L26">Y</f>
        <v>2020</v>
      </c>
      <c r="D26">
        <v>2030</v>
      </c>
      <c r="E26">
        <v>2040</v>
      </c>
      <c r="F26">
        <v>2050</v>
      </c>
      <c r="G26">
        <v>2075</v>
      </c>
      <c r="H26">
        <v>2100</v>
      </c>
      <c r="I26">
        <v>2150</v>
      </c>
      <c r="J26">
        <v>2200</v>
      </c>
      <c r="K26">
        <v>2250</v>
      </c>
      <c r="L26">
        <v>2300</v>
      </c>
    </row>
    <row r="27" spans="1:14" s="4" customFormat="1" x14ac:dyDescent="0.25">
      <c r="A27" s="4" t="s">
        <v>59</v>
      </c>
      <c r="C27" s="12">
        <f t="array" ref="C27:L27">YP</f>
        <v>5</v>
      </c>
      <c r="D27" s="12">
        <v>10</v>
      </c>
      <c r="E27" s="12">
        <v>10</v>
      </c>
      <c r="F27" s="12">
        <v>10</v>
      </c>
      <c r="G27" s="12">
        <v>25</v>
      </c>
      <c r="H27" s="12">
        <v>25</v>
      </c>
      <c r="I27" s="12">
        <v>50</v>
      </c>
      <c r="J27" s="12">
        <v>50</v>
      </c>
      <c r="K27" s="12">
        <v>50</v>
      </c>
      <c r="L27" s="12">
        <v>50</v>
      </c>
      <c r="N27" s="4" t="s">
        <v>41</v>
      </c>
    </row>
    <row r="28" spans="1:14" s="4" customFormat="1" x14ac:dyDescent="0.25">
      <c r="A28" s="4" t="s">
        <v>84</v>
      </c>
      <c r="C28" s="14">
        <f t="array" ref="C28:K28">(Y+Y_NOT_1)/2</f>
        <v>2025</v>
      </c>
      <c r="D28" s="14">
        <v>2035</v>
      </c>
      <c r="E28" s="14">
        <v>2045</v>
      </c>
      <c r="F28" s="14">
        <v>2062.5</v>
      </c>
      <c r="G28" s="14">
        <v>2087.5</v>
      </c>
      <c r="H28" s="14">
        <v>2125</v>
      </c>
      <c r="I28" s="14">
        <v>2175</v>
      </c>
      <c r="J28" s="14">
        <v>2225</v>
      </c>
      <c r="K28" s="14">
        <v>2275</v>
      </c>
      <c r="L28" s="14">
        <f>Y_LAST</f>
        <v>2300</v>
      </c>
    </row>
    <row r="29" spans="1:14" s="4" customFormat="1" x14ac:dyDescent="0.25">
      <c r="A29" s="4" t="s">
        <v>85</v>
      </c>
      <c r="C29" s="14">
        <f>Y_0</f>
        <v>2015</v>
      </c>
      <c r="D29" s="14">
        <f t="array" ref="D29:L29">(Y+Y_NOT_1)/2</f>
        <v>2025</v>
      </c>
      <c r="E29" s="14">
        <v>2035</v>
      </c>
      <c r="F29" s="14">
        <v>2045</v>
      </c>
      <c r="G29" s="14">
        <v>2062.5</v>
      </c>
      <c r="H29" s="14">
        <v>2087.5</v>
      </c>
      <c r="I29" s="14">
        <v>2125</v>
      </c>
      <c r="J29" s="14">
        <v>2175</v>
      </c>
      <c r="K29" s="14">
        <v>2225</v>
      </c>
      <c r="L29" s="14">
        <v>2275</v>
      </c>
    </row>
    <row r="30" spans="1:14" s="4" customFormat="1" ht="13" thickBot="1" x14ac:dyDescent="0.3">
      <c r="A30" s="4" t="s">
        <v>83</v>
      </c>
      <c r="C30" s="35">
        <f t="array" ref="C30:L30">Y_HI-Y_LO</f>
        <v>10</v>
      </c>
      <c r="D30" s="35">
        <v>10</v>
      </c>
      <c r="E30" s="35">
        <v>10</v>
      </c>
      <c r="F30" s="35">
        <v>17.5</v>
      </c>
      <c r="G30" s="35">
        <v>25</v>
      </c>
      <c r="H30" s="35">
        <v>37.5</v>
      </c>
      <c r="I30" s="35">
        <v>50</v>
      </c>
      <c r="J30" s="35">
        <v>50</v>
      </c>
      <c r="K30" s="35">
        <v>50</v>
      </c>
      <c r="L30" s="35">
        <v>25</v>
      </c>
      <c r="N30" s="4" t="s">
        <v>41</v>
      </c>
    </row>
    <row r="31" spans="1:14" s="4" customFormat="1" ht="13" thickTop="1" x14ac:dyDescent="0.25"/>
    <row r="32" spans="1:14" ht="13" x14ac:dyDescent="0.3">
      <c r="A32" s="2" t="s">
        <v>79</v>
      </c>
      <c r="B32" s="2"/>
    </row>
    <row r="33" spans="1:14" ht="15.5" x14ac:dyDescent="0.4">
      <c r="C33" s="3" t="s">
        <v>203</v>
      </c>
    </row>
    <row r="34" spans="1:14" x14ac:dyDescent="0.25">
      <c r="A34" t="str">
        <f t="array" ref="A34:A41">R_CODE&amp;" sea level"</f>
        <v>EU sea level</v>
      </c>
      <c r="C34" s="13">
        <f t="array" ref="C34:L41">IF(Y-pstart_s_b&lt;0,0,IF(((Y-pstart_s_b)/pyears_s_b)&lt;1,((Y-pstart_s_b)/pyears_s_b)*plateau_s_b,plateau_s_b))</f>
        <v>0.1</v>
      </c>
      <c r="D34" s="13">
        <v>0.15</v>
      </c>
      <c r="E34" s="13">
        <v>0.2</v>
      </c>
      <c r="F34" s="13">
        <v>0.25</v>
      </c>
      <c r="G34" s="13">
        <v>0.25</v>
      </c>
      <c r="H34" s="13">
        <v>0.25</v>
      </c>
      <c r="I34" s="13">
        <v>0.25</v>
      </c>
      <c r="J34" s="13">
        <v>0.25</v>
      </c>
      <c r="K34" s="13">
        <v>0.25</v>
      </c>
      <c r="L34" s="13">
        <v>0.25</v>
      </c>
      <c r="N34" s="59" t="s">
        <v>182</v>
      </c>
    </row>
    <row r="35" spans="1:14" x14ac:dyDescent="0.25">
      <c r="A35" t="str">
        <v>US sea level</v>
      </c>
      <c r="C35" s="13">
        <v>0.1</v>
      </c>
      <c r="D35" s="13">
        <v>0.15</v>
      </c>
      <c r="E35" s="13">
        <v>0.2</v>
      </c>
      <c r="F35" s="13">
        <v>0.25</v>
      </c>
      <c r="G35" s="13">
        <v>0.25</v>
      </c>
      <c r="H35" s="13">
        <v>0.25</v>
      </c>
      <c r="I35" s="13">
        <v>0.25</v>
      </c>
      <c r="J35" s="13">
        <v>0.25</v>
      </c>
      <c r="K35" s="13">
        <v>0.25</v>
      </c>
      <c r="L35" s="13">
        <v>0.25</v>
      </c>
      <c r="N35" s="59" t="s">
        <v>182</v>
      </c>
    </row>
    <row r="36" spans="1:14" x14ac:dyDescent="0.25">
      <c r="A36" t="str">
        <v>OT sea level</v>
      </c>
      <c r="C36" s="13">
        <v>0.1</v>
      </c>
      <c r="D36" s="13">
        <v>0.15</v>
      </c>
      <c r="E36" s="13">
        <v>0.2</v>
      </c>
      <c r="F36" s="13">
        <v>0.25</v>
      </c>
      <c r="G36" s="13">
        <v>0.25</v>
      </c>
      <c r="H36" s="13">
        <v>0.25</v>
      </c>
      <c r="I36" s="13">
        <v>0.25</v>
      </c>
      <c r="J36" s="13">
        <v>0.25</v>
      </c>
      <c r="K36" s="13">
        <v>0.25</v>
      </c>
      <c r="L36" s="13">
        <v>0.25</v>
      </c>
      <c r="N36" s="59" t="s">
        <v>182</v>
      </c>
    </row>
    <row r="37" spans="1:14" x14ac:dyDescent="0.25">
      <c r="A37" t="str">
        <v>EE sea level</v>
      </c>
      <c r="C37" s="13">
        <v>0.1</v>
      </c>
      <c r="D37" s="13">
        <v>0.15</v>
      </c>
      <c r="E37" s="13">
        <v>0.2</v>
      </c>
      <c r="F37" s="13">
        <v>0.25</v>
      </c>
      <c r="G37" s="13">
        <v>0.25</v>
      </c>
      <c r="H37" s="13">
        <v>0.25</v>
      </c>
      <c r="I37" s="13">
        <v>0.25</v>
      </c>
      <c r="J37" s="13">
        <v>0.25</v>
      </c>
      <c r="K37" s="13">
        <v>0.25</v>
      </c>
      <c r="L37" s="13">
        <v>0.25</v>
      </c>
      <c r="N37" s="59" t="s">
        <v>182</v>
      </c>
    </row>
    <row r="38" spans="1:14" x14ac:dyDescent="0.25">
      <c r="A38" t="str">
        <v>CA sea level</v>
      </c>
      <c r="C38" s="13">
        <v>5.3333333333333337E-2</v>
      </c>
      <c r="D38" s="13">
        <v>8.0000000000000016E-2</v>
      </c>
      <c r="E38" s="13">
        <v>0.10666666666666667</v>
      </c>
      <c r="F38" s="13">
        <v>0.13333333333333333</v>
      </c>
      <c r="G38" s="13">
        <v>0.2</v>
      </c>
      <c r="H38" s="13">
        <v>0.2</v>
      </c>
      <c r="I38" s="13">
        <v>0.2</v>
      </c>
      <c r="J38" s="13">
        <v>0.2</v>
      </c>
      <c r="K38" s="13">
        <v>0.2</v>
      </c>
      <c r="L38" s="13">
        <v>0.2</v>
      </c>
      <c r="N38" s="59" t="s">
        <v>182</v>
      </c>
    </row>
    <row r="39" spans="1:14" x14ac:dyDescent="0.25">
      <c r="A39" t="str">
        <v>IA sea level</v>
      </c>
      <c r="C39" s="13">
        <v>5.3333333333333337E-2</v>
      </c>
      <c r="D39" s="13">
        <v>8.0000000000000016E-2</v>
      </c>
      <c r="E39" s="13">
        <v>0.10666666666666667</v>
      </c>
      <c r="F39" s="13">
        <v>0.13333333333333333</v>
      </c>
      <c r="G39" s="13">
        <v>0.2</v>
      </c>
      <c r="H39" s="13">
        <v>0.2</v>
      </c>
      <c r="I39" s="13">
        <v>0.2</v>
      </c>
      <c r="J39" s="13">
        <v>0.2</v>
      </c>
      <c r="K39" s="13">
        <v>0.2</v>
      </c>
      <c r="L39" s="13">
        <v>0.2</v>
      </c>
      <c r="N39" s="59" t="s">
        <v>182</v>
      </c>
    </row>
    <row r="40" spans="1:14" x14ac:dyDescent="0.25">
      <c r="A40" t="str">
        <v>AF sea level</v>
      </c>
      <c r="C40" s="13">
        <v>5.3333333333333337E-2</v>
      </c>
      <c r="D40" s="13">
        <v>8.0000000000000016E-2</v>
      </c>
      <c r="E40" s="13">
        <v>0.10666666666666667</v>
      </c>
      <c r="F40" s="13">
        <v>0.13333333333333333</v>
      </c>
      <c r="G40" s="13">
        <v>0.2</v>
      </c>
      <c r="H40" s="13">
        <v>0.2</v>
      </c>
      <c r="I40" s="13">
        <v>0.2</v>
      </c>
      <c r="J40" s="13">
        <v>0.2</v>
      </c>
      <c r="K40" s="13">
        <v>0.2</v>
      </c>
      <c r="L40" s="13">
        <v>0.2</v>
      </c>
      <c r="N40" s="59" t="s">
        <v>182</v>
      </c>
    </row>
    <row r="41" spans="1:14" x14ac:dyDescent="0.25">
      <c r="A41" t="str">
        <v>LA sea level</v>
      </c>
      <c r="C41" s="13">
        <v>5.3333333333333337E-2</v>
      </c>
      <c r="D41" s="13">
        <v>8.0000000000000016E-2</v>
      </c>
      <c r="E41" s="13">
        <v>0.10666666666666667</v>
      </c>
      <c r="F41" s="13">
        <v>0.13333333333333333</v>
      </c>
      <c r="G41" s="13">
        <v>0.2</v>
      </c>
      <c r="H41" s="13">
        <v>0.2</v>
      </c>
      <c r="I41" s="13">
        <v>0.2</v>
      </c>
      <c r="J41" s="13">
        <v>0.2</v>
      </c>
      <c r="K41" s="13">
        <v>0.2</v>
      </c>
      <c r="L41" s="13">
        <v>0.2</v>
      </c>
      <c r="N41" s="59" t="s">
        <v>182</v>
      </c>
    </row>
    <row r="42" spans="1:14" ht="15.5" x14ac:dyDescent="0.4">
      <c r="C42" t="s">
        <v>80</v>
      </c>
    </row>
    <row r="43" spans="1:14" x14ac:dyDescent="0.25">
      <c r="A43" t="str">
        <f t="array" ref="A43:A50">R_CODE&amp;" "&amp;I_1_NAME</f>
        <v>EU Economic</v>
      </c>
      <c r="C43" s="13">
        <f t="array" ref="C43:L50">IF(Y-pstart_1_b&lt;0,0,IF(((Y-pstart_1_b)/pyears_1_b)&lt;1,((Y-pstart_1_b)/pyears_1_b)*plateau_1_b,plateau_1_b))</f>
        <v>0</v>
      </c>
      <c r="D43" s="13">
        <v>0</v>
      </c>
      <c r="E43" s="13">
        <v>0</v>
      </c>
      <c r="F43" s="13">
        <v>0</v>
      </c>
      <c r="G43" s="13">
        <v>0</v>
      </c>
      <c r="H43" s="13">
        <v>0</v>
      </c>
      <c r="I43" s="13">
        <v>0</v>
      </c>
      <c r="J43" s="13">
        <v>0</v>
      </c>
      <c r="K43" s="13">
        <v>0</v>
      </c>
      <c r="L43" s="13">
        <v>0</v>
      </c>
      <c r="N43" s="59" t="s">
        <v>43</v>
      </c>
    </row>
    <row r="44" spans="1:14" x14ac:dyDescent="0.25">
      <c r="A44" t="str">
        <v>US Economic</v>
      </c>
      <c r="C44" s="13">
        <v>0</v>
      </c>
      <c r="D44" s="13">
        <v>0</v>
      </c>
      <c r="E44" s="13">
        <v>0</v>
      </c>
      <c r="F44" s="13">
        <v>0</v>
      </c>
      <c r="G44" s="13">
        <v>0</v>
      </c>
      <c r="H44" s="13">
        <v>0</v>
      </c>
      <c r="I44" s="13">
        <v>0</v>
      </c>
      <c r="J44" s="13">
        <v>0</v>
      </c>
      <c r="K44" s="13">
        <v>0</v>
      </c>
      <c r="L44" s="13">
        <v>0</v>
      </c>
      <c r="N44" s="59" t="s">
        <v>43</v>
      </c>
    </row>
    <row r="45" spans="1:14" x14ac:dyDescent="0.25">
      <c r="A45" t="str">
        <v>OT Economic</v>
      </c>
      <c r="C45" s="13">
        <v>0</v>
      </c>
      <c r="D45" s="13">
        <v>0</v>
      </c>
      <c r="E45" s="13">
        <v>0</v>
      </c>
      <c r="F45" s="13">
        <v>0</v>
      </c>
      <c r="G45" s="13">
        <v>0</v>
      </c>
      <c r="H45" s="13">
        <v>0</v>
      </c>
      <c r="I45" s="13">
        <v>0</v>
      </c>
      <c r="J45" s="13">
        <v>0</v>
      </c>
      <c r="K45" s="13">
        <v>0</v>
      </c>
      <c r="L45" s="13">
        <v>0</v>
      </c>
      <c r="N45" s="59" t="s">
        <v>43</v>
      </c>
    </row>
    <row r="46" spans="1:14" x14ac:dyDescent="0.25">
      <c r="A46" t="str">
        <v>EE Economic</v>
      </c>
      <c r="C46" s="13">
        <v>0</v>
      </c>
      <c r="D46" s="13">
        <v>0</v>
      </c>
      <c r="E46" s="13">
        <v>0</v>
      </c>
      <c r="F46" s="13">
        <v>0</v>
      </c>
      <c r="G46" s="13">
        <v>0</v>
      </c>
      <c r="H46" s="13">
        <v>0</v>
      </c>
      <c r="I46" s="13">
        <v>0</v>
      </c>
      <c r="J46" s="13">
        <v>0</v>
      </c>
      <c r="K46" s="13">
        <v>0</v>
      </c>
      <c r="L46" s="13">
        <v>0</v>
      </c>
      <c r="N46" s="59" t="s">
        <v>43</v>
      </c>
    </row>
    <row r="47" spans="1:14" x14ac:dyDescent="0.25">
      <c r="A47" t="str">
        <v>CA Economic</v>
      </c>
      <c r="C47" s="13">
        <v>0</v>
      </c>
      <c r="D47" s="13">
        <v>0</v>
      </c>
      <c r="E47" s="13">
        <v>0</v>
      </c>
      <c r="F47" s="13">
        <v>0</v>
      </c>
      <c r="G47" s="13">
        <v>0</v>
      </c>
      <c r="H47" s="13">
        <v>0</v>
      </c>
      <c r="I47" s="13">
        <v>0</v>
      </c>
      <c r="J47" s="13">
        <v>0</v>
      </c>
      <c r="K47" s="13">
        <v>0</v>
      </c>
      <c r="L47" s="13">
        <v>0</v>
      </c>
      <c r="N47" s="59" t="s">
        <v>43</v>
      </c>
    </row>
    <row r="48" spans="1:14" x14ac:dyDescent="0.25">
      <c r="A48" t="str">
        <v>IA Economic</v>
      </c>
      <c r="C48" s="13">
        <v>0</v>
      </c>
      <c r="D48" s="13">
        <v>0</v>
      </c>
      <c r="E48" s="13">
        <v>0</v>
      </c>
      <c r="F48" s="13">
        <v>0</v>
      </c>
      <c r="G48" s="13">
        <v>0</v>
      </c>
      <c r="H48" s="13">
        <v>0</v>
      </c>
      <c r="I48" s="13">
        <v>0</v>
      </c>
      <c r="J48" s="13">
        <v>0</v>
      </c>
      <c r="K48" s="13">
        <v>0</v>
      </c>
      <c r="L48" s="13">
        <v>0</v>
      </c>
      <c r="N48" s="59" t="s">
        <v>43</v>
      </c>
    </row>
    <row r="49" spans="1:14" x14ac:dyDescent="0.25">
      <c r="A49" t="str">
        <v>AF Economic</v>
      </c>
      <c r="C49" s="13">
        <v>0</v>
      </c>
      <c r="D49" s="13">
        <v>0</v>
      </c>
      <c r="E49" s="13">
        <v>0</v>
      </c>
      <c r="F49" s="13">
        <v>0</v>
      </c>
      <c r="G49" s="13">
        <v>0</v>
      </c>
      <c r="H49" s="13">
        <v>0</v>
      </c>
      <c r="I49" s="13">
        <v>0</v>
      </c>
      <c r="J49" s="13">
        <v>0</v>
      </c>
      <c r="K49" s="13">
        <v>0</v>
      </c>
      <c r="L49" s="13">
        <v>0</v>
      </c>
      <c r="N49" s="59" t="s">
        <v>43</v>
      </c>
    </row>
    <row r="50" spans="1:14" x14ac:dyDescent="0.25">
      <c r="A50" t="str">
        <v>LA Economic</v>
      </c>
      <c r="C50" s="13">
        <v>0</v>
      </c>
      <c r="D50" s="13">
        <v>0</v>
      </c>
      <c r="E50" s="13">
        <v>0</v>
      </c>
      <c r="F50" s="13">
        <v>0</v>
      </c>
      <c r="G50" s="13">
        <v>0</v>
      </c>
      <c r="H50" s="13">
        <v>0</v>
      </c>
      <c r="I50" s="13">
        <v>0</v>
      </c>
      <c r="J50" s="13">
        <v>0</v>
      </c>
      <c r="K50" s="13">
        <v>0</v>
      </c>
      <c r="L50" s="13">
        <v>0</v>
      </c>
      <c r="N50" s="59" t="s">
        <v>43</v>
      </c>
    </row>
    <row r="51" spans="1:14" ht="15.5" x14ac:dyDescent="0.4">
      <c r="C51" t="s">
        <v>81</v>
      </c>
      <c r="N51" s="1"/>
    </row>
    <row r="52" spans="1:14" x14ac:dyDescent="0.25">
      <c r="A52" t="str">
        <f t="array" ref="A52:A59">R_CODE&amp;" "&amp;I_2_NAME</f>
        <v>EU Non-econ</v>
      </c>
      <c r="C52" s="13">
        <f t="array" ref="C52:L59">IF(Y-pstart_2_b&lt;0,0,IF(((Y-pstart_2_b)/pyears_2_b)&lt;1,((Y-pstart_2_b)/pyears_2_b)*plateau_2_b,plateau_2_b))</f>
        <v>0</v>
      </c>
      <c r="D52" s="13">
        <v>0</v>
      </c>
      <c r="E52" s="13">
        <v>0</v>
      </c>
      <c r="F52" s="13">
        <v>0</v>
      </c>
      <c r="G52" s="13">
        <v>0</v>
      </c>
      <c r="H52" s="13">
        <v>0</v>
      </c>
      <c r="I52" s="13">
        <v>0</v>
      </c>
      <c r="J52" s="13">
        <v>0</v>
      </c>
      <c r="K52" s="13">
        <v>0</v>
      </c>
      <c r="L52" s="13">
        <v>0</v>
      </c>
      <c r="N52" s="59" t="s">
        <v>43</v>
      </c>
    </row>
    <row r="53" spans="1:14" x14ac:dyDescent="0.25">
      <c r="A53" t="str">
        <v>US Non-econ</v>
      </c>
      <c r="C53" s="13">
        <v>0</v>
      </c>
      <c r="D53" s="13">
        <v>0</v>
      </c>
      <c r="E53" s="13">
        <v>0</v>
      </c>
      <c r="F53" s="13">
        <v>0</v>
      </c>
      <c r="G53" s="13">
        <v>0</v>
      </c>
      <c r="H53" s="13">
        <v>0</v>
      </c>
      <c r="I53" s="13">
        <v>0</v>
      </c>
      <c r="J53" s="13">
        <v>0</v>
      </c>
      <c r="K53" s="13">
        <v>0</v>
      </c>
      <c r="L53" s="13">
        <v>0</v>
      </c>
      <c r="N53" s="59" t="s">
        <v>43</v>
      </c>
    </row>
    <row r="54" spans="1:14" x14ac:dyDescent="0.25">
      <c r="A54" t="str">
        <v>OT Non-econ</v>
      </c>
      <c r="C54" s="13">
        <v>0</v>
      </c>
      <c r="D54" s="13">
        <v>0</v>
      </c>
      <c r="E54" s="13">
        <v>0</v>
      </c>
      <c r="F54" s="13">
        <v>0</v>
      </c>
      <c r="G54" s="13">
        <v>0</v>
      </c>
      <c r="H54" s="13">
        <v>0</v>
      </c>
      <c r="I54" s="13">
        <v>0</v>
      </c>
      <c r="J54" s="13">
        <v>0</v>
      </c>
      <c r="K54" s="13">
        <v>0</v>
      </c>
      <c r="L54" s="13">
        <v>0</v>
      </c>
      <c r="N54" s="59" t="s">
        <v>43</v>
      </c>
    </row>
    <row r="55" spans="1:14" x14ac:dyDescent="0.25">
      <c r="A55" t="str">
        <v>EE Non-econ</v>
      </c>
      <c r="C55" s="13">
        <v>0</v>
      </c>
      <c r="D55" s="13">
        <v>0</v>
      </c>
      <c r="E55" s="13">
        <v>0</v>
      </c>
      <c r="F55" s="13">
        <v>0</v>
      </c>
      <c r="G55" s="13">
        <v>0</v>
      </c>
      <c r="H55" s="13">
        <v>0</v>
      </c>
      <c r="I55" s="13">
        <v>0</v>
      </c>
      <c r="J55" s="13">
        <v>0</v>
      </c>
      <c r="K55" s="13">
        <v>0</v>
      </c>
      <c r="L55" s="13">
        <v>0</v>
      </c>
      <c r="N55" s="59" t="s">
        <v>43</v>
      </c>
    </row>
    <row r="56" spans="1:14" x14ac:dyDescent="0.25">
      <c r="A56" t="str">
        <v>CA Non-econ</v>
      </c>
      <c r="C56" s="13">
        <v>0</v>
      </c>
      <c r="D56" s="13">
        <v>0</v>
      </c>
      <c r="E56" s="13">
        <v>0</v>
      </c>
      <c r="F56" s="13">
        <v>0</v>
      </c>
      <c r="G56" s="13">
        <v>0</v>
      </c>
      <c r="H56" s="13">
        <v>0</v>
      </c>
      <c r="I56" s="13">
        <v>0</v>
      </c>
      <c r="J56" s="13">
        <v>0</v>
      </c>
      <c r="K56" s="13">
        <v>0</v>
      </c>
      <c r="L56" s="13">
        <v>0</v>
      </c>
      <c r="N56" s="59" t="s">
        <v>43</v>
      </c>
    </row>
    <row r="57" spans="1:14" x14ac:dyDescent="0.25">
      <c r="A57" t="str">
        <v>IA Non-econ</v>
      </c>
      <c r="C57" s="13">
        <v>0</v>
      </c>
      <c r="D57" s="13">
        <v>0</v>
      </c>
      <c r="E57" s="13">
        <v>0</v>
      </c>
      <c r="F57" s="13">
        <v>0</v>
      </c>
      <c r="G57" s="13">
        <v>0</v>
      </c>
      <c r="H57" s="13">
        <v>0</v>
      </c>
      <c r="I57" s="13">
        <v>0</v>
      </c>
      <c r="J57" s="13">
        <v>0</v>
      </c>
      <c r="K57" s="13">
        <v>0</v>
      </c>
      <c r="L57" s="13">
        <v>0</v>
      </c>
      <c r="N57" s="59" t="s">
        <v>43</v>
      </c>
    </row>
    <row r="58" spans="1:14" x14ac:dyDescent="0.25">
      <c r="A58" t="str">
        <v>AF Non-econ</v>
      </c>
      <c r="C58" s="13">
        <v>0</v>
      </c>
      <c r="D58" s="13">
        <v>0</v>
      </c>
      <c r="E58" s="13">
        <v>0</v>
      </c>
      <c r="F58" s="13">
        <v>0</v>
      </c>
      <c r="G58" s="13">
        <v>0</v>
      </c>
      <c r="H58" s="13">
        <v>0</v>
      </c>
      <c r="I58" s="13">
        <v>0</v>
      </c>
      <c r="J58" s="13">
        <v>0</v>
      </c>
      <c r="K58" s="13">
        <v>0</v>
      </c>
      <c r="L58" s="13">
        <v>0</v>
      </c>
      <c r="N58" s="59" t="s">
        <v>43</v>
      </c>
    </row>
    <row r="59" spans="1:14" x14ac:dyDescent="0.25">
      <c r="A59" t="str">
        <v>LA Non-econ</v>
      </c>
      <c r="C59" s="13">
        <v>0</v>
      </c>
      <c r="D59" s="13">
        <v>0</v>
      </c>
      <c r="E59" s="13">
        <v>0</v>
      </c>
      <c r="F59" s="13">
        <v>0</v>
      </c>
      <c r="G59" s="13">
        <v>0</v>
      </c>
      <c r="H59" s="13">
        <v>0</v>
      </c>
      <c r="I59" s="13">
        <v>0</v>
      </c>
      <c r="J59" s="13">
        <v>0</v>
      </c>
      <c r="K59" s="13">
        <v>0</v>
      </c>
      <c r="L59" s="13">
        <v>0</v>
      </c>
      <c r="N59" s="59" t="s">
        <v>43</v>
      </c>
    </row>
    <row r="60" spans="1:14" ht="15.5" x14ac:dyDescent="0.4">
      <c r="C60" s="63" t="s">
        <v>232</v>
      </c>
    </row>
    <row r="61" spans="1:14" x14ac:dyDescent="0.25">
      <c r="A61" t="str">
        <f t="array" ref="A61:A68">R_CODE&amp;" sea level"</f>
        <v>EU sea level</v>
      </c>
      <c r="C61" s="13">
        <f t="array" ref="C61:L68">IF(Y-istart_s_b&lt;0,0,IF(((Y-istart_s_b)/iyears_s_b)&lt;1,((Y-istart_s_b)/iyears_s_b)*impred_s_b,impred_s_b))</f>
        <v>0</v>
      </c>
      <c r="D61" s="13">
        <v>10</v>
      </c>
      <c r="E61" s="13">
        <v>20</v>
      </c>
      <c r="F61" s="13">
        <v>30</v>
      </c>
      <c r="G61" s="13">
        <v>50</v>
      </c>
      <c r="H61" s="13">
        <v>50</v>
      </c>
      <c r="I61" s="13">
        <v>50</v>
      </c>
      <c r="J61" s="13">
        <v>50</v>
      </c>
      <c r="K61" s="13">
        <v>50</v>
      </c>
      <c r="L61" s="13">
        <v>50</v>
      </c>
      <c r="N61" s="59" t="s">
        <v>40</v>
      </c>
    </row>
    <row r="62" spans="1:14" x14ac:dyDescent="0.25">
      <c r="A62" t="str">
        <v>US sea level</v>
      </c>
      <c r="C62" s="13">
        <v>0</v>
      </c>
      <c r="D62" s="13">
        <v>10</v>
      </c>
      <c r="E62" s="13">
        <v>20</v>
      </c>
      <c r="F62" s="13">
        <v>30</v>
      </c>
      <c r="G62" s="13">
        <v>50</v>
      </c>
      <c r="H62" s="13">
        <v>50</v>
      </c>
      <c r="I62" s="13">
        <v>50</v>
      </c>
      <c r="J62" s="13">
        <v>50</v>
      </c>
      <c r="K62" s="13">
        <v>50</v>
      </c>
      <c r="L62" s="13">
        <v>50</v>
      </c>
      <c r="N62" s="59" t="s">
        <v>40</v>
      </c>
    </row>
    <row r="63" spans="1:14" x14ac:dyDescent="0.25">
      <c r="A63" t="str">
        <v>OT sea level</v>
      </c>
      <c r="C63" s="13">
        <v>0</v>
      </c>
      <c r="D63" s="13">
        <v>10</v>
      </c>
      <c r="E63" s="13">
        <v>20</v>
      </c>
      <c r="F63" s="13">
        <v>30</v>
      </c>
      <c r="G63" s="13">
        <v>50</v>
      </c>
      <c r="H63" s="13">
        <v>50</v>
      </c>
      <c r="I63" s="13">
        <v>50</v>
      </c>
      <c r="J63" s="13">
        <v>50</v>
      </c>
      <c r="K63" s="13">
        <v>50</v>
      </c>
      <c r="L63" s="13">
        <v>50</v>
      </c>
      <c r="N63" s="59" t="s">
        <v>40</v>
      </c>
    </row>
    <row r="64" spans="1:14" x14ac:dyDescent="0.25">
      <c r="A64" t="str">
        <v>EE sea level</v>
      </c>
      <c r="C64" s="13">
        <v>0</v>
      </c>
      <c r="D64" s="13">
        <v>10</v>
      </c>
      <c r="E64" s="13">
        <v>20</v>
      </c>
      <c r="F64" s="13">
        <v>30</v>
      </c>
      <c r="G64" s="13">
        <v>50</v>
      </c>
      <c r="H64" s="13">
        <v>50</v>
      </c>
      <c r="I64" s="13">
        <v>50</v>
      </c>
      <c r="J64" s="13">
        <v>50</v>
      </c>
      <c r="K64" s="13">
        <v>50</v>
      </c>
      <c r="L64" s="13">
        <v>50</v>
      </c>
      <c r="N64" s="59" t="s">
        <v>40</v>
      </c>
    </row>
    <row r="65" spans="1:14" x14ac:dyDescent="0.25">
      <c r="A65" t="str">
        <v>CA sea level</v>
      </c>
      <c r="C65" s="13">
        <v>0</v>
      </c>
      <c r="D65" s="13">
        <v>3.3333333333333335</v>
      </c>
      <c r="E65" s="13">
        <v>6.666666666666667</v>
      </c>
      <c r="F65" s="13">
        <v>10</v>
      </c>
      <c r="G65" s="13">
        <v>18.333333333333332</v>
      </c>
      <c r="H65" s="13">
        <v>25</v>
      </c>
      <c r="I65" s="13">
        <v>25</v>
      </c>
      <c r="J65" s="13">
        <v>25</v>
      </c>
      <c r="K65" s="13">
        <v>25</v>
      </c>
      <c r="L65" s="13">
        <v>25</v>
      </c>
      <c r="N65" s="59" t="s">
        <v>40</v>
      </c>
    </row>
    <row r="66" spans="1:14" x14ac:dyDescent="0.25">
      <c r="A66" t="str">
        <v>IA sea level</v>
      </c>
      <c r="C66" s="13">
        <v>0</v>
      </c>
      <c r="D66" s="13">
        <v>3.3333333333333335</v>
      </c>
      <c r="E66" s="13">
        <v>6.666666666666667</v>
      </c>
      <c r="F66" s="13">
        <v>10</v>
      </c>
      <c r="G66" s="13">
        <v>18.333333333333332</v>
      </c>
      <c r="H66" s="13">
        <v>25</v>
      </c>
      <c r="I66" s="13">
        <v>25</v>
      </c>
      <c r="J66" s="13">
        <v>25</v>
      </c>
      <c r="K66" s="13">
        <v>25</v>
      </c>
      <c r="L66" s="13">
        <v>25</v>
      </c>
      <c r="N66" s="59" t="s">
        <v>40</v>
      </c>
    </row>
    <row r="67" spans="1:14" x14ac:dyDescent="0.25">
      <c r="A67" t="str">
        <v>AF sea level</v>
      </c>
      <c r="C67" s="13">
        <v>0</v>
      </c>
      <c r="D67" s="13">
        <v>3.3333333333333335</v>
      </c>
      <c r="E67" s="13">
        <v>6.666666666666667</v>
      </c>
      <c r="F67" s="13">
        <v>10</v>
      </c>
      <c r="G67" s="13">
        <v>18.333333333333332</v>
      </c>
      <c r="H67" s="13">
        <v>25</v>
      </c>
      <c r="I67" s="13">
        <v>25</v>
      </c>
      <c r="J67" s="13">
        <v>25</v>
      </c>
      <c r="K67" s="13">
        <v>25</v>
      </c>
      <c r="L67" s="13">
        <v>25</v>
      </c>
      <c r="N67" s="59" t="s">
        <v>40</v>
      </c>
    </row>
    <row r="68" spans="1:14" x14ac:dyDescent="0.25">
      <c r="A68" t="str">
        <v>LA sea level</v>
      </c>
      <c r="C68" s="13">
        <v>0</v>
      </c>
      <c r="D68" s="13">
        <v>3.3333333333333335</v>
      </c>
      <c r="E68" s="13">
        <v>6.666666666666667</v>
      </c>
      <c r="F68" s="13">
        <v>10</v>
      </c>
      <c r="G68" s="13">
        <v>18.333333333333332</v>
      </c>
      <c r="H68" s="13">
        <v>25</v>
      </c>
      <c r="I68" s="13">
        <v>25</v>
      </c>
      <c r="J68" s="13">
        <v>25</v>
      </c>
      <c r="K68" s="13">
        <v>25</v>
      </c>
      <c r="L68" s="13">
        <v>25</v>
      </c>
      <c r="N68" s="59" t="s">
        <v>40</v>
      </c>
    </row>
    <row r="69" spans="1:14" ht="15.5" x14ac:dyDescent="0.4">
      <c r="C69" s="63" t="s">
        <v>233</v>
      </c>
    </row>
    <row r="70" spans="1:14" x14ac:dyDescent="0.25">
      <c r="A70" t="str">
        <f t="array" ref="A70:A77">R_CODE&amp;" "&amp;I_1_NAME</f>
        <v>EU Economic</v>
      </c>
      <c r="C70" s="13">
        <f t="array" ref="C70:L77">IF(Y-istart_1_b&lt;0,0,IF(((Y-istart_1_b)/iyears_1_b)&lt;1,((Y-istart_1_b)/iyears_1_b)*impred_1_b,impred_1_b))</f>
        <v>10</v>
      </c>
      <c r="D70" s="13">
        <v>20</v>
      </c>
      <c r="E70" s="13">
        <v>30</v>
      </c>
      <c r="F70" s="13">
        <v>30</v>
      </c>
      <c r="G70" s="13">
        <v>30</v>
      </c>
      <c r="H70" s="13">
        <v>30</v>
      </c>
      <c r="I70" s="13">
        <v>30</v>
      </c>
      <c r="J70" s="13">
        <v>30</v>
      </c>
      <c r="K70" s="13">
        <v>30</v>
      </c>
      <c r="L70" s="13">
        <v>30</v>
      </c>
      <c r="N70" s="59" t="s">
        <v>40</v>
      </c>
    </row>
    <row r="71" spans="1:14" x14ac:dyDescent="0.25">
      <c r="A71" t="str">
        <v>US Economic</v>
      </c>
      <c r="C71" s="13">
        <v>10</v>
      </c>
      <c r="D71" s="13">
        <v>20</v>
      </c>
      <c r="E71" s="13">
        <v>30</v>
      </c>
      <c r="F71" s="13">
        <v>30</v>
      </c>
      <c r="G71" s="13">
        <v>30</v>
      </c>
      <c r="H71" s="13">
        <v>30</v>
      </c>
      <c r="I71" s="13">
        <v>30</v>
      </c>
      <c r="J71" s="13">
        <v>30</v>
      </c>
      <c r="K71" s="13">
        <v>30</v>
      </c>
      <c r="L71" s="13">
        <v>30</v>
      </c>
      <c r="N71" s="59" t="s">
        <v>40</v>
      </c>
    </row>
    <row r="72" spans="1:14" x14ac:dyDescent="0.25">
      <c r="A72" t="str">
        <v>OT Economic</v>
      </c>
      <c r="C72" s="13">
        <v>10</v>
      </c>
      <c r="D72" s="13">
        <v>20</v>
      </c>
      <c r="E72" s="13">
        <v>30</v>
      </c>
      <c r="F72" s="13">
        <v>30</v>
      </c>
      <c r="G72" s="13">
        <v>30</v>
      </c>
      <c r="H72" s="13">
        <v>30</v>
      </c>
      <c r="I72" s="13">
        <v>30</v>
      </c>
      <c r="J72" s="13">
        <v>30</v>
      </c>
      <c r="K72" s="13">
        <v>30</v>
      </c>
      <c r="L72" s="13">
        <v>30</v>
      </c>
      <c r="N72" s="59" t="s">
        <v>40</v>
      </c>
    </row>
    <row r="73" spans="1:14" x14ac:dyDescent="0.25">
      <c r="A73" t="str">
        <v>EE Economic</v>
      </c>
      <c r="C73" s="13">
        <v>10</v>
      </c>
      <c r="D73" s="13">
        <v>20</v>
      </c>
      <c r="E73" s="13">
        <v>30</v>
      </c>
      <c r="F73" s="13">
        <v>30</v>
      </c>
      <c r="G73" s="13">
        <v>30</v>
      </c>
      <c r="H73" s="13">
        <v>30</v>
      </c>
      <c r="I73" s="13">
        <v>30</v>
      </c>
      <c r="J73" s="13">
        <v>30</v>
      </c>
      <c r="K73" s="13">
        <v>30</v>
      </c>
      <c r="L73" s="13">
        <v>30</v>
      </c>
      <c r="N73" s="59" t="s">
        <v>40</v>
      </c>
    </row>
    <row r="74" spans="1:14" x14ac:dyDescent="0.25">
      <c r="A74" t="str">
        <v>CA Economic</v>
      </c>
      <c r="C74" s="13">
        <v>0</v>
      </c>
      <c r="D74" s="13">
        <v>4</v>
      </c>
      <c r="E74" s="13">
        <v>8</v>
      </c>
      <c r="F74" s="13">
        <v>12</v>
      </c>
      <c r="G74" s="13">
        <v>20</v>
      </c>
      <c r="H74" s="13">
        <v>20</v>
      </c>
      <c r="I74" s="13">
        <v>20</v>
      </c>
      <c r="J74" s="13">
        <v>20</v>
      </c>
      <c r="K74" s="13">
        <v>20</v>
      </c>
      <c r="L74" s="13">
        <v>20</v>
      </c>
      <c r="N74" s="59" t="s">
        <v>40</v>
      </c>
    </row>
    <row r="75" spans="1:14" x14ac:dyDescent="0.25">
      <c r="A75" t="str">
        <v>IA Economic</v>
      </c>
      <c r="C75" s="13">
        <v>0</v>
      </c>
      <c r="D75" s="13">
        <v>4</v>
      </c>
      <c r="E75" s="13">
        <v>8</v>
      </c>
      <c r="F75" s="13">
        <v>12</v>
      </c>
      <c r="G75" s="13">
        <v>20</v>
      </c>
      <c r="H75" s="13">
        <v>20</v>
      </c>
      <c r="I75" s="13">
        <v>20</v>
      </c>
      <c r="J75" s="13">
        <v>20</v>
      </c>
      <c r="K75" s="13">
        <v>20</v>
      </c>
      <c r="L75" s="13">
        <v>20</v>
      </c>
      <c r="N75" s="59" t="s">
        <v>40</v>
      </c>
    </row>
    <row r="76" spans="1:14" x14ac:dyDescent="0.25">
      <c r="A76" t="str">
        <v>AF Economic</v>
      </c>
      <c r="C76" s="13">
        <v>0</v>
      </c>
      <c r="D76" s="13">
        <v>4</v>
      </c>
      <c r="E76" s="13">
        <v>8</v>
      </c>
      <c r="F76" s="13">
        <v>12</v>
      </c>
      <c r="G76" s="13">
        <v>20</v>
      </c>
      <c r="H76" s="13">
        <v>20</v>
      </c>
      <c r="I76" s="13">
        <v>20</v>
      </c>
      <c r="J76" s="13">
        <v>20</v>
      </c>
      <c r="K76" s="13">
        <v>20</v>
      </c>
      <c r="L76" s="13">
        <v>20</v>
      </c>
      <c r="N76" s="59" t="s">
        <v>40</v>
      </c>
    </row>
    <row r="77" spans="1:14" x14ac:dyDescent="0.25">
      <c r="A77" t="str">
        <v>LA Economic</v>
      </c>
      <c r="C77" s="13">
        <v>0</v>
      </c>
      <c r="D77" s="13">
        <v>4</v>
      </c>
      <c r="E77" s="13">
        <v>8</v>
      </c>
      <c r="F77" s="13">
        <v>12</v>
      </c>
      <c r="G77" s="13">
        <v>20</v>
      </c>
      <c r="H77" s="13">
        <v>20</v>
      </c>
      <c r="I77" s="13">
        <v>20</v>
      </c>
      <c r="J77" s="13">
        <v>20</v>
      </c>
      <c r="K77" s="13">
        <v>20</v>
      </c>
      <c r="L77" s="13">
        <v>20</v>
      </c>
      <c r="N77" s="59" t="s">
        <v>40</v>
      </c>
    </row>
    <row r="78" spans="1:14" ht="15.5" x14ac:dyDescent="0.4">
      <c r="C78" s="63" t="s">
        <v>234</v>
      </c>
    </row>
    <row r="79" spans="1:14" x14ac:dyDescent="0.25">
      <c r="A79" t="str">
        <f t="array" ref="A79:A86">R_CODE&amp;" "&amp;I_2_NAME</f>
        <v>EU Non-econ</v>
      </c>
      <c r="C79" s="13">
        <f t="array" ref="C79:L86">IF(Y-istart_2_b&lt;0,0,IF(((Y-istart_2_b)/iyears_2_b)&lt;1,((Y-istart_2_b)/iyears_2_b)*impred_2_b,impred_2_b))</f>
        <v>3.75</v>
      </c>
      <c r="D79" s="13">
        <v>7.5</v>
      </c>
      <c r="E79" s="13">
        <v>11.25</v>
      </c>
      <c r="F79" s="13">
        <v>15</v>
      </c>
      <c r="G79" s="13">
        <v>15</v>
      </c>
      <c r="H79" s="13">
        <v>15</v>
      </c>
      <c r="I79" s="13">
        <v>15</v>
      </c>
      <c r="J79" s="13">
        <v>15</v>
      </c>
      <c r="K79" s="13">
        <v>15</v>
      </c>
      <c r="L79" s="13">
        <v>15</v>
      </c>
      <c r="N79" s="59" t="s">
        <v>40</v>
      </c>
    </row>
    <row r="80" spans="1:14" x14ac:dyDescent="0.25">
      <c r="A80" t="str">
        <v>US Non-econ</v>
      </c>
      <c r="C80" s="13">
        <v>3.75</v>
      </c>
      <c r="D80" s="13">
        <v>7.5</v>
      </c>
      <c r="E80" s="13">
        <v>11.25</v>
      </c>
      <c r="F80" s="13">
        <v>15</v>
      </c>
      <c r="G80" s="13">
        <v>15</v>
      </c>
      <c r="H80" s="13">
        <v>15</v>
      </c>
      <c r="I80" s="13">
        <v>15</v>
      </c>
      <c r="J80" s="13">
        <v>15</v>
      </c>
      <c r="K80" s="13">
        <v>15</v>
      </c>
      <c r="L80" s="13">
        <v>15</v>
      </c>
      <c r="N80" s="59" t="s">
        <v>40</v>
      </c>
    </row>
    <row r="81" spans="1:14" x14ac:dyDescent="0.25">
      <c r="A81" t="str">
        <v>OT Non-econ</v>
      </c>
      <c r="C81" s="13">
        <v>3.75</v>
      </c>
      <c r="D81" s="13">
        <v>7.5</v>
      </c>
      <c r="E81" s="13">
        <v>11.25</v>
      </c>
      <c r="F81" s="13">
        <v>15</v>
      </c>
      <c r="G81" s="13">
        <v>15</v>
      </c>
      <c r="H81" s="13">
        <v>15</v>
      </c>
      <c r="I81" s="13">
        <v>15</v>
      </c>
      <c r="J81" s="13">
        <v>15</v>
      </c>
      <c r="K81" s="13">
        <v>15</v>
      </c>
      <c r="L81" s="13">
        <v>15</v>
      </c>
      <c r="N81" s="59" t="s">
        <v>40</v>
      </c>
    </row>
    <row r="82" spans="1:14" x14ac:dyDescent="0.25">
      <c r="A82" t="str">
        <v>EE Non-econ</v>
      </c>
      <c r="C82" s="13">
        <v>3.75</v>
      </c>
      <c r="D82" s="13">
        <v>7.5</v>
      </c>
      <c r="E82" s="13">
        <v>11.25</v>
      </c>
      <c r="F82" s="13">
        <v>15</v>
      </c>
      <c r="G82" s="13">
        <v>15</v>
      </c>
      <c r="H82" s="13">
        <v>15</v>
      </c>
      <c r="I82" s="13">
        <v>15</v>
      </c>
      <c r="J82" s="13">
        <v>15</v>
      </c>
      <c r="K82" s="13">
        <v>15</v>
      </c>
      <c r="L82" s="13">
        <v>15</v>
      </c>
      <c r="N82" s="59" t="s">
        <v>40</v>
      </c>
    </row>
    <row r="83" spans="1:14" x14ac:dyDescent="0.25">
      <c r="A83" t="str">
        <v>CA Non-econ</v>
      </c>
      <c r="C83" s="13">
        <v>3.75</v>
      </c>
      <c r="D83" s="13">
        <v>7.5</v>
      </c>
      <c r="E83" s="13">
        <v>11.25</v>
      </c>
      <c r="F83" s="13">
        <v>15</v>
      </c>
      <c r="G83" s="13">
        <v>15</v>
      </c>
      <c r="H83" s="13">
        <v>15</v>
      </c>
      <c r="I83" s="13">
        <v>15</v>
      </c>
      <c r="J83" s="13">
        <v>15</v>
      </c>
      <c r="K83" s="13">
        <v>15</v>
      </c>
      <c r="L83" s="13">
        <v>15</v>
      </c>
      <c r="N83" s="59" t="s">
        <v>40</v>
      </c>
    </row>
    <row r="84" spans="1:14" x14ac:dyDescent="0.25">
      <c r="A84" t="str">
        <v>IA Non-econ</v>
      </c>
      <c r="C84" s="13">
        <v>3.75</v>
      </c>
      <c r="D84" s="13">
        <v>7.5</v>
      </c>
      <c r="E84" s="13">
        <v>11.25</v>
      </c>
      <c r="F84" s="13">
        <v>15</v>
      </c>
      <c r="G84" s="13">
        <v>15</v>
      </c>
      <c r="H84" s="13">
        <v>15</v>
      </c>
      <c r="I84" s="13">
        <v>15</v>
      </c>
      <c r="J84" s="13">
        <v>15</v>
      </c>
      <c r="K84" s="13">
        <v>15</v>
      </c>
      <c r="L84" s="13">
        <v>15</v>
      </c>
      <c r="N84" s="59" t="s">
        <v>40</v>
      </c>
    </row>
    <row r="85" spans="1:14" x14ac:dyDescent="0.25">
      <c r="A85" t="str">
        <v>AF Non-econ</v>
      </c>
      <c r="C85" s="13">
        <v>3.75</v>
      </c>
      <c r="D85" s="13">
        <v>7.5</v>
      </c>
      <c r="E85" s="13">
        <v>11.25</v>
      </c>
      <c r="F85" s="13">
        <v>15</v>
      </c>
      <c r="G85" s="13">
        <v>15</v>
      </c>
      <c r="H85" s="13">
        <v>15</v>
      </c>
      <c r="I85" s="13">
        <v>15</v>
      </c>
      <c r="J85" s="13">
        <v>15</v>
      </c>
      <c r="K85" s="13">
        <v>15</v>
      </c>
      <c r="L85" s="13">
        <v>15</v>
      </c>
      <c r="N85" s="59" t="s">
        <v>40</v>
      </c>
    </row>
    <row r="86" spans="1:14" x14ac:dyDescent="0.25">
      <c r="A86" t="str">
        <v>LA Non-econ</v>
      </c>
      <c r="C86" s="13">
        <v>3.75</v>
      </c>
      <c r="D86" s="13">
        <v>7.5</v>
      </c>
      <c r="E86" s="13">
        <v>11.25</v>
      </c>
      <c r="F86" s="13">
        <v>15</v>
      </c>
      <c r="G86" s="13">
        <v>15</v>
      </c>
      <c r="H86" s="13">
        <v>15</v>
      </c>
      <c r="I86" s="13">
        <v>15</v>
      </c>
      <c r="J86" s="13">
        <v>15</v>
      </c>
      <c r="K86" s="13">
        <v>15</v>
      </c>
      <c r="L86" s="13">
        <v>15</v>
      </c>
      <c r="N86" s="59" t="s">
        <v>40</v>
      </c>
    </row>
    <row r="87" spans="1:14" s="2" customFormat="1" ht="15" x14ac:dyDescent="0.4">
      <c r="A87" s="2" t="s">
        <v>967</v>
      </c>
      <c r="C87" s="2" t="s">
        <v>204</v>
      </c>
    </row>
    <row r="88" spans="1:14" x14ac:dyDescent="0.25">
      <c r="A88" t="str">
        <f t="array" ref="A88:A95">R_CODE&amp;" sea level"</f>
        <v>EU sea level</v>
      </c>
      <c r="C88" s="29">
        <f t="array" ref="C88:L95" ca="1">IF((s_b-atl_s_b)&lt;0,0,s_b-atl_s_b)</f>
        <v>0.12491852658804273</v>
      </c>
      <c r="D88" s="29">
        <f ca="1"/>
        <v>0.16190506626647019</v>
      </c>
      <c r="E88" s="29">
        <f ca="1"/>
        <v>0.20851709016267878</v>
      </c>
      <c r="F88" s="29">
        <f ca="1"/>
        <v>0.26004219637784987</v>
      </c>
      <c r="G88" s="29">
        <f ca="1"/>
        <v>0.51899972942721484</v>
      </c>
      <c r="H88" s="29">
        <f ca="1"/>
        <v>0.75811725926100948</v>
      </c>
      <c r="I88" s="29">
        <f ca="1"/>
        <v>1.133365111988879</v>
      </c>
      <c r="J88" s="29">
        <f ca="1"/>
        <v>1.4275488191467267</v>
      </c>
      <c r="K88" s="29">
        <f ca="1"/>
        <v>1.6647946856443938</v>
      </c>
      <c r="L88" s="29">
        <f ca="1"/>
        <v>1.8517305044931431</v>
      </c>
      <c r="M88" s="6"/>
      <c r="N88" s="59" t="s">
        <v>182</v>
      </c>
    </row>
    <row r="89" spans="1:14" x14ac:dyDescent="0.25">
      <c r="A89" t="str">
        <v>US sea level</v>
      </c>
      <c r="C89" s="26">
        <f ca="1"/>
        <v>0.12491852658804273</v>
      </c>
      <c r="D89" s="26">
        <f ca="1"/>
        <v>0.16190506626647019</v>
      </c>
      <c r="E89" s="26">
        <f ca="1"/>
        <v>0.20851709016267878</v>
      </c>
      <c r="F89" s="26">
        <f ca="1"/>
        <v>0.26004219637784987</v>
      </c>
      <c r="G89" s="26">
        <f ca="1"/>
        <v>0.51899972942721484</v>
      </c>
      <c r="H89" s="26">
        <f ca="1"/>
        <v>0.75811725926100948</v>
      </c>
      <c r="I89" s="26">
        <f ca="1"/>
        <v>1.133365111988879</v>
      </c>
      <c r="J89" s="26">
        <f ca="1"/>
        <v>1.4275488191467267</v>
      </c>
      <c r="K89" s="26">
        <f ca="1"/>
        <v>1.6647946856443938</v>
      </c>
      <c r="L89" s="26">
        <f ca="1"/>
        <v>1.8517305044931431</v>
      </c>
      <c r="M89" s="6"/>
      <c r="N89" s="59" t="s">
        <v>182</v>
      </c>
    </row>
    <row r="90" spans="1:14" x14ac:dyDescent="0.25">
      <c r="A90" t="str">
        <v>OT sea level</v>
      </c>
      <c r="C90" s="26">
        <f ca="1"/>
        <v>0.12491852658804273</v>
      </c>
      <c r="D90" s="26">
        <f ca="1"/>
        <v>0.16190506626647019</v>
      </c>
      <c r="E90" s="26">
        <f ca="1"/>
        <v>0.20851709016267878</v>
      </c>
      <c r="F90" s="26">
        <f ca="1"/>
        <v>0.26004219637784987</v>
      </c>
      <c r="G90" s="26">
        <f ca="1"/>
        <v>0.51899972942721484</v>
      </c>
      <c r="H90" s="26">
        <f ca="1"/>
        <v>0.75811725926100948</v>
      </c>
      <c r="I90" s="26">
        <f ca="1"/>
        <v>1.133365111988879</v>
      </c>
      <c r="J90" s="26">
        <f ca="1"/>
        <v>1.4275488191467267</v>
      </c>
      <c r="K90" s="26">
        <f ca="1"/>
        <v>1.6647946856443938</v>
      </c>
      <c r="L90" s="26">
        <f ca="1"/>
        <v>1.8517305044931431</v>
      </c>
      <c r="M90" s="6"/>
      <c r="N90" s="59" t="s">
        <v>182</v>
      </c>
    </row>
    <row r="91" spans="1:14" x14ac:dyDescent="0.25">
      <c r="A91" t="str">
        <v>EE sea level</v>
      </c>
      <c r="C91" s="26">
        <f ca="1"/>
        <v>0.12491852658804273</v>
      </c>
      <c r="D91" s="26">
        <f ca="1"/>
        <v>0.16190506626647019</v>
      </c>
      <c r="E91" s="26">
        <f ca="1"/>
        <v>0.20851709016267878</v>
      </c>
      <c r="F91" s="26">
        <f ca="1"/>
        <v>0.26004219637784987</v>
      </c>
      <c r="G91" s="26">
        <f ca="1"/>
        <v>0.51899972942721484</v>
      </c>
      <c r="H91" s="26">
        <f ca="1"/>
        <v>0.75811725926100948</v>
      </c>
      <c r="I91" s="26">
        <f ca="1"/>
        <v>1.133365111988879</v>
      </c>
      <c r="J91" s="26">
        <f ca="1"/>
        <v>1.4275488191467267</v>
      </c>
      <c r="K91" s="26">
        <f ca="1"/>
        <v>1.6647946856443938</v>
      </c>
      <c r="L91" s="26">
        <f ca="1"/>
        <v>1.8517305044931431</v>
      </c>
      <c r="M91" s="6"/>
      <c r="N91" s="59" t="s">
        <v>182</v>
      </c>
    </row>
    <row r="92" spans="1:14" x14ac:dyDescent="0.25">
      <c r="A92" t="str">
        <v>CA sea level</v>
      </c>
      <c r="C92" s="26">
        <f ca="1"/>
        <v>0.17158519325470939</v>
      </c>
      <c r="D92" s="26">
        <f ca="1"/>
        <v>0.23190506626647017</v>
      </c>
      <c r="E92" s="26">
        <f ca="1"/>
        <v>0.3018504234960121</v>
      </c>
      <c r="F92" s="26">
        <f ca="1"/>
        <v>0.37670886304451656</v>
      </c>
      <c r="G92" s="26">
        <f ca="1"/>
        <v>0.56899972942721488</v>
      </c>
      <c r="H92" s="26">
        <f ca="1"/>
        <v>0.80811725926100952</v>
      </c>
      <c r="I92" s="26">
        <f ca="1"/>
        <v>1.1833651119888791</v>
      </c>
      <c r="J92" s="26">
        <f ca="1"/>
        <v>1.4775488191467268</v>
      </c>
      <c r="K92" s="26">
        <f ca="1"/>
        <v>1.7147946856443939</v>
      </c>
      <c r="L92" s="26">
        <f ca="1"/>
        <v>1.9017305044931432</v>
      </c>
      <c r="M92" s="6"/>
      <c r="N92" s="59" t="s">
        <v>182</v>
      </c>
    </row>
    <row r="93" spans="1:14" x14ac:dyDescent="0.25">
      <c r="A93" t="str">
        <v>IA sea level</v>
      </c>
      <c r="C93" s="26">
        <f ca="1"/>
        <v>0.17158519325470939</v>
      </c>
      <c r="D93" s="26">
        <f ca="1"/>
        <v>0.23190506626647017</v>
      </c>
      <c r="E93" s="26">
        <f ca="1"/>
        <v>0.3018504234960121</v>
      </c>
      <c r="F93" s="26">
        <f ca="1"/>
        <v>0.37670886304451656</v>
      </c>
      <c r="G93" s="26">
        <f ca="1"/>
        <v>0.56899972942721488</v>
      </c>
      <c r="H93" s="26">
        <f ca="1"/>
        <v>0.80811725926100952</v>
      </c>
      <c r="I93" s="26">
        <f ca="1"/>
        <v>1.1833651119888791</v>
      </c>
      <c r="J93" s="26">
        <f ca="1"/>
        <v>1.4775488191467268</v>
      </c>
      <c r="K93" s="26">
        <f ca="1"/>
        <v>1.7147946856443939</v>
      </c>
      <c r="L93" s="26">
        <f ca="1"/>
        <v>1.9017305044931432</v>
      </c>
      <c r="M93" s="6"/>
      <c r="N93" s="59" t="s">
        <v>182</v>
      </c>
    </row>
    <row r="94" spans="1:14" x14ac:dyDescent="0.25">
      <c r="A94" t="str">
        <v>AF sea level</v>
      </c>
      <c r="C94" s="26">
        <f ca="1"/>
        <v>0.17158519325470939</v>
      </c>
      <c r="D94" s="26">
        <f ca="1"/>
        <v>0.23190506626647017</v>
      </c>
      <c r="E94" s="26">
        <f ca="1"/>
        <v>0.3018504234960121</v>
      </c>
      <c r="F94" s="26">
        <f ca="1"/>
        <v>0.37670886304451656</v>
      </c>
      <c r="G94" s="26">
        <f ca="1"/>
        <v>0.56899972942721488</v>
      </c>
      <c r="H94" s="26">
        <f ca="1"/>
        <v>0.80811725926100952</v>
      </c>
      <c r="I94" s="26">
        <f ca="1"/>
        <v>1.1833651119888791</v>
      </c>
      <c r="J94" s="26">
        <f ca="1"/>
        <v>1.4775488191467268</v>
      </c>
      <c r="K94" s="26">
        <f ca="1"/>
        <v>1.7147946856443939</v>
      </c>
      <c r="L94" s="26">
        <f ca="1"/>
        <v>1.9017305044931432</v>
      </c>
      <c r="M94" s="6"/>
      <c r="N94" s="59" t="s">
        <v>182</v>
      </c>
    </row>
    <row r="95" spans="1:14" x14ac:dyDescent="0.25">
      <c r="A95" t="str">
        <v>LA sea level</v>
      </c>
      <c r="C95" s="26">
        <f ca="1"/>
        <v>0.17158519325470939</v>
      </c>
      <c r="D95" s="26">
        <f ca="1"/>
        <v>0.23190506626647017</v>
      </c>
      <c r="E95" s="26">
        <f ca="1"/>
        <v>0.3018504234960121</v>
      </c>
      <c r="F95" s="26">
        <f ca="1"/>
        <v>0.37670886304451656</v>
      </c>
      <c r="G95" s="26">
        <f ca="1"/>
        <v>0.56899972942721488</v>
      </c>
      <c r="H95" s="26">
        <f ca="1"/>
        <v>0.80811725926100952</v>
      </c>
      <c r="I95" s="26">
        <f ca="1"/>
        <v>1.1833651119888791</v>
      </c>
      <c r="J95" s="26">
        <f ca="1"/>
        <v>1.4775488191467268</v>
      </c>
      <c r="K95" s="26">
        <f ca="1"/>
        <v>1.7147946856443939</v>
      </c>
      <c r="L95" s="26">
        <f ca="1"/>
        <v>1.9017305044931432</v>
      </c>
      <c r="M95" s="6"/>
      <c r="N95" s="59" t="s">
        <v>182</v>
      </c>
    </row>
    <row r="96" spans="1:14" ht="15" x14ac:dyDescent="0.4">
      <c r="A96" s="2" t="s">
        <v>968</v>
      </c>
      <c r="C96" s="2" t="s">
        <v>711</v>
      </c>
      <c r="D96" s="6"/>
      <c r="E96" s="6"/>
      <c r="F96" s="6"/>
      <c r="G96" s="6"/>
      <c r="H96" s="6"/>
      <c r="I96" s="6"/>
      <c r="J96" s="6"/>
      <c r="K96" s="6"/>
      <c r="L96" s="6"/>
      <c r="M96" s="6"/>
      <c r="N96" s="59"/>
    </row>
    <row r="97" spans="1:20" ht="13" x14ac:dyDescent="0.3">
      <c r="A97" t="str">
        <f t="array" ref="A97:A104">R_CODE&amp;" "&amp;I_1_NAME</f>
        <v>EU Economic</v>
      </c>
      <c r="C97" s="108">
        <f t="array" ref="C97:L104" ca="1" xml:space="preserve"> ((rtl_b-RTL_0)-atl_1_b)+RTL_ABS_0</f>
        <v>10.802220291779365</v>
      </c>
      <c r="D97" s="108">
        <f ca="1"/>
        <v>11.332010179174729</v>
      </c>
      <c r="E97" s="108">
        <f ca="1"/>
        <v>11.671513236490966</v>
      </c>
      <c r="F97" s="108">
        <f ca="1"/>
        <v>11.883059199710575</v>
      </c>
      <c r="G97" s="108">
        <f ca="1"/>
        <v>12.074185584099766</v>
      </c>
      <c r="H97" s="108">
        <f ca="1"/>
        <v>12.032129637717309</v>
      </c>
      <c r="I97" s="108">
        <f ca="1"/>
        <v>11.676686268263737</v>
      </c>
      <c r="J97" s="108">
        <f ca="1"/>
        <v>11.462759000295394</v>
      </c>
      <c r="K97" s="108">
        <f ca="1"/>
        <v>11.334933657635425</v>
      </c>
      <c r="L97" s="108">
        <f ca="1"/>
        <v>11.205360214752146</v>
      </c>
      <c r="M97" s="6"/>
      <c r="N97" s="59" t="s">
        <v>43</v>
      </c>
      <c r="O97" s="3" t="s">
        <v>713</v>
      </c>
      <c r="T97" s="124" t="s">
        <v>822</v>
      </c>
    </row>
    <row r="98" spans="1:20" ht="13" x14ac:dyDescent="0.3">
      <c r="A98" t="str">
        <v>US Economic</v>
      </c>
      <c r="C98" s="108">
        <f ca="1"/>
        <v>14.146121325805806</v>
      </c>
      <c r="D98" s="108">
        <f ca="1"/>
        <v>14.705112230616663</v>
      </c>
      <c r="E98" s="108">
        <f ca="1"/>
        <v>15.06332805487159</v>
      </c>
      <c r="F98" s="108">
        <f ca="1"/>
        <v>15.286534031811964</v>
      </c>
      <c r="G98" s="108">
        <f ca="1"/>
        <v>15.488194941324968</v>
      </c>
      <c r="H98" s="108">
        <f ca="1"/>
        <v>15.443820950653716</v>
      </c>
      <c r="I98" s="108">
        <f ca="1"/>
        <v>15.068786214379868</v>
      </c>
      <c r="J98" s="108">
        <f ca="1"/>
        <v>14.843067679673112</v>
      </c>
      <c r="K98" s="108">
        <f ca="1"/>
        <v>14.708196845685428</v>
      </c>
      <c r="L98" s="108">
        <f ca="1"/>
        <v>14.571481559493623</v>
      </c>
      <c r="M98" s="6"/>
      <c r="N98" s="59" t="s">
        <v>43</v>
      </c>
      <c r="O98" s="3" t="s">
        <v>713</v>
      </c>
      <c r="T98" s="124" t="s">
        <v>957</v>
      </c>
    </row>
    <row r="99" spans="1:20" ht="13" x14ac:dyDescent="0.3">
      <c r="A99" t="str">
        <v>OT Economic</v>
      </c>
      <c r="C99" s="108">
        <f ca="1"/>
        <v>12.716601458233729</v>
      </c>
      <c r="D99" s="108">
        <f ca="1"/>
        <v>13.225533476046598</v>
      </c>
      <c r="E99" s="108">
        <f ca="1"/>
        <v>13.55167027126377</v>
      </c>
      <c r="F99" s="108">
        <f ca="1"/>
        <v>13.754887653254261</v>
      </c>
      <c r="G99" s="108">
        <f ca="1"/>
        <v>13.938489376840726</v>
      </c>
      <c r="H99" s="108">
        <f ca="1"/>
        <v>13.898089176378839</v>
      </c>
      <c r="I99" s="108">
        <f ca="1"/>
        <v>13.556639640368322</v>
      </c>
      <c r="J99" s="108">
        <f ca="1"/>
        <v>13.35113470578456</v>
      </c>
      <c r="K99" s="108">
        <f ca="1"/>
        <v>13.228341856930101</v>
      </c>
      <c r="L99" s="108">
        <f ca="1"/>
        <v>13.10386973069577</v>
      </c>
      <c r="M99" s="6"/>
      <c r="N99" s="59" t="s">
        <v>43</v>
      </c>
      <c r="O99" s="3" t="s">
        <v>713</v>
      </c>
      <c r="T99" s="124" t="s">
        <v>893</v>
      </c>
    </row>
    <row r="100" spans="1:20" x14ac:dyDescent="0.25">
      <c r="A100" t="str">
        <v>EE Economic</v>
      </c>
      <c r="C100" s="108">
        <f ca="1"/>
        <v>7.9967031536640709</v>
      </c>
      <c r="D100" s="108">
        <f ca="1"/>
        <v>8.6850128498863928</v>
      </c>
      <c r="E100" s="108">
        <f ca="1"/>
        <v>9.1260994991555204</v>
      </c>
      <c r="F100" s="108">
        <f ca="1"/>
        <v>9.4009426797164295</v>
      </c>
      <c r="G100" s="108">
        <f ca="1"/>
        <v>9.6492564862063226</v>
      </c>
      <c r="H100" s="108">
        <f ca="1"/>
        <v>9.5946168708275401</v>
      </c>
      <c r="I100" s="108">
        <f ca="1"/>
        <v>9.132820367206758</v>
      </c>
      <c r="J100" s="108">
        <f ca="1"/>
        <v>8.8548833655156027</v>
      </c>
      <c r="K100" s="108">
        <f ca="1"/>
        <v>8.6888110699337542</v>
      </c>
      <c r="L100" s="108">
        <f ca="1"/>
        <v>8.5204676205184704</v>
      </c>
      <c r="M100" s="6"/>
      <c r="N100" s="59" t="s">
        <v>43</v>
      </c>
      <c r="O100" s="3" t="s">
        <v>713</v>
      </c>
    </row>
    <row r="101" spans="1:20" x14ac:dyDescent="0.25">
      <c r="A101" t="str">
        <v>CA Economic</v>
      </c>
      <c r="C101" s="108">
        <f ca="1"/>
        <v>15.639432477458731</v>
      </c>
      <c r="D101" s="108">
        <f ca="1"/>
        <v>16.127506625689104</v>
      </c>
      <c r="E101" s="108">
        <f ca="1"/>
        <v>16.440277158807213</v>
      </c>
      <c r="F101" s="108">
        <f ca="1"/>
        <v>16.635165959568585</v>
      </c>
      <c r="G101" s="108">
        <f ca="1"/>
        <v>16.811243022352329</v>
      </c>
      <c r="H101" s="108">
        <f ca="1"/>
        <v>16.772498567811009</v>
      </c>
      <c r="I101" s="108">
        <f ca="1"/>
        <v>16.445042865243547</v>
      </c>
      <c r="J101" s="108">
        <f ca="1"/>
        <v>16.247960264044362</v>
      </c>
      <c r="K101" s="108">
        <f ca="1"/>
        <v>16.130199908995415</v>
      </c>
      <c r="L101" s="108">
        <f ca="1"/>
        <v>16.010829099410035</v>
      </c>
      <c r="M101" s="6"/>
      <c r="N101" s="59" t="s">
        <v>43</v>
      </c>
      <c r="O101" s="3" t="s">
        <v>713</v>
      </c>
    </row>
    <row r="102" spans="1:20" x14ac:dyDescent="0.25">
      <c r="A102" t="str">
        <v>IA Economic</v>
      </c>
      <c r="C102" s="108">
        <f ca="1"/>
        <v>25.490782071565032</v>
      </c>
      <c r="D102" s="108">
        <f ca="1"/>
        <v>25.912111037131424</v>
      </c>
      <c r="E102" s="108">
        <f ca="1"/>
        <v>26.182109531532525</v>
      </c>
      <c r="F102" s="108">
        <f ca="1"/>
        <v>26.350346872360721</v>
      </c>
      <c r="G102" s="108">
        <f ca="1"/>
        <v>26.502345020575746</v>
      </c>
      <c r="H102" s="108">
        <f ca="1"/>
        <v>26.468898952980247</v>
      </c>
      <c r="I102" s="108">
        <f ca="1"/>
        <v>26.186223517430559</v>
      </c>
      <c r="J102" s="108">
        <f ca="1"/>
        <v>26.016092383062034</v>
      </c>
      <c r="K102" s="108">
        <f ca="1"/>
        <v>25.914436008190719</v>
      </c>
      <c r="L102" s="108">
        <f ca="1"/>
        <v>25.811389411881969</v>
      </c>
      <c r="M102" s="6"/>
      <c r="N102" s="59" t="s">
        <v>43</v>
      </c>
      <c r="O102" s="3" t="s">
        <v>713</v>
      </c>
    </row>
    <row r="103" spans="1:20" x14ac:dyDescent="0.25">
      <c r="A103" t="str">
        <v>AF Economic</v>
      </c>
      <c r="C103" s="108">
        <f ca="1"/>
        <v>22.54014415929014</v>
      </c>
      <c r="D103" s="108">
        <f ca="1"/>
        <v>23.044904603186509</v>
      </c>
      <c r="E103" s="108">
        <f ca="1"/>
        <v>23.368368145983869</v>
      </c>
      <c r="F103" s="108">
        <f ca="1"/>
        <v>23.569919811728536</v>
      </c>
      <c r="G103" s="108">
        <f ca="1"/>
        <v>23.752016603154459</v>
      </c>
      <c r="H103" s="108">
        <f ca="1"/>
        <v>23.711947551876683</v>
      </c>
      <c r="I103" s="108">
        <f ca="1"/>
        <v>23.373296782554778</v>
      </c>
      <c r="J103" s="108">
        <f ca="1"/>
        <v>23.16947631464793</v>
      </c>
      <c r="K103" s="108">
        <f ca="1"/>
        <v>23.047689964554575</v>
      </c>
      <c r="L103" s="108">
        <f ca="1"/>
        <v>22.924238101650033</v>
      </c>
      <c r="M103" s="6"/>
      <c r="N103" s="59" t="s">
        <v>43</v>
      </c>
      <c r="O103" s="3" t="s">
        <v>713</v>
      </c>
    </row>
    <row r="104" spans="1:20" x14ac:dyDescent="0.25">
      <c r="A104" t="str">
        <v>LA Economic</v>
      </c>
      <c r="C104" s="108">
        <f ca="1"/>
        <v>21.677265566723303</v>
      </c>
      <c r="D104" s="108">
        <f ca="1"/>
        <v>22.111109254039192</v>
      </c>
      <c r="E104" s="108">
        <f ca="1"/>
        <v>22.389127505699733</v>
      </c>
      <c r="F104" s="108">
        <f ca="1"/>
        <v>22.562361995265398</v>
      </c>
      <c r="G104" s="108">
        <f ca="1"/>
        <v>22.718874939962056</v>
      </c>
      <c r="H104" s="108">
        <f ca="1"/>
        <v>22.684435424814218</v>
      </c>
      <c r="I104" s="108">
        <f ca="1"/>
        <v>22.393363689198697</v>
      </c>
      <c r="J104" s="108">
        <f ca="1"/>
        <v>22.218179154799422</v>
      </c>
      <c r="K104" s="108">
        <f ca="1"/>
        <v>22.113503283644803</v>
      </c>
      <c r="L104" s="108">
        <f ca="1"/>
        <v>22.007395897346683</v>
      </c>
      <c r="M104" s="6"/>
      <c r="N104" s="59" t="s">
        <v>43</v>
      </c>
      <c r="O104" s="3" t="s">
        <v>713</v>
      </c>
    </row>
    <row r="105" spans="1:20" s="2" customFormat="1" ht="15" x14ac:dyDescent="0.4">
      <c r="A105" s="2" t="s">
        <v>969</v>
      </c>
      <c r="C105" s="2" t="s">
        <v>710</v>
      </c>
    </row>
    <row r="106" spans="1:20" x14ac:dyDescent="0.25">
      <c r="A106" t="str">
        <f t="array" ref="A106:A113">R_CODE&amp;" "&amp;I_1_NAME</f>
        <v>EU Economic</v>
      </c>
      <c r="C106" s="29">
        <f t="array" ref="C106:L113" ca="1">IF((rtl_b-atl_1_b)&lt;0,0,rtl_b-atl_1_b)</f>
        <v>1.3944652816092438</v>
      </c>
      <c r="D106" s="29">
        <f ca="1"/>
        <v>1.924255169004607</v>
      </c>
      <c r="E106" s="29">
        <f ca="1"/>
        <v>2.2637582263208444</v>
      </c>
      <c r="F106" s="29">
        <f ca="1"/>
        <v>2.4753041895404535</v>
      </c>
      <c r="G106" s="29">
        <f ca="1"/>
        <v>2.6664305739296439</v>
      </c>
      <c r="H106" s="29">
        <f ca="1"/>
        <v>2.6243746275471875</v>
      </c>
      <c r="I106" s="29">
        <f ca="1"/>
        <v>2.2689312580936156</v>
      </c>
      <c r="J106" s="29">
        <f ca="1"/>
        <v>2.0550039901252721</v>
      </c>
      <c r="K106" s="29">
        <f ca="1"/>
        <v>1.9271786474653037</v>
      </c>
      <c r="L106" s="29">
        <f ca="1"/>
        <v>1.7976052045820248</v>
      </c>
      <c r="M106" s="6"/>
      <c r="N106" s="59" t="s">
        <v>43</v>
      </c>
    </row>
    <row r="107" spans="1:20" x14ac:dyDescent="0.25">
      <c r="A107" t="str">
        <v>US Economic</v>
      </c>
      <c r="C107" s="26">
        <f ca="1"/>
        <v>1.4713255727215642</v>
      </c>
      <c r="D107" s="26">
        <f ca="1"/>
        <v>2.0303164775324198</v>
      </c>
      <c r="E107" s="26">
        <f ca="1"/>
        <v>2.3885323017873477</v>
      </c>
      <c r="F107" s="26">
        <f ca="1"/>
        <v>2.6117382787277226</v>
      </c>
      <c r="G107" s="26">
        <f ca="1"/>
        <v>2.8133991882407261</v>
      </c>
      <c r="H107" s="26">
        <f ca="1"/>
        <v>2.7690251975694733</v>
      </c>
      <c r="I107" s="26">
        <f ca="1"/>
        <v>2.3939904612956258</v>
      </c>
      <c r="J107" s="26">
        <f ca="1"/>
        <v>2.1682719265888699</v>
      </c>
      <c r="K107" s="26">
        <f ca="1"/>
        <v>2.0334010926011863</v>
      </c>
      <c r="L107" s="26">
        <f ca="1"/>
        <v>1.8966858064093803</v>
      </c>
      <c r="M107" s="6"/>
      <c r="N107" s="59" t="s">
        <v>43</v>
      </c>
    </row>
    <row r="108" spans="1:20" x14ac:dyDescent="0.25">
      <c r="A108" t="str">
        <v>OT Economic</v>
      </c>
      <c r="C108" s="26">
        <f ca="1"/>
        <v>1.3395650736718716</v>
      </c>
      <c r="D108" s="26">
        <f ca="1"/>
        <v>1.8484970914847403</v>
      </c>
      <c r="E108" s="26">
        <f ca="1"/>
        <v>2.1746338867019133</v>
      </c>
      <c r="F108" s="26">
        <f ca="1"/>
        <v>2.377851268692404</v>
      </c>
      <c r="G108" s="26">
        <f ca="1"/>
        <v>2.5614529922788698</v>
      </c>
      <c r="H108" s="26">
        <f ca="1"/>
        <v>2.5210527918169827</v>
      </c>
      <c r="I108" s="26">
        <f ca="1"/>
        <v>2.1796032558064651</v>
      </c>
      <c r="J108" s="26">
        <f ca="1"/>
        <v>1.9740983212227021</v>
      </c>
      <c r="K108" s="26">
        <f ca="1"/>
        <v>1.8513054723682441</v>
      </c>
      <c r="L108" s="26">
        <f ca="1"/>
        <v>1.7268333461339134</v>
      </c>
      <c r="M108" s="6"/>
      <c r="N108" s="59" t="s">
        <v>43</v>
      </c>
    </row>
    <row r="109" spans="1:20" x14ac:dyDescent="0.25">
      <c r="A109" t="str">
        <v>EE Economic</v>
      </c>
      <c r="C109" s="26">
        <f ca="1"/>
        <v>1.8117068619332688</v>
      </c>
      <c r="D109" s="26">
        <f ca="1"/>
        <v>2.5000165581555911</v>
      </c>
      <c r="E109" s="26">
        <f ca="1"/>
        <v>2.9411032074247183</v>
      </c>
      <c r="F109" s="26">
        <f ca="1"/>
        <v>3.2159463879856278</v>
      </c>
      <c r="G109" s="26">
        <f ca="1"/>
        <v>3.46426019447552</v>
      </c>
      <c r="H109" s="26">
        <f ca="1"/>
        <v>3.4096205790967384</v>
      </c>
      <c r="I109" s="26">
        <f ca="1"/>
        <v>2.9478240754759564</v>
      </c>
      <c r="J109" s="26">
        <f ca="1"/>
        <v>2.6698870737848015</v>
      </c>
      <c r="K109" s="26">
        <f ca="1"/>
        <v>2.5038147782029525</v>
      </c>
      <c r="L109" s="26">
        <f ca="1"/>
        <v>2.3354713287876692</v>
      </c>
      <c r="M109" s="6"/>
      <c r="N109" s="59" t="s">
        <v>43</v>
      </c>
    </row>
    <row r="110" spans="1:20" x14ac:dyDescent="0.25">
      <c r="A110" t="str">
        <v>CA Economic</v>
      </c>
      <c r="C110" s="26">
        <f ca="1"/>
        <v>1.2846648657344999</v>
      </c>
      <c r="D110" s="26">
        <f ca="1"/>
        <v>1.7727390139648738</v>
      </c>
      <c r="E110" s="26">
        <f ca="1"/>
        <v>2.0855095470829821</v>
      </c>
      <c r="F110" s="26">
        <f ca="1"/>
        <v>2.2803983478443546</v>
      </c>
      <c r="G110" s="26">
        <f ca="1"/>
        <v>2.4564754106280962</v>
      </c>
      <c r="H110" s="26">
        <f ca="1"/>
        <v>2.4177309560867783</v>
      </c>
      <c r="I110" s="26">
        <f ca="1"/>
        <v>2.090275253519315</v>
      </c>
      <c r="J110" s="26">
        <f ca="1"/>
        <v>1.8931926523201323</v>
      </c>
      <c r="K110" s="26">
        <f ca="1"/>
        <v>1.7754322972711849</v>
      </c>
      <c r="L110" s="26">
        <f ca="1"/>
        <v>1.656061487685802</v>
      </c>
      <c r="M110" s="6"/>
      <c r="N110" s="59" t="s">
        <v>43</v>
      </c>
    </row>
    <row r="111" spans="1:20" x14ac:dyDescent="0.25">
      <c r="A111" t="str">
        <v>IA Economic</v>
      </c>
      <c r="C111" s="26">
        <f ca="1"/>
        <v>1.1089842003349102</v>
      </c>
      <c r="D111" s="26">
        <f ca="1"/>
        <v>1.5303131659013014</v>
      </c>
      <c r="E111" s="26">
        <f ca="1"/>
        <v>1.8003116603024036</v>
      </c>
      <c r="F111" s="26">
        <f ca="1"/>
        <v>1.9685490011305966</v>
      </c>
      <c r="G111" s="26">
        <f ca="1"/>
        <v>2.1205471493456218</v>
      </c>
      <c r="H111" s="26">
        <f ca="1"/>
        <v>2.087101081750125</v>
      </c>
      <c r="I111" s="26">
        <f ca="1"/>
        <v>1.8044256462004342</v>
      </c>
      <c r="J111" s="26">
        <f ca="1"/>
        <v>1.6342945118319092</v>
      </c>
      <c r="K111" s="26">
        <f ca="1"/>
        <v>1.5326381369605955</v>
      </c>
      <c r="L111" s="26">
        <f ca="1"/>
        <v>1.4295915406518462</v>
      </c>
      <c r="M111" s="6"/>
      <c r="N111" s="59" t="s">
        <v>43</v>
      </c>
    </row>
    <row r="112" spans="1:20" x14ac:dyDescent="0.25">
      <c r="A112" t="str">
        <v>AF Economic</v>
      </c>
      <c r="C112" s="26">
        <f ca="1"/>
        <v>1.3285850320843973</v>
      </c>
      <c r="D112" s="26">
        <f ca="1"/>
        <v>1.833345475980767</v>
      </c>
      <c r="E112" s="26">
        <f ca="1"/>
        <v>2.156809018778127</v>
      </c>
      <c r="F112" s="26">
        <f ca="1"/>
        <v>2.3583606845227938</v>
      </c>
      <c r="G112" s="26">
        <f ca="1"/>
        <v>2.5404574759487151</v>
      </c>
      <c r="H112" s="26">
        <f ca="1"/>
        <v>2.500388424670942</v>
      </c>
      <c r="I112" s="26">
        <f ca="1"/>
        <v>2.1617376553490351</v>
      </c>
      <c r="J112" s="26">
        <f ca="1"/>
        <v>1.9579171874421881</v>
      </c>
      <c r="K112" s="26">
        <f ca="1"/>
        <v>1.8361308373488323</v>
      </c>
      <c r="L112" s="26">
        <f ca="1"/>
        <v>1.712678974444291</v>
      </c>
      <c r="M112" s="6"/>
      <c r="N112" s="59" t="s">
        <v>43</v>
      </c>
    </row>
    <row r="113" spans="1:14" x14ac:dyDescent="0.25">
      <c r="A113" t="str">
        <v>LA Economic</v>
      </c>
      <c r="C113" s="26">
        <f ca="1"/>
        <v>1.1419243250973332</v>
      </c>
      <c r="D113" s="26">
        <f ca="1"/>
        <v>1.5757680124132214</v>
      </c>
      <c r="E113" s="26">
        <f ca="1"/>
        <v>1.8537862640737621</v>
      </c>
      <c r="F113" s="26">
        <f ca="1"/>
        <v>2.0270207536394262</v>
      </c>
      <c r="G113" s="26">
        <f ca="1"/>
        <v>2.183533698336086</v>
      </c>
      <c r="H113" s="26">
        <f ca="1"/>
        <v>2.1490941831882475</v>
      </c>
      <c r="I113" s="26">
        <f ca="1"/>
        <v>1.8580224475727245</v>
      </c>
      <c r="J113" s="26">
        <f ca="1"/>
        <v>1.682837913173451</v>
      </c>
      <c r="K113" s="26">
        <f ca="1"/>
        <v>1.5781620420188311</v>
      </c>
      <c r="L113" s="26">
        <f ca="1"/>
        <v>1.472054655720713</v>
      </c>
      <c r="M113" s="6"/>
      <c r="N113" s="59" t="s">
        <v>43</v>
      </c>
    </row>
    <row r="114" spans="1:14" s="2" customFormat="1" ht="15" x14ac:dyDescent="0.4">
      <c r="A114" s="2" t="s">
        <v>970</v>
      </c>
      <c r="C114" s="2" t="s">
        <v>82</v>
      </c>
    </row>
    <row r="115" spans="1:14" x14ac:dyDescent="0.25">
      <c r="A115" t="str">
        <f t="array" ref="A115:A122">R_CODE&amp;" "&amp;I_2_NAME</f>
        <v>EU Non-econ</v>
      </c>
      <c r="C115" s="29">
        <f t="array" ref="C115:L122" ca="1">IF((rtl_b-atl_2_b)&lt;0,0,rtl_b-atl_2_b)</f>
        <v>1.3944652816092438</v>
      </c>
      <c r="D115" s="29">
        <f ca="1"/>
        <v>1.924255169004607</v>
      </c>
      <c r="E115" s="29">
        <f ca="1"/>
        <v>2.2637582263208444</v>
      </c>
      <c r="F115" s="29">
        <f ca="1"/>
        <v>2.4753041895404535</v>
      </c>
      <c r="G115" s="29">
        <f ca="1"/>
        <v>2.6664305739296439</v>
      </c>
      <c r="H115" s="29">
        <f ca="1"/>
        <v>2.6243746275471875</v>
      </c>
      <c r="I115" s="29">
        <f ca="1"/>
        <v>2.2689312580936156</v>
      </c>
      <c r="J115" s="29">
        <f ca="1"/>
        <v>2.0550039901252721</v>
      </c>
      <c r="K115" s="29">
        <f ca="1"/>
        <v>1.9271786474653037</v>
      </c>
      <c r="L115" s="29">
        <f ca="1"/>
        <v>1.7976052045820248</v>
      </c>
      <c r="M115" s="6"/>
      <c r="N115" s="59" t="s">
        <v>43</v>
      </c>
    </row>
    <row r="116" spans="1:14" x14ac:dyDescent="0.25">
      <c r="A116" t="str">
        <v>US Non-econ</v>
      </c>
      <c r="C116" s="26">
        <f ca="1"/>
        <v>1.4713255727215642</v>
      </c>
      <c r="D116" s="26">
        <f ca="1"/>
        <v>2.0303164775324198</v>
      </c>
      <c r="E116" s="26">
        <f ca="1"/>
        <v>2.3885323017873477</v>
      </c>
      <c r="F116" s="26">
        <f ca="1"/>
        <v>2.6117382787277226</v>
      </c>
      <c r="G116" s="26">
        <f ca="1"/>
        <v>2.8133991882407261</v>
      </c>
      <c r="H116" s="26">
        <f ca="1"/>
        <v>2.7690251975694733</v>
      </c>
      <c r="I116" s="26">
        <f ca="1"/>
        <v>2.3939904612956258</v>
      </c>
      <c r="J116" s="26">
        <f ca="1"/>
        <v>2.1682719265888699</v>
      </c>
      <c r="K116" s="26">
        <f ca="1"/>
        <v>2.0334010926011863</v>
      </c>
      <c r="L116" s="26">
        <f ca="1"/>
        <v>1.8966858064093803</v>
      </c>
      <c r="M116" s="6"/>
      <c r="N116" s="59" t="s">
        <v>43</v>
      </c>
    </row>
    <row r="117" spans="1:14" x14ac:dyDescent="0.25">
      <c r="A117" t="str">
        <v>OT Non-econ</v>
      </c>
      <c r="C117" s="26">
        <f ca="1"/>
        <v>1.3395650736718716</v>
      </c>
      <c r="D117" s="26">
        <f ca="1"/>
        <v>1.8484970914847403</v>
      </c>
      <c r="E117" s="26">
        <f ca="1"/>
        <v>2.1746338867019133</v>
      </c>
      <c r="F117" s="26">
        <f ca="1"/>
        <v>2.377851268692404</v>
      </c>
      <c r="G117" s="26">
        <f ca="1"/>
        <v>2.5614529922788698</v>
      </c>
      <c r="H117" s="26">
        <f ca="1"/>
        <v>2.5210527918169827</v>
      </c>
      <c r="I117" s="26">
        <f ca="1"/>
        <v>2.1796032558064651</v>
      </c>
      <c r="J117" s="26">
        <f ca="1"/>
        <v>1.9740983212227021</v>
      </c>
      <c r="K117" s="26">
        <f ca="1"/>
        <v>1.8513054723682441</v>
      </c>
      <c r="L117" s="26">
        <f ca="1"/>
        <v>1.7268333461339134</v>
      </c>
      <c r="M117" s="6"/>
      <c r="N117" s="59" t="s">
        <v>43</v>
      </c>
    </row>
    <row r="118" spans="1:14" x14ac:dyDescent="0.25">
      <c r="A118" t="str">
        <v>EE Non-econ</v>
      </c>
      <c r="C118" s="26">
        <f ca="1"/>
        <v>1.8117068619332688</v>
      </c>
      <c r="D118" s="26">
        <f ca="1"/>
        <v>2.5000165581555911</v>
      </c>
      <c r="E118" s="26">
        <f ca="1"/>
        <v>2.9411032074247183</v>
      </c>
      <c r="F118" s="26">
        <f ca="1"/>
        <v>3.2159463879856278</v>
      </c>
      <c r="G118" s="26">
        <f ca="1"/>
        <v>3.46426019447552</v>
      </c>
      <c r="H118" s="26">
        <f ca="1"/>
        <v>3.4096205790967384</v>
      </c>
      <c r="I118" s="26">
        <f ca="1"/>
        <v>2.9478240754759564</v>
      </c>
      <c r="J118" s="26">
        <f ca="1"/>
        <v>2.6698870737848015</v>
      </c>
      <c r="K118" s="26">
        <f ca="1"/>
        <v>2.5038147782029525</v>
      </c>
      <c r="L118" s="26">
        <f ca="1"/>
        <v>2.3354713287876692</v>
      </c>
      <c r="M118" s="6"/>
      <c r="N118" s="59" t="s">
        <v>43</v>
      </c>
    </row>
    <row r="119" spans="1:14" x14ac:dyDescent="0.25">
      <c r="A119" t="str">
        <v>CA Non-econ</v>
      </c>
      <c r="C119" s="26">
        <f ca="1"/>
        <v>1.2846648657344999</v>
      </c>
      <c r="D119" s="26">
        <f ca="1"/>
        <v>1.7727390139648738</v>
      </c>
      <c r="E119" s="26">
        <f ca="1"/>
        <v>2.0855095470829821</v>
      </c>
      <c r="F119" s="26">
        <f ca="1"/>
        <v>2.2803983478443546</v>
      </c>
      <c r="G119" s="26">
        <f ca="1"/>
        <v>2.4564754106280962</v>
      </c>
      <c r="H119" s="26">
        <f ca="1"/>
        <v>2.4177309560867783</v>
      </c>
      <c r="I119" s="26">
        <f ca="1"/>
        <v>2.090275253519315</v>
      </c>
      <c r="J119" s="26">
        <f ca="1"/>
        <v>1.8931926523201323</v>
      </c>
      <c r="K119" s="26">
        <f ca="1"/>
        <v>1.7754322972711849</v>
      </c>
      <c r="L119" s="26">
        <f ca="1"/>
        <v>1.656061487685802</v>
      </c>
      <c r="M119" s="6"/>
      <c r="N119" s="59" t="s">
        <v>43</v>
      </c>
    </row>
    <row r="120" spans="1:14" x14ac:dyDescent="0.25">
      <c r="A120" t="str">
        <v>IA Non-econ</v>
      </c>
      <c r="C120" s="26">
        <f ca="1"/>
        <v>1.1089842003349102</v>
      </c>
      <c r="D120" s="26">
        <f ca="1"/>
        <v>1.5303131659013014</v>
      </c>
      <c r="E120" s="26">
        <f ca="1"/>
        <v>1.8003116603024036</v>
      </c>
      <c r="F120" s="26">
        <f ca="1"/>
        <v>1.9685490011305966</v>
      </c>
      <c r="G120" s="26">
        <f ca="1"/>
        <v>2.1205471493456218</v>
      </c>
      <c r="H120" s="26">
        <f ca="1"/>
        <v>2.087101081750125</v>
      </c>
      <c r="I120" s="26">
        <f ca="1"/>
        <v>1.8044256462004342</v>
      </c>
      <c r="J120" s="26">
        <f ca="1"/>
        <v>1.6342945118319092</v>
      </c>
      <c r="K120" s="26">
        <f ca="1"/>
        <v>1.5326381369605955</v>
      </c>
      <c r="L120" s="26">
        <f ca="1"/>
        <v>1.4295915406518462</v>
      </c>
      <c r="M120" s="6"/>
      <c r="N120" s="59" t="s">
        <v>43</v>
      </c>
    </row>
    <row r="121" spans="1:14" x14ac:dyDescent="0.25">
      <c r="A121" t="str">
        <v>AF Non-econ</v>
      </c>
      <c r="C121" s="26">
        <f ca="1"/>
        <v>1.3285850320843973</v>
      </c>
      <c r="D121" s="26">
        <f ca="1"/>
        <v>1.833345475980767</v>
      </c>
      <c r="E121" s="26">
        <f ca="1"/>
        <v>2.156809018778127</v>
      </c>
      <c r="F121" s="26">
        <f ca="1"/>
        <v>2.3583606845227938</v>
      </c>
      <c r="G121" s="26">
        <f ca="1"/>
        <v>2.5404574759487151</v>
      </c>
      <c r="H121" s="26">
        <f ca="1"/>
        <v>2.500388424670942</v>
      </c>
      <c r="I121" s="26">
        <f ca="1"/>
        <v>2.1617376553490351</v>
      </c>
      <c r="J121" s="26">
        <f ca="1"/>
        <v>1.9579171874421881</v>
      </c>
      <c r="K121" s="26">
        <f ca="1"/>
        <v>1.8361308373488323</v>
      </c>
      <c r="L121" s="26">
        <f ca="1"/>
        <v>1.712678974444291</v>
      </c>
      <c r="M121" s="6"/>
      <c r="N121" s="59" t="s">
        <v>43</v>
      </c>
    </row>
    <row r="122" spans="1:14" x14ac:dyDescent="0.25">
      <c r="A122" t="str">
        <v>LA Non-econ</v>
      </c>
      <c r="C122" s="26">
        <f ca="1"/>
        <v>1.1419243250973332</v>
      </c>
      <c r="D122" s="26">
        <f ca="1"/>
        <v>1.5757680124132214</v>
      </c>
      <c r="E122" s="26">
        <f ca="1"/>
        <v>1.8537862640737621</v>
      </c>
      <c r="F122" s="26">
        <f ca="1"/>
        <v>2.0270207536394262</v>
      </c>
      <c r="G122" s="26">
        <f ca="1"/>
        <v>2.183533698336086</v>
      </c>
      <c r="H122" s="26">
        <f ca="1"/>
        <v>2.1490941831882475</v>
      </c>
      <c r="I122" s="26">
        <f ca="1"/>
        <v>1.8580224475727245</v>
      </c>
      <c r="J122" s="26">
        <f ca="1"/>
        <v>1.682837913173451</v>
      </c>
      <c r="K122" s="26">
        <f ca="1"/>
        <v>1.5781620420188311</v>
      </c>
      <c r="L122" s="26">
        <f ca="1"/>
        <v>1.472054655720713</v>
      </c>
      <c r="M122" s="6"/>
      <c r="N122" s="59" t="s">
        <v>43</v>
      </c>
    </row>
    <row r="123" spans="1:14" s="2" customFormat="1" ht="15" x14ac:dyDescent="0.4">
      <c r="A123" s="2" t="s">
        <v>971</v>
      </c>
      <c r="C123" s="2" t="s">
        <v>135</v>
      </c>
    </row>
    <row r="124" spans="1:14" x14ac:dyDescent="0.25">
      <c r="A124" t="s">
        <v>136</v>
      </c>
      <c r="C124" s="26">
        <f t="array" ref="C124:L124" ca="1">rt_g_b - TDIS</f>
        <v>-0.40199584125256416</v>
      </c>
      <c r="D124" s="26">
        <f ca="1"/>
        <v>1.5161550397328138E-2</v>
      </c>
      <c r="E124" s="26">
        <f ca="1"/>
        <v>0.2824867923786174</v>
      </c>
      <c r="F124" s="26">
        <f ca="1"/>
        <v>0.44905841696098681</v>
      </c>
      <c r="G124" s="26">
        <f ca="1"/>
        <v>0.5995516330154671</v>
      </c>
      <c r="H124" s="26">
        <f ca="1"/>
        <v>0.56643671460408429</v>
      </c>
      <c r="I124" s="26">
        <f ca="1"/>
        <v>0.2865600457430042</v>
      </c>
      <c r="J124" s="26">
        <f ca="1"/>
        <v>0.11811337805139521</v>
      </c>
      <c r="K124" s="26">
        <f ca="1"/>
        <v>1.7463501941183734E-2</v>
      </c>
      <c r="L124" s="26">
        <f ca="1"/>
        <v>-8.4562831037775954E-2</v>
      </c>
      <c r="M124" s="6"/>
      <c r="N124" s="1" t="s">
        <v>43</v>
      </c>
    </row>
    <row r="125" spans="1:14" x14ac:dyDescent="0.25">
      <c r="A125" t="s">
        <v>137</v>
      </c>
      <c r="C125" s="26">
        <f t="array" ref="C125:L125" ca="1">i_dis_b*PDIS/100</f>
        <v>-8.0399168250512826E-2</v>
      </c>
      <c r="D125" s="26">
        <f ca="1"/>
        <v>3.0323100794656275E-3</v>
      </c>
      <c r="E125" s="26">
        <f ca="1"/>
        <v>5.6497358475723479E-2</v>
      </c>
      <c r="F125" s="26">
        <f ca="1"/>
        <v>8.9811683392197347E-2</v>
      </c>
      <c r="G125" s="26">
        <f ca="1"/>
        <v>0.11991032660309342</v>
      </c>
      <c r="H125" s="26">
        <f ca="1"/>
        <v>0.11328734292081685</v>
      </c>
      <c r="I125" s="26">
        <f ca="1"/>
        <v>5.7312009148600837E-2</v>
      </c>
      <c r="J125" s="26">
        <f ca="1"/>
        <v>2.3622675610279042E-2</v>
      </c>
      <c r="K125" s="26">
        <f ca="1"/>
        <v>3.4927003882367471E-3</v>
      </c>
      <c r="L125" s="26">
        <f ca="1"/>
        <v>-1.6912566207555192E-2</v>
      </c>
      <c r="M125" s="6"/>
      <c r="N125" s="1"/>
    </row>
    <row r="126" spans="1:14" x14ac:dyDescent="0.25">
      <c r="A126" s="3" t="s">
        <v>250</v>
      </c>
      <c r="C126" s="26">
        <f t="array" aca="1" ref="C126:L126" ca="1">EXP(-YP/DISTAU)</f>
        <v>0.77880078307140488</v>
      </c>
      <c r="D126" s="26">
        <f ca="1"/>
        <v>0.60653065971263342</v>
      </c>
      <c r="E126" s="26">
        <f ca="1"/>
        <v>0.60653065971263342</v>
      </c>
      <c r="F126" s="26">
        <f ca="1"/>
        <v>0.60653065971263342</v>
      </c>
      <c r="G126" s="26">
        <f ca="1"/>
        <v>0.28650479686019009</v>
      </c>
      <c r="H126" s="26">
        <f ca="1"/>
        <v>0.28650479686019009</v>
      </c>
      <c r="I126" s="26">
        <f ca="1"/>
        <v>8.20849986238988E-2</v>
      </c>
      <c r="J126" s="26">
        <f ca="1"/>
        <v>8.20849986238988E-2</v>
      </c>
      <c r="K126" s="26">
        <f ca="1"/>
        <v>8.20849986238988E-2</v>
      </c>
      <c r="L126" s="26">
        <f ca="1"/>
        <v>8.20849986238988E-2</v>
      </c>
      <c r="M126" s="6"/>
      <c r="N126" s="1"/>
    </row>
    <row r="127" spans="1:14" x14ac:dyDescent="0.25">
      <c r="A127" t="s">
        <v>205</v>
      </c>
      <c r="B127" s="14">
        <v>0</v>
      </c>
      <c r="C127" s="14">
        <f t="shared" ref="C127:L127" ca="1" si="0">IF(C125&lt;RAND_DIS,B127,1)</f>
        <v>0</v>
      </c>
      <c r="D127" s="14">
        <f t="shared" ca="1" si="0"/>
        <v>0</v>
      </c>
      <c r="E127" s="14">
        <f t="shared" ca="1" si="0"/>
        <v>0</v>
      </c>
      <c r="F127" s="14">
        <f t="shared" ca="1" si="0"/>
        <v>0</v>
      </c>
      <c r="G127" s="14">
        <f t="shared" ca="1" si="0"/>
        <v>0</v>
      </c>
      <c r="H127" s="14">
        <f t="shared" ca="1" si="0"/>
        <v>0</v>
      </c>
      <c r="I127" s="14">
        <f t="shared" ca="1" si="0"/>
        <v>0</v>
      </c>
      <c r="J127" s="14">
        <f t="shared" ca="1" si="0"/>
        <v>0</v>
      </c>
      <c r="K127" s="14">
        <f t="shared" ca="1" si="0"/>
        <v>0</v>
      </c>
      <c r="L127" s="14">
        <f t="shared" ca="1" si="0"/>
        <v>0</v>
      </c>
      <c r="M127" s="6"/>
      <c r="N127" s="1"/>
    </row>
    <row r="129" spans="1:16" s="1" customFormat="1" ht="13" x14ac:dyDescent="0.3">
      <c r="A129" s="44" t="s">
        <v>405</v>
      </c>
      <c r="B129" s="6"/>
      <c r="C129" s="6"/>
      <c r="D129" s="6"/>
      <c r="E129" s="6"/>
      <c r="F129" s="6"/>
      <c r="G129" s="6"/>
      <c r="H129" s="6"/>
      <c r="I129" s="6"/>
      <c r="J129" s="6"/>
      <c r="K129" s="6"/>
      <c r="L129" s="6"/>
    </row>
    <row r="130" spans="1:16" s="1" customFormat="1" ht="13" x14ac:dyDescent="0.3">
      <c r="A130" s="1" t="str">
        <f t="array" ref="A130:A137">R_CODE</f>
        <v>EU</v>
      </c>
      <c r="B130" s="6"/>
      <c r="C130" s="108">
        <f t="array" aca="1" ref="C130:L137" ca="1">IF(CONS_PER_CAP_B-(tct_per_cap_b+act_per_cap_b) &lt; 0.01*CONS_PER_CAP_FOCUS_0, 0.01*CONS_PER_CAP_FOCUS_0, CONS_PER_CAP_B-(tct_per_cap_b+act_per_cap_b))</f>
        <v>31323.957165309825</v>
      </c>
      <c r="D130" s="108">
        <f ca="1"/>
        <v>35988.526374269371</v>
      </c>
      <c r="E130" s="108">
        <f ca="1"/>
        <v>42106.238429663157</v>
      </c>
      <c r="F130" s="108">
        <f ca="1"/>
        <v>49516.538036625316</v>
      </c>
      <c r="G130" s="108">
        <f ca="1"/>
        <v>75822.256903607893</v>
      </c>
      <c r="H130" s="108">
        <f ca="1"/>
        <v>116100.09186061885</v>
      </c>
      <c r="I130" s="108">
        <f ca="1"/>
        <v>222940.91197264078</v>
      </c>
      <c r="J130" s="108">
        <f ca="1"/>
        <v>380804.55530305684</v>
      </c>
      <c r="K130" s="108">
        <f ca="1"/>
        <v>591606.61141444393</v>
      </c>
      <c r="L130" s="108">
        <f ca="1"/>
        <v>850324.52668897179</v>
      </c>
      <c r="N130" s="1" t="str">
        <f t="shared" ref="N130:N137" si="1">CURRENCY_NAME&amp;"/"&amp;POP_UNIT_NAME</f>
        <v>$M(2015)/million</v>
      </c>
      <c r="P130" s="242" t="s">
        <v>884</v>
      </c>
    </row>
    <row r="131" spans="1:16" s="1" customFormat="1" ht="13" x14ac:dyDescent="0.3">
      <c r="A131" s="1" t="str">
        <v>US</v>
      </c>
      <c r="B131" s="6"/>
      <c r="C131" s="108">
        <f ca="1"/>
        <v>49356.317904046773</v>
      </c>
      <c r="D131" s="108">
        <f ca="1"/>
        <v>56379.814413276676</v>
      </c>
      <c r="E131" s="108">
        <f ca="1"/>
        <v>62532.433845116844</v>
      </c>
      <c r="F131" s="108">
        <f ca="1"/>
        <v>69435.24055915905</v>
      </c>
      <c r="G131" s="108">
        <f ca="1"/>
        <v>92949.994948865642</v>
      </c>
      <c r="H131" s="108">
        <f ca="1"/>
        <v>131841.33241240648</v>
      </c>
      <c r="I131" s="108">
        <f ca="1"/>
        <v>267050.00560971751</v>
      </c>
      <c r="J131" s="108">
        <f ca="1"/>
        <v>502031.39501899405</v>
      </c>
      <c r="K131" s="108">
        <f ca="1"/>
        <v>884647.5273368276</v>
      </c>
      <c r="L131" s="108">
        <f ca="1"/>
        <v>1471599.5687750862</v>
      </c>
      <c r="N131" s="1" t="str">
        <f t="shared" si="1"/>
        <v>$M(2015)/million</v>
      </c>
      <c r="P131" s="242" t="s">
        <v>1044</v>
      </c>
    </row>
    <row r="132" spans="1:16" s="1" customFormat="1" x14ac:dyDescent="0.25">
      <c r="A132" s="1" t="str">
        <v>OT</v>
      </c>
      <c r="B132" s="6"/>
      <c r="C132" s="108">
        <f ca="1"/>
        <v>31579.295434615953</v>
      </c>
      <c r="D132" s="108">
        <f ca="1"/>
        <v>37280.35807488321</v>
      </c>
      <c r="E132" s="108">
        <f ca="1"/>
        <v>43511.996747731675</v>
      </c>
      <c r="F132" s="108">
        <f ca="1"/>
        <v>51026.743812859007</v>
      </c>
      <c r="G132" s="108">
        <f ca="1"/>
        <v>77808.885910626559</v>
      </c>
      <c r="H132" s="108">
        <f ca="1"/>
        <v>118871.53449453114</v>
      </c>
      <c r="I132" s="108">
        <f ca="1"/>
        <v>191532.29374982123</v>
      </c>
      <c r="J132" s="108">
        <f ca="1"/>
        <v>258926.68328533933</v>
      </c>
      <c r="K132" s="108">
        <f ca="1"/>
        <v>313495.19646258315</v>
      </c>
      <c r="L132" s="108">
        <f ca="1"/>
        <v>353973.31908235274</v>
      </c>
      <c r="N132" s="1" t="str">
        <f t="shared" si="1"/>
        <v>$M(2015)/million</v>
      </c>
    </row>
    <row r="133" spans="1:16" s="1" customFormat="1" x14ac:dyDescent="0.25">
      <c r="A133" s="1" t="str">
        <v>EE</v>
      </c>
      <c r="B133" s="6"/>
      <c r="C133" s="108">
        <f ca="1"/>
        <v>14091.376026939201</v>
      </c>
      <c r="D133" s="108">
        <f ca="1"/>
        <v>20833.735227487708</v>
      </c>
      <c r="E133" s="108">
        <f ca="1"/>
        <v>28467.710315426117</v>
      </c>
      <c r="F133" s="108">
        <f ca="1"/>
        <v>35273.307489241386</v>
      </c>
      <c r="G133" s="108">
        <f ca="1"/>
        <v>56047.53206563733</v>
      </c>
      <c r="H133" s="108">
        <f ca="1"/>
        <v>84191.903380122036</v>
      </c>
      <c r="I133" s="108">
        <f ca="1"/>
        <v>117262.83060570651</v>
      </c>
      <c r="J133" s="108">
        <f ca="1"/>
        <v>135323.76325652236</v>
      </c>
      <c r="K133" s="108">
        <f ca="1"/>
        <v>144057.56016073178</v>
      </c>
      <c r="L133" s="108">
        <f ca="1"/>
        <v>148069.03886054896</v>
      </c>
      <c r="N133" s="1" t="str">
        <f t="shared" si="1"/>
        <v>$M(2015)/million</v>
      </c>
    </row>
    <row r="134" spans="1:16" s="1" customFormat="1" x14ac:dyDescent="0.25">
      <c r="A134" s="1" t="str">
        <v>CA</v>
      </c>
      <c r="B134" s="6"/>
      <c r="C134" s="108">
        <f ca="1"/>
        <v>12480.11354047149</v>
      </c>
      <c r="D134" s="108">
        <f ca="1"/>
        <v>23282.896925051846</v>
      </c>
      <c r="E134" s="108">
        <f ca="1"/>
        <v>35284.698128383367</v>
      </c>
      <c r="F134" s="108">
        <f ca="1"/>
        <v>47190.484385018441</v>
      </c>
      <c r="G134" s="108">
        <f ca="1"/>
        <v>72640.464652905081</v>
      </c>
      <c r="H134" s="108">
        <f ca="1"/>
        <v>102779.56072011709</v>
      </c>
      <c r="I134" s="108">
        <f ca="1"/>
        <v>99772.990175967745</v>
      </c>
      <c r="J134" s="108">
        <f ca="1"/>
        <v>96607.244936881107</v>
      </c>
      <c r="K134" s="108">
        <f ca="1"/>
        <v>93421.717289006643</v>
      </c>
      <c r="L134" s="108">
        <f ca="1"/>
        <v>90284.866456329808</v>
      </c>
      <c r="N134" s="1" t="str">
        <f t="shared" si="1"/>
        <v>$M(2015)/million</v>
      </c>
    </row>
    <row r="135" spans="1:16" s="1" customFormat="1" x14ac:dyDescent="0.25">
      <c r="A135" s="1" t="str">
        <v>IA</v>
      </c>
      <c r="B135" s="6"/>
      <c r="C135" s="108">
        <f ca="1"/>
        <v>5944.9394785370487</v>
      </c>
      <c r="D135" s="108">
        <f ca="1"/>
        <v>10190.321072860301</v>
      </c>
      <c r="E135" s="108">
        <f ca="1"/>
        <v>16648.63735464769</v>
      </c>
      <c r="F135" s="108">
        <f ca="1"/>
        <v>25370.236636671914</v>
      </c>
      <c r="G135" s="108">
        <f ca="1"/>
        <v>55744.210057336371</v>
      </c>
      <c r="H135" s="108">
        <f ca="1"/>
        <v>98071.312716242057</v>
      </c>
      <c r="I135" s="108">
        <f ca="1"/>
        <v>162959.45083872031</v>
      </c>
      <c r="J135" s="108">
        <f ca="1"/>
        <v>185438.08201097828</v>
      </c>
      <c r="K135" s="108">
        <f ca="1"/>
        <v>191645.72430313902</v>
      </c>
      <c r="L135" s="108">
        <f ca="1"/>
        <v>193271.05505515489</v>
      </c>
      <c r="N135" s="1" t="str">
        <f t="shared" si="1"/>
        <v>$M(2015)/million</v>
      </c>
    </row>
    <row r="136" spans="1:16" s="1" customFormat="1" x14ac:dyDescent="0.25">
      <c r="A136" s="1" t="str">
        <v>AF</v>
      </c>
      <c r="B136" s="6"/>
      <c r="C136" s="108">
        <f ca="1"/>
        <v>5213.442927245881</v>
      </c>
      <c r="D136" s="108">
        <f ca="1"/>
        <v>7111.5623287110338</v>
      </c>
      <c r="E136" s="108">
        <f ca="1"/>
        <v>10235.837423820811</v>
      </c>
      <c r="F136" s="108">
        <f ca="1"/>
        <v>15242.631263752062</v>
      </c>
      <c r="G136" s="108">
        <f ca="1"/>
        <v>40825.605237283176</v>
      </c>
      <c r="H136" s="108">
        <f ca="1"/>
        <v>88358.004257736844</v>
      </c>
      <c r="I136" s="108">
        <f ca="1"/>
        <v>333249.34985292563</v>
      </c>
      <c r="J136" s="108">
        <f ca="1"/>
        <v>637840.66044005309</v>
      </c>
      <c r="K136" s="108">
        <f ca="1"/>
        <v>875814.0010809435</v>
      </c>
      <c r="L136" s="108">
        <f ca="1"/>
        <v>1022283.3687917753</v>
      </c>
      <c r="N136" s="1" t="str">
        <f t="shared" si="1"/>
        <v>$M(2015)/million</v>
      </c>
    </row>
    <row r="137" spans="1:16" s="1" customFormat="1" x14ac:dyDescent="0.25">
      <c r="A137" s="1" t="str">
        <v>LA</v>
      </c>
      <c r="B137" s="6"/>
      <c r="C137" s="108">
        <f ca="1"/>
        <v>12459.662488192993</v>
      </c>
      <c r="D137" s="108">
        <f ca="1"/>
        <v>16746.810712205592</v>
      </c>
      <c r="E137" s="108">
        <f ca="1"/>
        <v>22829.787934703654</v>
      </c>
      <c r="F137" s="108">
        <f ca="1"/>
        <v>30888.828029538541</v>
      </c>
      <c r="G137" s="108">
        <f ca="1"/>
        <v>60222.991211242203</v>
      </c>
      <c r="H137" s="108">
        <f ca="1"/>
        <v>104383.80763402321</v>
      </c>
      <c r="I137" s="108">
        <f ca="1"/>
        <v>190690.96943552414</v>
      </c>
      <c r="J137" s="108">
        <f ca="1"/>
        <v>242452.09154663779</v>
      </c>
      <c r="K137" s="108">
        <f ca="1"/>
        <v>266789.41146108462</v>
      </c>
      <c r="L137" s="108">
        <f ca="1"/>
        <v>277149.07983271865</v>
      </c>
      <c r="N137" s="1" t="str">
        <f t="shared" si="1"/>
        <v>$M(2015)/million</v>
      </c>
    </row>
    <row r="138" spans="1:16" s="1" customFormat="1" ht="13" x14ac:dyDescent="0.3">
      <c r="A138" s="44" t="s">
        <v>406</v>
      </c>
      <c r="B138" s="6"/>
      <c r="C138" s="6"/>
      <c r="D138" s="6"/>
      <c r="E138" s="6"/>
      <c r="F138" s="6"/>
      <c r="G138" s="6"/>
      <c r="H138" s="6"/>
      <c r="I138" s="6"/>
      <c r="J138" s="6"/>
      <c r="K138" s="6"/>
      <c r="L138" s="6"/>
    </row>
    <row r="139" spans="1:16" s="1" customFormat="1" x14ac:dyDescent="0.25">
      <c r="A139" s="1" t="str">
        <f t="array" ref="A139:A146">R_CODE</f>
        <v>EU</v>
      </c>
      <c r="B139" s="6"/>
      <c r="C139" s="26">
        <f t="array" aca="1" ref="C139:L146" ca="1">cons_per_cap_after_costs_b/(1-SAVE/100)</f>
        <v>36851.714312129203</v>
      </c>
      <c r="D139" s="26">
        <f ca="1"/>
        <v>42339.442793258087</v>
      </c>
      <c r="E139" s="26">
        <f ca="1"/>
        <v>49536.751093721359</v>
      </c>
      <c r="F139" s="26">
        <f ca="1"/>
        <v>58254.750631323899</v>
      </c>
      <c r="G139" s="26">
        <f ca="1"/>
        <v>89202.65518071517</v>
      </c>
      <c r="H139" s="26">
        <f ca="1"/>
        <v>136588.34336543395</v>
      </c>
      <c r="I139" s="26">
        <f ca="1"/>
        <v>262283.42585016566</v>
      </c>
      <c r="J139" s="26">
        <f ca="1"/>
        <v>448005.35918006691</v>
      </c>
      <c r="K139" s="26">
        <f ca="1"/>
        <v>696007.77813463996</v>
      </c>
      <c r="L139" s="26">
        <f ca="1"/>
        <v>1000381.7961046727</v>
      </c>
      <c r="N139" s="1" t="str">
        <f t="shared" ref="N139:N146" si="2">CURRENCY_NAME&amp;"/"&amp;POP_UNIT_NAME</f>
        <v>$M(2015)/million</v>
      </c>
    </row>
    <row r="140" spans="1:16" s="1" customFormat="1" x14ac:dyDescent="0.25">
      <c r="A140" s="1" t="str">
        <v>US</v>
      </c>
      <c r="B140" s="6"/>
      <c r="C140" s="26">
        <f ca="1"/>
        <v>58066.256357702085</v>
      </c>
      <c r="D140" s="26">
        <f ca="1"/>
        <v>66329.193427384322</v>
      </c>
      <c r="E140" s="26">
        <f ca="1"/>
        <v>73567.569229549234</v>
      </c>
      <c r="F140" s="26">
        <f ca="1"/>
        <v>81688.518304893005</v>
      </c>
      <c r="G140" s="26">
        <f ca="1"/>
        <v>109352.93523395958</v>
      </c>
      <c r="H140" s="26">
        <f ca="1"/>
        <v>155107.44989694882</v>
      </c>
      <c r="I140" s="26">
        <f ca="1"/>
        <v>314176.47718790296</v>
      </c>
      <c r="J140" s="26">
        <f ca="1"/>
        <v>590625.17061058129</v>
      </c>
      <c r="K140" s="26">
        <f ca="1"/>
        <v>1040761.796866856</v>
      </c>
      <c r="L140" s="26">
        <f ca="1"/>
        <v>1731293.610323631</v>
      </c>
      <c r="N140" s="1" t="str">
        <f t="shared" si="2"/>
        <v>$M(2015)/million</v>
      </c>
    </row>
    <row r="141" spans="1:16" s="1" customFormat="1" x14ac:dyDescent="0.25">
      <c r="A141" s="1" t="str">
        <v>OT</v>
      </c>
      <c r="B141" s="6"/>
      <c r="C141" s="26">
        <f ca="1"/>
        <v>37152.112276018772</v>
      </c>
      <c r="D141" s="26">
        <f ca="1"/>
        <v>43859.244793980251</v>
      </c>
      <c r="E141" s="26">
        <f ca="1"/>
        <v>51190.584409096089</v>
      </c>
      <c r="F141" s="26">
        <f ca="1"/>
        <v>60031.46330924589</v>
      </c>
      <c r="G141" s="26">
        <f ca="1"/>
        <v>91539.865777207713</v>
      </c>
      <c r="H141" s="26">
        <f ca="1"/>
        <v>139848.8641112131</v>
      </c>
      <c r="I141" s="26">
        <f ca="1"/>
        <v>225332.11029390732</v>
      </c>
      <c r="J141" s="26">
        <f ca="1"/>
        <v>304619.62739451684</v>
      </c>
      <c r="K141" s="26">
        <f ca="1"/>
        <v>368817.8781912743</v>
      </c>
      <c r="L141" s="26">
        <f ca="1"/>
        <v>416439.19892041502</v>
      </c>
      <c r="N141" s="1" t="str">
        <f t="shared" si="2"/>
        <v>$M(2015)/million</v>
      </c>
    </row>
    <row r="142" spans="1:16" s="1" customFormat="1" x14ac:dyDescent="0.25">
      <c r="A142" s="1" t="str">
        <v>EE</v>
      </c>
      <c r="B142" s="6"/>
      <c r="C142" s="26">
        <f ca="1"/>
        <v>16578.089443457884</v>
      </c>
      <c r="D142" s="26">
        <f ca="1"/>
        <v>24510.276738220833</v>
      </c>
      <c r="E142" s="26">
        <f ca="1"/>
        <v>33491.423900501315</v>
      </c>
      <c r="F142" s="26">
        <f ca="1"/>
        <v>41498.008810872219</v>
      </c>
      <c r="G142" s="26">
        <f ca="1"/>
        <v>65938.273018396867</v>
      </c>
      <c r="H142" s="26">
        <f ca="1"/>
        <v>99049.298094261219</v>
      </c>
      <c r="I142" s="26">
        <f ca="1"/>
        <v>137956.2713008312</v>
      </c>
      <c r="J142" s="26">
        <f ca="1"/>
        <v>159204.42736061456</v>
      </c>
      <c r="K142" s="26">
        <f ca="1"/>
        <v>169479.48254203738</v>
      </c>
      <c r="L142" s="26">
        <f ca="1"/>
        <v>174198.86924770466</v>
      </c>
      <c r="N142" s="1" t="str">
        <f t="shared" si="2"/>
        <v>$M(2015)/million</v>
      </c>
    </row>
    <row r="143" spans="1:16" s="1" customFormat="1" x14ac:dyDescent="0.25">
      <c r="A143" s="1" t="str">
        <v>CA</v>
      </c>
      <c r="B143" s="6"/>
      <c r="C143" s="26">
        <f ca="1"/>
        <v>14682.486518201753</v>
      </c>
      <c r="D143" s="26">
        <f ca="1"/>
        <v>27391.643441237466</v>
      </c>
      <c r="E143" s="26">
        <f ca="1"/>
        <v>41511.409562803965</v>
      </c>
      <c r="F143" s="26">
        <f ca="1"/>
        <v>55518.21692355111</v>
      </c>
      <c r="G143" s="26">
        <f ca="1"/>
        <v>85459.370179888327</v>
      </c>
      <c r="H143" s="26">
        <f ca="1"/>
        <v>120917.13025896129</v>
      </c>
      <c r="I143" s="26">
        <f ca="1"/>
        <v>117379.98844231499</v>
      </c>
      <c r="J143" s="26">
        <f ca="1"/>
        <v>113655.58227868365</v>
      </c>
      <c r="K143" s="26">
        <f ca="1"/>
        <v>109907.90269294899</v>
      </c>
      <c r="L143" s="26">
        <f ca="1"/>
        <v>106217.4899486233</v>
      </c>
      <c r="N143" s="1" t="str">
        <f t="shared" si="2"/>
        <v>$M(2015)/million</v>
      </c>
    </row>
    <row r="144" spans="1:16" s="1" customFormat="1" x14ac:dyDescent="0.25">
      <c r="A144" s="1" t="str">
        <v>IA</v>
      </c>
      <c r="B144" s="6"/>
      <c r="C144" s="26">
        <f ca="1"/>
        <v>6994.0464453377044</v>
      </c>
      <c r="D144" s="26">
        <f ca="1"/>
        <v>11988.613026894473</v>
      </c>
      <c r="E144" s="26">
        <f ca="1"/>
        <v>19586.632181938458</v>
      </c>
      <c r="F144" s="26">
        <f ca="1"/>
        <v>29847.337219614019</v>
      </c>
      <c r="G144" s="26">
        <f ca="1"/>
        <v>65581.423596866327</v>
      </c>
      <c r="H144" s="26">
        <f ca="1"/>
        <v>115378.01496028478</v>
      </c>
      <c r="I144" s="26">
        <f ca="1"/>
        <v>191717.00098672978</v>
      </c>
      <c r="J144" s="26">
        <f ca="1"/>
        <v>218162.44942468032</v>
      </c>
      <c r="K144" s="26">
        <f ca="1"/>
        <v>225465.55800369298</v>
      </c>
      <c r="L144" s="26">
        <f ca="1"/>
        <v>227377.71182959399</v>
      </c>
      <c r="N144" s="1" t="str">
        <f t="shared" si="2"/>
        <v>$M(2015)/million</v>
      </c>
    </row>
    <row r="145" spans="1:14" s="1" customFormat="1" x14ac:dyDescent="0.25">
      <c r="A145" s="1" t="str">
        <v>AF</v>
      </c>
      <c r="B145" s="6"/>
      <c r="C145" s="26">
        <f ca="1"/>
        <v>6133.4622673480953</v>
      </c>
      <c r="D145" s="26">
        <f ca="1"/>
        <v>8366.5439161306276</v>
      </c>
      <c r="E145" s="26">
        <f ca="1"/>
        <v>12042.161675083307</v>
      </c>
      <c r="F145" s="26">
        <f ca="1"/>
        <v>17932.507369120074</v>
      </c>
      <c r="G145" s="26">
        <f ca="1"/>
        <v>48030.123808568445</v>
      </c>
      <c r="H145" s="26">
        <f ca="1"/>
        <v>103950.5932443963</v>
      </c>
      <c r="I145" s="26">
        <f ca="1"/>
        <v>392058.05865050078</v>
      </c>
      <c r="J145" s="26">
        <f ca="1"/>
        <v>750400.77698829782</v>
      </c>
      <c r="K145" s="26">
        <f ca="1"/>
        <v>1030369.4130364042</v>
      </c>
      <c r="L145" s="26">
        <f ca="1"/>
        <v>1202686.3162256181</v>
      </c>
      <c r="N145" s="1" t="str">
        <f t="shared" si="2"/>
        <v>$M(2015)/million</v>
      </c>
    </row>
    <row r="146" spans="1:14" s="1" customFormat="1" x14ac:dyDescent="0.25">
      <c r="A146" s="1" t="str">
        <v>LA</v>
      </c>
      <c r="B146" s="6"/>
      <c r="C146" s="26">
        <f ca="1"/>
        <v>14658.42645669764</v>
      </c>
      <c r="D146" s="26">
        <f ca="1"/>
        <v>19702.130249653637</v>
      </c>
      <c r="E146" s="26">
        <f ca="1"/>
        <v>26858.574040827829</v>
      </c>
      <c r="F146" s="26">
        <f ca="1"/>
        <v>36339.797681810051</v>
      </c>
      <c r="G146" s="26">
        <f ca="1"/>
        <v>70850.577895579059</v>
      </c>
      <c r="H146" s="26">
        <f ca="1"/>
        <v>122804.47956943908</v>
      </c>
      <c r="I146" s="26">
        <f ca="1"/>
        <v>224342.31698296958</v>
      </c>
      <c r="J146" s="26">
        <f ca="1"/>
        <v>285237.75476075034</v>
      </c>
      <c r="K146" s="26">
        <f ca="1"/>
        <v>313869.89583657013</v>
      </c>
      <c r="L146" s="26">
        <f ca="1"/>
        <v>326057.74097966903</v>
      </c>
      <c r="N146" s="1" t="str">
        <f t="shared" si="2"/>
        <v>$M(2015)/million</v>
      </c>
    </row>
    <row r="147" spans="1:14" s="2" customFormat="1" ht="15" x14ac:dyDescent="0.4">
      <c r="A147" s="2" t="s">
        <v>222</v>
      </c>
      <c r="C147" s="2" t="s">
        <v>220</v>
      </c>
    </row>
    <row r="148" spans="1:14" x14ac:dyDescent="0.25">
      <c r="A148" t="str">
        <f t="array" ref="A148:A155">R_CODE&amp;" sea level"</f>
        <v>EU sea level</v>
      </c>
      <c r="C148" s="29">
        <f t="array" ref="C148:L155" ca="1">WINCF_S*((W_S+IBEN_S*SCAL)*(i_s_b/SCAL)^POW_S-i_s_b*IBEN_S)</f>
        <v>0.36164435384780319</v>
      </c>
      <c r="D148" s="29">
        <f ca="1"/>
        <v>0.43740087943178829</v>
      </c>
      <c r="E148" s="29">
        <f ca="1"/>
        <v>0.52657375673934459</v>
      </c>
      <c r="F148" s="29">
        <f ca="1"/>
        <v>0.61913801274721436</v>
      </c>
      <c r="G148" s="29">
        <f ca="1"/>
        <v>1.0277273003746732</v>
      </c>
      <c r="H148" s="29">
        <f ca="1"/>
        <v>1.3569442706534629</v>
      </c>
      <c r="I148" s="29">
        <f ca="1"/>
        <v>1.8223279909340935</v>
      </c>
      <c r="J148" s="29">
        <f ca="1"/>
        <v>2.1583508408783851</v>
      </c>
      <c r="K148" s="29">
        <f ca="1"/>
        <v>2.4159419567820879</v>
      </c>
      <c r="L148" s="29">
        <f ca="1"/>
        <v>2.6120352660133874</v>
      </c>
      <c r="M148" s="6"/>
      <c r="N148" s="59" t="s">
        <v>134</v>
      </c>
    </row>
    <row r="149" spans="1:14" x14ac:dyDescent="0.25">
      <c r="A149" t="str">
        <v>US sea level</v>
      </c>
      <c r="C149" s="26">
        <f ca="1"/>
        <v>0.28931548307824251</v>
      </c>
      <c r="D149" s="26">
        <f ca="1"/>
        <v>0.34992070354543059</v>
      </c>
      <c r="E149" s="26">
        <f ca="1"/>
        <v>0.42125900539147565</v>
      </c>
      <c r="F149" s="26">
        <f ca="1"/>
        <v>0.49531041019777144</v>
      </c>
      <c r="G149" s="26">
        <f ca="1"/>
        <v>0.82218184029973851</v>
      </c>
      <c r="H149" s="26">
        <f ca="1"/>
        <v>1.0855554165227703</v>
      </c>
      <c r="I149" s="26">
        <f ca="1"/>
        <v>1.4578623927472747</v>
      </c>
      <c r="J149" s="26">
        <f ca="1"/>
        <v>1.726680672702708</v>
      </c>
      <c r="K149" s="26">
        <f ca="1"/>
        <v>1.9327535654256702</v>
      </c>
      <c r="L149" s="26">
        <f ca="1"/>
        <v>2.0896282128107098</v>
      </c>
      <c r="M149" s="6"/>
      <c r="N149" s="59" t="s">
        <v>134</v>
      </c>
    </row>
    <row r="150" spans="1:14" x14ac:dyDescent="0.25">
      <c r="A150" t="str">
        <v>OT sea level</v>
      </c>
      <c r="C150" s="26">
        <f ca="1"/>
        <v>0.28931548307824262</v>
      </c>
      <c r="D150" s="26">
        <f ca="1"/>
        <v>0.3499207035454307</v>
      </c>
      <c r="E150" s="26">
        <f ca="1"/>
        <v>0.42125900539147576</v>
      </c>
      <c r="F150" s="26">
        <f ca="1"/>
        <v>0.49531041019777161</v>
      </c>
      <c r="G150" s="26">
        <f ca="1"/>
        <v>0.82218184029973873</v>
      </c>
      <c r="H150" s="26">
        <f ca="1"/>
        <v>1.0855554165227705</v>
      </c>
      <c r="I150" s="26">
        <f ca="1"/>
        <v>1.4578623927472751</v>
      </c>
      <c r="J150" s="26">
        <f ca="1"/>
        <v>1.7266806727027084</v>
      </c>
      <c r="K150" s="26">
        <f ca="1"/>
        <v>1.9327535654256707</v>
      </c>
      <c r="L150" s="26">
        <f ca="1"/>
        <v>2.0896282128107102</v>
      </c>
      <c r="M150" s="6"/>
      <c r="N150" s="59" t="s">
        <v>134</v>
      </c>
    </row>
    <row r="151" spans="1:14" x14ac:dyDescent="0.25">
      <c r="A151" t="str">
        <v>EE sea level</v>
      </c>
      <c r="C151" s="26">
        <f ca="1"/>
        <v>0.14465774153912131</v>
      </c>
      <c r="D151" s="26">
        <f ca="1"/>
        <v>0.17496035177271535</v>
      </c>
      <c r="E151" s="26">
        <f ca="1"/>
        <v>0.21062950269573788</v>
      </c>
      <c r="F151" s="26">
        <f ca="1"/>
        <v>0.24765520509888581</v>
      </c>
      <c r="G151" s="26">
        <f ca="1"/>
        <v>0.41109092014986937</v>
      </c>
      <c r="H151" s="26">
        <f ca="1"/>
        <v>0.54277770826138527</v>
      </c>
      <c r="I151" s="26">
        <f ca="1"/>
        <v>0.72893119637363757</v>
      </c>
      <c r="J151" s="26">
        <f ca="1"/>
        <v>0.86334033635135421</v>
      </c>
      <c r="K151" s="26">
        <f ca="1"/>
        <v>0.96637678271283534</v>
      </c>
      <c r="L151" s="26">
        <f ca="1"/>
        <v>1.0448141064053551</v>
      </c>
      <c r="M151" s="6"/>
      <c r="N151" s="59" t="s">
        <v>134</v>
      </c>
    </row>
    <row r="152" spans="1:14" x14ac:dyDescent="0.25">
      <c r="A152" t="str">
        <v>CA sea level</v>
      </c>
      <c r="C152" s="26">
        <f ca="1"/>
        <v>0.36514372623366587</v>
      </c>
      <c r="D152" s="26">
        <f ca="1"/>
        <v>0.45541376927802818</v>
      </c>
      <c r="E152" s="26">
        <f ca="1"/>
        <v>0.55253436738539763</v>
      </c>
      <c r="F152" s="26">
        <f ca="1"/>
        <v>0.6500043531526698</v>
      </c>
      <c r="G152" s="26">
        <f ca="1"/>
        <v>0.87955059699961158</v>
      </c>
      <c r="H152" s="26">
        <f ca="1"/>
        <v>1.1376094668337888</v>
      </c>
      <c r="I152" s="26">
        <f ca="1"/>
        <v>1.504754816313749</v>
      </c>
      <c r="J152" s="26">
        <f ca="1"/>
        <v>1.7708264458610714</v>
      </c>
      <c r="K152" s="26">
        <f ca="1"/>
        <v>1.9751536167384074</v>
      </c>
      <c r="L152" s="26">
        <f ca="1"/>
        <v>2.1308582673726644</v>
      </c>
      <c r="M152" s="6"/>
      <c r="N152" s="59" t="s">
        <v>134</v>
      </c>
    </row>
    <row r="153" spans="1:14" x14ac:dyDescent="0.25">
      <c r="A153" t="str">
        <v>IA sea level</v>
      </c>
      <c r="C153" s="26">
        <f ca="1"/>
        <v>0.36514372623366587</v>
      </c>
      <c r="D153" s="26">
        <f ca="1"/>
        <v>0.45541376927802818</v>
      </c>
      <c r="E153" s="26">
        <f ca="1"/>
        <v>0.55253436738539763</v>
      </c>
      <c r="F153" s="26">
        <f ca="1"/>
        <v>0.6500043531526698</v>
      </c>
      <c r="G153" s="26">
        <f ca="1"/>
        <v>0.87955059699961158</v>
      </c>
      <c r="H153" s="26">
        <f ca="1"/>
        <v>1.1376094668337888</v>
      </c>
      <c r="I153" s="26">
        <f ca="1"/>
        <v>1.504754816313749</v>
      </c>
      <c r="J153" s="26">
        <f ca="1"/>
        <v>1.7708264458610714</v>
      </c>
      <c r="K153" s="26">
        <f ca="1"/>
        <v>1.9751536167384074</v>
      </c>
      <c r="L153" s="26">
        <f ca="1"/>
        <v>2.1308582673726644</v>
      </c>
      <c r="M153" s="6"/>
      <c r="N153" s="59" t="s">
        <v>134</v>
      </c>
    </row>
    <row r="154" spans="1:14" x14ac:dyDescent="0.25">
      <c r="A154" t="str">
        <v>AF sea level</v>
      </c>
      <c r="C154" s="26">
        <f ca="1"/>
        <v>0.27385779467524934</v>
      </c>
      <c r="D154" s="26">
        <f ca="1"/>
        <v>0.34156032695852107</v>
      </c>
      <c r="E154" s="26">
        <f ca="1"/>
        <v>0.41440077553904808</v>
      </c>
      <c r="F154" s="26">
        <f ca="1"/>
        <v>0.48750326486450224</v>
      </c>
      <c r="G154" s="26">
        <f ca="1"/>
        <v>0.65966294774970857</v>
      </c>
      <c r="H154" s="26">
        <f ca="1"/>
        <v>0.85320710012534151</v>
      </c>
      <c r="I154" s="26">
        <f ca="1"/>
        <v>1.1285661122353114</v>
      </c>
      <c r="J154" s="26">
        <f ca="1"/>
        <v>1.3281198343958032</v>
      </c>
      <c r="K154" s="26">
        <f ca="1"/>
        <v>1.4813652125538053</v>
      </c>
      <c r="L154" s="26">
        <f ca="1"/>
        <v>1.5981437005294981</v>
      </c>
      <c r="M154" s="6"/>
      <c r="N154" s="59" t="s">
        <v>134</v>
      </c>
    </row>
    <row r="155" spans="1:14" x14ac:dyDescent="0.25">
      <c r="A155" t="str">
        <v>LA sea level</v>
      </c>
      <c r="C155" s="26">
        <f ca="1"/>
        <v>0.27385779467524934</v>
      </c>
      <c r="D155" s="26">
        <f ca="1"/>
        <v>0.34156032695852107</v>
      </c>
      <c r="E155" s="26">
        <f ca="1"/>
        <v>0.41440077553904808</v>
      </c>
      <c r="F155" s="26">
        <f ca="1"/>
        <v>0.48750326486450224</v>
      </c>
      <c r="G155" s="26">
        <f ca="1"/>
        <v>0.65966294774970857</v>
      </c>
      <c r="H155" s="26">
        <f ca="1"/>
        <v>0.85320710012534151</v>
      </c>
      <c r="I155" s="26">
        <f ca="1"/>
        <v>1.1285661122353114</v>
      </c>
      <c r="J155" s="26">
        <f ca="1"/>
        <v>1.3281198343958032</v>
      </c>
      <c r="K155" s="26">
        <f ca="1"/>
        <v>1.4813652125538053</v>
      </c>
      <c r="L155" s="26">
        <f ca="1"/>
        <v>1.5981437005294981</v>
      </c>
      <c r="M155" s="6"/>
      <c r="N155" s="59" t="s">
        <v>134</v>
      </c>
    </row>
    <row r="156" spans="1:14" s="2" customFormat="1" ht="15" x14ac:dyDescent="0.4">
      <c r="A156" s="2" t="s">
        <v>221</v>
      </c>
      <c r="C156" s="2" t="s">
        <v>223</v>
      </c>
    </row>
    <row r="157" spans="1:14" x14ac:dyDescent="0.25">
      <c r="A157" t="str">
        <f t="array" ref="A157:A164">R_CODE&amp;" sea level"</f>
        <v>EU sea level</v>
      </c>
      <c r="C157" s="29">
        <f t="array" ref="C157:L164" ca="1">iref_s_b*(gdp_per_cap_after_costs_b/GDP_PER_CAP_FOCUS_0)^IPOW_S</f>
        <v>0.35393912954632001</v>
      </c>
      <c r="D157" s="29">
        <f ca="1"/>
        <v>0.41062019842893421</v>
      </c>
      <c r="E157" s="29">
        <f ca="1"/>
        <v>0.4715906144788668</v>
      </c>
      <c r="F157" s="29">
        <f ca="1"/>
        <v>0.52816821593892438</v>
      </c>
      <c r="G157" s="29">
        <f ca="1"/>
        <v>0.77152278574375199</v>
      </c>
      <c r="H157" s="29">
        <f ca="1"/>
        <v>0.89644184026876961</v>
      </c>
      <c r="I157" s="29">
        <f ca="1"/>
        <v>0.98987302574297054</v>
      </c>
      <c r="J157" s="29">
        <f ca="1"/>
        <v>0.998438401230341</v>
      </c>
      <c r="K157" s="29">
        <f ca="1"/>
        <v>0.97923395962364079</v>
      </c>
      <c r="L157" s="29">
        <f ca="1"/>
        <v>0.94954051559101948</v>
      </c>
      <c r="M157" s="6"/>
      <c r="N157" s="59" t="s">
        <v>134</v>
      </c>
    </row>
    <row r="158" spans="1:14" x14ac:dyDescent="0.25">
      <c r="A158" t="str">
        <v>US sea level</v>
      </c>
      <c r="C158" s="26">
        <f ca="1"/>
        <v>0.24704651170731845</v>
      </c>
      <c r="D158" s="26">
        <f ca="1"/>
        <v>0.28710610150376231</v>
      </c>
      <c r="E158" s="26">
        <f ca="1"/>
        <v>0.33506377267099402</v>
      </c>
      <c r="F158" s="26">
        <f ca="1"/>
        <v>0.38178015360174899</v>
      </c>
      <c r="G158" s="26">
        <f ca="1"/>
        <v>0.58063464411699517</v>
      </c>
      <c r="H158" s="26">
        <f ca="1"/>
        <v>0.69031355207769152</v>
      </c>
      <c r="I158" s="26">
        <f ca="1"/>
        <v>0.75015089431289672</v>
      </c>
      <c r="J158" s="26">
        <f ca="1"/>
        <v>0.73519516210328428</v>
      </c>
      <c r="K158" s="26">
        <f ca="1"/>
        <v>0.69431297068934272</v>
      </c>
      <c r="L158" s="26">
        <f ca="1"/>
        <v>0.64437992720810389</v>
      </c>
      <c r="M158" s="6"/>
      <c r="N158" s="59" t="s">
        <v>134</v>
      </c>
    </row>
    <row r="159" spans="1:14" x14ac:dyDescent="0.25">
      <c r="A159" t="str">
        <v>OT sea level</v>
      </c>
      <c r="C159" s="26">
        <f ca="1"/>
        <v>0.28246251457139304</v>
      </c>
      <c r="D159" s="26">
        <f ca="1"/>
        <v>0.32503901420947684</v>
      </c>
      <c r="E159" s="26">
        <f ca="1"/>
        <v>0.37357376539179915</v>
      </c>
      <c r="F159" s="26">
        <f ca="1"/>
        <v>0.41874340006374938</v>
      </c>
      <c r="G159" s="26">
        <f ca="1"/>
        <v>0.61244768432953545</v>
      </c>
      <c r="H159" s="26">
        <f ca="1"/>
        <v>0.71209594675701182</v>
      </c>
      <c r="I159" s="26">
        <f ca="1"/>
        <v>0.82880775469658563</v>
      </c>
      <c r="J159" s="26">
        <f ca="1"/>
        <v>0.89674478797658186</v>
      </c>
      <c r="K159" s="26">
        <f ca="1"/>
        <v>0.94780084531811426</v>
      </c>
      <c r="L159" s="26">
        <f ca="1"/>
        <v>0.98807006196395264</v>
      </c>
      <c r="M159" s="6"/>
      <c r="N159" s="59" t="s">
        <v>134</v>
      </c>
    </row>
    <row r="160" spans="1:14" x14ac:dyDescent="0.25">
      <c r="A160" t="str">
        <v>EE sea level</v>
      </c>
      <c r="C160" s="26">
        <f ca="1"/>
        <v>0.17991423850037355</v>
      </c>
      <c r="D160" s="26">
        <f ca="1"/>
        <v>0.19351711324069251</v>
      </c>
      <c r="E160" s="26">
        <f ca="1"/>
        <v>0.21214036748494242</v>
      </c>
      <c r="F160" s="26">
        <f ca="1"/>
        <v>0.23389636945941214</v>
      </c>
      <c r="G160" s="26">
        <f ca="1"/>
        <v>0.33789425835233583</v>
      </c>
      <c r="H160" s="26">
        <f ca="1"/>
        <v>0.39486694563357094</v>
      </c>
      <c r="I160" s="26">
        <f ca="1"/>
        <v>0.48011834579157803</v>
      </c>
      <c r="J160" s="26">
        <f ca="1"/>
        <v>0.54472798571570846</v>
      </c>
      <c r="K160" s="26">
        <f ca="1"/>
        <v>0.59840545897262287</v>
      </c>
      <c r="L160" s="26">
        <f ca="1"/>
        <v>0.64166688389942705</v>
      </c>
      <c r="M160" s="6"/>
      <c r="N160" s="59" t="s">
        <v>134</v>
      </c>
    </row>
    <row r="161" spans="1:15" x14ac:dyDescent="0.25">
      <c r="A161" t="str">
        <v>CA sea level</v>
      </c>
      <c r="C161" s="26">
        <f ca="1"/>
        <v>0.47098617358336192</v>
      </c>
      <c r="D161" s="26">
        <f ca="1"/>
        <v>0.48719736233889971</v>
      </c>
      <c r="E161" s="26">
        <f ca="1"/>
        <v>0.5217869943910709</v>
      </c>
      <c r="F161" s="26">
        <f ca="1"/>
        <v>0.5625612453168346</v>
      </c>
      <c r="G161" s="26">
        <f ca="1"/>
        <v>0.66883211689365385</v>
      </c>
      <c r="H161" s="26">
        <f ca="1"/>
        <v>0.77952679169638273</v>
      </c>
      <c r="I161" s="26">
        <f ca="1"/>
        <v>1.0403314349094883</v>
      </c>
      <c r="J161" s="26">
        <f ca="1"/>
        <v>1.2361835665311145</v>
      </c>
      <c r="K161" s="26">
        <f ca="1"/>
        <v>1.3927603684974255</v>
      </c>
      <c r="L161" s="26">
        <f ca="1"/>
        <v>1.5180285924417538</v>
      </c>
      <c r="M161" s="6"/>
      <c r="N161" s="59" t="s">
        <v>134</v>
      </c>
    </row>
    <row r="162" spans="1:15" x14ac:dyDescent="0.25">
      <c r="A162" t="str">
        <v>IA sea level</v>
      </c>
      <c r="C162" s="26">
        <f ca="1"/>
        <v>0.58834150574406596</v>
      </c>
      <c r="D162" s="26">
        <f ca="1"/>
        <v>0.62425161227710646</v>
      </c>
      <c r="E162" s="26">
        <f ca="1"/>
        <v>0.65366550010339552</v>
      </c>
      <c r="F162" s="26">
        <f ca="1"/>
        <v>0.67768642401078583</v>
      </c>
      <c r="G162" s="26">
        <f ca="1"/>
        <v>0.72412038538889878</v>
      </c>
      <c r="H162" s="26">
        <f ca="1"/>
        <v>0.79057026706732592</v>
      </c>
      <c r="I162" s="26">
        <f ca="1"/>
        <v>0.89794916747922449</v>
      </c>
      <c r="J162" s="26">
        <f ca="1"/>
        <v>1.0165440366179692</v>
      </c>
      <c r="K162" s="26">
        <f ca="1"/>
        <v>1.122692997452899</v>
      </c>
      <c r="L162" s="26">
        <f ca="1"/>
        <v>1.2081320187314006</v>
      </c>
      <c r="M162" s="6"/>
      <c r="N162" s="59" t="s">
        <v>134</v>
      </c>
    </row>
    <row r="163" spans="1:15" x14ac:dyDescent="0.25">
      <c r="A163" t="str">
        <v>AF sea level</v>
      </c>
      <c r="C163" s="26">
        <f ca="1"/>
        <v>0.45898405159162553</v>
      </c>
      <c r="D163" s="26">
        <f ca="1"/>
        <v>0.52154020120437006</v>
      </c>
      <c r="E163" s="26">
        <f ca="1"/>
        <v>0.5672747087614104</v>
      </c>
      <c r="F163" s="26">
        <f ca="1"/>
        <v>0.59220138843512915</v>
      </c>
      <c r="G163" s="26">
        <f ca="1"/>
        <v>0.596282656158726</v>
      </c>
      <c r="H163" s="26">
        <f ca="1"/>
        <v>0.61177336820948591</v>
      </c>
      <c r="I163" s="26">
        <f ca="1"/>
        <v>0.54338305110019347</v>
      </c>
      <c r="J163" s="26">
        <f ca="1"/>
        <v>0.52630013106325368</v>
      </c>
      <c r="K163" s="26">
        <f ca="1"/>
        <v>0.53376298386756571</v>
      </c>
      <c r="L163" s="26">
        <f ca="1"/>
        <v>0.54973617258115748</v>
      </c>
      <c r="M163" s="6"/>
      <c r="N163" s="59" t="s">
        <v>134</v>
      </c>
    </row>
    <row r="164" spans="1:15" x14ac:dyDescent="0.25">
      <c r="A164" t="str">
        <v>LA sea level</v>
      </c>
      <c r="C164" s="26">
        <f ca="1"/>
        <v>0.35341347059135553</v>
      </c>
      <c r="D164" s="26">
        <f ca="1"/>
        <v>0.4033644902873566</v>
      </c>
      <c r="E164" s="26">
        <f ca="1"/>
        <v>0.44594353492618449</v>
      </c>
      <c r="F164" s="26">
        <f ca="1"/>
        <v>0.47912295117627829</v>
      </c>
      <c r="G164" s="26">
        <f ca="1"/>
        <v>0.53064401480222578</v>
      </c>
      <c r="H164" s="26">
        <f ca="1"/>
        <v>0.58193489013310506</v>
      </c>
      <c r="I164" s="26">
        <f ca="1"/>
        <v>0.6424477955963116</v>
      </c>
      <c r="J164" s="26">
        <f ca="1"/>
        <v>0.70349231560765979</v>
      </c>
      <c r="K164" s="26">
        <f ca="1"/>
        <v>0.76246768284460253</v>
      </c>
      <c r="L164" s="26">
        <f ca="1"/>
        <v>0.8132267781459912</v>
      </c>
      <c r="M164" s="6"/>
      <c r="N164" s="59" t="s">
        <v>134</v>
      </c>
    </row>
    <row r="165" spans="1:15" s="2" customFormat="1" ht="15" x14ac:dyDescent="0.4">
      <c r="A165" s="2" t="s">
        <v>225</v>
      </c>
      <c r="C165" s="2" t="s">
        <v>224</v>
      </c>
    </row>
    <row r="166" spans="1:15" x14ac:dyDescent="0.25">
      <c r="A166" t="str">
        <f t="array" ref="A166:A173">R_CODE&amp;" sea level"</f>
        <v>EU sea level</v>
      </c>
      <c r="C166" s="29">
        <f t="array" ref="C166:L173" ca="1">IF(igdp_s_b&lt;ISATG,igdp_s_b,ISATG+(100-SAVE-ISATG)*((igdp_s_b-ISATG)/((100-SAVE-ISATG)+(igdp_s_b-ISATG))))*(1-imp_s_b/100*IF(i_s_b&lt;impmax_s_b,1,impmax_s_b/i_s_b))</f>
        <v>0.35393912954632001</v>
      </c>
      <c r="D166" s="29">
        <f ca="1"/>
        <v>0.36955817858604079</v>
      </c>
      <c r="E166" s="29">
        <f ca="1"/>
        <v>0.37727249158309345</v>
      </c>
      <c r="F166" s="29">
        <f ca="1"/>
        <v>0.36971775115724703</v>
      </c>
      <c r="G166" s="29">
        <f ca="1"/>
        <v>0.385761392871876</v>
      </c>
      <c r="H166" s="29">
        <f ca="1"/>
        <v>0.4482209201343848</v>
      </c>
      <c r="I166" s="29">
        <f ca="1"/>
        <v>0.55317658287916227</v>
      </c>
      <c r="J166" s="29">
        <f ca="1"/>
        <v>0.64873463354163707</v>
      </c>
      <c r="K166" s="29">
        <f ca="1"/>
        <v>0.68513344138327659</v>
      </c>
      <c r="L166" s="29">
        <f ca="1"/>
        <v>0.6931477755872768</v>
      </c>
      <c r="M166" s="6"/>
      <c r="N166" s="59" t="s">
        <v>134</v>
      </c>
    </row>
    <row r="167" spans="1:15" x14ac:dyDescent="0.25">
      <c r="A167" t="str">
        <v>US sea level</v>
      </c>
      <c r="C167" s="26">
        <f ca="1"/>
        <v>0.24704651170731845</v>
      </c>
      <c r="D167" s="26">
        <f ca="1"/>
        <v>0.25839549135338608</v>
      </c>
      <c r="E167" s="26">
        <f ca="1"/>
        <v>0.26805101813679522</v>
      </c>
      <c r="F167" s="26">
        <f ca="1"/>
        <v>0.2672461075212243</v>
      </c>
      <c r="G167" s="26">
        <f ca="1"/>
        <v>0.29031732205849758</v>
      </c>
      <c r="H167" s="26">
        <f ca="1"/>
        <v>0.34515677603884576</v>
      </c>
      <c r="I167" s="26">
        <f ca="1"/>
        <v>0.41921124989570674</v>
      </c>
      <c r="J167" s="26">
        <f ca="1"/>
        <v>0.47769252813286617</v>
      </c>
      <c r="K167" s="26">
        <f ca="1"/>
        <v>0.48578486308651408</v>
      </c>
      <c r="L167" s="26">
        <f ca="1"/>
        <v>0.47038594545845291</v>
      </c>
      <c r="M167" s="6"/>
      <c r="N167" s="59" t="s">
        <v>134</v>
      </c>
    </row>
    <row r="168" spans="1:15" x14ac:dyDescent="0.25">
      <c r="A168" t="str">
        <v>OT sea level</v>
      </c>
      <c r="C168" s="26">
        <f ca="1"/>
        <v>0.28246251457139304</v>
      </c>
      <c r="D168" s="26">
        <f ca="1"/>
        <v>0.29253511278852917</v>
      </c>
      <c r="E168" s="26">
        <f ca="1"/>
        <v>0.29885901231343931</v>
      </c>
      <c r="F168" s="26">
        <f ca="1"/>
        <v>0.29312038004462454</v>
      </c>
      <c r="G168" s="26">
        <f ca="1"/>
        <v>0.30622384216476772</v>
      </c>
      <c r="H168" s="26">
        <f ca="1"/>
        <v>0.35604797337850591</v>
      </c>
      <c r="I168" s="26">
        <f ca="1"/>
        <v>0.46316752723177634</v>
      </c>
      <c r="J168" s="26">
        <f ca="1"/>
        <v>0.58265928142536516</v>
      </c>
      <c r="K168" s="26">
        <f ca="1"/>
        <v>0.66314086487396473</v>
      </c>
      <c r="L168" s="26">
        <f ca="1"/>
        <v>0.72127366271296989</v>
      </c>
      <c r="M168" s="6"/>
      <c r="N168" s="59" t="s">
        <v>134</v>
      </c>
    </row>
    <row r="169" spans="1:15" x14ac:dyDescent="0.25">
      <c r="A169" t="str">
        <v>EE sea level</v>
      </c>
      <c r="C169" s="26">
        <f ca="1"/>
        <v>0.17991423850037355</v>
      </c>
      <c r="D169" s="26">
        <f ca="1"/>
        <v>0.17416540191662327</v>
      </c>
      <c r="E169" s="26">
        <f ca="1"/>
        <v>0.16971229398795395</v>
      </c>
      <c r="F169" s="26">
        <f ca="1"/>
        <v>0.1637274586215885</v>
      </c>
      <c r="G169" s="26">
        <f ca="1"/>
        <v>0.16894712917616792</v>
      </c>
      <c r="H169" s="26">
        <f ca="1"/>
        <v>0.19743347281678547</v>
      </c>
      <c r="I169" s="26">
        <f ca="1"/>
        <v>0.2683073677083348</v>
      </c>
      <c r="J169" s="26">
        <f ca="1"/>
        <v>0.35393661717907837</v>
      </c>
      <c r="K169" s="26">
        <f ca="1"/>
        <v>0.4186819578908671</v>
      </c>
      <c r="L169" s="26">
        <f ca="1"/>
        <v>0.46840547184663361</v>
      </c>
      <c r="M169" s="6"/>
      <c r="N169" s="59" t="s">
        <v>134</v>
      </c>
    </row>
    <row r="170" spans="1:15" x14ac:dyDescent="0.25">
      <c r="A170" t="str">
        <v>CA sea level</v>
      </c>
      <c r="C170" s="26">
        <f ca="1"/>
        <v>0.47098617358336192</v>
      </c>
      <c r="D170" s="26">
        <f ca="1"/>
        <v>0.47095745026093638</v>
      </c>
      <c r="E170" s="26">
        <f ca="1"/>
        <v>0.48700119476499953</v>
      </c>
      <c r="F170" s="26">
        <f ca="1"/>
        <v>0.50630512078515111</v>
      </c>
      <c r="G170" s="26">
        <f ca="1"/>
        <v>0.54621289546315066</v>
      </c>
      <c r="H170" s="26">
        <f ca="1"/>
        <v>0.58464509377228702</v>
      </c>
      <c r="I170" s="26">
        <f ca="1"/>
        <v>0.82054900589208102</v>
      </c>
      <c r="J170" s="26">
        <f ca="1"/>
        <v>1.0270223614135399</v>
      </c>
      <c r="K170" s="26">
        <f ca="1"/>
        <v>1.1897097671401489</v>
      </c>
      <c r="L170" s="26">
        <f ca="1"/>
        <v>1.3184697447428859</v>
      </c>
      <c r="M170" s="6"/>
      <c r="N170" s="59" t="s">
        <v>134</v>
      </c>
    </row>
    <row r="171" spans="1:15" x14ac:dyDescent="0.25">
      <c r="A171" t="str">
        <v>IA sea level</v>
      </c>
      <c r="C171" s="26">
        <f ca="1"/>
        <v>0.58834150574406596</v>
      </c>
      <c r="D171" s="26">
        <f ca="1"/>
        <v>0.60344322520120297</v>
      </c>
      <c r="E171" s="26">
        <f ca="1"/>
        <v>0.61008780009650254</v>
      </c>
      <c r="F171" s="26">
        <f ca="1"/>
        <v>0.60991778160970722</v>
      </c>
      <c r="G171" s="26">
        <f ca="1"/>
        <v>0.59136498140093396</v>
      </c>
      <c r="H171" s="26">
        <f ca="1"/>
        <v>0.59292770030049446</v>
      </c>
      <c r="I171" s="26">
        <f ca="1"/>
        <v>0.70824669138331287</v>
      </c>
      <c r="J171" s="26">
        <f ca="1"/>
        <v>0.84454565263140557</v>
      </c>
      <c r="K171" s="26">
        <f ca="1"/>
        <v>0.95901553115742111</v>
      </c>
      <c r="L171" s="26">
        <f ca="1"/>
        <v>1.0493119314639099</v>
      </c>
      <c r="M171" s="6"/>
      <c r="N171" s="59" t="s">
        <v>134</v>
      </c>
    </row>
    <row r="172" spans="1:15" x14ac:dyDescent="0.25">
      <c r="A172" t="str">
        <v>AF sea level</v>
      </c>
      <c r="C172" s="26">
        <f ca="1"/>
        <v>0.45898405159162553</v>
      </c>
      <c r="D172" s="26">
        <f ca="1"/>
        <v>0.50415552783089101</v>
      </c>
      <c r="E172" s="26">
        <f ca="1"/>
        <v>0.52945639484398299</v>
      </c>
      <c r="F172" s="26">
        <f ca="1"/>
        <v>0.5329812495916163</v>
      </c>
      <c r="G172" s="26">
        <f ca="1"/>
        <v>0.48696416919629287</v>
      </c>
      <c r="H172" s="26">
        <f ca="1"/>
        <v>0.45883002615711443</v>
      </c>
      <c r="I172" s="26">
        <f ca="1"/>
        <v>0.42858689782613529</v>
      </c>
      <c r="J172" s="26">
        <f ca="1"/>
        <v>0.43725059776810543</v>
      </c>
      <c r="K172" s="26">
        <f ca="1"/>
        <v>0.45594565268266851</v>
      </c>
      <c r="L172" s="26">
        <f ca="1"/>
        <v>0.47746828666326352</v>
      </c>
      <c r="M172" s="6"/>
      <c r="N172" s="59" t="s">
        <v>134</v>
      </c>
    </row>
    <row r="173" spans="1:15" x14ac:dyDescent="0.25">
      <c r="A173" t="str">
        <v>LA sea level</v>
      </c>
      <c r="C173" s="26">
        <f ca="1"/>
        <v>0.35341347059135553</v>
      </c>
      <c r="D173" s="26">
        <f ca="1"/>
        <v>0.38991900727777806</v>
      </c>
      <c r="E173" s="26">
        <f ca="1"/>
        <v>0.41621396593110555</v>
      </c>
      <c r="F173" s="26">
        <f ca="1"/>
        <v>0.43121065605865044</v>
      </c>
      <c r="G173" s="26">
        <f ca="1"/>
        <v>0.43335927875515107</v>
      </c>
      <c r="H173" s="26">
        <f ca="1"/>
        <v>0.43645116759982883</v>
      </c>
      <c r="I173" s="26">
        <f ca="1"/>
        <v>0.5067230329918625</v>
      </c>
      <c r="J173" s="26">
        <f ca="1"/>
        <v>0.58446201581460089</v>
      </c>
      <c r="K173" s="26">
        <f ca="1"/>
        <v>0.65130748255536519</v>
      </c>
      <c r="L173" s="26">
        <f ca="1"/>
        <v>0.70632062395844819</v>
      </c>
      <c r="M173" s="6"/>
      <c r="N173" s="59" t="s">
        <v>134</v>
      </c>
    </row>
    <row r="174" spans="1:15" s="2" customFormat="1" ht="15" x14ac:dyDescent="0.4">
      <c r="A174" s="2" t="s">
        <v>226</v>
      </c>
      <c r="C174" s="2" t="s">
        <v>227</v>
      </c>
    </row>
    <row r="175" spans="1:15" x14ac:dyDescent="0.25">
      <c r="A175" t="str">
        <f t="array" ref="A175:A182">R_CODE&amp;" sea level"</f>
        <v>EU sea level</v>
      </c>
      <c r="C175" s="29">
        <f t="array" ref="C175:L182" ca="1">(isat_s_b/100)*gdp_per_cap_after_costs_b</f>
        <v>130.43263685924674</v>
      </c>
      <c r="D175" s="29">
        <f ca="1"/>
        <v>156.46887361024329</v>
      </c>
      <c r="E175" s="29">
        <f ca="1"/>
        <v>186.88853510059786</v>
      </c>
      <c r="F175" s="29">
        <f ca="1"/>
        <v>215.37815397639289</v>
      </c>
      <c r="G175" s="29">
        <f ca="1"/>
        <v>344.10940510382352</v>
      </c>
      <c r="H175" s="29">
        <f ca="1"/>
        <v>612.21752942886098</v>
      </c>
      <c r="I175" s="29">
        <f ca="1"/>
        <v>1450.8904925763479</v>
      </c>
      <c r="J175" s="29">
        <f ca="1"/>
        <v>2906.3659251237018</v>
      </c>
      <c r="K175" s="29">
        <f ca="1"/>
        <v>4768.5820426291393</v>
      </c>
      <c r="L175" s="29">
        <f ca="1"/>
        <v>6934.1241670795862</v>
      </c>
      <c r="M175" s="6"/>
      <c r="N175" s="1" t="str">
        <f t="shared" ref="N175:N182" si="3">CURRENCY_NAME&amp;"/"&amp;POP_UNIT_NAME</f>
        <v>$M(2015)/million</v>
      </c>
      <c r="O175" s="1"/>
    </row>
    <row r="176" spans="1:15" x14ac:dyDescent="0.25">
      <c r="A176" t="str">
        <v>US sea level</v>
      </c>
      <c r="C176" s="26">
        <f ca="1"/>
        <v>143.45066081073202</v>
      </c>
      <c r="D176" s="26">
        <f ca="1"/>
        <v>171.39164526742758</v>
      </c>
      <c r="E176" s="26">
        <f ca="1"/>
        <v>197.19861833829839</v>
      </c>
      <c r="F176" s="26">
        <f ca="1"/>
        <v>218.30938546158933</v>
      </c>
      <c r="G176" s="26">
        <f ca="1"/>
        <v>317.47051316359472</v>
      </c>
      <c r="H176" s="26">
        <f ca="1"/>
        <v>535.36387346037657</v>
      </c>
      <c r="I176" s="26">
        <f ca="1"/>
        <v>1317.0631368977079</v>
      </c>
      <c r="J176" s="26">
        <f ca="1"/>
        <v>2821.3723092787395</v>
      </c>
      <c r="K176" s="26">
        <f ca="1"/>
        <v>5055.8632699664004</v>
      </c>
      <c r="L176" s="26">
        <f ca="1"/>
        <v>8143.7618175825955</v>
      </c>
      <c r="M176" s="6"/>
      <c r="N176" s="1" t="str">
        <f t="shared" si="3"/>
        <v>$M(2015)/million</v>
      </c>
      <c r="O176" s="1"/>
    </row>
    <row r="177" spans="1:15" x14ac:dyDescent="0.25">
      <c r="A177" t="str">
        <v>OT sea level</v>
      </c>
      <c r="C177" s="26">
        <f ca="1"/>
        <v>104.94079055122982</v>
      </c>
      <c r="D177" s="26">
        <f ca="1"/>
        <v>128.30369122626723</v>
      </c>
      <c r="E177" s="26">
        <f ca="1"/>
        <v>152.98767496250201</v>
      </c>
      <c r="F177" s="26">
        <f ca="1"/>
        <v>175.96445339841091</v>
      </c>
      <c r="G177" s="26">
        <f ca="1"/>
        <v>280.31689409543679</v>
      </c>
      <c r="H177" s="26">
        <f ca="1"/>
        <v>497.92904646083497</v>
      </c>
      <c r="I177" s="26">
        <f ca="1"/>
        <v>1043.6651633074696</v>
      </c>
      <c r="J177" s="26">
        <f ca="1"/>
        <v>1774.8945320575167</v>
      </c>
      <c r="K177" s="26">
        <f ca="1"/>
        <v>2445.7820672474222</v>
      </c>
      <c r="L177" s="26">
        <f ca="1"/>
        <v>3003.6662630258279</v>
      </c>
      <c r="M177" s="6"/>
      <c r="N177" s="1" t="str">
        <f t="shared" si="3"/>
        <v>$M(2015)/million</v>
      </c>
      <c r="O177" s="1"/>
    </row>
    <row r="178" spans="1:15" x14ac:dyDescent="0.25">
      <c r="A178" t="str">
        <v>EE sea level</v>
      </c>
      <c r="C178" s="26">
        <f ca="1"/>
        <v>29.826343380108071</v>
      </c>
      <c r="D178" s="26">
        <f ca="1"/>
        <v>42.688421991998936</v>
      </c>
      <c r="E178" s="26">
        <f ca="1"/>
        <v>56.839063790770666</v>
      </c>
      <c r="F178" s="26">
        <f ca="1"/>
        <v>67.943635204603964</v>
      </c>
      <c r="G178" s="26">
        <f ca="1"/>
        <v>111.40081929292523</v>
      </c>
      <c r="H178" s="26">
        <f ca="1"/>
        <v>195.55646902815005</v>
      </c>
      <c r="I178" s="26">
        <f ca="1"/>
        <v>370.14684011582909</v>
      </c>
      <c r="J178" s="26">
        <f ca="1"/>
        <v>563.48276459948227</v>
      </c>
      <c r="K178" s="26">
        <f ca="1"/>
        <v>709.58001573031231</v>
      </c>
      <c r="L178" s="26">
        <f ca="1"/>
        <v>815.95703545121125</v>
      </c>
      <c r="M178" s="6"/>
      <c r="N178" s="1" t="str">
        <f t="shared" si="3"/>
        <v>$M(2015)/million</v>
      </c>
      <c r="O178" s="1"/>
    </row>
    <row r="179" spans="1:15" x14ac:dyDescent="0.25">
      <c r="A179" t="str">
        <v>CA sea level</v>
      </c>
      <c r="C179" s="26">
        <f ca="1"/>
        <v>69.152481438971421</v>
      </c>
      <c r="D179" s="26">
        <f ca="1"/>
        <v>129.00298553541899</v>
      </c>
      <c r="E179" s="26">
        <f ca="1"/>
        <v>202.16106053464759</v>
      </c>
      <c r="F179" s="26">
        <f ca="1"/>
        <v>281.09157525254767</v>
      </c>
      <c r="G179" s="26">
        <f ca="1"/>
        <v>466.79010030414037</v>
      </c>
      <c r="H179" s="26">
        <f ca="1"/>
        <v>706.93606958926273</v>
      </c>
      <c r="I179" s="26">
        <f ca="1"/>
        <v>963.16032827965523</v>
      </c>
      <c r="J179" s="26">
        <f ca="1"/>
        <v>1167.2682449968456</v>
      </c>
      <c r="K179" s="26">
        <f ca="1"/>
        <v>1307.5850531969049</v>
      </c>
      <c r="L179" s="26">
        <f ca="1"/>
        <v>1400.4454685979142</v>
      </c>
      <c r="M179" s="6"/>
      <c r="N179" s="1" t="str">
        <f t="shared" si="3"/>
        <v>$M(2015)/million</v>
      </c>
      <c r="O179" s="1"/>
    </row>
    <row r="180" spans="1:15" x14ac:dyDescent="0.25">
      <c r="A180" t="str">
        <v>IA sea level</v>
      </c>
      <c r="C180" s="26">
        <f ca="1"/>
        <v>41.14887816893917</v>
      </c>
      <c r="D180" s="26">
        <f ca="1"/>
        <v>72.34447310638356</v>
      </c>
      <c r="E180" s="26">
        <f ca="1"/>
        <v>119.49565339178193</v>
      </c>
      <c r="F180" s="26">
        <f ca="1"/>
        <v>182.04421703943831</v>
      </c>
      <c r="G180" s="26">
        <f ca="1"/>
        <v>387.82557345607631</v>
      </c>
      <c r="H180" s="26">
        <f ca="1"/>
        <v>684.10821075637705</v>
      </c>
      <c r="I180" s="26">
        <f ca="1"/>
        <v>1357.829316307827</v>
      </c>
      <c r="J180" s="26">
        <f ca="1"/>
        <v>1842.4814822903265</v>
      </c>
      <c r="K180" s="26">
        <f ca="1"/>
        <v>2162.2497186661594</v>
      </c>
      <c r="L180" s="26">
        <f ca="1"/>
        <v>2385.9014597175556</v>
      </c>
      <c r="M180" s="6"/>
      <c r="N180" s="1" t="str">
        <f t="shared" si="3"/>
        <v>$M(2015)/million</v>
      </c>
      <c r="O180" s="1"/>
    </row>
    <row r="181" spans="1:15" x14ac:dyDescent="0.25">
      <c r="A181" t="str">
        <v>AF sea level</v>
      </c>
      <c r="C181" s="26">
        <f ca="1"/>
        <v>28.151613617517867</v>
      </c>
      <c r="D181" s="26">
        <f ca="1"/>
        <v>42.180393641571669</v>
      </c>
      <c r="E181" s="26">
        <f ca="1"/>
        <v>63.757995066179866</v>
      </c>
      <c r="F181" s="26">
        <f ca="1"/>
        <v>95.576901859044852</v>
      </c>
      <c r="G181" s="26">
        <f ca="1"/>
        <v>233.88949336834619</v>
      </c>
      <c r="H181" s="26">
        <f ca="1"/>
        <v>476.9565341737391</v>
      </c>
      <c r="I181" s="26">
        <f ca="1"/>
        <v>1680.3094712475513</v>
      </c>
      <c r="J181" s="26">
        <f ca="1"/>
        <v>3281.13188303784</v>
      </c>
      <c r="K181" s="26">
        <f ca="1"/>
        <v>4697.9245453114136</v>
      </c>
      <c r="L181" s="26">
        <f ca="1"/>
        <v>5742.4457480159781</v>
      </c>
      <c r="M181" s="6"/>
      <c r="N181" s="1" t="str">
        <f t="shared" si="3"/>
        <v>$M(2015)/million</v>
      </c>
      <c r="O181" s="1"/>
    </row>
    <row r="182" spans="1:15" x14ac:dyDescent="0.25">
      <c r="A182" t="str">
        <v>LA sea level</v>
      </c>
      <c r="C182" s="26">
        <f ca="1"/>
        <v>51.804853674696595</v>
      </c>
      <c r="D182" s="26">
        <f ca="1"/>
        <v>76.822350682024279</v>
      </c>
      <c r="E182" s="26">
        <f ca="1"/>
        <v>111.78913620787191</v>
      </c>
      <c r="F182" s="26">
        <f ca="1"/>
        <v>156.70107999411937</v>
      </c>
      <c r="G182" s="26">
        <f ca="1"/>
        <v>307.03755336213788</v>
      </c>
      <c r="H182" s="26">
        <f ca="1"/>
        <v>535.9815849457101</v>
      </c>
      <c r="I182" s="26">
        <f ca="1"/>
        <v>1136.7941929003218</v>
      </c>
      <c r="J182" s="26">
        <f ca="1"/>
        <v>1667.1063313389891</v>
      </c>
      <c r="K182" s="26">
        <f ca="1"/>
        <v>2044.258117072312</v>
      </c>
      <c r="L182" s="26">
        <f ca="1"/>
        <v>2303.0130705524193</v>
      </c>
      <c r="M182" s="6"/>
      <c r="N182" s="1" t="str">
        <f t="shared" si="3"/>
        <v>$M(2015)/million</v>
      </c>
      <c r="O182" s="1"/>
    </row>
    <row r="183" spans="1:15" s="2" customFormat="1" ht="15" x14ac:dyDescent="0.4">
      <c r="A183" s="2" t="s">
        <v>228</v>
      </c>
      <c r="C183" s="2" t="s">
        <v>229</v>
      </c>
    </row>
    <row r="184" spans="1:15" x14ac:dyDescent="0.25">
      <c r="A184" t="str">
        <f t="array" ref="A184:A191">R_CODE&amp;" sea level"</f>
        <v>EU sea level</v>
      </c>
      <c r="C184" s="29">
        <f t="array" ref="C184:L191" ca="1">cons_per_cap_after_costs_b-isat_s_per_cap_b</f>
        <v>31193.524528450576</v>
      </c>
      <c r="D184" s="29">
        <f ca="1"/>
        <v>35832.057500659132</v>
      </c>
      <c r="E184" s="29">
        <f ca="1"/>
        <v>41919.349894562562</v>
      </c>
      <c r="F184" s="29">
        <f ca="1"/>
        <v>49301.159882648921</v>
      </c>
      <c r="G184" s="29">
        <f ca="1"/>
        <v>75478.14749850407</v>
      </c>
      <c r="H184" s="29">
        <f ca="1"/>
        <v>115487.87433118999</v>
      </c>
      <c r="I184" s="29">
        <f ca="1"/>
        <v>221490.02148006443</v>
      </c>
      <c r="J184" s="29">
        <f ca="1"/>
        <v>377898.18937793316</v>
      </c>
      <c r="K184" s="29">
        <f ca="1"/>
        <v>586838.0293718148</v>
      </c>
      <c r="L184" s="29">
        <f ca="1"/>
        <v>843390.40252189222</v>
      </c>
      <c r="M184" s="6"/>
      <c r="N184" s="1" t="str">
        <f t="shared" ref="N184:N191" si="4">CURRENCY_NAME&amp;"/"&amp;POP_UNIT_NAME</f>
        <v>$M(2015)/million</v>
      </c>
      <c r="O184" s="1"/>
    </row>
    <row r="185" spans="1:15" x14ac:dyDescent="0.25">
      <c r="A185" t="str">
        <v>US sea level</v>
      </c>
      <c r="C185" s="26">
        <f ca="1"/>
        <v>49212.86724323604</v>
      </c>
      <c r="D185" s="26">
        <f ca="1"/>
        <v>56208.422768009244</v>
      </c>
      <c r="E185" s="26">
        <f ca="1"/>
        <v>62335.235226778546</v>
      </c>
      <c r="F185" s="26">
        <f ca="1"/>
        <v>69216.931173697463</v>
      </c>
      <c r="G185" s="26">
        <f ca="1"/>
        <v>92632.524435702042</v>
      </c>
      <c r="H185" s="26">
        <f ca="1"/>
        <v>131305.96853894609</v>
      </c>
      <c r="I185" s="26">
        <f ca="1"/>
        <v>265732.94247281982</v>
      </c>
      <c r="J185" s="26">
        <f ca="1"/>
        <v>499210.0227097153</v>
      </c>
      <c r="K185" s="26">
        <f ca="1"/>
        <v>879591.66406686115</v>
      </c>
      <c r="L185" s="26">
        <f ca="1"/>
        <v>1463455.8069575035</v>
      </c>
      <c r="M185" s="6"/>
      <c r="N185" s="1" t="str">
        <f t="shared" si="4"/>
        <v>$M(2015)/million</v>
      </c>
      <c r="O185" s="1"/>
    </row>
    <row r="186" spans="1:15" x14ac:dyDescent="0.25">
      <c r="A186" t="str">
        <v>OT sea level</v>
      </c>
      <c r="C186" s="26">
        <f ca="1"/>
        <v>31474.354644064722</v>
      </c>
      <c r="D186" s="26">
        <f ca="1"/>
        <v>37152.054383656941</v>
      </c>
      <c r="E186" s="26">
        <f ca="1"/>
        <v>43359.009072769171</v>
      </c>
      <c r="F186" s="26">
        <f ca="1"/>
        <v>50850.779359460597</v>
      </c>
      <c r="G186" s="26">
        <f ca="1"/>
        <v>77528.569016531124</v>
      </c>
      <c r="H186" s="26">
        <f ca="1"/>
        <v>118373.6054480703</v>
      </c>
      <c r="I186" s="26">
        <f ca="1"/>
        <v>190488.62858651375</v>
      </c>
      <c r="J186" s="26">
        <f ca="1"/>
        <v>257151.78875328181</v>
      </c>
      <c r="K186" s="26">
        <f ca="1"/>
        <v>311049.41439533571</v>
      </c>
      <c r="L186" s="26">
        <f ca="1"/>
        <v>350969.6528193269</v>
      </c>
      <c r="M186" s="6"/>
      <c r="N186" s="1" t="str">
        <f t="shared" si="4"/>
        <v>$M(2015)/million</v>
      </c>
      <c r="O186" s="1"/>
    </row>
    <row r="187" spans="1:15" x14ac:dyDescent="0.25">
      <c r="A187" t="str">
        <v>EE sea level</v>
      </c>
      <c r="C187" s="26">
        <f ca="1"/>
        <v>14061.549683559093</v>
      </c>
      <c r="D187" s="26">
        <f ca="1"/>
        <v>20791.046805495709</v>
      </c>
      <c r="E187" s="26">
        <f ca="1"/>
        <v>28410.871251635344</v>
      </c>
      <c r="F187" s="26">
        <f ca="1"/>
        <v>35205.363854036783</v>
      </c>
      <c r="G187" s="26">
        <f ca="1"/>
        <v>55936.131246344405</v>
      </c>
      <c r="H187" s="26">
        <f ca="1"/>
        <v>83996.34691109389</v>
      </c>
      <c r="I187" s="26">
        <f ca="1"/>
        <v>116892.68376559067</v>
      </c>
      <c r="J187" s="26">
        <f ca="1"/>
        <v>134760.28049192287</v>
      </c>
      <c r="K187" s="26">
        <f ca="1"/>
        <v>143347.98014500146</v>
      </c>
      <c r="L187" s="26">
        <f ca="1"/>
        <v>147253.08182509773</v>
      </c>
      <c r="M187" s="6"/>
      <c r="N187" s="1" t="str">
        <f t="shared" si="4"/>
        <v>$M(2015)/million</v>
      </c>
      <c r="O187" s="1"/>
    </row>
    <row r="188" spans="1:15" x14ac:dyDescent="0.25">
      <c r="A188" t="str">
        <v>CA sea level</v>
      </c>
      <c r="C188" s="26">
        <f ca="1"/>
        <v>12410.961059032517</v>
      </c>
      <c r="D188" s="26">
        <f ca="1"/>
        <v>23153.893939516427</v>
      </c>
      <c r="E188" s="26">
        <f ca="1"/>
        <v>35082.537067848716</v>
      </c>
      <c r="F188" s="26">
        <f ca="1"/>
        <v>46909.392809765894</v>
      </c>
      <c r="G188" s="26">
        <f ca="1"/>
        <v>72173.674552600947</v>
      </c>
      <c r="H188" s="26">
        <f ca="1"/>
        <v>102072.62465052782</v>
      </c>
      <c r="I188" s="26">
        <f ca="1"/>
        <v>98809.829847688088</v>
      </c>
      <c r="J188" s="26">
        <f ca="1"/>
        <v>95439.976691884265</v>
      </c>
      <c r="K188" s="26">
        <f ca="1"/>
        <v>92114.132235809739</v>
      </c>
      <c r="L188" s="26">
        <f ca="1"/>
        <v>88884.420987731894</v>
      </c>
      <c r="M188" s="6"/>
      <c r="N188" s="1" t="str">
        <f t="shared" si="4"/>
        <v>$M(2015)/million</v>
      </c>
      <c r="O188" s="1"/>
    </row>
    <row r="189" spans="1:15" x14ac:dyDescent="0.25">
      <c r="A189" t="str">
        <v>IA sea level</v>
      </c>
      <c r="C189" s="26">
        <f ca="1"/>
        <v>5903.7906003681092</v>
      </c>
      <c r="D189" s="26">
        <f ca="1"/>
        <v>10117.976599753918</v>
      </c>
      <c r="E189" s="26">
        <f ca="1"/>
        <v>16529.141701255907</v>
      </c>
      <c r="F189" s="26">
        <f ca="1"/>
        <v>25188.192419632476</v>
      </c>
      <c r="G189" s="26">
        <f ca="1"/>
        <v>55356.384483880298</v>
      </c>
      <c r="H189" s="26">
        <f ca="1"/>
        <v>97387.204505485686</v>
      </c>
      <c r="I189" s="26">
        <f ca="1"/>
        <v>161601.62152241249</v>
      </c>
      <c r="J189" s="26">
        <f ca="1"/>
        <v>183595.60052868797</v>
      </c>
      <c r="K189" s="26">
        <f ca="1"/>
        <v>189483.47458447286</v>
      </c>
      <c r="L189" s="26">
        <f ca="1"/>
        <v>190885.15359543735</v>
      </c>
      <c r="M189" s="6"/>
      <c r="N189" s="1" t="str">
        <f t="shared" si="4"/>
        <v>$M(2015)/million</v>
      </c>
      <c r="O189" s="1"/>
    </row>
    <row r="190" spans="1:15" x14ac:dyDescent="0.25">
      <c r="A190" t="str">
        <v>AF sea level</v>
      </c>
      <c r="C190" s="26">
        <f ca="1"/>
        <v>5185.2913136283632</v>
      </c>
      <c r="D190" s="26">
        <f ca="1"/>
        <v>7069.3819350694621</v>
      </c>
      <c r="E190" s="26">
        <f ca="1"/>
        <v>10172.07942875463</v>
      </c>
      <c r="F190" s="26">
        <f ca="1"/>
        <v>15147.054361893017</v>
      </c>
      <c r="G190" s="26">
        <f ca="1"/>
        <v>40591.715743914829</v>
      </c>
      <c r="H190" s="26">
        <f ca="1"/>
        <v>87881.047723563112</v>
      </c>
      <c r="I190" s="26">
        <f ca="1"/>
        <v>331569.04038167809</v>
      </c>
      <c r="J190" s="26">
        <f ca="1"/>
        <v>634559.52855701523</v>
      </c>
      <c r="K190" s="26">
        <f ca="1"/>
        <v>871116.07653563214</v>
      </c>
      <c r="L190" s="26">
        <f ca="1"/>
        <v>1016540.9230437593</v>
      </c>
      <c r="M190" s="6"/>
      <c r="N190" s="1" t="str">
        <f t="shared" si="4"/>
        <v>$M(2015)/million</v>
      </c>
      <c r="O190" s="1"/>
    </row>
    <row r="191" spans="1:15" x14ac:dyDescent="0.25">
      <c r="A191" t="str">
        <v>LA sea level</v>
      </c>
      <c r="C191" s="26">
        <f ca="1"/>
        <v>12407.857634518296</v>
      </c>
      <c r="D191" s="26">
        <f ca="1"/>
        <v>16669.988361523567</v>
      </c>
      <c r="E191" s="26">
        <f ca="1"/>
        <v>22717.998798495781</v>
      </c>
      <c r="F191" s="26">
        <f ca="1"/>
        <v>30732.126949544421</v>
      </c>
      <c r="G191" s="26">
        <f ca="1"/>
        <v>59915.953657880062</v>
      </c>
      <c r="H191" s="26">
        <f ca="1"/>
        <v>103847.8260490775</v>
      </c>
      <c r="I191" s="26">
        <f ca="1"/>
        <v>189554.17524262381</v>
      </c>
      <c r="J191" s="26">
        <f ca="1"/>
        <v>240784.9852152988</v>
      </c>
      <c r="K191" s="26">
        <f ca="1"/>
        <v>264745.15334401233</v>
      </c>
      <c r="L191" s="26">
        <f ca="1"/>
        <v>274846.06676216621</v>
      </c>
      <c r="M191" s="6"/>
      <c r="N191" s="1" t="str">
        <f t="shared" si="4"/>
        <v>$M(2015)/million</v>
      </c>
      <c r="O191" s="1"/>
    </row>
    <row r="192" spans="1:15" s="2" customFormat="1" ht="15" x14ac:dyDescent="0.4">
      <c r="A192" s="2" t="s">
        <v>230</v>
      </c>
      <c r="C192" s="2" t="s">
        <v>231</v>
      </c>
    </row>
    <row r="193" spans="1:17" x14ac:dyDescent="0.25">
      <c r="A193" t="str">
        <f t="array" ref="A193:A200">R_CODE&amp;" sea level"</f>
        <v>EU sea level</v>
      </c>
      <c r="C193" s="29">
        <f t="array" ref="C193:L200" ca="1" xml:space="preserve"> rcons_s_per_cap_b/(1-SAVE/100)</f>
        <v>36698.264151118325</v>
      </c>
      <c r="D193" s="29">
        <f ca="1"/>
        <v>42155.361765481335</v>
      </c>
      <c r="E193" s="29">
        <f ca="1"/>
        <v>49316.882228897135</v>
      </c>
      <c r="F193" s="29">
        <f ca="1"/>
        <v>58001.36456782226</v>
      </c>
      <c r="G193" s="29">
        <f ca="1"/>
        <v>88797.820586475384</v>
      </c>
      <c r="H193" s="29">
        <f ca="1"/>
        <v>135868.08744845883</v>
      </c>
      <c r="I193" s="29">
        <f ca="1"/>
        <v>260576.49585889935</v>
      </c>
      <c r="J193" s="29">
        <f ca="1"/>
        <v>444586.10515050963</v>
      </c>
      <c r="K193" s="29">
        <f ca="1"/>
        <v>690397.68161389977</v>
      </c>
      <c r="L193" s="29">
        <f ca="1"/>
        <v>992224.00296693202</v>
      </c>
      <c r="M193" s="6"/>
      <c r="N193" s="1" t="str">
        <f t="shared" ref="N193:N200" si="5">CURRENCY_NAME&amp;"/"&amp;POP_UNIT_NAME</f>
        <v>$M(2015)/million</v>
      </c>
      <c r="O193" s="1"/>
    </row>
    <row r="194" spans="1:17" x14ac:dyDescent="0.25">
      <c r="A194" t="str">
        <v>US sea level</v>
      </c>
      <c r="C194" s="26">
        <f ca="1"/>
        <v>57897.490874395342</v>
      </c>
      <c r="D194" s="26">
        <f ca="1"/>
        <v>66127.556197657934</v>
      </c>
      <c r="E194" s="26">
        <f ca="1"/>
        <v>73335.570855033584</v>
      </c>
      <c r="F194" s="26">
        <f ca="1"/>
        <v>81431.683733761718</v>
      </c>
      <c r="G194" s="26">
        <f ca="1"/>
        <v>108979.44051259063</v>
      </c>
      <c r="H194" s="26">
        <f ca="1"/>
        <v>154477.61004581893</v>
      </c>
      <c r="I194" s="26">
        <f ca="1"/>
        <v>312626.99114449392</v>
      </c>
      <c r="J194" s="26">
        <f ca="1"/>
        <v>587305.90907025326</v>
      </c>
      <c r="K194" s="26">
        <f ca="1"/>
        <v>1034813.7224316014</v>
      </c>
      <c r="L194" s="26">
        <f ca="1"/>
        <v>1721712.7140676512</v>
      </c>
      <c r="M194" s="6"/>
      <c r="N194" s="1" t="str">
        <f t="shared" si="5"/>
        <v>$M(2015)/million</v>
      </c>
      <c r="O194" s="1"/>
    </row>
    <row r="195" spans="1:17" x14ac:dyDescent="0.25">
      <c r="A195" t="str">
        <v>OT sea level</v>
      </c>
      <c r="C195" s="26">
        <f ca="1"/>
        <v>37028.652522429089</v>
      </c>
      <c r="D195" s="26">
        <f ca="1"/>
        <v>43708.299274890524</v>
      </c>
      <c r="E195" s="26">
        <f ca="1"/>
        <v>51010.598909140201</v>
      </c>
      <c r="F195" s="26">
        <f ca="1"/>
        <v>59824.446305247766</v>
      </c>
      <c r="G195" s="26">
        <f ca="1"/>
        <v>91210.081195918974</v>
      </c>
      <c r="H195" s="26">
        <f ca="1"/>
        <v>139263.0652330239</v>
      </c>
      <c r="I195" s="26">
        <f ca="1"/>
        <v>224104.26892531029</v>
      </c>
      <c r="J195" s="26">
        <f ca="1"/>
        <v>302531.51618033153</v>
      </c>
      <c r="K195" s="26">
        <f ca="1"/>
        <v>365940.48752392438</v>
      </c>
      <c r="L195" s="26">
        <f ca="1"/>
        <v>412905.47390509048</v>
      </c>
      <c r="M195" s="6"/>
      <c r="N195" s="1" t="str">
        <f t="shared" si="5"/>
        <v>$M(2015)/million</v>
      </c>
      <c r="O195" s="1"/>
    </row>
    <row r="196" spans="1:17" x14ac:dyDescent="0.25">
      <c r="A196" t="str">
        <v>EE sea level</v>
      </c>
      <c r="C196" s="26">
        <f ca="1"/>
        <v>16542.999627716581</v>
      </c>
      <c r="D196" s="26">
        <f ca="1"/>
        <v>24460.055065289071</v>
      </c>
      <c r="E196" s="26">
        <f ca="1"/>
        <v>33424.554413688638</v>
      </c>
      <c r="F196" s="26">
        <f ca="1"/>
        <v>41418.075122396214</v>
      </c>
      <c r="G196" s="26">
        <f ca="1"/>
        <v>65807.213230993424</v>
      </c>
      <c r="H196" s="26">
        <f ca="1"/>
        <v>98819.231660110454</v>
      </c>
      <c r="I196" s="26">
        <f ca="1"/>
        <v>137520.80443010668</v>
      </c>
      <c r="J196" s="26">
        <f ca="1"/>
        <v>158541.50646108572</v>
      </c>
      <c r="K196" s="26">
        <f ca="1"/>
        <v>168644.68252353114</v>
      </c>
      <c r="L196" s="26">
        <f ca="1"/>
        <v>173238.91979423264</v>
      </c>
      <c r="M196" s="6"/>
      <c r="N196" s="1" t="str">
        <f t="shared" si="5"/>
        <v>$M(2015)/million</v>
      </c>
      <c r="O196" s="1"/>
    </row>
    <row r="197" spans="1:17" x14ac:dyDescent="0.25">
      <c r="A197" t="str">
        <v>CA sea level</v>
      </c>
      <c r="C197" s="26">
        <f ca="1"/>
        <v>14601.130657685315</v>
      </c>
      <c r="D197" s="26">
        <f ca="1"/>
        <v>27239.875222960502</v>
      </c>
      <c r="E197" s="26">
        <f ca="1"/>
        <v>41273.57302099849</v>
      </c>
      <c r="F197" s="26">
        <f ca="1"/>
        <v>55187.520952665756</v>
      </c>
      <c r="G197" s="26">
        <f ca="1"/>
        <v>84910.205356001112</v>
      </c>
      <c r="H197" s="26">
        <f ca="1"/>
        <v>120085.44076532686</v>
      </c>
      <c r="I197" s="26">
        <f ca="1"/>
        <v>116246.85864433894</v>
      </c>
      <c r="J197" s="26">
        <f ca="1"/>
        <v>112282.32551986385</v>
      </c>
      <c r="K197" s="26">
        <f ca="1"/>
        <v>108369.56733624675</v>
      </c>
      <c r="L197" s="26">
        <f ca="1"/>
        <v>104569.90704439046</v>
      </c>
      <c r="M197" s="6"/>
      <c r="N197" s="1" t="str">
        <f t="shared" si="5"/>
        <v>$M(2015)/million</v>
      </c>
      <c r="O197" s="1"/>
    </row>
    <row r="198" spans="1:17" x14ac:dyDescent="0.25">
      <c r="A198" t="str">
        <v>IA sea level</v>
      </c>
      <c r="C198" s="26">
        <f ca="1"/>
        <v>6945.63600043307</v>
      </c>
      <c r="D198" s="26">
        <f ca="1"/>
        <v>11903.501882063434</v>
      </c>
      <c r="E198" s="26">
        <f ca="1"/>
        <v>19446.049060301066</v>
      </c>
      <c r="F198" s="26">
        <f ca="1"/>
        <v>29633.167552508796</v>
      </c>
      <c r="G198" s="26">
        <f ca="1"/>
        <v>65125.158216329764</v>
      </c>
      <c r="H198" s="26">
        <f ca="1"/>
        <v>114573.18177115964</v>
      </c>
      <c r="I198" s="26">
        <f ca="1"/>
        <v>190119.55473224999</v>
      </c>
      <c r="J198" s="26">
        <f ca="1"/>
        <v>215994.82415139762</v>
      </c>
      <c r="K198" s="26">
        <f ca="1"/>
        <v>222921.73480526218</v>
      </c>
      <c r="L198" s="26">
        <f ca="1"/>
        <v>224570.76893580865</v>
      </c>
      <c r="M198" s="6"/>
      <c r="N198" s="1" t="str">
        <f t="shared" si="5"/>
        <v>$M(2015)/million</v>
      </c>
      <c r="O198" s="1"/>
    </row>
    <row r="199" spans="1:17" x14ac:dyDescent="0.25">
      <c r="A199" t="str">
        <v>AF sea level</v>
      </c>
      <c r="C199" s="26">
        <f ca="1"/>
        <v>6100.342721915722</v>
      </c>
      <c r="D199" s="26">
        <f ca="1"/>
        <v>8316.9199236111326</v>
      </c>
      <c r="E199" s="26">
        <f ca="1"/>
        <v>11967.152269123095</v>
      </c>
      <c r="F199" s="26">
        <f ca="1"/>
        <v>17820.063955168254</v>
      </c>
      <c r="G199" s="26">
        <f ca="1"/>
        <v>47754.959698723331</v>
      </c>
      <c r="H199" s="26">
        <f ca="1"/>
        <v>103389.46791007425</v>
      </c>
      <c r="I199" s="26">
        <f ca="1"/>
        <v>390081.22397844482</v>
      </c>
      <c r="J199" s="26">
        <f ca="1"/>
        <v>746540.62183178263</v>
      </c>
      <c r="K199" s="26">
        <f ca="1"/>
        <v>1024842.4429830967</v>
      </c>
      <c r="L199" s="26">
        <f ca="1"/>
        <v>1195930.4976985403</v>
      </c>
      <c r="M199" s="6"/>
      <c r="N199" s="1" t="str">
        <f t="shared" si="5"/>
        <v>$M(2015)/million</v>
      </c>
      <c r="O199" s="1"/>
    </row>
    <row r="200" spans="1:17" x14ac:dyDescent="0.25">
      <c r="A200" t="str">
        <v>LA sea level</v>
      </c>
      <c r="C200" s="26">
        <f ca="1"/>
        <v>14597.479570021525</v>
      </c>
      <c r="D200" s="26">
        <f ca="1"/>
        <v>19611.751013557139</v>
      </c>
      <c r="E200" s="26">
        <f ca="1"/>
        <v>26727.057409995035</v>
      </c>
      <c r="F200" s="26">
        <f ca="1"/>
        <v>36155.443470052262</v>
      </c>
      <c r="G200" s="26">
        <f ca="1"/>
        <v>70489.357244564773</v>
      </c>
      <c r="H200" s="26">
        <f ca="1"/>
        <v>122173.9129989147</v>
      </c>
      <c r="I200" s="26">
        <f ca="1"/>
        <v>223004.91205014565</v>
      </c>
      <c r="J200" s="26">
        <f ca="1"/>
        <v>283276.45319446921</v>
      </c>
      <c r="K200" s="26">
        <f ca="1"/>
        <v>311464.88628707331</v>
      </c>
      <c r="L200" s="26">
        <f ca="1"/>
        <v>323348.31383784261</v>
      </c>
      <c r="M200" s="6"/>
      <c r="N200" s="1" t="str">
        <f t="shared" si="5"/>
        <v>$M(2015)/million</v>
      </c>
      <c r="O200" s="1"/>
    </row>
    <row r="201" spans="1:17" ht="15" x14ac:dyDescent="0.4">
      <c r="A201" s="2" t="s">
        <v>966</v>
      </c>
      <c r="C201" s="2" t="s">
        <v>727</v>
      </c>
      <c r="D201" s="6"/>
      <c r="E201" s="6"/>
      <c r="F201" s="6"/>
      <c r="G201" s="6"/>
      <c r="H201" s="6"/>
      <c r="I201" s="6"/>
      <c r="J201" s="6"/>
      <c r="K201" s="6"/>
      <c r="L201" s="6"/>
      <c r="M201" s="6"/>
      <c r="N201" s="1"/>
      <c r="O201" s="1"/>
    </row>
    <row r="202" spans="1:17" ht="13" x14ac:dyDescent="0.3">
      <c r="A202" t="str">
        <f t="array" ref="A202:A209">R_CODE&amp;" "&amp;I_1_NAME</f>
        <v>EU Economic</v>
      </c>
      <c r="C202" s="224">
        <f t="array" ref="C202:L209" ca="1" xml:space="preserve"> (IF(ECON_IMPF = ECON_IMPF_BURKE_LAG1_CONSUM, 1, 0) + IF(ECON_IMPF = ECON_IMPF_BURKE_LAG2_CONSUM, 2, 0)) * ( IMPF_COEFF_LIN * (i_1_burke_b - RTL_ABS_0) + IMPF_COEFF_QUADR * ( (i_1_burke_b - TCAL_BURKE)^2 - (RTL_ABS_0 - TCAL_BURKE)^2 ) )</f>
        <v>3.8457905587046615E-4</v>
      </c>
      <c r="D202" s="224">
        <f ca="1"/>
        <v>1.2497485730319901E-3</v>
      </c>
      <c r="E202" s="224">
        <f ca="1"/>
        <v>1.6566067574446709E-3</v>
      </c>
      <c r="F202" s="224">
        <f ca="1"/>
        <v>1.8518355247228776E-3</v>
      </c>
      <c r="G202" s="224">
        <f ca="1"/>
        <v>1.9897388216876376E-3</v>
      </c>
      <c r="H202" s="224">
        <f ca="1"/>
        <v>1.9625288923083815E-3</v>
      </c>
      <c r="I202" s="224">
        <f ca="1"/>
        <v>1.6619145677396821E-3</v>
      </c>
      <c r="J202" s="224">
        <f ca="1"/>
        <v>1.4200843604407565E-3</v>
      </c>
      <c r="K202" s="224">
        <f ca="1"/>
        <v>1.2537440449143442E-3</v>
      </c>
      <c r="L202" s="224">
        <f ca="1"/>
        <v>1.0684527732569725E-3</v>
      </c>
      <c r="M202" s="6"/>
      <c r="N202" s="59" t="s">
        <v>716</v>
      </c>
      <c r="O202" s="1"/>
      <c r="Q202" s="124" t="s">
        <v>732</v>
      </c>
    </row>
    <row r="203" spans="1:17" ht="13" x14ac:dyDescent="0.3">
      <c r="A203" t="str">
        <v>US Economic</v>
      </c>
      <c r="C203" s="224">
        <f ca="1"/>
        <v>-2.7350462825404876E-4</v>
      </c>
      <c r="D203" s="224">
        <f ca="1"/>
        <v>-1.2380331984885723E-3</v>
      </c>
      <c r="E203" s="224">
        <f ca="1"/>
        <v>-2.0204081442825065E-3</v>
      </c>
      <c r="F203" s="224">
        <f ca="1"/>
        <v>-2.5727985313674026E-3</v>
      </c>
      <c r="G203" s="224">
        <f ca="1"/>
        <v>-3.114708975863632E-3</v>
      </c>
      <c r="H203" s="224">
        <f ca="1"/>
        <v>-2.9919758452727607E-3</v>
      </c>
      <c r="I203" s="224">
        <f ca="1"/>
        <v>-2.0333217479834142E-3</v>
      </c>
      <c r="J203" s="224">
        <f ca="1"/>
        <v>-1.5241469005165386E-3</v>
      </c>
      <c r="K203" s="224">
        <f ca="1"/>
        <v>-1.2442225445159945E-3</v>
      </c>
      <c r="L203" s="224">
        <f ca="1"/>
        <v>-9.7903514223798144E-4</v>
      </c>
      <c r="M203" s="6"/>
      <c r="N203" s="59" t="s">
        <v>716</v>
      </c>
      <c r="O203" s="1"/>
      <c r="Q203" s="124" t="s">
        <v>888</v>
      </c>
    </row>
    <row r="204" spans="1:17" x14ac:dyDescent="0.25">
      <c r="A204" t="str">
        <v>OT Economic</v>
      </c>
      <c r="C204" s="224">
        <f ca="1"/>
        <v>1.4109264329745805E-5</v>
      </c>
      <c r="D204" s="224">
        <f ca="1"/>
        <v>-1.237718578592957E-4</v>
      </c>
      <c r="E204" s="224">
        <f ca="1"/>
        <v>-3.4830390603191562E-4</v>
      </c>
      <c r="F204" s="224">
        <f ca="1"/>
        <v>-5.4199824001212489E-4</v>
      </c>
      <c r="G204" s="224">
        <f ca="1"/>
        <v>-7.5250670149540864E-4</v>
      </c>
      <c r="H204" s="224">
        <f ca="1"/>
        <v>-7.0329316768068945E-4</v>
      </c>
      <c r="I204" s="224">
        <f ca="1"/>
        <v>-3.5254781648846531E-4</v>
      </c>
      <c r="J204" s="224">
        <f ca="1"/>
        <v>-1.9764940333094356E-4</v>
      </c>
      <c r="K204" s="224">
        <f ca="1"/>
        <v>-1.2525129722892273E-4</v>
      </c>
      <c r="L204" s="224">
        <f ca="1"/>
        <v>-6.7252000163165772E-5</v>
      </c>
      <c r="M204" s="6"/>
      <c r="N204" s="59" t="s">
        <v>716</v>
      </c>
      <c r="O204" s="1"/>
    </row>
    <row r="205" spans="1:17" x14ac:dyDescent="0.25">
      <c r="A205" t="str">
        <v>EE Economic</v>
      </c>
      <c r="C205" s="224">
        <f ca="1"/>
        <v>1.2097538453329452E-3</v>
      </c>
      <c r="D205" s="224">
        <f ca="1"/>
        <v>4.2103150443185975E-3</v>
      </c>
      <c r="E205" s="224">
        <f ca="1"/>
        <v>5.8840697182956508E-3</v>
      </c>
      <c r="F205" s="224">
        <f ca="1"/>
        <v>6.8286092986415692E-3</v>
      </c>
      <c r="G205" s="224">
        <f ca="1"/>
        <v>7.6170227347903165E-3</v>
      </c>
      <c r="H205" s="224">
        <f ca="1"/>
        <v>7.4488293707892003E-3</v>
      </c>
      <c r="I205" s="224">
        <f ca="1"/>
        <v>5.9080679971852731E-3</v>
      </c>
      <c r="J205" s="224">
        <f ca="1"/>
        <v>4.8779444735779706E-3</v>
      </c>
      <c r="K205" s="224">
        <f ca="1"/>
        <v>4.2255582972452275E-3</v>
      </c>
      <c r="L205" s="224">
        <f ca="1"/>
        <v>3.5361017457988305E-3</v>
      </c>
      <c r="M205" s="6"/>
      <c r="N205" s="59" t="s">
        <v>716</v>
      </c>
      <c r="O205" s="1"/>
    </row>
    <row r="206" spans="1:17" x14ac:dyDescent="0.25">
      <c r="A206" t="str">
        <v>CA Economic</v>
      </c>
      <c r="C206" s="224">
        <f ca="1"/>
        <v>-5.0638740936266677E-4</v>
      </c>
      <c r="D206" s="224">
        <f ca="1"/>
        <v>-2.0600955090651586E-3</v>
      </c>
      <c r="E206" s="224">
        <f ca="1"/>
        <v>-3.1809929912879845E-3</v>
      </c>
      <c r="F206" s="224">
        <f ca="1"/>
        <v>-3.9288984182261405E-3</v>
      </c>
      <c r="G206" s="224">
        <f ca="1"/>
        <v>-4.6372714157095979E-3</v>
      </c>
      <c r="H206" s="224">
        <f ca="1"/>
        <v>-4.4787387235837809E-3</v>
      </c>
      <c r="I206" s="224">
        <f ca="1"/>
        <v>-3.1988288318350591E-3</v>
      </c>
      <c r="J206" s="224">
        <f ca="1"/>
        <v>-2.4801908649487404E-3</v>
      </c>
      <c r="K206" s="224">
        <f ca="1"/>
        <v>-2.0693300497223615E-3</v>
      </c>
      <c r="L206" s="224">
        <f ca="1"/>
        <v>-1.6670037937630109E-3</v>
      </c>
      <c r="M206" s="6"/>
      <c r="N206" s="59" t="s">
        <v>716</v>
      </c>
      <c r="O206" s="1"/>
    </row>
    <row r="207" spans="1:17" x14ac:dyDescent="0.25">
      <c r="A207" t="str">
        <v>IA Economic</v>
      </c>
      <c r="C207" s="224">
        <f ca="1"/>
        <v>-1.9497732179217821E-3</v>
      </c>
      <c r="D207" s="224">
        <f ca="1"/>
        <v>-7.4276346691418554E-3</v>
      </c>
      <c r="E207" s="224">
        <f ca="1"/>
        <v>-1.1031319236657053E-2</v>
      </c>
      <c r="F207" s="224">
        <f ca="1"/>
        <v>-1.3313656227850343E-2</v>
      </c>
      <c r="G207" s="224">
        <f ca="1"/>
        <v>-1.5400027277385379E-2</v>
      </c>
      <c r="H207" s="224">
        <f ca="1"/>
        <v>-1.4938954204958447E-2</v>
      </c>
      <c r="I207" s="224">
        <f ca="1"/>
        <v>-1.1086792681132912E-2</v>
      </c>
      <c r="J207" s="224">
        <f ca="1"/>
        <v>-8.8068479381379731E-3</v>
      </c>
      <c r="K207" s="224">
        <f ca="1"/>
        <v>-7.4583550154161214E-3</v>
      </c>
      <c r="L207" s="224">
        <f ca="1"/>
        <v>-6.1019675606467779E-3</v>
      </c>
      <c r="M207" s="6"/>
      <c r="N207" s="59" t="s">
        <v>716</v>
      </c>
      <c r="O207" s="1"/>
    </row>
    <row r="208" spans="1:17" x14ac:dyDescent="0.25">
      <c r="A208" t="str">
        <v>AF Economic</v>
      </c>
      <c r="C208" s="224">
        <f ca="1"/>
        <v>-1.7909724782714021E-3</v>
      </c>
      <c r="D208" s="224">
        <f ca="1"/>
        <v>-6.885240126601919E-3</v>
      </c>
      <c r="E208" s="224">
        <f ca="1"/>
        <v>-1.0283729589929479E-2</v>
      </c>
      <c r="F208" s="224">
        <f ca="1"/>
        <v>-1.2454253678055574E-2</v>
      </c>
      <c r="G208" s="224">
        <f ca="1"/>
        <v>-1.4450197668337737E-2</v>
      </c>
      <c r="H208" s="224">
        <f ca="1"/>
        <v>-1.4008159487235489E-2</v>
      </c>
      <c r="I208" s="224">
        <f ca="1"/>
        <v>-1.0336321879369392E-2</v>
      </c>
      <c r="J208" s="224">
        <f ca="1"/>
        <v>-8.1816721872699193E-3</v>
      </c>
      <c r="K208" s="224">
        <f ca="1"/>
        <v>-6.9140580905424874E-3</v>
      </c>
      <c r="L208" s="224">
        <f ca="1"/>
        <v>-5.6442461519701148E-3</v>
      </c>
      <c r="M208" s="6"/>
      <c r="N208" s="59" t="s">
        <v>716</v>
      </c>
      <c r="O208" s="1"/>
    </row>
    <row r="209" spans="1:17" x14ac:dyDescent="0.25">
      <c r="A209" t="str">
        <v>LA Economic</v>
      </c>
      <c r="C209" s="224">
        <f ca="1"/>
        <v>-1.4051273465344562E-3</v>
      </c>
      <c r="D209" s="224">
        <f ca="1"/>
        <v>-5.3939309639744375E-3</v>
      </c>
      <c r="E209" s="224">
        <f ca="1"/>
        <v>-8.0490154301865457E-3</v>
      </c>
      <c r="F209" s="224">
        <f ca="1"/>
        <v>-9.7424976732829443E-3</v>
      </c>
      <c r="G209" s="224">
        <f ca="1"/>
        <v>-1.1298320751103036E-2</v>
      </c>
      <c r="H209" s="224">
        <f ca="1"/>
        <v>-1.0953871308107344E-2</v>
      </c>
      <c r="I209" s="224">
        <f ca="1"/>
        <v>-8.0900689823138801E-3</v>
      </c>
      <c r="J209" s="224">
        <f ca="1"/>
        <v>-6.4073006563526583E-3</v>
      </c>
      <c r="K209" s="224">
        <f ca="1"/>
        <v>-5.4164641057011329E-3</v>
      </c>
      <c r="L209" s="224">
        <f ca="1"/>
        <v>-4.423260084341591E-3</v>
      </c>
      <c r="M209" s="6"/>
      <c r="N209" s="59" t="s">
        <v>716</v>
      </c>
      <c r="O209" s="1"/>
    </row>
    <row r="210" spans="1:17" ht="15" x14ac:dyDescent="0.4">
      <c r="A210" s="2" t="s">
        <v>717</v>
      </c>
      <c r="C210" s="2" t="s">
        <v>715</v>
      </c>
      <c r="D210" s="6"/>
      <c r="E210" s="6"/>
      <c r="F210" s="6"/>
      <c r="G210" s="6"/>
      <c r="H210" s="6"/>
      <c r="I210" s="6"/>
      <c r="J210" s="6"/>
      <c r="K210" s="6"/>
      <c r="L210" s="6"/>
      <c r="M210" s="6"/>
      <c r="N210" s="1"/>
      <c r="O210" s="1"/>
    </row>
    <row r="211" spans="1:17" ht="13" x14ac:dyDescent="0.3">
      <c r="A211" t="str">
        <f t="array" ref="A211:A218">R_CODE&amp;" "&amp;I_1_NAME</f>
        <v>EU Economic</v>
      </c>
      <c r="C211" s="215">
        <f t="array" ref="C211:L218" ca="1">100 * WINCF_1 * (1 - EXP(i_1_log_b))</f>
        <v>-3.8465301587642386E-2</v>
      </c>
      <c r="D211" s="215">
        <f ca="1"/>
        <v>-0.12505298342060378</v>
      </c>
      <c r="E211" s="215">
        <f ca="1"/>
        <v>-0.16579796884499398</v>
      </c>
      <c r="F211" s="215">
        <f ca="1"/>
        <v>-0.18535512310333679</v>
      </c>
      <c r="G211" s="215">
        <f ca="1"/>
        <v>-0.19917196655463432</v>
      </c>
      <c r="H211" s="215">
        <f ca="1"/>
        <v>-0.19644559125397976</v>
      </c>
      <c r="I211" s="215">
        <f ca="1"/>
        <v>-0.1663296313096474</v>
      </c>
      <c r="J211" s="215">
        <f ca="1"/>
        <v>-0.14210931577054442</v>
      </c>
      <c r="K211" s="215">
        <f ca="1"/>
        <v>-0.12545303105371275</v>
      </c>
      <c r="L211" s="215">
        <f ca="1"/>
        <v>-0.1069023772265032</v>
      </c>
      <c r="M211" s="6"/>
      <c r="N211" s="59" t="s">
        <v>134</v>
      </c>
      <c r="O211" s="1"/>
      <c r="Q211" s="124" t="s">
        <v>732</v>
      </c>
    </row>
    <row r="212" spans="1:17" x14ac:dyDescent="0.25">
      <c r="A212" t="str">
        <v>US Economic</v>
      </c>
      <c r="C212" s="215">
        <f ca="1"/>
        <v>2.7346722927290568E-2</v>
      </c>
      <c r="D212" s="215">
        <f ca="1"/>
        <v>0.12372671515513689</v>
      </c>
      <c r="E212" s="215">
        <f ca="1"/>
        <v>0.20183684936212476</v>
      </c>
      <c r="F212" s="215">
        <f ca="1"/>
        <v>0.25694917217521374</v>
      </c>
      <c r="G212" s="215">
        <f ca="1"/>
        <v>0.3109863302121485</v>
      </c>
      <c r="H212" s="215">
        <f ca="1"/>
        <v>0.29875043461942141</v>
      </c>
      <c r="I212" s="215">
        <f ca="1"/>
        <v>0.20312559496994398</v>
      </c>
      <c r="J212" s="215">
        <f ca="1"/>
        <v>0.15229859785095279</v>
      </c>
      <c r="K212" s="215">
        <f ca="1"/>
        <v>0.12434488205740335</v>
      </c>
      <c r="L212" s="215">
        <f ca="1"/>
        <v>9.7855604369734284E-2</v>
      </c>
      <c r="M212" s="6"/>
      <c r="N212" s="59" t="s">
        <v>134</v>
      </c>
      <c r="O212" s="1"/>
    </row>
    <row r="213" spans="1:17" ht="13" x14ac:dyDescent="0.3">
      <c r="A213" t="str">
        <v>OT Economic</v>
      </c>
      <c r="C213" s="215">
        <f ca="1"/>
        <v>-1.4109363865921765E-3</v>
      </c>
      <c r="D213" s="215">
        <f ca="1"/>
        <v>1.2376419843895814E-2</v>
      </c>
      <c r="E213" s="215">
        <f ca="1"/>
        <v>3.4824325526827682E-2</v>
      </c>
      <c r="F213" s="215">
        <f ca="1"/>
        <v>5.4185138549889267E-2</v>
      </c>
      <c r="G213" s="215">
        <f ca="1"/>
        <v>7.5222363933402647E-2</v>
      </c>
      <c r="H213" s="215">
        <f ca="1"/>
        <v>7.0304591500791602E-2</v>
      </c>
      <c r="I213" s="215">
        <f ca="1"/>
        <v>3.5248567880941106E-2</v>
      </c>
      <c r="J213" s="215">
        <f ca="1"/>
        <v>1.9762987197446957E-2</v>
      </c>
      <c r="K213" s="215">
        <f ca="1"/>
        <v>1.2524345361264455E-2</v>
      </c>
      <c r="L213" s="215">
        <f ca="1"/>
        <v>6.7249738798125236E-3</v>
      </c>
      <c r="M213" s="6"/>
      <c r="N213" s="59" t="s">
        <v>134</v>
      </c>
      <c r="O213" s="1"/>
      <c r="Q213" s="124" t="s">
        <v>720</v>
      </c>
    </row>
    <row r="214" spans="1:17" x14ac:dyDescent="0.25">
      <c r="A214" t="str">
        <v>EE Economic</v>
      </c>
      <c r="C214" s="215">
        <f ca="1"/>
        <v>-0.12104858926853534</v>
      </c>
      <c r="D214" s="215">
        <f ca="1"/>
        <v>-0.42191908730113692</v>
      </c>
      <c r="E214" s="215">
        <f ca="1"/>
        <v>-0.59014148598399707</v>
      </c>
      <c r="F214" s="215">
        <f ca="1"/>
        <v>-0.68519774114070842</v>
      </c>
      <c r="G214" s="215">
        <f ca="1"/>
        <v>-0.76461060483192789</v>
      </c>
      <c r="H214" s="215">
        <f ca="1"/>
        <v>-0.74766409118756094</v>
      </c>
      <c r="I214" s="215">
        <f ca="1"/>
        <v>-0.59255550521897238</v>
      </c>
      <c r="J214" s="215">
        <f ca="1"/>
        <v>-0.48898610129151088</v>
      </c>
      <c r="K214" s="215">
        <f ca="1"/>
        <v>-0.42344985568008031</v>
      </c>
      <c r="L214" s="215">
        <f ca="1"/>
        <v>-0.35423611293414758</v>
      </c>
      <c r="M214" s="6"/>
      <c r="N214" s="59" t="s">
        <v>134</v>
      </c>
      <c r="O214" s="1"/>
    </row>
    <row r="215" spans="1:17" x14ac:dyDescent="0.25">
      <c r="A215" t="str">
        <v>CA Economic</v>
      </c>
      <c r="C215" s="215">
        <f ca="1"/>
        <v>5.062592168977309E-2</v>
      </c>
      <c r="D215" s="215">
        <f ca="1"/>
        <v>0.20579749687337223</v>
      </c>
      <c r="E215" s="215">
        <f ca="1"/>
        <v>0.31759389934135074</v>
      </c>
      <c r="F215" s="215">
        <f ca="1"/>
        <v>0.39211903948203064</v>
      </c>
      <c r="G215" s="215">
        <f ca="1"/>
        <v>0.46265358735698703</v>
      </c>
      <c r="H215" s="215">
        <f ca="1"/>
        <v>0.44687241298014824</v>
      </c>
      <c r="I215" s="215">
        <f ca="1"/>
        <v>0.31937180298666767</v>
      </c>
      <c r="J215" s="215">
        <f ca="1"/>
        <v>0.24771177327619354</v>
      </c>
      <c r="K215" s="215">
        <f ca="1"/>
        <v>0.20671904623869031</v>
      </c>
      <c r="L215" s="215">
        <f ca="1"/>
        <v>0.1665615114690433</v>
      </c>
      <c r="M215" s="6"/>
      <c r="N215" s="59" t="s">
        <v>134</v>
      </c>
      <c r="O215" s="1"/>
      <c r="Q215" s="3"/>
    </row>
    <row r="216" spans="1:17" x14ac:dyDescent="0.25">
      <c r="A216" t="str">
        <v>IA Economic</v>
      </c>
      <c r="C216" s="215">
        <f ca="1"/>
        <v>0.19478736449005662</v>
      </c>
      <c r="D216" s="215">
        <f ca="1"/>
        <v>0.7400117960919661</v>
      </c>
      <c r="E216" s="215">
        <f ca="1"/>
        <v>1.0970697352493453</v>
      </c>
      <c r="F216" s="215">
        <f ca="1"/>
        <v>1.3225421516368185</v>
      </c>
      <c r="G216" s="215">
        <f ca="1"/>
        <v>1.5282053234861537</v>
      </c>
      <c r="H216" s="215">
        <f ca="1"/>
        <v>1.4827921619788298</v>
      </c>
      <c r="I216" s="215">
        <f ca="1"/>
        <v>1.1025560692855652</v>
      </c>
      <c r="J216" s="215">
        <f ca="1"/>
        <v>0.87681812466495757</v>
      </c>
      <c r="K216" s="215">
        <f ca="1"/>
        <v>0.74306105046345605</v>
      </c>
      <c r="L216" s="215">
        <f ca="1"/>
        <v>0.60833883656811194</v>
      </c>
      <c r="M216" s="6"/>
      <c r="N216" s="59" t="s">
        <v>134</v>
      </c>
      <c r="O216" s="1"/>
    </row>
    <row r="217" spans="1:17" x14ac:dyDescent="0.25">
      <c r="A217" t="str">
        <v>AF Economic</v>
      </c>
      <c r="C217" s="215">
        <f ca="1"/>
        <v>0.17893696440824947</v>
      </c>
      <c r="D217" s="215">
        <f ca="1"/>
        <v>0.68615911681817465</v>
      </c>
      <c r="E217" s="215">
        <f ca="1"/>
        <v>1.02310328372065</v>
      </c>
      <c r="F217" s="215">
        <f ca="1"/>
        <v>1.2377020420731411</v>
      </c>
      <c r="G217" s="215">
        <f ca="1"/>
        <v>1.4346294637203494</v>
      </c>
      <c r="H217" s="215">
        <f ca="1"/>
        <v>1.3910501754637705</v>
      </c>
      <c r="I217" s="215">
        <f ca="1"/>
        <v>1.0283085684404947</v>
      </c>
      <c r="J217" s="215">
        <f ca="1"/>
        <v>0.81482934008413332</v>
      </c>
      <c r="K217" s="215">
        <f ca="1"/>
        <v>0.68902109826510793</v>
      </c>
      <c r="L217" s="215">
        <f ca="1"/>
        <v>0.56283473210273494</v>
      </c>
      <c r="M217" s="6"/>
      <c r="N217" s="59" t="s">
        <v>134</v>
      </c>
      <c r="O217" s="1"/>
    </row>
    <row r="218" spans="1:17" x14ac:dyDescent="0.25">
      <c r="A218" t="str">
        <v>LA Economic</v>
      </c>
      <c r="C218" s="215">
        <f ca="1"/>
        <v>0.14041406173186388</v>
      </c>
      <c r="D218" s="215">
        <f ca="1"/>
        <v>0.53794098387328626</v>
      </c>
      <c r="E218" s="215">
        <f ca="1"/>
        <v>0.80167088423388488</v>
      </c>
      <c r="F218" s="215">
        <f ca="1"/>
        <v>0.96951932884190573</v>
      </c>
      <c r="G218" s="215">
        <f ca="1"/>
        <v>1.1234734423414272</v>
      </c>
      <c r="H218" s="215">
        <f ca="1"/>
        <v>1.0894096115463214</v>
      </c>
      <c r="I218" s="215">
        <f ca="1"/>
        <v>0.8057432444161905</v>
      </c>
      <c r="J218" s="215">
        <f ca="1"/>
        <v>0.6386817675722245</v>
      </c>
      <c r="K218" s="215">
        <f ca="1"/>
        <v>0.54018215129515434</v>
      </c>
      <c r="L218" s="215">
        <f ca="1"/>
        <v>0.44134918772021914</v>
      </c>
      <c r="M218" s="6"/>
      <c r="N218" s="59" t="s">
        <v>134</v>
      </c>
      <c r="O218" s="1"/>
    </row>
    <row r="219" spans="1:17" s="2" customFormat="1" ht="15" x14ac:dyDescent="0.4">
      <c r="A219" s="2" t="s">
        <v>718</v>
      </c>
      <c r="C219" s="2" t="s">
        <v>714</v>
      </c>
    </row>
    <row r="220" spans="1:17" x14ac:dyDescent="0.25">
      <c r="A220" t="str">
        <f t="array" ref="A220:A227">R_CODE&amp;" "&amp;I_1_NAME</f>
        <v>EU Economic</v>
      </c>
      <c r="C220" s="215">
        <f t="array" ref="C220:L227" xml:space="preserve"> IF(ECON_IMPF_SWITCH=0, WINCF_1*((W_1+IBEN_1*TCAL)*((i_1_b/TCAL)^POW_1)-i_1_b*IBEN_1), 0)</f>
        <v>0</v>
      </c>
      <c r="D220" s="215">
        <v>0</v>
      </c>
      <c r="E220" s="215">
        <v>0</v>
      </c>
      <c r="F220" s="215">
        <v>0</v>
      </c>
      <c r="G220" s="215">
        <v>0</v>
      </c>
      <c r="H220" s="215">
        <v>0</v>
      </c>
      <c r="I220" s="215">
        <v>0</v>
      </c>
      <c r="J220" s="215">
        <v>0</v>
      </c>
      <c r="K220" s="215">
        <v>0</v>
      </c>
      <c r="L220" s="215">
        <v>0</v>
      </c>
      <c r="M220" s="6"/>
      <c r="N220" s="59" t="s">
        <v>134</v>
      </c>
    </row>
    <row r="221" spans="1:17" x14ac:dyDescent="0.25">
      <c r="A221" t="str">
        <v>US Economic</v>
      </c>
      <c r="C221" s="215">
        <v>0</v>
      </c>
      <c r="D221" s="215">
        <v>0</v>
      </c>
      <c r="E221" s="215">
        <v>0</v>
      </c>
      <c r="F221" s="215">
        <v>0</v>
      </c>
      <c r="G221" s="215">
        <v>0</v>
      </c>
      <c r="H221" s="215">
        <v>0</v>
      </c>
      <c r="I221" s="215">
        <v>0</v>
      </c>
      <c r="J221" s="215">
        <v>0</v>
      </c>
      <c r="K221" s="215">
        <v>0</v>
      </c>
      <c r="L221" s="215">
        <v>0</v>
      </c>
      <c r="M221" s="6"/>
      <c r="N221" s="59" t="s">
        <v>134</v>
      </c>
    </row>
    <row r="222" spans="1:17" x14ac:dyDescent="0.25">
      <c r="A222" t="str">
        <v>OT Economic</v>
      </c>
      <c r="C222" s="215">
        <v>0</v>
      </c>
      <c r="D222" s="215">
        <v>0</v>
      </c>
      <c r="E222" s="215">
        <v>0</v>
      </c>
      <c r="F222" s="215">
        <v>0</v>
      </c>
      <c r="G222" s="215">
        <v>0</v>
      </c>
      <c r="H222" s="215">
        <v>0</v>
      </c>
      <c r="I222" s="215">
        <v>0</v>
      </c>
      <c r="J222" s="215">
        <v>0</v>
      </c>
      <c r="K222" s="215">
        <v>0</v>
      </c>
      <c r="L222" s="215">
        <v>0</v>
      </c>
      <c r="M222" s="6"/>
      <c r="N222" s="59" t="s">
        <v>134</v>
      </c>
    </row>
    <row r="223" spans="1:17" x14ac:dyDescent="0.25">
      <c r="A223" t="str">
        <v>EE Economic</v>
      </c>
      <c r="C223" s="215">
        <v>0</v>
      </c>
      <c r="D223" s="215">
        <v>0</v>
      </c>
      <c r="E223" s="215">
        <v>0</v>
      </c>
      <c r="F223" s="215">
        <v>0</v>
      </c>
      <c r="G223" s="215">
        <v>0</v>
      </c>
      <c r="H223" s="215">
        <v>0</v>
      </c>
      <c r="I223" s="215">
        <v>0</v>
      </c>
      <c r="J223" s="215">
        <v>0</v>
      </c>
      <c r="K223" s="215">
        <v>0</v>
      </c>
      <c r="L223" s="215">
        <v>0</v>
      </c>
      <c r="M223" s="6"/>
      <c r="N223" s="59" t="s">
        <v>134</v>
      </c>
    </row>
    <row r="224" spans="1:17" x14ac:dyDescent="0.25">
      <c r="A224" t="str">
        <v>CA Economic</v>
      </c>
      <c r="C224" s="215">
        <v>0</v>
      </c>
      <c r="D224" s="215">
        <v>0</v>
      </c>
      <c r="E224" s="215">
        <v>0</v>
      </c>
      <c r="F224" s="215">
        <v>0</v>
      </c>
      <c r="G224" s="215">
        <v>0</v>
      </c>
      <c r="H224" s="215">
        <v>0</v>
      </c>
      <c r="I224" s="215">
        <v>0</v>
      </c>
      <c r="J224" s="215">
        <v>0</v>
      </c>
      <c r="K224" s="215">
        <v>0</v>
      </c>
      <c r="L224" s="215">
        <v>0</v>
      </c>
      <c r="M224" s="6"/>
      <c r="N224" s="59" t="s">
        <v>134</v>
      </c>
    </row>
    <row r="225" spans="1:17" x14ac:dyDescent="0.25">
      <c r="A225" t="str">
        <v>IA Economic</v>
      </c>
      <c r="C225" s="215">
        <v>0</v>
      </c>
      <c r="D225" s="215">
        <v>0</v>
      </c>
      <c r="E225" s="215">
        <v>0</v>
      </c>
      <c r="F225" s="215">
        <v>0</v>
      </c>
      <c r="G225" s="215">
        <v>0</v>
      </c>
      <c r="H225" s="215">
        <v>0</v>
      </c>
      <c r="I225" s="215">
        <v>0</v>
      </c>
      <c r="J225" s="215">
        <v>0</v>
      </c>
      <c r="K225" s="215">
        <v>0</v>
      </c>
      <c r="L225" s="215">
        <v>0</v>
      </c>
      <c r="M225" s="6"/>
      <c r="N225" s="59" t="s">
        <v>134</v>
      </c>
    </row>
    <row r="226" spans="1:17" x14ac:dyDescent="0.25">
      <c r="A226" t="str">
        <v>AF Economic</v>
      </c>
      <c r="C226" s="215">
        <v>0</v>
      </c>
      <c r="D226" s="215">
        <v>0</v>
      </c>
      <c r="E226" s="215">
        <v>0</v>
      </c>
      <c r="F226" s="215">
        <v>0</v>
      </c>
      <c r="G226" s="215">
        <v>0</v>
      </c>
      <c r="H226" s="215">
        <v>0</v>
      </c>
      <c r="I226" s="215">
        <v>0</v>
      </c>
      <c r="J226" s="215">
        <v>0</v>
      </c>
      <c r="K226" s="215">
        <v>0</v>
      </c>
      <c r="L226" s="215">
        <v>0</v>
      </c>
      <c r="M226" s="6"/>
      <c r="N226" s="59" t="s">
        <v>134</v>
      </c>
    </row>
    <row r="227" spans="1:17" x14ac:dyDescent="0.25">
      <c r="A227" t="str">
        <v>LA Economic</v>
      </c>
      <c r="C227" s="215">
        <v>0</v>
      </c>
      <c r="D227" s="215">
        <v>0</v>
      </c>
      <c r="E227" s="215">
        <v>0</v>
      </c>
      <c r="F227" s="215">
        <v>0</v>
      </c>
      <c r="G227" s="215">
        <v>0</v>
      </c>
      <c r="H227" s="215">
        <v>0</v>
      </c>
      <c r="I227" s="215">
        <v>0</v>
      </c>
      <c r="J227" s="215">
        <v>0</v>
      </c>
      <c r="K227" s="215">
        <v>0</v>
      </c>
      <c r="L227" s="215">
        <v>0</v>
      </c>
      <c r="M227" s="6"/>
      <c r="N227" s="59" t="s">
        <v>134</v>
      </c>
    </row>
    <row r="228" spans="1:17" ht="15" x14ac:dyDescent="0.4">
      <c r="A228" s="2" t="s">
        <v>733</v>
      </c>
      <c r="C228" s="2" t="s">
        <v>734</v>
      </c>
      <c r="D228" s="6"/>
      <c r="E228" s="6"/>
      <c r="F228" s="6"/>
      <c r="G228" s="6"/>
      <c r="H228" s="6"/>
      <c r="I228" s="6"/>
      <c r="J228" s="6"/>
      <c r="K228" s="6"/>
      <c r="L228" s="6"/>
      <c r="M228" s="6"/>
      <c r="N228" s="59"/>
    </row>
    <row r="229" spans="1:17" x14ac:dyDescent="0.25">
      <c r="A229" t="str">
        <f t="array" ref="A229:A236">R_CODE&amp;" "&amp;I_1_NAME</f>
        <v>EU Economic</v>
      </c>
      <c r="C229" s="214">
        <f t="array" ref="C229:L236" ca="1" xml:space="preserve"> IF(ECON_IMPF_SWITCH = 0, iref_1_page_b, 0) + IF(ECON_IMPF_SWITCH = 1, iref_1_burke_b, 0)</f>
        <v>-3.8465301587642386E-2</v>
      </c>
      <c r="D229" s="214">
        <f ca="1"/>
        <v>-0.12505298342060378</v>
      </c>
      <c r="E229" s="214">
        <f ca="1"/>
        <v>-0.16579796884499398</v>
      </c>
      <c r="F229" s="214">
        <f ca="1"/>
        <v>-0.18535512310333679</v>
      </c>
      <c r="G229" s="214">
        <f ca="1"/>
        <v>-0.19917196655463432</v>
      </c>
      <c r="H229" s="214">
        <f ca="1"/>
        <v>-0.19644559125397976</v>
      </c>
      <c r="I229" s="214">
        <f ca="1"/>
        <v>-0.1663296313096474</v>
      </c>
      <c r="J229" s="214">
        <f ca="1"/>
        <v>-0.14210931577054442</v>
      </c>
      <c r="K229" s="214">
        <f ca="1"/>
        <v>-0.12545303105371275</v>
      </c>
      <c r="L229" s="214">
        <f ca="1"/>
        <v>-0.1069023772265032</v>
      </c>
      <c r="M229" s="6"/>
      <c r="N229" s="59" t="s">
        <v>134</v>
      </c>
    </row>
    <row r="230" spans="1:17" x14ac:dyDescent="0.25">
      <c r="A230" t="str">
        <v>US Economic</v>
      </c>
      <c r="C230" s="215">
        <f ca="1"/>
        <v>2.7346722927290568E-2</v>
      </c>
      <c r="D230" s="215">
        <f ca="1"/>
        <v>0.12372671515513689</v>
      </c>
      <c r="E230" s="215">
        <f ca="1"/>
        <v>0.20183684936212476</v>
      </c>
      <c r="F230" s="215">
        <f ca="1"/>
        <v>0.25694917217521374</v>
      </c>
      <c r="G230" s="215">
        <f ca="1"/>
        <v>0.3109863302121485</v>
      </c>
      <c r="H230" s="215">
        <f ca="1"/>
        <v>0.29875043461942141</v>
      </c>
      <c r="I230" s="215">
        <f ca="1"/>
        <v>0.20312559496994398</v>
      </c>
      <c r="J230" s="215">
        <f ca="1"/>
        <v>0.15229859785095279</v>
      </c>
      <c r="K230" s="215">
        <f ca="1"/>
        <v>0.12434488205740335</v>
      </c>
      <c r="L230" s="215">
        <f ca="1"/>
        <v>9.7855604369734284E-2</v>
      </c>
      <c r="M230" s="6"/>
      <c r="N230" s="59" t="s">
        <v>134</v>
      </c>
    </row>
    <row r="231" spans="1:17" x14ac:dyDescent="0.25">
      <c r="A231" t="str">
        <v>OT Economic</v>
      </c>
      <c r="C231" s="215">
        <f ca="1"/>
        <v>-1.4109363865921765E-3</v>
      </c>
      <c r="D231" s="215">
        <f ca="1"/>
        <v>1.2376419843895814E-2</v>
      </c>
      <c r="E231" s="215">
        <f ca="1"/>
        <v>3.4824325526827682E-2</v>
      </c>
      <c r="F231" s="215">
        <f ca="1"/>
        <v>5.4185138549889267E-2</v>
      </c>
      <c r="G231" s="215">
        <f ca="1"/>
        <v>7.5222363933402647E-2</v>
      </c>
      <c r="H231" s="215">
        <f ca="1"/>
        <v>7.0304591500791602E-2</v>
      </c>
      <c r="I231" s="215">
        <f ca="1"/>
        <v>3.5248567880941106E-2</v>
      </c>
      <c r="J231" s="215">
        <f ca="1"/>
        <v>1.9762987197446957E-2</v>
      </c>
      <c r="K231" s="215">
        <f ca="1"/>
        <v>1.2524345361264455E-2</v>
      </c>
      <c r="L231" s="215">
        <f ca="1"/>
        <v>6.7249738798125236E-3</v>
      </c>
      <c r="M231" s="6"/>
      <c r="N231" s="59" t="s">
        <v>134</v>
      </c>
    </row>
    <row r="232" spans="1:17" x14ac:dyDescent="0.25">
      <c r="A232" t="str">
        <v>EE Economic</v>
      </c>
      <c r="C232" s="215">
        <f ca="1"/>
        <v>-0.12104858926853534</v>
      </c>
      <c r="D232" s="215">
        <f ca="1"/>
        <v>-0.42191908730113692</v>
      </c>
      <c r="E232" s="215">
        <f ca="1"/>
        <v>-0.59014148598399707</v>
      </c>
      <c r="F232" s="215">
        <f ca="1"/>
        <v>-0.68519774114070842</v>
      </c>
      <c r="G232" s="215">
        <f ca="1"/>
        <v>-0.76461060483192789</v>
      </c>
      <c r="H232" s="215">
        <f ca="1"/>
        <v>-0.74766409118756094</v>
      </c>
      <c r="I232" s="215">
        <f ca="1"/>
        <v>-0.59255550521897238</v>
      </c>
      <c r="J232" s="215">
        <f ca="1"/>
        <v>-0.48898610129151088</v>
      </c>
      <c r="K232" s="215">
        <f ca="1"/>
        <v>-0.42344985568008031</v>
      </c>
      <c r="L232" s="215">
        <f ca="1"/>
        <v>-0.35423611293414758</v>
      </c>
      <c r="M232" s="6"/>
      <c r="N232" s="59" t="s">
        <v>134</v>
      </c>
    </row>
    <row r="233" spans="1:17" x14ac:dyDescent="0.25">
      <c r="A233" t="str">
        <v>CA Economic</v>
      </c>
      <c r="C233" s="215">
        <f ca="1"/>
        <v>5.062592168977309E-2</v>
      </c>
      <c r="D233" s="215">
        <f ca="1"/>
        <v>0.20579749687337223</v>
      </c>
      <c r="E233" s="215">
        <f ca="1"/>
        <v>0.31759389934135074</v>
      </c>
      <c r="F233" s="215">
        <f ca="1"/>
        <v>0.39211903948203064</v>
      </c>
      <c r="G233" s="215">
        <f ca="1"/>
        <v>0.46265358735698703</v>
      </c>
      <c r="H233" s="215">
        <f ca="1"/>
        <v>0.44687241298014824</v>
      </c>
      <c r="I233" s="215">
        <f ca="1"/>
        <v>0.31937180298666767</v>
      </c>
      <c r="J233" s="215">
        <f ca="1"/>
        <v>0.24771177327619354</v>
      </c>
      <c r="K233" s="215">
        <f ca="1"/>
        <v>0.20671904623869031</v>
      </c>
      <c r="L233" s="215">
        <f ca="1"/>
        <v>0.1665615114690433</v>
      </c>
      <c r="M233" s="6"/>
      <c r="N233" s="59" t="s">
        <v>134</v>
      </c>
    </row>
    <row r="234" spans="1:17" x14ac:dyDescent="0.25">
      <c r="A234" t="str">
        <v>IA Economic</v>
      </c>
      <c r="C234" s="215">
        <f ca="1"/>
        <v>0.19478736449005662</v>
      </c>
      <c r="D234" s="215">
        <f ca="1"/>
        <v>0.7400117960919661</v>
      </c>
      <c r="E234" s="215">
        <f ca="1"/>
        <v>1.0970697352493453</v>
      </c>
      <c r="F234" s="215">
        <f ca="1"/>
        <v>1.3225421516368185</v>
      </c>
      <c r="G234" s="215">
        <f ca="1"/>
        <v>1.5282053234861537</v>
      </c>
      <c r="H234" s="215">
        <f ca="1"/>
        <v>1.4827921619788298</v>
      </c>
      <c r="I234" s="215">
        <f ca="1"/>
        <v>1.1025560692855652</v>
      </c>
      <c r="J234" s="215">
        <f ca="1"/>
        <v>0.87681812466495757</v>
      </c>
      <c r="K234" s="215">
        <f ca="1"/>
        <v>0.74306105046345605</v>
      </c>
      <c r="L234" s="215">
        <f ca="1"/>
        <v>0.60833883656811194</v>
      </c>
      <c r="M234" s="6"/>
      <c r="N234" s="59" t="s">
        <v>134</v>
      </c>
    </row>
    <row r="235" spans="1:17" x14ac:dyDescent="0.25">
      <c r="A235" t="str">
        <v>AF Economic</v>
      </c>
      <c r="C235" s="215">
        <f ca="1"/>
        <v>0.17893696440824947</v>
      </c>
      <c r="D235" s="215">
        <f ca="1"/>
        <v>0.68615911681817465</v>
      </c>
      <c r="E235" s="215">
        <f ca="1"/>
        <v>1.02310328372065</v>
      </c>
      <c r="F235" s="215">
        <f ca="1"/>
        <v>1.2377020420731411</v>
      </c>
      <c r="G235" s="215">
        <f ca="1"/>
        <v>1.4346294637203494</v>
      </c>
      <c r="H235" s="215">
        <f ca="1"/>
        <v>1.3910501754637705</v>
      </c>
      <c r="I235" s="215">
        <f ca="1"/>
        <v>1.0283085684404947</v>
      </c>
      <c r="J235" s="215">
        <f ca="1"/>
        <v>0.81482934008413332</v>
      </c>
      <c r="K235" s="215">
        <f ca="1"/>
        <v>0.68902109826510793</v>
      </c>
      <c r="L235" s="215">
        <f ca="1"/>
        <v>0.56283473210273494</v>
      </c>
      <c r="M235" s="6"/>
      <c r="N235" s="59" t="s">
        <v>134</v>
      </c>
    </row>
    <row r="236" spans="1:17" x14ac:dyDescent="0.25">
      <c r="A236" t="str">
        <v>LA Economic</v>
      </c>
      <c r="C236" s="215">
        <f ca="1"/>
        <v>0.14041406173186388</v>
      </c>
      <c r="D236" s="215">
        <f ca="1"/>
        <v>0.53794098387328626</v>
      </c>
      <c r="E236" s="215">
        <f ca="1"/>
        <v>0.80167088423388488</v>
      </c>
      <c r="F236" s="215">
        <f ca="1"/>
        <v>0.96951932884190573</v>
      </c>
      <c r="G236" s="215">
        <f ca="1"/>
        <v>1.1234734423414272</v>
      </c>
      <c r="H236" s="215">
        <f ca="1"/>
        <v>1.0894096115463214</v>
      </c>
      <c r="I236" s="215">
        <f ca="1"/>
        <v>0.8057432444161905</v>
      </c>
      <c r="J236" s="215">
        <f ca="1"/>
        <v>0.6386817675722245</v>
      </c>
      <c r="K236" s="215">
        <f ca="1"/>
        <v>0.54018215129515434</v>
      </c>
      <c r="L236" s="215">
        <f ca="1"/>
        <v>0.44134918772021914</v>
      </c>
      <c r="M236" s="6"/>
      <c r="N236" s="59" t="s">
        <v>134</v>
      </c>
    </row>
    <row r="237" spans="1:17" s="2" customFormat="1" ht="15" x14ac:dyDescent="0.4">
      <c r="A237" s="2" t="s">
        <v>221</v>
      </c>
      <c r="C237" s="2" t="s">
        <v>235</v>
      </c>
    </row>
    <row r="238" spans="1:17" ht="13" x14ac:dyDescent="0.3">
      <c r="A238" t="str">
        <f t="array" ref="A238:A245">R_CODE&amp;" "&amp;I_1_NAME</f>
        <v>EU Economic</v>
      </c>
      <c r="C238" s="29">
        <f t="array" ref="C238:L245" ca="1" xml:space="preserve"> iref_1_b * ((rgdp_s_per_cap_b/GDP_PER_CAP_FOCUS_0)^IPOW_1)</f>
        <v>-3.8465301587642386E-2</v>
      </c>
      <c r="D238" s="29">
        <f ca="1"/>
        <v>-0.12505298342060378</v>
      </c>
      <c r="E238" s="29">
        <f ca="1"/>
        <v>-0.16579796884499398</v>
      </c>
      <c r="F238" s="29">
        <f ca="1"/>
        <v>-0.18535512310333679</v>
      </c>
      <c r="G238" s="29">
        <f ca="1"/>
        <v>-0.19917196655463432</v>
      </c>
      <c r="H238" s="29">
        <f ca="1"/>
        <v>-0.19644559125397976</v>
      </c>
      <c r="I238" s="29">
        <f ca="1"/>
        <v>-0.1663296313096474</v>
      </c>
      <c r="J238" s="29">
        <f ca="1"/>
        <v>-0.14210931577054442</v>
      </c>
      <c r="K238" s="29">
        <f ca="1"/>
        <v>-0.12545303105371275</v>
      </c>
      <c r="L238" s="29">
        <f ca="1"/>
        <v>-0.1069023772265032</v>
      </c>
      <c r="M238" s="6"/>
      <c r="N238" s="59" t="s">
        <v>134</v>
      </c>
      <c r="Q238" s="124" t="s">
        <v>728</v>
      </c>
    </row>
    <row r="239" spans="1:17" x14ac:dyDescent="0.25">
      <c r="A239" t="str">
        <v>US Economic</v>
      </c>
      <c r="C239" s="26">
        <f ca="1"/>
        <v>2.7346722927290568E-2</v>
      </c>
      <c r="D239" s="26">
        <f ca="1"/>
        <v>0.12372671515513689</v>
      </c>
      <c r="E239" s="26">
        <f ca="1"/>
        <v>0.20183684936212476</v>
      </c>
      <c r="F239" s="26">
        <f ca="1"/>
        <v>0.25694917217521374</v>
      </c>
      <c r="G239" s="26">
        <f ca="1"/>
        <v>0.3109863302121485</v>
      </c>
      <c r="H239" s="26">
        <f ca="1"/>
        <v>0.29875043461942141</v>
      </c>
      <c r="I239" s="26">
        <f ca="1"/>
        <v>0.20312559496994398</v>
      </c>
      <c r="J239" s="26">
        <f ca="1"/>
        <v>0.15229859785095279</v>
      </c>
      <c r="K239" s="26">
        <f ca="1"/>
        <v>0.12434488205740335</v>
      </c>
      <c r="L239" s="26">
        <f ca="1"/>
        <v>9.7855604369734284E-2</v>
      </c>
      <c r="M239" s="6"/>
      <c r="N239" s="59" t="s">
        <v>134</v>
      </c>
    </row>
    <row r="240" spans="1:17" x14ac:dyDescent="0.25">
      <c r="A240" t="str">
        <v>OT Economic</v>
      </c>
      <c r="C240" s="26">
        <f ca="1"/>
        <v>-1.4109363865921765E-3</v>
      </c>
      <c r="D240" s="26">
        <f ca="1"/>
        <v>1.2376419843895814E-2</v>
      </c>
      <c r="E240" s="26">
        <f ca="1"/>
        <v>3.4824325526827682E-2</v>
      </c>
      <c r="F240" s="26">
        <f ca="1"/>
        <v>5.4185138549889267E-2</v>
      </c>
      <c r="G240" s="26">
        <f ca="1"/>
        <v>7.5222363933402647E-2</v>
      </c>
      <c r="H240" s="26">
        <f ca="1"/>
        <v>7.0304591500791602E-2</v>
      </c>
      <c r="I240" s="26">
        <f ca="1"/>
        <v>3.5248567880941106E-2</v>
      </c>
      <c r="J240" s="26">
        <f ca="1"/>
        <v>1.9762987197446957E-2</v>
      </c>
      <c r="K240" s="26">
        <f ca="1"/>
        <v>1.2524345361264455E-2</v>
      </c>
      <c r="L240" s="26">
        <f ca="1"/>
        <v>6.7249738798125236E-3</v>
      </c>
      <c r="M240" s="6"/>
      <c r="N240" s="59" t="s">
        <v>134</v>
      </c>
    </row>
    <row r="241" spans="1:17" x14ac:dyDescent="0.25">
      <c r="A241" t="str">
        <v>EE Economic</v>
      </c>
      <c r="C241" s="26">
        <f ca="1"/>
        <v>-0.12104858926853534</v>
      </c>
      <c r="D241" s="26">
        <f ca="1"/>
        <v>-0.42191908730113692</v>
      </c>
      <c r="E241" s="26">
        <f ca="1"/>
        <v>-0.59014148598399707</v>
      </c>
      <c r="F241" s="26">
        <f ca="1"/>
        <v>-0.68519774114070842</v>
      </c>
      <c r="G241" s="26">
        <f ca="1"/>
        <v>-0.76461060483192789</v>
      </c>
      <c r="H241" s="26">
        <f ca="1"/>
        <v>-0.74766409118756094</v>
      </c>
      <c r="I241" s="26">
        <f ca="1"/>
        <v>-0.59255550521897238</v>
      </c>
      <c r="J241" s="26">
        <f ca="1"/>
        <v>-0.48898610129151088</v>
      </c>
      <c r="K241" s="26">
        <f ca="1"/>
        <v>-0.42344985568008031</v>
      </c>
      <c r="L241" s="26">
        <f ca="1"/>
        <v>-0.35423611293414758</v>
      </c>
      <c r="M241" s="6"/>
      <c r="N241" s="59" t="s">
        <v>134</v>
      </c>
    </row>
    <row r="242" spans="1:17" x14ac:dyDescent="0.25">
      <c r="A242" t="str">
        <v>CA Economic</v>
      </c>
      <c r="C242" s="26">
        <f ca="1"/>
        <v>5.062592168977309E-2</v>
      </c>
      <c r="D242" s="26">
        <f ca="1"/>
        <v>0.20579749687337223</v>
      </c>
      <c r="E242" s="26">
        <f ca="1"/>
        <v>0.31759389934135074</v>
      </c>
      <c r="F242" s="26">
        <f ca="1"/>
        <v>0.39211903948203064</v>
      </c>
      <c r="G242" s="26">
        <f ca="1"/>
        <v>0.46265358735698703</v>
      </c>
      <c r="H242" s="26">
        <f ca="1"/>
        <v>0.44687241298014824</v>
      </c>
      <c r="I242" s="26">
        <f ca="1"/>
        <v>0.31937180298666767</v>
      </c>
      <c r="J242" s="26">
        <f ca="1"/>
        <v>0.24771177327619354</v>
      </c>
      <c r="K242" s="26">
        <f ca="1"/>
        <v>0.20671904623869031</v>
      </c>
      <c r="L242" s="26">
        <f ca="1"/>
        <v>0.1665615114690433</v>
      </c>
      <c r="M242" s="6"/>
      <c r="N242" s="59" t="s">
        <v>134</v>
      </c>
    </row>
    <row r="243" spans="1:17" x14ac:dyDescent="0.25">
      <c r="A243" t="str">
        <v>IA Economic</v>
      </c>
      <c r="C243" s="26">
        <f ca="1"/>
        <v>0.19478736449005662</v>
      </c>
      <c r="D243" s="26">
        <f ca="1"/>
        <v>0.7400117960919661</v>
      </c>
      <c r="E243" s="26">
        <f ca="1"/>
        <v>1.0970697352493453</v>
      </c>
      <c r="F243" s="26">
        <f ca="1"/>
        <v>1.3225421516368185</v>
      </c>
      <c r="G243" s="26">
        <f ca="1"/>
        <v>1.5282053234861537</v>
      </c>
      <c r="H243" s="26">
        <f ca="1"/>
        <v>1.4827921619788298</v>
      </c>
      <c r="I243" s="26">
        <f ca="1"/>
        <v>1.1025560692855652</v>
      </c>
      <c r="J243" s="26">
        <f ca="1"/>
        <v>0.87681812466495757</v>
      </c>
      <c r="K243" s="26">
        <f ca="1"/>
        <v>0.74306105046345605</v>
      </c>
      <c r="L243" s="26">
        <f ca="1"/>
        <v>0.60833883656811194</v>
      </c>
      <c r="M243" s="6"/>
      <c r="N243" s="59" t="s">
        <v>134</v>
      </c>
    </row>
    <row r="244" spans="1:17" x14ac:dyDescent="0.25">
      <c r="A244" t="str">
        <v>AF Economic</v>
      </c>
      <c r="C244" s="26">
        <f ca="1"/>
        <v>0.17893696440824947</v>
      </c>
      <c r="D244" s="26">
        <f ca="1"/>
        <v>0.68615911681817465</v>
      </c>
      <c r="E244" s="26">
        <f ca="1"/>
        <v>1.02310328372065</v>
      </c>
      <c r="F244" s="26">
        <f ca="1"/>
        <v>1.2377020420731411</v>
      </c>
      <c r="G244" s="26">
        <f ca="1"/>
        <v>1.4346294637203494</v>
      </c>
      <c r="H244" s="26">
        <f ca="1"/>
        <v>1.3910501754637705</v>
      </c>
      <c r="I244" s="26">
        <f ca="1"/>
        <v>1.0283085684404947</v>
      </c>
      <c r="J244" s="26">
        <f ca="1"/>
        <v>0.81482934008413332</v>
      </c>
      <c r="K244" s="26">
        <f ca="1"/>
        <v>0.68902109826510793</v>
      </c>
      <c r="L244" s="26">
        <f ca="1"/>
        <v>0.56283473210273494</v>
      </c>
      <c r="M244" s="6"/>
      <c r="N244" s="59" t="s">
        <v>134</v>
      </c>
    </row>
    <row r="245" spans="1:17" x14ac:dyDescent="0.25">
      <c r="A245" t="str">
        <v>LA Economic</v>
      </c>
      <c r="C245" s="26">
        <f ca="1"/>
        <v>0.14041406173186388</v>
      </c>
      <c r="D245" s="26">
        <f ca="1"/>
        <v>0.53794098387328626</v>
      </c>
      <c r="E245" s="26">
        <f ca="1"/>
        <v>0.80167088423388488</v>
      </c>
      <c r="F245" s="26">
        <f ca="1"/>
        <v>0.96951932884190573</v>
      </c>
      <c r="G245" s="26">
        <f ca="1"/>
        <v>1.1234734423414272</v>
      </c>
      <c r="H245" s="26">
        <f ca="1"/>
        <v>1.0894096115463214</v>
      </c>
      <c r="I245" s="26">
        <f ca="1"/>
        <v>0.8057432444161905</v>
      </c>
      <c r="J245" s="26">
        <f ca="1"/>
        <v>0.6386817675722245</v>
      </c>
      <c r="K245" s="26">
        <f ca="1"/>
        <v>0.54018215129515434</v>
      </c>
      <c r="L245" s="26">
        <f ca="1"/>
        <v>0.44134918772021914</v>
      </c>
      <c r="M245" s="6"/>
      <c r="N245" s="59" t="s">
        <v>134</v>
      </c>
    </row>
    <row r="246" spans="1:17" s="2" customFormat="1" ht="15" x14ac:dyDescent="0.4">
      <c r="A246" s="2" t="s">
        <v>225</v>
      </c>
      <c r="C246" s="2" t="s">
        <v>236</v>
      </c>
    </row>
    <row r="247" spans="1:17" ht="13" x14ac:dyDescent="0.3">
      <c r="A247" t="str">
        <f t="array" ref="A247:A254">R_CODE&amp;" "&amp;I_1_NAME</f>
        <v>EU Economic</v>
      </c>
      <c r="C247" s="29">
        <f t="array" ref="C247:L254" ca="1">IF(igdp_1_b&lt;ISATG,igdp_1_b,ISATG+(100-SAVE-ISATG)*((igdp_1_b-ISATG)/((100-SAVE-ISATG)+(igdp_1_b-ISATG))))</f>
        <v>-3.8465301587642386E-2</v>
      </c>
      <c r="D247" s="29">
        <f ca="1"/>
        <v>-0.12505298342060378</v>
      </c>
      <c r="E247" s="29">
        <f ca="1"/>
        <v>-0.16579796884499398</v>
      </c>
      <c r="F247" s="29">
        <f ca="1"/>
        <v>-0.18535512310333679</v>
      </c>
      <c r="G247" s="29">
        <f ca="1"/>
        <v>-0.19917196655463432</v>
      </c>
      <c r="H247" s="29">
        <f ca="1"/>
        <v>-0.19644559125397976</v>
      </c>
      <c r="I247" s="29">
        <f ca="1"/>
        <v>-0.1663296313096474</v>
      </c>
      <c r="J247" s="29">
        <f ca="1"/>
        <v>-0.14210931577054442</v>
      </c>
      <c r="K247" s="29">
        <f ca="1"/>
        <v>-0.12545303105371275</v>
      </c>
      <c r="L247" s="29">
        <f ca="1"/>
        <v>-0.1069023772265032</v>
      </c>
      <c r="M247" s="6"/>
      <c r="N247" s="59" t="s">
        <v>134</v>
      </c>
      <c r="Q247" s="124" t="s">
        <v>724</v>
      </c>
    </row>
    <row r="248" spans="1:17" x14ac:dyDescent="0.25">
      <c r="A248" t="str">
        <v>US Economic</v>
      </c>
      <c r="C248" s="26">
        <f ca="1"/>
        <v>2.7346722927290568E-2</v>
      </c>
      <c r="D248" s="26">
        <f ca="1"/>
        <v>0.12372671515513689</v>
      </c>
      <c r="E248" s="26">
        <f ca="1"/>
        <v>0.20183684936212476</v>
      </c>
      <c r="F248" s="26">
        <f ca="1"/>
        <v>0.25694917217521374</v>
      </c>
      <c r="G248" s="26">
        <f ca="1"/>
        <v>0.3109863302121485</v>
      </c>
      <c r="H248" s="26">
        <f ca="1"/>
        <v>0.29875043461942141</v>
      </c>
      <c r="I248" s="26">
        <f ca="1"/>
        <v>0.20312559496994398</v>
      </c>
      <c r="J248" s="26">
        <f ca="1"/>
        <v>0.15229859785095279</v>
      </c>
      <c r="K248" s="26">
        <f ca="1"/>
        <v>0.12434488205740335</v>
      </c>
      <c r="L248" s="26">
        <f ca="1"/>
        <v>9.7855604369734284E-2</v>
      </c>
      <c r="M248" s="6"/>
      <c r="N248" s="59" t="s">
        <v>134</v>
      </c>
    </row>
    <row r="249" spans="1:17" x14ac:dyDescent="0.25">
      <c r="A249" t="str">
        <v>OT Economic</v>
      </c>
      <c r="C249" s="26">
        <f ca="1"/>
        <v>-1.4109363865921765E-3</v>
      </c>
      <c r="D249" s="26">
        <f ca="1"/>
        <v>1.2376419843895814E-2</v>
      </c>
      <c r="E249" s="26">
        <f ca="1"/>
        <v>3.4824325526827682E-2</v>
      </c>
      <c r="F249" s="26">
        <f ca="1"/>
        <v>5.4185138549889267E-2</v>
      </c>
      <c r="G249" s="26">
        <f ca="1"/>
        <v>7.5222363933402647E-2</v>
      </c>
      <c r="H249" s="26">
        <f ca="1"/>
        <v>7.0304591500791602E-2</v>
      </c>
      <c r="I249" s="26">
        <f ca="1"/>
        <v>3.5248567880941106E-2</v>
      </c>
      <c r="J249" s="26">
        <f ca="1"/>
        <v>1.9762987197446957E-2</v>
      </c>
      <c r="K249" s="26">
        <f ca="1"/>
        <v>1.2524345361264455E-2</v>
      </c>
      <c r="L249" s="26">
        <f ca="1"/>
        <v>6.7249738798125236E-3</v>
      </c>
      <c r="M249" s="6"/>
      <c r="N249" s="59" t="s">
        <v>134</v>
      </c>
    </row>
    <row r="250" spans="1:17" x14ac:dyDescent="0.25">
      <c r="A250" t="str">
        <v>EE Economic</v>
      </c>
      <c r="C250" s="26">
        <f ca="1"/>
        <v>-0.12104858926853534</v>
      </c>
      <c r="D250" s="26">
        <f ca="1"/>
        <v>-0.42191908730113692</v>
      </c>
      <c r="E250" s="26">
        <f ca="1"/>
        <v>-0.59014148598399707</v>
      </c>
      <c r="F250" s="26">
        <f ca="1"/>
        <v>-0.68519774114070842</v>
      </c>
      <c r="G250" s="26">
        <f ca="1"/>
        <v>-0.76461060483192789</v>
      </c>
      <c r="H250" s="26">
        <f ca="1"/>
        <v>-0.74766409118756094</v>
      </c>
      <c r="I250" s="26">
        <f ca="1"/>
        <v>-0.59255550521897238</v>
      </c>
      <c r="J250" s="26">
        <f ca="1"/>
        <v>-0.48898610129151088</v>
      </c>
      <c r="K250" s="26">
        <f ca="1"/>
        <v>-0.42344985568008031</v>
      </c>
      <c r="L250" s="26">
        <f ca="1"/>
        <v>-0.35423611293414758</v>
      </c>
      <c r="M250" s="6"/>
      <c r="N250" s="59" t="s">
        <v>134</v>
      </c>
    </row>
    <row r="251" spans="1:17" x14ac:dyDescent="0.25">
      <c r="A251" t="str">
        <v>CA Economic</v>
      </c>
      <c r="C251" s="26">
        <f ca="1"/>
        <v>5.062592168977309E-2</v>
      </c>
      <c r="D251" s="26">
        <f ca="1"/>
        <v>0.20579749687337223</v>
      </c>
      <c r="E251" s="26">
        <f ca="1"/>
        <v>0.31759389934135074</v>
      </c>
      <c r="F251" s="26">
        <f ca="1"/>
        <v>0.39211903948203064</v>
      </c>
      <c r="G251" s="26">
        <f ca="1"/>
        <v>0.46265358735698703</v>
      </c>
      <c r="H251" s="26">
        <f ca="1"/>
        <v>0.44687241298014824</v>
      </c>
      <c r="I251" s="26">
        <f ca="1"/>
        <v>0.31937180298666767</v>
      </c>
      <c r="J251" s="26">
        <f ca="1"/>
        <v>0.24771177327619354</v>
      </c>
      <c r="K251" s="26">
        <f ca="1"/>
        <v>0.20671904623869031</v>
      </c>
      <c r="L251" s="26">
        <f ca="1"/>
        <v>0.1665615114690433</v>
      </c>
      <c r="M251" s="6"/>
      <c r="N251" s="59" t="s">
        <v>134</v>
      </c>
    </row>
    <row r="252" spans="1:17" x14ac:dyDescent="0.25">
      <c r="A252" t="str">
        <v>IA Economic</v>
      </c>
      <c r="C252" s="26">
        <f ca="1"/>
        <v>0.19478736449005662</v>
      </c>
      <c r="D252" s="26">
        <f ca="1"/>
        <v>0.7400117960919661</v>
      </c>
      <c r="E252" s="26">
        <f ca="1"/>
        <v>1.0970697352493453</v>
      </c>
      <c r="F252" s="26">
        <f ca="1"/>
        <v>1.3225421516368185</v>
      </c>
      <c r="G252" s="26">
        <f ca="1"/>
        <v>1.5282053234861537</v>
      </c>
      <c r="H252" s="26">
        <f ca="1"/>
        <v>1.4827921619788298</v>
      </c>
      <c r="I252" s="26">
        <f ca="1"/>
        <v>1.1025560692855652</v>
      </c>
      <c r="J252" s="26">
        <f ca="1"/>
        <v>0.87681812466495757</v>
      </c>
      <c r="K252" s="26">
        <f ca="1"/>
        <v>0.74306105046345605</v>
      </c>
      <c r="L252" s="26">
        <f ca="1"/>
        <v>0.60833883656811194</v>
      </c>
      <c r="M252" s="6"/>
      <c r="N252" s="59" t="s">
        <v>134</v>
      </c>
    </row>
    <row r="253" spans="1:17" x14ac:dyDescent="0.25">
      <c r="A253" t="str">
        <v>AF Economic</v>
      </c>
      <c r="C253" s="26">
        <f ca="1"/>
        <v>0.17893696440824947</v>
      </c>
      <c r="D253" s="26">
        <f ca="1"/>
        <v>0.68615911681817465</v>
      </c>
      <c r="E253" s="26">
        <f ca="1"/>
        <v>1.02310328372065</v>
      </c>
      <c r="F253" s="26">
        <f ca="1"/>
        <v>1.2377020420731411</v>
      </c>
      <c r="G253" s="26">
        <f ca="1"/>
        <v>1.4346294637203494</v>
      </c>
      <c r="H253" s="26">
        <f ca="1"/>
        <v>1.3910501754637705</v>
      </c>
      <c r="I253" s="26">
        <f ca="1"/>
        <v>1.0283085684404947</v>
      </c>
      <c r="J253" s="26">
        <f ca="1"/>
        <v>0.81482934008413332</v>
      </c>
      <c r="K253" s="26">
        <f ca="1"/>
        <v>0.68902109826510793</v>
      </c>
      <c r="L253" s="26">
        <f ca="1"/>
        <v>0.56283473210273494</v>
      </c>
      <c r="M253" s="6"/>
      <c r="N253" s="59" t="s">
        <v>134</v>
      </c>
    </row>
    <row r="254" spans="1:17" x14ac:dyDescent="0.25">
      <c r="A254" t="str">
        <v>LA Economic</v>
      </c>
      <c r="C254" s="26">
        <f ca="1"/>
        <v>0.14041406173186388</v>
      </c>
      <c r="D254" s="26">
        <f ca="1"/>
        <v>0.53794098387328626</v>
      </c>
      <c r="E254" s="26">
        <f ca="1"/>
        <v>0.80167088423388488</v>
      </c>
      <c r="F254" s="26">
        <f ca="1"/>
        <v>0.96951932884190573</v>
      </c>
      <c r="G254" s="26">
        <f ca="1"/>
        <v>1.1234734423414272</v>
      </c>
      <c r="H254" s="26">
        <f ca="1"/>
        <v>1.0894096115463214</v>
      </c>
      <c r="I254" s="26">
        <f ca="1"/>
        <v>0.8057432444161905</v>
      </c>
      <c r="J254" s="26">
        <f ca="1"/>
        <v>0.6386817675722245</v>
      </c>
      <c r="K254" s="26">
        <f ca="1"/>
        <v>0.54018215129515434</v>
      </c>
      <c r="L254" s="26">
        <f ca="1"/>
        <v>0.44134918772021914</v>
      </c>
      <c r="M254" s="6"/>
      <c r="N254" s="59" t="s">
        <v>134</v>
      </c>
    </row>
    <row r="255" spans="1:17" ht="15" x14ac:dyDescent="0.4">
      <c r="A255" s="2" t="s">
        <v>721</v>
      </c>
      <c r="C255" s="2" t="s">
        <v>723</v>
      </c>
      <c r="D255" s="6"/>
      <c r="E255" s="6"/>
      <c r="F255" s="6"/>
      <c r="G255" s="6"/>
      <c r="H255" s="6"/>
      <c r="I255" s="6"/>
      <c r="J255" s="6"/>
      <c r="K255" s="6"/>
      <c r="L255" s="6"/>
      <c r="M255" s="6"/>
      <c r="N255" s="59"/>
    </row>
    <row r="256" spans="1:17" ht="13" x14ac:dyDescent="0.3">
      <c r="A256" t="str">
        <f t="array" ref="A256:A263">R_CODE&amp;" "&amp;I_1_NAME</f>
        <v>EU Economic</v>
      </c>
      <c r="C256" s="215">
        <f t="array" ref="C256:L263" ca="1" xml:space="preserve"> isat_1_b * (1 - (imp_1_b/100)*IF(i_1_b&lt;impmax_1_b, 1, impmax_1_b/i_1_b))</f>
        <v>-3.8465301587642386E-2</v>
      </c>
      <c r="D256" s="215">
        <f ca="1"/>
        <v>-0.12505298342060378</v>
      </c>
      <c r="E256" s="215">
        <f ca="1"/>
        <v>-0.16579796884499398</v>
      </c>
      <c r="F256" s="215">
        <f ca="1"/>
        <v>-0.18535512310333679</v>
      </c>
      <c r="G256" s="215">
        <f ca="1"/>
        <v>-0.19917196655463432</v>
      </c>
      <c r="H256" s="215">
        <f ca="1"/>
        <v>-0.19644559125397976</v>
      </c>
      <c r="I256" s="215">
        <f ca="1"/>
        <v>-0.1663296313096474</v>
      </c>
      <c r="J256" s="215">
        <f ca="1"/>
        <v>-0.14210931577054442</v>
      </c>
      <c r="K256" s="215">
        <f ca="1"/>
        <v>-0.12545303105371275</v>
      </c>
      <c r="L256" s="215">
        <f ca="1"/>
        <v>-0.1069023772265032</v>
      </c>
      <c r="M256" s="6"/>
      <c r="N256" s="59" t="s">
        <v>134</v>
      </c>
      <c r="Q256" s="124" t="s">
        <v>724</v>
      </c>
    </row>
    <row r="257" spans="1:15" x14ac:dyDescent="0.25">
      <c r="A257" t="str">
        <v>US Economic</v>
      </c>
      <c r="C257" s="215">
        <f ca="1"/>
        <v>2.7346722927290568E-2</v>
      </c>
      <c r="D257" s="215">
        <f ca="1"/>
        <v>0.12372671515513689</v>
      </c>
      <c r="E257" s="215">
        <f ca="1"/>
        <v>0.20183684936212476</v>
      </c>
      <c r="F257" s="215">
        <f ca="1"/>
        <v>0.25694917217521374</v>
      </c>
      <c r="G257" s="215">
        <f ca="1"/>
        <v>0.3109863302121485</v>
      </c>
      <c r="H257" s="215">
        <f ca="1"/>
        <v>0.29875043461942141</v>
      </c>
      <c r="I257" s="215">
        <f ca="1"/>
        <v>0.20312559496994398</v>
      </c>
      <c r="J257" s="215">
        <f ca="1"/>
        <v>0.15229859785095279</v>
      </c>
      <c r="K257" s="215">
        <f ca="1"/>
        <v>0.12434488205740335</v>
      </c>
      <c r="L257" s="215">
        <f ca="1"/>
        <v>9.7855604369734284E-2</v>
      </c>
      <c r="M257" s="6"/>
      <c r="N257" s="59" t="s">
        <v>134</v>
      </c>
    </row>
    <row r="258" spans="1:15" x14ac:dyDescent="0.25">
      <c r="A258" t="str">
        <v>OT Economic</v>
      </c>
      <c r="C258" s="215">
        <f ca="1"/>
        <v>-1.4109363865921765E-3</v>
      </c>
      <c r="D258" s="215">
        <f ca="1"/>
        <v>1.2376419843895814E-2</v>
      </c>
      <c r="E258" s="215">
        <f ca="1"/>
        <v>3.4824325526827682E-2</v>
      </c>
      <c r="F258" s="215">
        <f ca="1"/>
        <v>5.4185138549889267E-2</v>
      </c>
      <c r="G258" s="215">
        <f ca="1"/>
        <v>7.5222363933402647E-2</v>
      </c>
      <c r="H258" s="215">
        <f ca="1"/>
        <v>7.0304591500791602E-2</v>
      </c>
      <c r="I258" s="215">
        <f ca="1"/>
        <v>3.5248567880941106E-2</v>
      </c>
      <c r="J258" s="215">
        <f ca="1"/>
        <v>1.9762987197446957E-2</v>
      </c>
      <c r="K258" s="215">
        <f ca="1"/>
        <v>1.2524345361264455E-2</v>
      </c>
      <c r="L258" s="215">
        <f ca="1"/>
        <v>6.7249738798125236E-3</v>
      </c>
      <c r="M258" s="6"/>
      <c r="N258" s="59" t="s">
        <v>134</v>
      </c>
    </row>
    <row r="259" spans="1:15" x14ac:dyDescent="0.25">
      <c r="A259" t="str">
        <v>EE Economic</v>
      </c>
      <c r="C259" s="215">
        <f ca="1"/>
        <v>-0.12104858926853534</v>
      </c>
      <c r="D259" s="215">
        <f ca="1"/>
        <v>-0.42191908730113692</v>
      </c>
      <c r="E259" s="215">
        <f ca="1"/>
        <v>-0.59014148598399707</v>
      </c>
      <c r="F259" s="215">
        <f ca="1"/>
        <v>-0.68519774114070842</v>
      </c>
      <c r="G259" s="215">
        <f ca="1"/>
        <v>-0.76461060483192789</v>
      </c>
      <c r="H259" s="215">
        <f ca="1"/>
        <v>-0.74766409118756094</v>
      </c>
      <c r="I259" s="215">
        <f ca="1"/>
        <v>-0.59255550521897238</v>
      </c>
      <c r="J259" s="215">
        <f ca="1"/>
        <v>-0.48898610129151088</v>
      </c>
      <c r="K259" s="215">
        <f ca="1"/>
        <v>-0.42344985568008031</v>
      </c>
      <c r="L259" s="215">
        <f ca="1"/>
        <v>-0.35423611293414758</v>
      </c>
      <c r="M259" s="6"/>
      <c r="N259" s="59" t="s">
        <v>134</v>
      </c>
    </row>
    <row r="260" spans="1:15" x14ac:dyDescent="0.25">
      <c r="A260" t="str">
        <v>CA Economic</v>
      </c>
      <c r="C260" s="215">
        <f ca="1"/>
        <v>5.062592168977309E-2</v>
      </c>
      <c r="D260" s="215">
        <f ca="1"/>
        <v>0.20579749687337223</v>
      </c>
      <c r="E260" s="215">
        <f ca="1"/>
        <v>0.31759389934135074</v>
      </c>
      <c r="F260" s="215">
        <f ca="1"/>
        <v>0.39211903948203064</v>
      </c>
      <c r="G260" s="215">
        <f ca="1"/>
        <v>0.46265358735698703</v>
      </c>
      <c r="H260" s="215">
        <f ca="1"/>
        <v>0.44687241298014824</v>
      </c>
      <c r="I260" s="215">
        <f ca="1"/>
        <v>0.31937180298666767</v>
      </c>
      <c r="J260" s="215">
        <f ca="1"/>
        <v>0.24771177327619354</v>
      </c>
      <c r="K260" s="215">
        <f ca="1"/>
        <v>0.20671904623869031</v>
      </c>
      <c r="L260" s="215">
        <f ca="1"/>
        <v>0.1665615114690433</v>
      </c>
      <c r="M260" s="6"/>
      <c r="N260" s="59" t="s">
        <v>134</v>
      </c>
    </row>
    <row r="261" spans="1:15" x14ac:dyDescent="0.25">
      <c r="A261" t="str">
        <v>IA Economic</v>
      </c>
      <c r="C261" s="215">
        <f ca="1"/>
        <v>0.19478736449005662</v>
      </c>
      <c r="D261" s="215">
        <f ca="1"/>
        <v>0.7400117960919661</v>
      </c>
      <c r="E261" s="215">
        <f ca="1"/>
        <v>1.0970697352493453</v>
      </c>
      <c r="F261" s="215">
        <f ca="1"/>
        <v>1.3225421516368185</v>
      </c>
      <c r="G261" s="215">
        <f ca="1"/>
        <v>1.5282053234861537</v>
      </c>
      <c r="H261" s="215">
        <f ca="1"/>
        <v>1.4827921619788298</v>
      </c>
      <c r="I261" s="215">
        <f ca="1"/>
        <v>1.1025560692855652</v>
      </c>
      <c r="J261" s="215">
        <f ca="1"/>
        <v>0.87681812466495757</v>
      </c>
      <c r="K261" s="215">
        <f ca="1"/>
        <v>0.74306105046345605</v>
      </c>
      <c r="L261" s="215">
        <f ca="1"/>
        <v>0.60833883656811194</v>
      </c>
      <c r="M261" s="6"/>
      <c r="N261" s="59" t="s">
        <v>134</v>
      </c>
    </row>
    <row r="262" spans="1:15" x14ac:dyDescent="0.25">
      <c r="A262" t="str">
        <v>AF Economic</v>
      </c>
      <c r="C262" s="215">
        <f ca="1"/>
        <v>0.17893696440824947</v>
      </c>
      <c r="D262" s="215">
        <f ca="1"/>
        <v>0.68615911681817465</v>
      </c>
      <c r="E262" s="215">
        <f ca="1"/>
        <v>1.02310328372065</v>
      </c>
      <c r="F262" s="215">
        <f ca="1"/>
        <v>1.2377020420731411</v>
      </c>
      <c r="G262" s="215">
        <f ca="1"/>
        <v>1.4346294637203494</v>
      </c>
      <c r="H262" s="215">
        <f ca="1"/>
        <v>1.3910501754637705</v>
      </c>
      <c r="I262" s="215">
        <f ca="1"/>
        <v>1.0283085684404947</v>
      </c>
      <c r="J262" s="215">
        <f ca="1"/>
        <v>0.81482934008413332</v>
      </c>
      <c r="K262" s="215">
        <f ca="1"/>
        <v>0.68902109826510793</v>
      </c>
      <c r="L262" s="215">
        <f ca="1"/>
        <v>0.56283473210273494</v>
      </c>
      <c r="M262" s="6"/>
      <c r="N262" s="59" t="s">
        <v>134</v>
      </c>
    </row>
    <row r="263" spans="1:15" x14ac:dyDescent="0.25">
      <c r="A263" t="str">
        <v>LA Economic</v>
      </c>
      <c r="C263" s="215">
        <f ca="1"/>
        <v>0.14041406173186388</v>
      </c>
      <c r="D263" s="215">
        <f ca="1"/>
        <v>0.53794098387328626</v>
      </c>
      <c r="E263" s="215">
        <f ca="1"/>
        <v>0.80167088423388488</v>
      </c>
      <c r="F263" s="215">
        <f ca="1"/>
        <v>0.96951932884190573</v>
      </c>
      <c r="G263" s="215">
        <f ca="1"/>
        <v>1.1234734423414272</v>
      </c>
      <c r="H263" s="215">
        <f ca="1"/>
        <v>1.0894096115463214</v>
      </c>
      <c r="I263" s="215">
        <f ca="1"/>
        <v>0.8057432444161905</v>
      </c>
      <c r="J263" s="215">
        <f ca="1"/>
        <v>0.6386817675722245</v>
      </c>
      <c r="K263" s="215">
        <f ca="1"/>
        <v>0.54018215129515434</v>
      </c>
      <c r="L263" s="215">
        <f ca="1"/>
        <v>0.44134918772021914</v>
      </c>
      <c r="M263" s="6"/>
      <c r="N263" s="59" t="s">
        <v>134</v>
      </c>
    </row>
    <row r="264" spans="1:15" s="2" customFormat="1" ht="15" x14ac:dyDescent="0.4">
      <c r="A264" s="2" t="s">
        <v>722</v>
      </c>
      <c r="C264" s="2" t="s">
        <v>729</v>
      </c>
    </row>
    <row r="265" spans="1:15" x14ac:dyDescent="0.25">
      <c r="A265" t="str">
        <f t="array" ref="A265:A272">R_CODE&amp;" "&amp;I_1_NAME</f>
        <v>EU Economic</v>
      </c>
      <c r="C265" s="29">
        <f t="array" ref="C265:L272" ca="1">(isatad_1_b/100)*rgdp_s_per_cap_b</f>
        <v>-14.116097983157314</v>
      </c>
      <c r="D265" s="29">
        <f ca="1"/>
        <v>-52.716537559482916</v>
      </c>
      <c r="E265" s="29">
        <f ca="1"/>
        <v>-81.766389033189242</v>
      </c>
      <c r="F265" s="29">
        <f ca="1"/>
        <v>-107.50850069630212</v>
      </c>
      <c r="G265" s="29">
        <f ca="1"/>
        <v>-176.86036551973893</v>
      </c>
      <c r="H265" s="29">
        <f ca="1"/>
        <v>-266.90686771359918</v>
      </c>
      <c r="I265" s="29">
        <f ca="1"/>
        <v>-433.41592484170587</v>
      </c>
      <c r="J265" s="29">
        <f ca="1"/>
        <v>-631.79827204030232</v>
      </c>
      <c r="K265" s="29">
        <f ca="1"/>
        <v>-866.12481790919855</v>
      </c>
      <c r="L265" s="29">
        <f ca="1"/>
        <v>-1060.7110465836199</v>
      </c>
      <c r="M265" s="6"/>
      <c r="N265" s="1" t="str">
        <f t="shared" ref="N265:N272" si="6">CURRENCY_NAME&amp;"/"&amp;POP_UNIT_NAME</f>
        <v>$M(2015)/million</v>
      </c>
      <c r="O265" s="1"/>
    </row>
    <row r="266" spans="1:15" x14ac:dyDescent="0.25">
      <c r="A266" t="str">
        <v>US Economic</v>
      </c>
      <c r="C266" s="26">
        <f ca="1"/>
        <v>15.833066411274235</v>
      </c>
      <c r="D266" s="26">
        <f ca="1"/>
        <v>81.817453095729306</v>
      </c>
      <c r="E266" s="26">
        <f ca="1"/>
        <v>148.01820567552841</v>
      </c>
      <c r="F266" s="26">
        <f ca="1"/>
        <v>209.2380372422389</v>
      </c>
      <c r="G266" s="26">
        <f ca="1"/>
        <v>338.91116273583702</v>
      </c>
      <c r="H266" s="26">
        <f ca="1"/>
        <v>461.50253140157906</v>
      </c>
      <c r="I266" s="26">
        <f ca="1"/>
        <v>635.02543579888732</v>
      </c>
      <c r="J266" s="26">
        <f ca="1"/>
        <v>894.45866460978743</v>
      </c>
      <c r="K266" s="26">
        <f ca="1"/>
        <v>1286.7379026714</v>
      </c>
      <c r="L266" s="26">
        <f ca="1"/>
        <v>1684.7923818614552</v>
      </c>
      <c r="M266" s="6"/>
      <c r="N266" s="1" t="str">
        <f t="shared" si="6"/>
        <v>$M(2015)/million</v>
      </c>
      <c r="O266" s="1"/>
    </row>
    <row r="267" spans="1:15" x14ac:dyDescent="0.25">
      <c r="A267" t="str">
        <v>OT Economic</v>
      </c>
      <c r="C267" s="26">
        <f ca="1"/>
        <v>-0.52245073190373381</v>
      </c>
      <c r="D267" s="26">
        <f ca="1"/>
        <v>5.4095226248869208</v>
      </c>
      <c r="E267" s="26">
        <f ca="1"/>
        <v>17.764097017303396</v>
      </c>
      <c r="F267" s="26">
        <f ca="1"/>
        <v>32.415959117202611</v>
      </c>
      <c r="G267" s="26">
        <f ca="1"/>
        <v>68.610379221146218</v>
      </c>
      <c r="H267" s="26">
        <f ca="1"/>
        <v>97.908329123558389</v>
      </c>
      <c r="I267" s="26">
        <f ca="1"/>
        <v>78.9935453562248</v>
      </c>
      <c r="J267" s="26">
        <f ca="1"/>
        <v>59.789264810961093</v>
      </c>
      <c r="K267" s="26">
        <f ca="1"/>
        <v>45.831650474191157</v>
      </c>
      <c r="L267" s="26">
        <f ca="1"/>
        <v>27.76778526843345</v>
      </c>
      <c r="M267" s="6"/>
      <c r="N267" s="1" t="str">
        <f t="shared" si="6"/>
        <v>$M(2015)/million</v>
      </c>
      <c r="O267" s="1"/>
    </row>
    <row r="268" spans="1:15" x14ac:dyDescent="0.25">
      <c r="A268" t="str">
        <v>EE Economic</v>
      </c>
      <c r="C268" s="26">
        <f ca="1"/>
        <v>-20.025067672049975</v>
      </c>
      <c r="D268" s="26">
        <f ca="1"/>
        <v>-103.20164108482315</v>
      </c>
      <c r="E268" s="26">
        <f ca="1"/>
        <v>-197.25216210047182</v>
      </c>
      <c r="F268" s="26">
        <f ca="1"/>
        <v>-283.79571516262058</v>
      </c>
      <c r="G268" s="26">
        <f ca="1"/>
        <v>-503.16893110853528</v>
      </c>
      <c r="H268" s="26">
        <f ca="1"/>
        <v>-738.8359103100953</v>
      </c>
      <c r="I268" s="26">
        <f ca="1"/>
        <v>-814.88709747201358</v>
      </c>
      <c r="J268" s="26">
        <f ca="1"/>
        <v>-775.24593137289185</v>
      </c>
      <c r="K268" s="26">
        <f ca="1"/>
        <v>-714.12566475802225</v>
      </c>
      <c r="L268" s="26">
        <f ca="1"/>
        <v>-613.6748155681953</v>
      </c>
      <c r="M268" s="6"/>
      <c r="N268" s="1" t="str">
        <f t="shared" si="6"/>
        <v>$M(2015)/million</v>
      </c>
      <c r="O268" s="1"/>
    </row>
    <row r="269" spans="1:15" x14ac:dyDescent="0.25">
      <c r="A269" t="str">
        <v>CA Economic</v>
      </c>
      <c r="C269" s="26">
        <f ca="1"/>
        <v>7.3919569725812178</v>
      </c>
      <c r="D269" s="26">
        <f ca="1"/>
        <v>56.058981360282637</v>
      </c>
      <c r="E269" s="26">
        <f ca="1"/>
        <v>131.08234995488883</v>
      </c>
      <c r="F269" s="26">
        <f ca="1"/>
        <v>216.40077707353737</v>
      </c>
      <c r="G269" s="26">
        <f ca="1"/>
        <v>392.84011111172367</v>
      </c>
      <c r="H269" s="26">
        <f ca="1"/>
        <v>536.62870678586273</v>
      </c>
      <c r="I269" s="26">
        <f ca="1"/>
        <v>371.25968836778821</v>
      </c>
      <c r="J269" s="26">
        <f ca="1"/>
        <v>278.13653962100273</v>
      </c>
      <c r="K269" s="26">
        <f ca="1"/>
        <v>224.02053601048453</v>
      </c>
      <c r="L269" s="26">
        <f ca="1"/>
        <v>174.17321771491035</v>
      </c>
      <c r="M269" s="6"/>
      <c r="N269" s="1" t="str">
        <f t="shared" si="6"/>
        <v>$M(2015)/million</v>
      </c>
      <c r="O269" s="1"/>
    </row>
    <row r="270" spans="1:15" x14ac:dyDescent="0.25">
      <c r="A270" t="str">
        <v>IA Economic</v>
      </c>
      <c r="C270" s="26">
        <f ca="1"/>
        <v>13.529221312316155</v>
      </c>
      <c r="D270" s="26">
        <f ca="1"/>
        <v>88.087318075298612</v>
      </c>
      <c r="E270" s="26">
        <f ca="1"/>
        <v>213.3367189423027</v>
      </c>
      <c r="F270" s="26">
        <f ca="1"/>
        <v>391.91113174709341</v>
      </c>
      <c r="G270" s="26">
        <f ca="1"/>
        <v>995.24613479073162</v>
      </c>
      <c r="H270" s="26">
        <f ca="1"/>
        <v>1698.8821590325124</v>
      </c>
      <c r="I270" s="26">
        <f ca="1"/>
        <v>2096.1746895991141</v>
      </c>
      <c r="J270" s="26">
        <f ca="1"/>
        <v>1893.8817664976575</v>
      </c>
      <c r="K270" s="26">
        <f ca="1"/>
        <v>1656.4445843553408</v>
      </c>
      <c r="L270" s="26">
        <f ca="1"/>
        <v>1366.1512030161614</v>
      </c>
      <c r="M270" s="6"/>
      <c r="N270" s="1" t="str">
        <f t="shared" si="6"/>
        <v>$M(2015)/million</v>
      </c>
      <c r="O270" s="1"/>
    </row>
    <row r="271" spans="1:15" x14ac:dyDescent="0.25">
      <c r="A271" t="str">
        <v>AF Economic</v>
      </c>
      <c r="C271" s="26">
        <f ca="1"/>
        <v>10.915768085095571</v>
      </c>
      <c r="D271" s="26">
        <f ca="1"/>
        <v>57.067304294324956</v>
      </c>
      <c r="E271" s="26">
        <f ca="1"/>
        <v>122.43632783324865</v>
      </c>
      <c r="F271" s="26">
        <f ca="1"/>
        <v>220.55929547185724</v>
      </c>
      <c r="G271" s="26">
        <f ca="1"/>
        <v>685.10672222566348</v>
      </c>
      <c r="H271" s="26">
        <f ca="1"/>
        <v>1438.1993747741467</v>
      </c>
      <c r="I271" s="26">
        <f ca="1"/>
        <v>4011.2386500479056</v>
      </c>
      <c r="J271" s="26">
        <f ca="1"/>
        <v>6083.0320223318995</v>
      </c>
      <c r="K271" s="26">
        <f ca="1"/>
        <v>7061.3806561290958</v>
      </c>
      <c r="L271" s="26">
        <f ca="1"/>
        <v>6731.1122128564839</v>
      </c>
      <c r="M271" s="6"/>
      <c r="N271" s="1" t="str">
        <f t="shared" si="6"/>
        <v>$M(2015)/million</v>
      </c>
      <c r="O271" s="1"/>
    </row>
    <row r="272" spans="1:15" x14ac:dyDescent="0.25">
      <c r="A272" t="str">
        <v>LA Economic</v>
      </c>
      <c r="C272" s="26">
        <f ca="1"/>
        <v>20.496913974746242</v>
      </c>
      <c r="D272" s="26">
        <f ca="1"/>
        <v>105.49964635710846</v>
      </c>
      <c r="E272" s="26">
        <f ca="1"/>
        <v>214.26303746840526</v>
      </c>
      <c r="F272" s="26">
        <f ca="1"/>
        <v>350.53401287066532</v>
      </c>
      <c r="G272" s="26">
        <f ca="1"/>
        <v>791.92920831985805</v>
      </c>
      <c r="H272" s="26">
        <f ca="1"/>
        <v>1330.9743510124174</v>
      </c>
      <c r="I272" s="26">
        <f ca="1"/>
        <v>1796.8470135603156</v>
      </c>
      <c r="J272" s="26">
        <f ca="1"/>
        <v>1809.2350583783411</v>
      </c>
      <c r="K272" s="26">
        <f ca="1"/>
        <v>1682.4777232745189</v>
      </c>
      <c r="L272" s="26">
        <f ca="1"/>
        <v>1427.0951566303434</v>
      </c>
      <c r="M272" s="6"/>
      <c r="N272" s="1" t="str">
        <f t="shared" si="6"/>
        <v>$M(2015)/million</v>
      </c>
      <c r="O272" s="1"/>
    </row>
    <row r="273" spans="1:15" s="2" customFormat="1" ht="15" x14ac:dyDescent="0.4">
      <c r="A273" s="2" t="s">
        <v>228</v>
      </c>
      <c r="C273" s="2" t="s">
        <v>238</v>
      </c>
    </row>
    <row r="274" spans="1:15" x14ac:dyDescent="0.25">
      <c r="A274" t="str">
        <f t="array" ref="A274:A281">R_CODE&amp;" "&amp;I_1_NAME</f>
        <v>EU Economic</v>
      </c>
      <c r="C274" s="29">
        <f t="array" ref="C274:L281" ca="1">rcons_s_per_cap_b-isatad_1_per_cap_b</f>
        <v>31207.640626433735</v>
      </c>
      <c r="D274" s="29">
        <f ca="1"/>
        <v>35884.774038218617</v>
      </c>
      <c r="E274" s="29">
        <f ca="1"/>
        <v>42001.116283595751</v>
      </c>
      <c r="F274" s="29">
        <f ca="1"/>
        <v>49408.668383345226</v>
      </c>
      <c r="G274" s="29">
        <f ca="1"/>
        <v>75655.007864023806</v>
      </c>
      <c r="H274" s="29">
        <f ca="1"/>
        <v>115754.78119890358</v>
      </c>
      <c r="I274" s="29">
        <f ca="1"/>
        <v>221923.43740490614</v>
      </c>
      <c r="J274" s="29">
        <f ca="1"/>
        <v>378529.98764997348</v>
      </c>
      <c r="K274" s="29">
        <f ca="1"/>
        <v>587704.15418972401</v>
      </c>
      <c r="L274" s="29">
        <f ca="1"/>
        <v>844451.11356847582</v>
      </c>
      <c r="M274" s="6"/>
      <c r="N274" s="1" t="str">
        <f t="shared" ref="N274:N281" si="7">CURRENCY_NAME&amp;"/"&amp;POP_UNIT_NAME</f>
        <v>$M(2015)/million</v>
      </c>
      <c r="O274" s="1"/>
    </row>
    <row r="275" spans="1:15" x14ac:dyDescent="0.25">
      <c r="A275" t="str">
        <v>US Economic</v>
      </c>
      <c r="C275" s="26">
        <f ca="1"/>
        <v>49197.034176824767</v>
      </c>
      <c r="D275" s="26">
        <f ca="1"/>
        <v>56126.605314913519</v>
      </c>
      <c r="E275" s="26">
        <f ca="1"/>
        <v>62187.217021103017</v>
      </c>
      <c r="F275" s="26">
        <f ca="1"/>
        <v>69007.693136455229</v>
      </c>
      <c r="G275" s="26">
        <f ca="1"/>
        <v>92293.613272966206</v>
      </c>
      <c r="H275" s="26">
        <f ca="1"/>
        <v>130844.46600754451</v>
      </c>
      <c r="I275" s="26">
        <f ca="1"/>
        <v>265097.91703702096</v>
      </c>
      <c r="J275" s="26">
        <f ca="1"/>
        <v>498315.56404510554</v>
      </c>
      <c r="K275" s="26">
        <f ca="1"/>
        <v>878304.9261641897</v>
      </c>
      <c r="L275" s="26">
        <f ca="1"/>
        <v>1461771.0145756421</v>
      </c>
      <c r="M275" s="6"/>
      <c r="N275" s="1" t="str">
        <f t="shared" si="7"/>
        <v>$M(2015)/million</v>
      </c>
      <c r="O275" s="1"/>
    </row>
    <row r="276" spans="1:15" x14ac:dyDescent="0.25">
      <c r="A276" t="str">
        <v>OT Economic</v>
      </c>
      <c r="C276" s="26">
        <f ca="1"/>
        <v>31474.877094796626</v>
      </c>
      <c r="D276" s="26">
        <f ca="1"/>
        <v>37146.644861032051</v>
      </c>
      <c r="E276" s="26">
        <f ca="1"/>
        <v>43341.24497575187</v>
      </c>
      <c r="F276" s="26">
        <f ca="1"/>
        <v>50818.363400343398</v>
      </c>
      <c r="G276" s="26">
        <f ca="1"/>
        <v>77459.958637309974</v>
      </c>
      <c r="H276" s="26">
        <f ca="1"/>
        <v>118275.69711894674</v>
      </c>
      <c r="I276" s="26">
        <f ca="1"/>
        <v>190409.63504115751</v>
      </c>
      <c r="J276" s="26">
        <f ca="1"/>
        <v>257091.99948847084</v>
      </c>
      <c r="K276" s="26">
        <f ca="1"/>
        <v>311003.58274486155</v>
      </c>
      <c r="L276" s="26">
        <f ca="1"/>
        <v>350941.88503405848</v>
      </c>
      <c r="M276" s="6"/>
      <c r="N276" s="1" t="str">
        <f t="shared" si="7"/>
        <v>$M(2015)/million</v>
      </c>
      <c r="O276" s="1"/>
    </row>
    <row r="277" spans="1:15" x14ac:dyDescent="0.25">
      <c r="A277" t="str">
        <v>EE Economic</v>
      </c>
      <c r="C277" s="26">
        <f ca="1"/>
        <v>14081.574751231143</v>
      </c>
      <c r="D277" s="26">
        <f ca="1"/>
        <v>20894.248446580532</v>
      </c>
      <c r="E277" s="26">
        <f ca="1"/>
        <v>28608.123413735815</v>
      </c>
      <c r="F277" s="26">
        <f ca="1"/>
        <v>35489.159569199401</v>
      </c>
      <c r="G277" s="26">
        <f ca="1"/>
        <v>56439.30017745294</v>
      </c>
      <c r="H277" s="26">
        <f ca="1"/>
        <v>84735.182821403985</v>
      </c>
      <c r="I277" s="26">
        <f ca="1"/>
        <v>117707.57086306269</v>
      </c>
      <c r="J277" s="26">
        <f ca="1"/>
        <v>135535.52642329576</v>
      </c>
      <c r="K277" s="26">
        <f ca="1"/>
        <v>144062.10580975949</v>
      </c>
      <c r="L277" s="26">
        <f ca="1"/>
        <v>147866.75664066593</v>
      </c>
      <c r="M277" s="6"/>
      <c r="N277" s="1" t="str">
        <f t="shared" si="7"/>
        <v>$M(2015)/million</v>
      </c>
      <c r="O277" s="1"/>
    </row>
    <row r="278" spans="1:15" x14ac:dyDescent="0.25">
      <c r="A278" t="str">
        <v>CA Economic</v>
      </c>
      <c r="C278" s="26">
        <f ca="1"/>
        <v>12403.569102059937</v>
      </c>
      <c r="D278" s="26">
        <f ca="1"/>
        <v>23097.834958156145</v>
      </c>
      <c r="E278" s="26">
        <f ca="1"/>
        <v>34951.45471789383</v>
      </c>
      <c r="F278" s="26">
        <f ca="1"/>
        <v>46692.992032692353</v>
      </c>
      <c r="G278" s="26">
        <f ca="1"/>
        <v>71780.83444148922</v>
      </c>
      <c r="H278" s="26">
        <f ca="1"/>
        <v>101535.99594374196</v>
      </c>
      <c r="I278" s="26">
        <f ca="1"/>
        <v>98438.570159320298</v>
      </c>
      <c r="J278" s="26">
        <f ca="1"/>
        <v>95161.840152263263</v>
      </c>
      <c r="K278" s="26">
        <f ca="1"/>
        <v>91890.11169979925</v>
      </c>
      <c r="L278" s="26">
        <f ca="1"/>
        <v>88710.247770016984</v>
      </c>
      <c r="M278" s="6"/>
      <c r="N278" s="1" t="str">
        <f t="shared" si="7"/>
        <v>$M(2015)/million</v>
      </c>
      <c r="O278" s="1"/>
    </row>
    <row r="279" spans="1:15" x14ac:dyDescent="0.25">
      <c r="A279" t="str">
        <v>IA Economic</v>
      </c>
      <c r="C279" s="26">
        <f ca="1"/>
        <v>5890.2613790557934</v>
      </c>
      <c r="D279" s="26">
        <f ca="1"/>
        <v>10029.889281678619</v>
      </c>
      <c r="E279" s="26">
        <f ca="1"/>
        <v>16315.804982313604</v>
      </c>
      <c r="F279" s="26">
        <f ca="1"/>
        <v>24796.281287885384</v>
      </c>
      <c r="G279" s="26">
        <f ca="1"/>
        <v>54361.138349089568</v>
      </c>
      <c r="H279" s="26">
        <f ca="1"/>
        <v>95688.322346453177</v>
      </c>
      <c r="I279" s="26">
        <f ca="1"/>
        <v>159505.44683281338</v>
      </c>
      <c r="J279" s="26">
        <f ca="1"/>
        <v>181701.71876219031</v>
      </c>
      <c r="K279" s="26">
        <f ca="1"/>
        <v>187827.03000011752</v>
      </c>
      <c r="L279" s="26">
        <f ca="1"/>
        <v>189519.00239242119</v>
      </c>
      <c r="M279" s="6"/>
      <c r="N279" s="1" t="str">
        <f t="shared" si="7"/>
        <v>$M(2015)/million</v>
      </c>
      <c r="O279" s="1"/>
    </row>
    <row r="280" spans="1:15" x14ac:dyDescent="0.25">
      <c r="A280" t="str">
        <v>AF Economic</v>
      </c>
      <c r="C280" s="26">
        <f ca="1"/>
        <v>5174.3755455432674</v>
      </c>
      <c r="D280" s="26">
        <f ca="1"/>
        <v>7012.3146307751367</v>
      </c>
      <c r="E280" s="26">
        <f ca="1"/>
        <v>10049.643100921381</v>
      </c>
      <c r="F280" s="26">
        <f ca="1"/>
        <v>14926.495066421159</v>
      </c>
      <c r="G280" s="26">
        <f ca="1"/>
        <v>39906.609021689168</v>
      </c>
      <c r="H280" s="26">
        <f ca="1"/>
        <v>86442.848348788961</v>
      </c>
      <c r="I280" s="26">
        <f ca="1"/>
        <v>327557.80173163017</v>
      </c>
      <c r="J280" s="26">
        <f ca="1"/>
        <v>628476.49653468328</v>
      </c>
      <c r="K280" s="26">
        <f ca="1"/>
        <v>864054.69587950304</v>
      </c>
      <c r="L280" s="26">
        <f ca="1"/>
        <v>1009809.8108309028</v>
      </c>
      <c r="M280" s="6"/>
      <c r="N280" s="1" t="str">
        <f t="shared" si="7"/>
        <v>$M(2015)/million</v>
      </c>
      <c r="O280" s="1"/>
    </row>
    <row r="281" spans="1:15" x14ac:dyDescent="0.25">
      <c r="A281" t="str">
        <v>LA Economic</v>
      </c>
      <c r="C281" s="26">
        <f ca="1"/>
        <v>12387.360720543549</v>
      </c>
      <c r="D281" s="26">
        <f ca="1"/>
        <v>16564.488715166459</v>
      </c>
      <c r="E281" s="26">
        <f ca="1"/>
        <v>22503.735761027376</v>
      </c>
      <c r="F281" s="26">
        <f ca="1"/>
        <v>30381.592936673755</v>
      </c>
      <c r="G281" s="26">
        <f ca="1"/>
        <v>59124.024449560202</v>
      </c>
      <c r="H281" s="26">
        <f ca="1"/>
        <v>102516.85169806507</v>
      </c>
      <c r="I281" s="26">
        <f ca="1"/>
        <v>187757.32822906348</v>
      </c>
      <c r="J281" s="26">
        <f ca="1"/>
        <v>238975.75015692046</v>
      </c>
      <c r="K281" s="26">
        <f ca="1"/>
        <v>263062.67562073783</v>
      </c>
      <c r="L281" s="26">
        <f ca="1"/>
        <v>273418.97160553589</v>
      </c>
      <c r="M281" s="6"/>
      <c r="N281" s="1" t="str">
        <f t="shared" si="7"/>
        <v>$M(2015)/million</v>
      </c>
      <c r="O281" s="1"/>
    </row>
    <row r="282" spans="1:15" s="2" customFormat="1" ht="15" x14ac:dyDescent="0.4">
      <c r="A282" s="2" t="s">
        <v>230</v>
      </c>
      <c r="C282" s="2" t="s">
        <v>237</v>
      </c>
    </row>
    <row r="283" spans="1:15" x14ac:dyDescent="0.25">
      <c r="A283" t="str">
        <f t="array" ref="A283:A290">R_CODE&amp;" "&amp;I_1_NAME</f>
        <v>EU Economic</v>
      </c>
      <c r="C283" s="29">
        <f t="array" ref="C283:L290" ca="1" xml:space="preserve"> rcons_1_per_cap_b/(1-SAVE/100)</f>
        <v>36714.871325216161</v>
      </c>
      <c r="D283" s="29">
        <f ca="1"/>
        <v>42217.381221433665</v>
      </c>
      <c r="E283" s="29">
        <f ca="1"/>
        <v>49413.077980700888</v>
      </c>
      <c r="F283" s="29">
        <f ca="1"/>
        <v>58127.845156876741</v>
      </c>
      <c r="G283" s="29">
        <f ca="1"/>
        <v>89005.891604733886</v>
      </c>
      <c r="H283" s="29">
        <f ca="1"/>
        <v>136182.09552812186</v>
      </c>
      <c r="I283" s="29">
        <f ca="1"/>
        <v>261086.3969469484</v>
      </c>
      <c r="J283" s="29">
        <f ca="1"/>
        <v>445329.39723526291</v>
      </c>
      <c r="K283" s="29">
        <f ca="1"/>
        <v>691416.65198791062</v>
      </c>
      <c r="L283" s="29">
        <f ca="1"/>
        <v>993471.8983158539</v>
      </c>
      <c r="M283" s="6"/>
      <c r="N283" s="1" t="str">
        <f t="shared" ref="N283:N290" si="8">CURRENCY_NAME&amp;"/"&amp;POP_UNIT_NAME</f>
        <v>$M(2015)/million</v>
      </c>
      <c r="O283" s="1"/>
    </row>
    <row r="284" spans="1:15" x14ac:dyDescent="0.25">
      <c r="A284" t="str">
        <v>US Economic</v>
      </c>
      <c r="C284" s="26">
        <f ca="1"/>
        <v>57878.863737440901</v>
      </c>
      <c r="D284" s="26">
        <f ca="1"/>
        <v>66031.300370486497</v>
      </c>
      <c r="E284" s="26">
        <f ca="1"/>
        <v>73161.431789532959</v>
      </c>
      <c r="F284" s="26">
        <f ca="1"/>
        <v>81185.521337006154</v>
      </c>
      <c r="G284" s="26">
        <f ca="1"/>
        <v>108580.7214976073</v>
      </c>
      <c r="H284" s="26">
        <f ca="1"/>
        <v>153934.66589122885</v>
      </c>
      <c r="I284" s="26">
        <f ca="1"/>
        <v>311879.90239649528</v>
      </c>
      <c r="J284" s="26">
        <f ca="1"/>
        <v>586253.60475894774</v>
      </c>
      <c r="K284" s="26">
        <f ca="1"/>
        <v>1033299.9131343409</v>
      </c>
      <c r="L284" s="26">
        <f ca="1"/>
        <v>1719730.6053831084</v>
      </c>
      <c r="M284" s="6"/>
      <c r="N284" s="1" t="str">
        <f t="shared" si="8"/>
        <v>$M(2015)/million</v>
      </c>
      <c r="O284" s="1"/>
    </row>
    <row r="285" spans="1:15" x14ac:dyDescent="0.25">
      <c r="A285" t="str">
        <v>OT Economic</v>
      </c>
      <c r="C285" s="26">
        <f ca="1"/>
        <v>37029.267170348976</v>
      </c>
      <c r="D285" s="26">
        <f ca="1"/>
        <v>43701.935130625941</v>
      </c>
      <c r="E285" s="26">
        <f ca="1"/>
        <v>50989.699971472786</v>
      </c>
      <c r="F285" s="26">
        <f ca="1"/>
        <v>59786.309882756941</v>
      </c>
      <c r="G285" s="26">
        <f ca="1"/>
        <v>91129.363102717616</v>
      </c>
      <c r="H285" s="26">
        <f ca="1"/>
        <v>139147.87896346676</v>
      </c>
      <c r="I285" s="26">
        <f ca="1"/>
        <v>224011.33534253825</v>
      </c>
      <c r="J285" s="26">
        <f ca="1"/>
        <v>302461.17586878926</v>
      </c>
      <c r="K285" s="26">
        <f ca="1"/>
        <v>365886.56793513126</v>
      </c>
      <c r="L285" s="26">
        <f ca="1"/>
        <v>412872.80592242174</v>
      </c>
      <c r="M285" s="6"/>
      <c r="N285" s="1" t="str">
        <f t="shared" si="8"/>
        <v>$M(2015)/million</v>
      </c>
      <c r="O285" s="1"/>
    </row>
    <row r="286" spans="1:15" x14ac:dyDescent="0.25">
      <c r="A286" t="str">
        <v>EE Economic</v>
      </c>
      <c r="C286" s="26">
        <f ca="1"/>
        <v>16566.558530860169</v>
      </c>
      <c r="D286" s="26">
        <f ca="1"/>
        <v>24581.468760682979</v>
      </c>
      <c r="E286" s="26">
        <f ca="1"/>
        <v>33656.615780865664</v>
      </c>
      <c r="F286" s="26">
        <f ca="1"/>
        <v>41751.952434352235</v>
      </c>
      <c r="G286" s="26">
        <f ca="1"/>
        <v>66399.176679356402</v>
      </c>
      <c r="H286" s="26">
        <f ca="1"/>
        <v>99688.450378122332</v>
      </c>
      <c r="I286" s="26">
        <f ca="1"/>
        <v>138479.49513301492</v>
      </c>
      <c r="J286" s="26">
        <f ca="1"/>
        <v>159453.560497995</v>
      </c>
      <c r="K286" s="26">
        <f ca="1"/>
        <v>169484.83036442293</v>
      </c>
      <c r="L286" s="26">
        <f ca="1"/>
        <v>173960.89016548934</v>
      </c>
      <c r="M286" s="6"/>
      <c r="N286" s="1" t="str">
        <f t="shared" si="8"/>
        <v>$M(2015)/million</v>
      </c>
      <c r="O286" s="1"/>
    </row>
    <row r="287" spans="1:15" x14ac:dyDescent="0.25">
      <c r="A287" t="str">
        <v>CA Economic</v>
      </c>
      <c r="C287" s="26">
        <f ca="1"/>
        <v>14592.434237717573</v>
      </c>
      <c r="D287" s="26">
        <f ca="1"/>
        <v>27173.923480183701</v>
      </c>
      <c r="E287" s="26">
        <f ca="1"/>
        <v>41119.358491639803</v>
      </c>
      <c r="F287" s="26">
        <f ca="1"/>
        <v>54932.931803167477</v>
      </c>
      <c r="G287" s="26">
        <f ca="1"/>
        <v>84448.040519399088</v>
      </c>
      <c r="H287" s="26">
        <f ca="1"/>
        <v>119454.11287499055</v>
      </c>
      <c r="I287" s="26">
        <f ca="1"/>
        <v>115810.08254037682</v>
      </c>
      <c r="J287" s="26">
        <f ca="1"/>
        <v>111955.10606148619</v>
      </c>
      <c r="K287" s="26">
        <f ca="1"/>
        <v>108106.01376446971</v>
      </c>
      <c r="L287" s="26">
        <f ca="1"/>
        <v>104364.99737649057</v>
      </c>
      <c r="M287" s="6"/>
      <c r="N287" s="1" t="str">
        <f t="shared" si="8"/>
        <v>$M(2015)/million</v>
      </c>
      <c r="O287" s="1"/>
    </row>
    <row r="288" spans="1:15" x14ac:dyDescent="0.25">
      <c r="A288" t="str">
        <v>IA Economic</v>
      </c>
      <c r="C288" s="26">
        <f ca="1"/>
        <v>6929.7192694774039</v>
      </c>
      <c r="D288" s="26">
        <f ca="1"/>
        <v>11799.869743151317</v>
      </c>
      <c r="E288" s="26">
        <f ca="1"/>
        <v>19195.064685074831</v>
      </c>
      <c r="F288" s="26">
        <f ca="1"/>
        <v>29172.095632806333</v>
      </c>
      <c r="G288" s="26">
        <f ca="1"/>
        <v>63954.280410693609</v>
      </c>
      <c r="H288" s="26">
        <f ca="1"/>
        <v>112574.49687818022</v>
      </c>
      <c r="I288" s="26">
        <f ca="1"/>
        <v>187653.46686213338</v>
      </c>
      <c r="J288" s="26">
        <f ca="1"/>
        <v>213766.72795551803</v>
      </c>
      <c r="K288" s="26">
        <f ca="1"/>
        <v>220972.97647072651</v>
      </c>
      <c r="L288" s="26">
        <f ca="1"/>
        <v>222963.53222637787</v>
      </c>
      <c r="M288" s="6"/>
      <c r="N288" s="1" t="str">
        <f t="shared" si="8"/>
        <v>$M(2015)/million</v>
      </c>
      <c r="O288" s="1"/>
    </row>
    <row r="289" spans="1:15" x14ac:dyDescent="0.25">
      <c r="A289" t="str">
        <v>AF Economic</v>
      </c>
      <c r="C289" s="26">
        <f ca="1"/>
        <v>6087.500641815609</v>
      </c>
      <c r="D289" s="26">
        <f ca="1"/>
        <v>8249.7819185589851</v>
      </c>
      <c r="E289" s="26">
        <f ca="1"/>
        <v>11823.109530495743</v>
      </c>
      <c r="F289" s="26">
        <f ca="1"/>
        <v>17560.582431083716</v>
      </c>
      <c r="G289" s="26">
        <f ca="1"/>
        <v>46948.951790222549</v>
      </c>
      <c r="H289" s="26">
        <f ca="1"/>
        <v>101697.46864563407</v>
      </c>
      <c r="I289" s="26">
        <f ca="1"/>
        <v>385362.11968427082</v>
      </c>
      <c r="J289" s="26">
        <f ca="1"/>
        <v>739384.11357021565</v>
      </c>
      <c r="K289" s="26">
        <f ca="1"/>
        <v>1016534.9363288272</v>
      </c>
      <c r="L289" s="26">
        <f ca="1"/>
        <v>1188011.5421540034</v>
      </c>
      <c r="M289" s="6"/>
      <c r="N289" s="1" t="str">
        <f t="shared" si="8"/>
        <v>$M(2015)/million</v>
      </c>
      <c r="O289" s="1"/>
    </row>
    <row r="290" spans="1:15" x14ac:dyDescent="0.25">
      <c r="A290" t="str">
        <v>LA Economic</v>
      </c>
      <c r="C290" s="26">
        <f ca="1"/>
        <v>14573.365553580647</v>
      </c>
      <c r="D290" s="26">
        <f ca="1"/>
        <v>19487.633782548775</v>
      </c>
      <c r="E290" s="26">
        <f ca="1"/>
        <v>26474.983248267501</v>
      </c>
      <c r="F290" s="26">
        <f ca="1"/>
        <v>35743.050513733833</v>
      </c>
      <c r="G290" s="26">
        <f ca="1"/>
        <v>69557.675823012003</v>
      </c>
      <c r="H290" s="26">
        <f ca="1"/>
        <v>120608.06082125304</v>
      </c>
      <c r="I290" s="26">
        <f ca="1"/>
        <v>220890.97438713352</v>
      </c>
      <c r="J290" s="26">
        <f ca="1"/>
        <v>281147.94136108289</v>
      </c>
      <c r="K290" s="26">
        <f ca="1"/>
        <v>309485.50073027983</v>
      </c>
      <c r="L290" s="26">
        <f ca="1"/>
        <v>321669.37835945399</v>
      </c>
      <c r="M290" s="6"/>
      <c r="N290" s="1" t="str">
        <f t="shared" si="8"/>
        <v>$M(2015)/million</v>
      </c>
      <c r="O290" s="1"/>
    </row>
    <row r="291" spans="1:15" s="2" customFormat="1" ht="15" x14ac:dyDescent="0.4">
      <c r="A291" s="2" t="s">
        <v>222</v>
      </c>
      <c r="C291" s="2" t="s">
        <v>239</v>
      </c>
    </row>
    <row r="292" spans="1:15" x14ac:dyDescent="0.25">
      <c r="A292" t="str">
        <f t="array" ref="A292:A299">R_CODE&amp;" "&amp;I_2_NAME</f>
        <v>EU Non-econ</v>
      </c>
      <c r="C292" s="29">
        <f t="array" ref="C292:L299" ca="1">WINCF_2*((W_2+IBEN_2*TCAL)*(i_2_b/TCAL)^POW_2-i_2_b*IBEN_2)</f>
        <v>5.1769797294989844E-2</v>
      </c>
      <c r="D292" s="29">
        <f ca="1"/>
        <v>0.17713806468451423</v>
      </c>
      <c r="E292" s="29">
        <f ca="1"/>
        <v>0.29126406064209265</v>
      </c>
      <c r="F292" s="29">
        <f ca="1"/>
        <v>0.37612793767719743</v>
      </c>
      <c r="G292" s="29">
        <f ca="1"/>
        <v>0.46204120588459774</v>
      </c>
      <c r="H292" s="29">
        <f ca="1"/>
        <v>0.44237782381231888</v>
      </c>
      <c r="I292" s="29">
        <f ca="1"/>
        <v>0.29321225784382887</v>
      </c>
      <c r="J292" s="29">
        <f ca="1"/>
        <v>0.21790472995704188</v>
      </c>
      <c r="K292" s="29">
        <f ca="1"/>
        <v>0.17800637398596594</v>
      </c>
      <c r="L292" s="29">
        <f ca="1"/>
        <v>0.14140507557826909</v>
      </c>
      <c r="M292" s="6"/>
      <c r="N292" s="59" t="s">
        <v>134</v>
      </c>
    </row>
    <row r="293" spans="1:15" x14ac:dyDescent="0.25">
      <c r="A293" t="str">
        <v>US Non-econ</v>
      </c>
      <c r="C293" s="26">
        <f ca="1"/>
        <v>6.6071735584375485E-2</v>
      </c>
      <c r="D293" s="26">
        <f ca="1"/>
        <v>0.20990365884004322</v>
      </c>
      <c r="E293" s="26">
        <f ca="1"/>
        <v>0.34002666959905647</v>
      </c>
      <c r="F293" s="26">
        <f ca="1"/>
        <v>0.43655355453067041</v>
      </c>
      <c r="G293" s="26">
        <f ca="1"/>
        <v>0.53414321713380974</v>
      </c>
      <c r="H293" s="26">
        <f ca="1"/>
        <v>0.51181699025630301</v>
      </c>
      <c r="I293" s="26">
        <f ca="1"/>
        <v>0.34224440967228731</v>
      </c>
      <c r="J293" s="26">
        <f ca="1"/>
        <v>0.25643839733873891</v>
      </c>
      <c r="K293" s="26">
        <f ca="1"/>
        <v>0.21089561234695631</v>
      </c>
      <c r="L293" s="26">
        <f ca="1"/>
        <v>0.16904639746561156</v>
      </c>
      <c r="M293" s="6"/>
      <c r="N293" s="59" t="s">
        <v>134</v>
      </c>
    </row>
    <row r="294" spans="1:15" x14ac:dyDescent="0.25">
      <c r="A294" t="str">
        <v>OT Non-econ</v>
      </c>
      <c r="C294" s="26">
        <f ca="1"/>
        <v>4.2344561330372912E-2</v>
      </c>
      <c r="D294" s="26">
        <f ca="1"/>
        <v>0.15532219435109085</v>
      </c>
      <c r="E294" s="26">
        <f ca="1"/>
        <v>0.25869192136560437</v>
      </c>
      <c r="F294" s="26">
        <f ca="1"/>
        <v>0.3357073742383212</v>
      </c>
      <c r="G294" s="26">
        <f ca="1"/>
        <v>0.41375958727706397</v>
      </c>
      <c r="H294" s="26">
        <f ca="1"/>
        <v>0.39588921628499441</v>
      </c>
      <c r="I294" s="26">
        <f ca="1"/>
        <v>0.26045878404093625</v>
      </c>
      <c r="J294" s="26">
        <f ca="1"/>
        <v>0.19221191297515744</v>
      </c>
      <c r="K294" s="26">
        <f ca="1"/>
        <v>0.15610741873849338</v>
      </c>
      <c r="L294" s="26">
        <f ca="1"/>
        <v>0.1230315881499624</v>
      </c>
      <c r="M294" s="6"/>
      <c r="N294" s="59" t="s">
        <v>134</v>
      </c>
    </row>
    <row r="295" spans="1:15" x14ac:dyDescent="0.25">
      <c r="A295" t="str">
        <v>EE Non-econ</v>
      </c>
      <c r="C295" s="26">
        <f ca="1"/>
        <v>0.14520216757681198</v>
      </c>
      <c r="D295" s="26">
        <f ca="1"/>
        <v>0.38673998507207497</v>
      </c>
      <c r="E295" s="26">
        <f ca="1"/>
        <v>0.60109725874543551</v>
      </c>
      <c r="F295" s="26">
        <f ca="1"/>
        <v>0.75891112098149627</v>
      </c>
      <c r="G295" s="26">
        <f ca="1"/>
        <v>0.91778571936409725</v>
      </c>
      <c r="H295" s="26">
        <f ca="1"/>
        <v>0.88148860076485991</v>
      </c>
      <c r="I295" s="26">
        <f ca="1"/>
        <v>0.60473239235170029</v>
      </c>
      <c r="J295" s="26">
        <f ca="1"/>
        <v>0.46367642205808435</v>
      </c>
      <c r="K295" s="26">
        <f ca="1"/>
        <v>0.38838405128992914</v>
      </c>
      <c r="L295" s="26">
        <f ca="1"/>
        <v>0.31883753235038376</v>
      </c>
      <c r="M295" s="6"/>
      <c r="N295" s="59" t="s">
        <v>134</v>
      </c>
    </row>
    <row r="296" spans="1:15" x14ac:dyDescent="0.25">
      <c r="A296" t="str">
        <v>CA Non-econ</v>
      </c>
      <c r="C296" s="26">
        <f ca="1"/>
        <v>3.3573059198262228E-2</v>
      </c>
      <c r="D296" s="26">
        <f ca="1"/>
        <v>0.13481979363863753</v>
      </c>
      <c r="E296" s="26">
        <f ca="1"/>
        <v>0.22798752037721146</v>
      </c>
      <c r="F296" s="26">
        <f ca="1"/>
        <v>0.29755343496723818</v>
      </c>
      <c r="G296" s="26">
        <f ca="1"/>
        <v>0.36814094029754424</v>
      </c>
      <c r="H296" s="26">
        <f ca="1"/>
        <v>0.35197341391469322</v>
      </c>
      <c r="I296" s="26">
        <f ca="1"/>
        <v>0.22958230833096194</v>
      </c>
      <c r="J296" s="26">
        <f ca="1"/>
        <v>0.16803362774402236</v>
      </c>
      <c r="K296" s="26">
        <f ca="1"/>
        <v>0.13552626058257586</v>
      </c>
      <c r="L296" s="26">
        <f ca="1"/>
        <v>0.10579142785100523</v>
      </c>
      <c r="M296" s="6"/>
      <c r="N296" s="59" t="s">
        <v>134</v>
      </c>
    </row>
    <row r="297" spans="1:15" x14ac:dyDescent="0.25">
      <c r="A297" t="str">
        <v>IA Non-econ</v>
      </c>
      <c r="C297" s="26">
        <f ca="1"/>
        <v>9.8433289649351996E-3</v>
      </c>
      <c r="D297" s="26">
        <f ca="1"/>
        <v>7.7930101770002175E-2</v>
      </c>
      <c r="E297" s="26">
        <f ca="1"/>
        <v>0.14213031661400552</v>
      </c>
      <c r="F297" s="26">
        <f ca="1"/>
        <v>0.19050526386085007</v>
      </c>
      <c r="G297" s="26">
        <f ca="1"/>
        <v>0.23983641124363561</v>
      </c>
      <c r="H297" s="26">
        <f ca="1"/>
        <v>0.22851951893087047</v>
      </c>
      <c r="I297" s="26">
        <f ca="1"/>
        <v>0.14323592625563294</v>
      </c>
      <c r="J297" s="26">
        <f ca="1"/>
        <v>0.1007156301670642</v>
      </c>
      <c r="K297" s="26">
        <f ca="1"/>
        <v>7.841326793988132E-2</v>
      </c>
      <c r="L297" s="26">
        <f ca="1"/>
        <v>5.8145232037193462E-2</v>
      </c>
      <c r="M297" s="6"/>
      <c r="N297" s="59" t="s">
        <v>134</v>
      </c>
    </row>
    <row r="298" spans="1:15" x14ac:dyDescent="0.25">
      <c r="A298" t="str">
        <v>AF Non-econ</v>
      </c>
      <c r="C298" s="26">
        <f ca="1"/>
        <v>4.0538105355935466E-2</v>
      </c>
      <c r="D298" s="26">
        <f ca="1"/>
        <v>0.15111692427043749</v>
      </c>
      <c r="E298" s="26">
        <f ca="1"/>
        <v>0.25240203111349535</v>
      </c>
      <c r="F298" s="26">
        <f ca="1"/>
        <v>0.32789575280973865</v>
      </c>
      <c r="G298" s="26">
        <f ca="1"/>
        <v>0.40442340330453841</v>
      </c>
      <c r="H298" s="26">
        <f ca="1"/>
        <v>0.38690079480679324</v>
      </c>
      <c r="I298" s="26">
        <f ca="1"/>
        <v>0.25413374008789291</v>
      </c>
      <c r="J298" s="26">
        <f ca="1"/>
        <v>0.18725542505018547</v>
      </c>
      <c r="K298" s="26">
        <f ca="1"/>
        <v>0.15188605191915605</v>
      </c>
      <c r="L298" s="26">
        <f ca="1"/>
        <v>0.1194931381026465</v>
      </c>
      <c r="M298" s="6"/>
      <c r="N298" s="59" t="s">
        <v>134</v>
      </c>
    </row>
    <row r="299" spans="1:15" x14ac:dyDescent="0.25">
      <c r="A299" t="str">
        <v>LA Non-econ</v>
      </c>
      <c r="C299" s="26">
        <f ca="1"/>
        <v>1.3793536972302151E-2</v>
      </c>
      <c r="D299" s="26">
        <f ca="1"/>
        <v>8.7594103765257697E-2</v>
      </c>
      <c r="E299" s="26">
        <f ca="1"/>
        <v>0.15680255090628065</v>
      </c>
      <c r="F299" s="26">
        <f ca="1"/>
        <v>0.20884626087791303</v>
      </c>
      <c r="G299" s="26">
        <f ca="1"/>
        <v>0.26186036977068861</v>
      </c>
      <c r="H299" s="26">
        <f ca="1"/>
        <v>0.24970282437805946</v>
      </c>
      <c r="I299" s="26">
        <f ca="1"/>
        <v>0.1579928117531661</v>
      </c>
      <c r="J299" s="26">
        <f ca="1"/>
        <v>0.11218143142829631</v>
      </c>
      <c r="K299" s="26">
        <f ca="1"/>
        <v>8.811583486850541E-2</v>
      </c>
      <c r="L299" s="26">
        <f ca="1"/>
        <v>6.6213614732603066E-2</v>
      </c>
      <c r="M299" s="6"/>
      <c r="N299" s="59" t="s">
        <v>134</v>
      </c>
    </row>
    <row r="300" spans="1:15" s="2" customFormat="1" ht="15" x14ac:dyDescent="0.4">
      <c r="A300" s="2" t="s">
        <v>221</v>
      </c>
      <c r="C300" s="2" t="s">
        <v>240</v>
      </c>
    </row>
    <row r="301" spans="1:15" x14ac:dyDescent="0.25">
      <c r="A301" t="str">
        <f t="array" ref="A301:A308">R_CODE&amp;" "&amp;I_2_NAME</f>
        <v>EU Non-econ</v>
      </c>
      <c r="C301" s="29">
        <f t="array" ref="C301:L308" ca="1">iref_2_b*(rgdp_1_per_cap_b/GDP_PER_CAP_FOCUS_0)^IPOW_2</f>
        <v>5.1769797294989844E-2</v>
      </c>
      <c r="D301" s="29">
        <f ca="1"/>
        <v>0.17713806468451423</v>
      </c>
      <c r="E301" s="29">
        <f ca="1"/>
        <v>0.29126406064209265</v>
      </c>
      <c r="F301" s="29">
        <f ca="1"/>
        <v>0.37612793767719743</v>
      </c>
      <c r="G301" s="29">
        <f ca="1"/>
        <v>0.46204120588459774</v>
      </c>
      <c r="H301" s="29">
        <f ca="1"/>
        <v>0.44237782381231888</v>
      </c>
      <c r="I301" s="29">
        <f ca="1"/>
        <v>0.29321225784382887</v>
      </c>
      <c r="J301" s="29">
        <f ca="1"/>
        <v>0.21790472995704188</v>
      </c>
      <c r="K301" s="29">
        <f ca="1"/>
        <v>0.17800637398596594</v>
      </c>
      <c r="L301" s="29">
        <f ca="1"/>
        <v>0.14140507557826909</v>
      </c>
      <c r="M301" s="6"/>
      <c r="N301" s="59" t="s">
        <v>134</v>
      </c>
    </row>
    <row r="302" spans="1:15" x14ac:dyDescent="0.25">
      <c r="A302" t="str">
        <v>US Non-econ</v>
      </c>
      <c r="C302" s="26">
        <f ca="1"/>
        <v>6.6071735584375485E-2</v>
      </c>
      <c r="D302" s="26">
        <f ca="1"/>
        <v>0.20990365884004322</v>
      </c>
      <c r="E302" s="26">
        <f ca="1"/>
        <v>0.34002666959905647</v>
      </c>
      <c r="F302" s="26">
        <f ca="1"/>
        <v>0.43655355453067041</v>
      </c>
      <c r="G302" s="26">
        <f ca="1"/>
        <v>0.53414321713380974</v>
      </c>
      <c r="H302" s="26">
        <f ca="1"/>
        <v>0.51181699025630301</v>
      </c>
      <c r="I302" s="26">
        <f ca="1"/>
        <v>0.34224440967228731</v>
      </c>
      <c r="J302" s="26">
        <f ca="1"/>
        <v>0.25643839733873891</v>
      </c>
      <c r="K302" s="26">
        <f ca="1"/>
        <v>0.21089561234695631</v>
      </c>
      <c r="L302" s="26">
        <f ca="1"/>
        <v>0.16904639746561156</v>
      </c>
      <c r="M302" s="6"/>
      <c r="N302" s="59" t="s">
        <v>134</v>
      </c>
    </row>
    <row r="303" spans="1:15" x14ac:dyDescent="0.25">
      <c r="A303" t="str">
        <v>OT Non-econ</v>
      </c>
      <c r="C303" s="26">
        <f ca="1"/>
        <v>4.2344561330372912E-2</v>
      </c>
      <c r="D303" s="26">
        <f ca="1"/>
        <v>0.15532219435109085</v>
      </c>
      <c r="E303" s="26">
        <f ca="1"/>
        <v>0.25869192136560437</v>
      </c>
      <c r="F303" s="26">
        <f ca="1"/>
        <v>0.3357073742383212</v>
      </c>
      <c r="G303" s="26">
        <f ca="1"/>
        <v>0.41375958727706397</v>
      </c>
      <c r="H303" s="26">
        <f ca="1"/>
        <v>0.39588921628499441</v>
      </c>
      <c r="I303" s="26">
        <f ca="1"/>
        <v>0.26045878404093625</v>
      </c>
      <c r="J303" s="26">
        <f ca="1"/>
        <v>0.19221191297515744</v>
      </c>
      <c r="K303" s="26">
        <f ca="1"/>
        <v>0.15610741873849338</v>
      </c>
      <c r="L303" s="26">
        <f ca="1"/>
        <v>0.1230315881499624</v>
      </c>
      <c r="M303" s="6"/>
      <c r="N303" s="59" t="s">
        <v>134</v>
      </c>
    </row>
    <row r="304" spans="1:15" x14ac:dyDescent="0.25">
      <c r="A304" t="str">
        <v>EE Non-econ</v>
      </c>
      <c r="C304" s="26">
        <f ca="1"/>
        <v>0.14520216757681198</v>
      </c>
      <c r="D304" s="26">
        <f ca="1"/>
        <v>0.38673998507207497</v>
      </c>
      <c r="E304" s="26">
        <f ca="1"/>
        <v>0.60109725874543551</v>
      </c>
      <c r="F304" s="26">
        <f ca="1"/>
        <v>0.75891112098149627</v>
      </c>
      <c r="G304" s="26">
        <f ca="1"/>
        <v>0.91778571936409725</v>
      </c>
      <c r="H304" s="26">
        <f ca="1"/>
        <v>0.88148860076485991</v>
      </c>
      <c r="I304" s="26">
        <f ca="1"/>
        <v>0.60473239235170029</v>
      </c>
      <c r="J304" s="26">
        <f ca="1"/>
        <v>0.46367642205808435</v>
      </c>
      <c r="K304" s="26">
        <f ca="1"/>
        <v>0.38838405128992914</v>
      </c>
      <c r="L304" s="26">
        <f ca="1"/>
        <v>0.31883753235038376</v>
      </c>
      <c r="M304" s="6"/>
      <c r="N304" s="59" t="s">
        <v>134</v>
      </c>
    </row>
    <row r="305" spans="1:15" x14ac:dyDescent="0.25">
      <c r="A305" t="str">
        <v>CA Non-econ</v>
      </c>
      <c r="C305" s="26">
        <f ca="1"/>
        <v>3.3573059198262228E-2</v>
      </c>
      <c r="D305" s="26">
        <f ca="1"/>
        <v>0.13481979363863753</v>
      </c>
      <c r="E305" s="26">
        <f ca="1"/>
        <v>0.22798752037721146</v>
      </c>
      <c r="F305" s="26">
        <f ca="1"/>
        <v>0.29755343496723818</v>
      </c>
      <c r="G305" s="26">
        <f ca="1"/>
        <v>0.36814094029754424</v>
      </c>
      <c r="H305" s="26">
        <f ca="1"/>
        <v>0.35197341391469322</v>
      </c>
      <c r="I305" s="26">
        <f ca="1"/>
        <v>0.22958230833096194</v>
      </c>
      <c r="J305" s="26">
        <f ca="1"/>
        <v>0.16803362774402236</v>
      </c>
      <c r="K305" s="26">
        <f ca="1"/>
        <v>0.13552626058257586</v>
      </c>
      <c r="L305" s="26">
        <f ca="1"/>
        <v>0.10579142785100523</v>
      </c>
      <c r="M305" s="6"/>
      <c r="N305" s="59" t="s">
        <v>134</v>
      </c>
    </row>
    <row r="306" spans="1:15" x14ac:dyDescent="0.25">
      <c r="A306" t="str">
        <v>IA Non-econ</v>
      </c>
      <c r="C306" s="26">
        <f ca="1"/>
        <v>9.8433289649351996E-3</v>
      </c>
      <c r="D306" s="26">
        <f ca="1"/>
        <v>7.7930101770002175E-2</v>
      </c>
      <c r="E306" s="26">
        <f ca="1"/>
        <v>0.14213031661400552</v>
      </c>
      <c r="F306" s="26">
        <f ca="1"/>
        <v>0.19050526386085007</v>
      </c>
      <c r="G306" s="26">
        <f ca="1"/>
        <v>0.23983641124363561</v>
      </c>
      <c r="H306" s="26">
        <f ca="1"/>
        <v>0.22851951893087047</v>
      </c>
      <c r="I306" s="26">
        <f ca="1"/>
        <v>0.14323592625563294</v>
      </c>
      <c r="J306" s="26">
        <f ca="1"/>
        <v>0.1007156301670642</v>
      </c>
      <c r="K306" s="26">
        <f ca="1"/>
        <v>7.841326793988132E-2</v>
      </c>
      <c r="L306" s="26">
        <f ca="1"/>
        <v>5.8145232037193462E-2</v>
      </c>
      <c r="M306" s="6"/>
      <c r="N306" s="59" t="s">
        <v>134</v>
      </c>
    </row>
    <row r="307" spans="1:15" x14ac:dyDescent="0.25">
      <c r="A307" t="str">
        <v>AF Non-econ</v>
      </c>
      <c r="C307" s="26">
        <f ca="1"/>
        <v>4.0538105355935466E-2</v>
      </c>
      <c r="D307" s="26">
        <f ca="1"/>
        <v>0.15111692427043749</v>
      </c>
      <c r="E307" s="26">
        <f ca="1"/>
        <v>0.25240203111349535</v>
      </c>
      <c r="F307" s="26">
        <f ca="1"/>
        <v>0.32789575280973865</v>
      </c>
      <c r="G307" s="26">
        <f ca="1"/>
        <v>0.40442340330453841</v>
      </c>
      <c r="H307" s="26">
        <f ca="1"/>
        <v>0.38690079480679324</v>
      </c>
      <c r="I307" s="26">
        <f ca="1"/>
        <v>0.25413374008789291</v>
      </c>
      <c r="J307" s="26">
        <f ca="1"/>
        <v>0.18725542505018547</v>
      </c>
      <c r="K307" s="26">
        <f ca="1"/>
        <v>0.15188605191915605</v>
      </c>
      <c r="L307" s="26">
        <f ca="1"/>
        <v>0.1194931381026465</v>
      </c>
      <c r="M307" s="6"/>
      <c r="N307" s="59" t="s">
        <v>134</v>
      </c>
    </row>
    <row r="308" spans="1:15" x14ac:dyDescent="0.25">
      <c r="A308" t="str">
        <v>LA Non-econ</v>
      </c>
      <c r="C308" s="26">
        <f ca="1"/>
        <v>1.3793536972302151E-2</v>
      </c>
      <c r="D308" s="26">
        <f ca="1"/>
        <v>8.7594103765257697E-2</v>
      </c>
      <c r="E308" s="26">
        <f ca="1"/>
        <v>0.15680255090628065</v>
      </c>
      <c r="F308" s="26">
        <f ca="1"/>
        <v>0.20884626087791303</v>
      </c>
      <c r="G308" s="26">
        <f ca="1"/>
        <v>0.26186036977068861</v>
      </c>
      <c r="H308" s="26">
        <f ca="1"/>
        <v>0.24970282437805946</v>
      </c>
      <c r="I308" s="26">
        <f ca="1"/>
        <v>0.1579928117531661</v>
      </c>
      <c r="J308" s="26">
        <f ca="1"/>
        <v>0.11218143142829631</v>
      </c>
      <c r="K308" s="26">
        <f ca="1"/>
        <v>8.811583486850541E-2</v>
      </c>
      <c r="L308" s="26">
        <f ca="1"/>
        <v>6.6213614732603066E-2</v>
      </c>
      <c r="M308" s="6"/>
      <c r="N308" s="59" t="s">
        <v>134</v>
      </c>
    </row>
    <row r="309" spans="1:15" s="2" customFormat="1" ht="15" x14ac:dyDescent="0.4">
      <c r="A309" s="2" t="s">
        <v>225</v>
      </c>
      <c r="C309" s="2" t="s">
        <v>241</v>
      </c>
    </row>
    <row r="310" spans="1:15" x14ac:dyDescent="0.25">
      <c r="A310" t="str">
        <f t="array" ref="A310:A317">R_CODE&amp;" "&amp;I_2_NAME</f>
        <v>EU Non-econ</v>
      </c>
      <c r="C310" s="29">
        <f t="array" ref="C310:L317" ca="1">IF(igdp_2_b&lt;ISATG,igdp_2_b,ISATG+(100-SAVE-ISATG)*((igdp_2_b-ISATG)/((100-SAVE-ISATG)+(igdp_2_b-ISATG))))*(1-imp_2_b/100*IF(i_2_b&lt;impmax_2_b,1,impmax_2_b/i_2_b))</f>
        <v>5.1769797294989844E-2</v>
      </c>
      <c r="D310" s="29">
        <f ca="1"/>
        <v>0.17713806468451423</v>
      </c>
      <c r="E310" s="29">
        <f ca="1"/>
        <v>0.29126406064209265</v>
      </c>
      <c r="F310" s="29">
        <f ca="1"/>
        <v>0.37612793767719743</v>
      </c>
      <c r="G310" s="29">
        <f ca="1"/>
        <v>0.46204120588459774</v>
      </c>
      <c r="H310" s="29">
        <f ca="1"/>
        <v>0.44237782381231888</v>
      </c>
      <c r="I310" s="29">
        <f ca="1"/>
        <v>0.29321225784382887</v>
      </c>
      <c r="J310" s="29">
        <f ca="1"/>
        <v>0.21790472995704188</v>
      </c>
      <c r="K310" s="29">
        <f ca="1"/>
        <v>0.17800637398596594</v>
      </c>
      <c r="L310" s="29">
        <f ca="1"/>
        <v>0.14140507557826909</v>
      </c>
      <c r="M310" s="6"/>
      <c r="N310" s="59" t="s">
        <v>134</v>
      </c>
    </row>
    <row r="311" spans="1:15" x14ac:dyDescent="0.25">
      <c r="A311" t="str">
        <v>US Non-econ</v>
      </c>
      <c r="C311" s="26">
        <f ca="1"/>
        <v>6.6071735584375485E-2</v>
      </c>
      <c r="D311" s="26">
        <f ca="1"/>
        <v>0.20990365884004322</v>
      </c>
      <c r="E311" s="26">
        <f ca="1"/>
        <v>0.34002666959905647</v>
      </c>
      <c r="F311" s="26">
        <f ca="1"/>
        <v>0.43655355453067041</v>
      </c>
      <c r="G311" s="26">
        <f ca="1"/>
        <v>0.53414321713380974</v>
      </c>
      <c r="H311" s="26">
        <f ca="1"/>
        <v>0.51181699025630301</v>
      </c>
      <c r="I311" s="26">
        <f ca="1"/>
        <v>0.34224440967228731</v>
      </c>
      <c r="J311" s="26">
        <f ca="1"/>
        <v>0.25643839733873891</v>
      </c>
      <c r="K311" s="26">
        <f ca="1"/>
        <v>0.21089561234695631</v>
      </c>
      <c r="L311" s="26">
        <f ca="1"/>
        <v>0.16904639746561156</v>
      </c>
      <c r="M311" s="6"/>
      <c r="N311" s="59" t="s">
        <v>134</v>
      </c>
    </row>
    <row r="312" spans="1:15" x14ac:dyDescent="0.25">
      <c r="A312" t="str">
        <v>OT Non-econ</v>
      </c>
      <c r="C312" s="26">
        <f ca="1"/>
        <v>4.2344561330372912E-2</v>
      </c>
      <c r="D312" s="26">
        <f ca="1"/>
        <v>0.15532219435109085</v>
      </c>
      <c r="E312" s="26">
        <f ca="1"/>
        <v>0.25869192136560437</v>
      </c>
      <c r="F312" s="26">
        <f ca="1"/>
        <v>0.3357073742383212</v>
      </c>
      <c r="G312" s="26">
        <f ca="1"/>
        <v>0.41375958727706397</v>
      </c>
      <c r="H312" s="26">
        <f ca="1"/>
        <v>0.39588921628499441</v>
      </c>
      <c r="I312" s="26">
        <f ca="1"/>
        <v>0.26045878404093625</v>
      </c>
      <c r="J312" s="26">
        <f ca="1"/>
        <v>0.19221191297515744</v>
      </c>
      <c r="K312" s="26">
        <f ca="1"/>
        <v>0.15610741873849338</v>
      </c>
      <c r="L312" s="26">
        <f ca="1"/>
        <v>0.1230315881499624</v>
      </c>
      <c r="M312" s="6"/>
      <c r="N312" s="59" t="s">
        <v>134</v>
      </c>
    </row>
    <row r="313" spans="1:15" x14ac:dyDescent="0.25">
      <c r="A313" t="str">
        <v>EE Non-econ</v>
      </c>
      <c r="C313" s="26">
        <f ca="1"/>
        <v>0.14520216757681198</v>
      </c>
      <c r="D313" s="26">
        <f ca="1"/>
        <v>0.38673998507207497</v>
      </c>
      <c r="E313" s="26">
        <f ca="1"/>
        <v>0.60109725874543551</v>
      </c>
      <c r="F313" s="26">
        <f ca="1"/>
        <v>0.75891112098149627</v>
      </c>
      <c r="G313" s="26">
        <f ca="1"/>
        <v>0.91778571936409725</v>
      </c>
      <c r="H313" s="26">
        <f ca="1"/>
        <v>0.88148860076485991</v>
      </c>
      <c r="I313" s="26">
        <f ca="1"/>
        <v>0.60473239235170029</v>
      </c>
      <c r="J313" s="26">
        <f ca="1"/>
        <v>0.46367642205808435</v>
      </c>
      <c r="K313" s="26">
        <f ca="1"/>
        <v>0.38838405128992914</v>
      </c>
      <c r="L313" s="26">
        <f ca="1"/>
        <v>0.31883753235038376</v>
      </c>
      <c r="M313" s="6"/>
      <c r="N313" s="59" t="s">
        <v>134</v>
      </c>
    </row>
    <row r="314" spans="1:15" x14ac:dyDescent="0.25">
      <c r="A314" t="str">
        <v>CA Non-econ</v>
      </c>
      <c r="C314" s="26">
        <f ca="1"/>
        <v>3.3573059198262228E-2</v>
      </c>
      <c r="D314" s="26">
        <f ca="1"/>
        <v>0.13481979363863753</v>
      </c>
      <c r="E314" s="26">
        <f ca="1"/>
        <v>0.22798752037721146</v>
      </c>
      <c r="F314" s="26">
        <f ca="1"/>
        <v>0.29755343496723818</v>
      </c>
      <c r="G314" s="26">
        <f ca="1"/>
        <v>0.36814094029754424</v>
      </c>
      <c r="H314" s="26">
        <f ca="1"/>
        <v>0.35197341391469322</v>
      </c>
      <c r="I314" s="26">
        <f ca="1"/>
        <v>0.22958230833096194</v>
      </c>
      <c r="J314" s="26">
        <f ca="1"/>
        <v>0.16803362774402236</v>
      </c>
      <c r="K314" s="26">
        <f ca="1"/>
        <v>0.13552626058257586</v>
      </c>
      <c r="L314" s="26">
        <f ca="1"/>
        <v>0.10579142785100523</v>
      </c>
      <c r="M314" s="6"/>
      <c r="N314" s="59" t="s">
        <v>134</v>
      </c>
    </row>
    <row r="315" spans="1:15" x14ac:dyDescent="0.25">
      <c r="A315" t="str">
        <v>IA Non-econ</v>
      </c>
      <c r="C315" s="26">
        <f ca="1"/>
        <v>9.8433289649351996E-3</v>
      </c>
      <c r="D315" s="26">
        <f ca="1"/>
        <v>7.7930101770002175E-2</v>
      </c>
      <c r="E315" s="26">
        <f ca="1"/>
        <v>0.14213031661400552</v>
      </c>
      <c r="F315" s="26">
        <f ca="1"/>
        <v>0.19050526386085007</v>
      </c>
      <c r="G315" s="26">
        <f ca="1"/>
        <v>0.23983641124363561</v>
      </c>
      <c r="H315" s="26">
        <f ca="1"/>
        <v>0.22851951893087047</v>
      </c>
      <c r="I315" s="26">
        <f ca="1"/>
        <v>0.14323592625563294</v>
      </c>
      <c r="J315" s="26">
        <f ca="1"/>
        <v>0.1007156301670642</v>
      </c>
      <c r="K315" s="26">
        <f ca="1"/>
        <v>7.841326793988132E-2</v>
      </c>
      <c r="L315" s="26">
        <f ca="1"/>
        <v>5.8145232037193462E-2</v>
      </c>
      <c r="M315" s="6"/>
      <c r="N315" s="59" t="s">
        <v>134</v>
      </c>
    </row>
    <row r="316" spans="1:15" x14ac:dyDescent="0.25">
      <c r="A316" t="str">
        <v>AF Non-econ</v>
      </c>
      <c r="C316" s="26">
        <f ca="1"/>
        <v>4.0538105355935466E-2</v>
      </c>
      <c r="D316" s="26">
        <f ca="1"/>
        <v>0.15111692427043749</v>
      </c>
      <c r="E316" s="26">
        <f ca="1"/>
        <v>0.25240203111349535</v>
      </c>
      <c r="F316" s="26">
        <f ca="1"/>
        <v>0.32789575280973865</v>
      </c>
      <c r="G316" s="26">
        <f ca="1"/>
        <v>0.40442340330453841</v>
      </c>
      <c r="H316" s="26">
        <f ca="1"/>
        <v>0.38690079480679324</v>
      </c>
      <c r="I316" s="26">
        <f ca="1"/>
        <v>0.25413374008789291</v>
      </c>
      <c r="J316" s="26">
        <f ca="1"/>
        <v>0.18725542505018547</v>
      </c>
      <c r="K316" s="26">
        <f ca="1"/>
        <v>0.15188605191915605</v>
      </c>
      <c r="L316" s="26">
        <f ca="1"/>
        <v>0.1194931381026465</v>
      </c>
      <c r="M316" s="6"/>
      <c r="N316" s="59" t="s">
        <v>134</v>
      </c>
    </row>
    <row r="317" spans="1:15" x14ac:dyDescent="0.25">
      <c r="A317" t="str">
        <v>LA Non-econ</v>
      </c>
      <c r="C317" s="26">
        <f ca="1"/>
        <v>1.3793536972302151E-2</v>
      </c>
      <c r="D317" s="26">
        <f ca="1"/>
        <v>8.7594103765257697E-2</v>
      </c>
      <c r="E317" s="26">
        <f ca="1"/>
        <v>0.15680255090628065</v>
      </c>
      <c r="F317" s="26">
        <f ca="1"/>
        <v>0.20884626087791303</v>
      </c>
      <c r="G317" s="26">
        <f ca="1"/>
        <v>0.26186036977068861</v>
      </c>
      <c r="H317" s="26">
        <f ca="1"/>
        <v>0.24970282437805946</v>
      </c>
      <c r="I317" s="26">
        <f ca="1"/>
        <v>0.1579928117531661</v>
      </c>
      <c r="J317" s="26">
        <f ca="1"/>
        <v>0.11218143142829631</v>
      </c>
      <c r="K317" s="26">
        <f ca="1"/>
        <v>8.811583486850541E-2</v>
      </c>
      <c r="L317" s="26">
        <f ca="1"/>
        <v>6.6213614732603066E-2</v>
      </c>
      <c r="M317" s="6"/>
      <c r="N317" s="59" t="s">
        <v>134</v>
      </c>
    </row>
    <row r="318" spans="1:15" s="2" customFormat="1" ht="15" x14ac:dyDescent="0.4">
      <c r="A318" s="2" t="s">
        <v>226</v>
      </c>
      <c r="C318" s="2" t="s">
        <v>242</v>
      </c>
    </row>
    <row r="319" spans="1:15" x14ac:dyDescent="0.25">
      <c r="A319" t="str">
        <f t="array" ref="A319:A326">R_CODE&amp;" "&amp;I_2_NAME</f>
        <v>EU Non-econ</v>
      </c>
      <c r="C319" s="29">
        <f t="array" aca="1" ref="C319:L326" ca="1">(isat_2_b/100)*rgdp_1_per_cap_b</f>
        <v>19.007214462180755</v>
      </c>
      <c r="D319" s="29">
        <f ca="1"/>
        <v>74.783052056131126</v>
      </c>
      <c r="E319" s="29">
        <f ca="1"/>
        <v>143.92253741483319</v>
      </c>
      <c r="F319" s="29">
        <f ca="1"/>
        <v>218.63506520475519</v>
      </c>
      <c r="G319" s="29">
        <f ca="1"/>
        <v>411.24389487885043</v>
      </c>
      <c r="H319" s="29">
        <f ca="1"/>
        <v>602.43939061931871</v>
      </c>
      <c r="I319" s="29">
        <f ca="1"/>
        <v>765.53731941124886</v>
      </c>
      <c r="J319" s="29">
        <f ca="1"/>
        <v>970.39382046482194</v>
      </c>
      <c r="K319" s="29">
        <f ca="1"/>
        <v>1230.7657113388448</v>
      </c>
      <c r="L319" s="29">
        <f ca="1"/>
        <v>1404.8196886623978</v>
      </c>
      <c r="M319" s="6"/>
      <c r="N319" s="1" t="str">
        <f t="shared" ref="N319:N326" si="9">CURRENCY_NAME&amp;"/"&amp;POP_UNIT_NAME</f>
        <v>$M(2015)/million</v>
      </c>
      <c r="O319" s="1"/>
    </row>
    <row r="320" spans="1:15" x14ac:dyDescent="0.25">
      <c r="A320" t="str">
        <v>US Non-econ</v>
      </c>
      <c r="C320" s="26">
        <f ca="1"/>
        <v>38.241569807842936</v>
      </c>
      <c r="D320" s="26">
        <f ca="1"/>
        <v>138.60211545731019</v>
      </c>
      <c r="E320" s="26">
        <f ca="1"/>
        <v>248.76837994493428</v>
      </c>
      <c r="F320" s="26">
        <f ca="1"/>
        <v>354.41827916095616</v>
      </c>
      <c r="G320" s="26">
        <f ca="1"/>
        <v>579.97655899442179</v>
      </c>
      <c r="H320" s="26">
        <f ca="1"/>
        <v>787.86377392558336</v>
      </c>
      <c r="I320" s="26">
        <f ca="1"/>
        <v>1067.3915308433911</v>
      </c>
      <c r="J320" s="26">
        <f ca="1"/>
        <v>1503.3793483844304</v>
      </c>
      <c r="K320" s="26">
        <f ca="1"/>
        <v>2179.1841791852357</v>
      </c>
      <c r="L320" s="26">
        <f ca="1"/>
        <v>2907.1426345136974</v>
      </c>
      <c r="M320" s="6"/>
      <c r="N320" s="1" t="str">
        <f t="shared" si="9"/>
        <v>$M(2015)/million</v>
      </c>
      <c r="O320" s="1"/>
    </row>
    <row r="321" spans="1:15" x14ac:dyDescent="0.25">
      <c r="A321" t="str">
        <v>OT Non-econ</v>
      </c>
      <c r="C321" s="26">
        <f ca="1"/>
        <v>15.679880747136066</v>
      </c>
      <c r="D321" s="26">
        <f ca="1"/>
        <v>67.878804618778474</v>
      </c>
      <c r="E321" s="26">
        <f ca="1"/>
        <v>131.90623455475998</v>
      </c>
      <c r="F321" s="26">
        <f ca="1"/>
        <v>200.70705106138925</v>
      </c>
      <c r="G321" s="26">
        <f ca="1"/>
        <v>377.0564766620214</v>
      </c>
      <c r="H321" s="26">
        <f ca="1"/>
        <v>550.87144750566119</v>
      </c>
      <c r="I321" s="26">
        <f ca="1"/>
        <v>583.4572001470392</v>
      </c>
      <c r="J321" s="26">
        <f ca="1"/>
        <v>581.36641214455506</v>
      </c>
      <c r="K321" s="26">
        <f ca="1"/>
        <v>571.17607671439737</v>
      </c>
      <c r="L321" s="26">
        <f ca="1"/>
        <v>507.96397016566749</v>
      </c>
      <c r="M321" s="6"/>
      <c r="N321" s="1" t="str">
        <f t="shared" si="9"/>
        <v>$M(2015)/million</v>
      </c>
      <c r="O321" s="1"/>
    </row>
    <row r="322" spans="1:15" x14ac:dyDescent="0.25">
      <c r="A322" t="str">
        <v>EE Non-econ</v>
      </c>
      <c r="C322" s="26">
        <f ca="1"/>
        <v>24.055002079690222</v>
      </c>
      <c r="D322" s="26">
        <f ca="1"/>
        <v>95.066368615562126</v>
      </c>
      <c r="E322" s="26">
        <f ca="1"/>
        <v>202.30899484526716</v>
      </c>
      <c r="F322" s="26">
        <f ca="1"/>
        <v>316.86021025120368</v>
      </c>
      <c r="G322" s="26">
        <f ca="1"/>
        <v>609.402161338469</v>
      </c>
      <c r="H322" s="26">
        <f ca="1"/>
        <v>878.74232636228226</v>
      </c>
      <c r="I322" s="26">
        <f ca="1"/>
        <v>837.43036383443746</v>
      </c>
      <c r="J322" s="26">
        <f ca="1"/>
        <v>739.34856416132618</v>
      </c>
      <c r="K322" s="26">
        <f ca="1"/>
        <v>658.25205049120973</v>
      </c>
      <c r="L322" s="26">
        <f ca="1"/>
        <v>554.6526094584076</v>
      </c>
      <c r="M322" s="6"/>
      <c r="N322" s="1" t="str">
        <f t="shared" si="9"/>
        <v>$M(2015)/million</v>
      </c>
      <c r="O322" s="1"/>
    </row>
    <row r="323" spans="1:15" x14ac:dyDescent="0.25">
      <c r="A323" t="str">
        <v>CA Non-econ</v>
      </c>
      <c r="C323" s="26">
        <f ca="1"/>
        <v>4.8991265850964059</v>
      </c>
      <c r="D323" s="26">
        <f ca="1"/>
        <v>36.635827559504939</v>
      </c>
      <c r="E323" s="26">
        <f ca="1"/>
        <v>93.747005820105926</v>
      </c>
      <c r="F323" s="26">
        <f ca="1"/>
        <v>163.45482550853524</v>
      </c>
      <c r="G323" s="26">
        <f ca="1"/>
        <v>310.88781043096697</v>
      </c>
      <c r="H323" s="26">
        <f ca="1"/>
        <v>420.44671914761534</v>
      </c>
      <c r="I323" s="26">
        <f ca="1"/>
        <v>265.87946077618943</v>
      </c>
      <c r="J323" s="26">
        <f ca="1"/>
        <v>188.12222615978314</v>
      </c>
      <c r="K323" s="26">
        <f ca="1"/>
        <v>146.51203791987055</v>
      </c>
      <c r="L323" s="26">
        <f ca="1"/>
        <v>110.40922090125353</v>
      </c>
      <c r="M323" s="6"/>
      <c r="N323" s="1" t="str">
        <f t="shared" si="9"/>
        <v>$M(2015)/million</v>
      </c>
      <c r="O323" s="1"/>
    </row>
    <row r="324" spans="1:15" x14ac:dyDescent="0.25">
      <c r="A324" t="str">
        <v>IA Non-econ</v>
      </c>
      <c r="C324" s="26">
        <f ca="1"/>
        <v>0.68211506404116529</v>
      </c>
      <c r="D324" s="26">
        <f ca="1"/>
        <v>9.1956504995655148</v>
      </c>
      <c r="E324" s="26">
        <f ca="1"/>
        <v>27.282006211160017</v>
      </c>
      <c r="F324" s="26">
        <f ca="1"/>
        <v>55.574377759017224</v>
      </c>
      <c r="G324" s="26">
        <f ca="1"/>
        <v>153.38565097369903</v>
      </c>
      <c r="H324" s="26">
        <f ca="1"/>
        <v>257.25469870486523</v>
      </c>
      <c r="I324" s="26">
        <f ca="1"/>
        <v>268.78718141078394</v>
      </c>
      <c r="J324" s="26">
        <f ca="1"/>
        <v>215.29650714791376</v>
      </c>
      <c r="K324" s="26">
        <f ca="1"/>
        <v>173.2721321147217</v>
      </c>
      <c r="L324" s="26">
        <f ca="1"/>
        <v>129.64266317135002</v>
      </c>
      <c r="M324" s="6"/>
      <c r="N324" s="1" t="str">
        <f t="shared" si="9"/>
        <v>$M(2015)/million</v>
      </c>
      <c r="O324" s="1"/>
    </row>
    <row r="325" spans="1:15" x14ac:dyDescent="0.25">
      <c r="A325" t="str">
        <v>AF Non-econ</v>
      </c>
      <c r="C325" s="26">
        <f ca="1"/>
        <v>2.4677574237224591</v>
      </c>
      <c r="D325" s="26">
        <f ca="1"/>
        <v>12.466816694345027</v>
      </c>
      <c r="E325" s="26">
        <f ca="1"/>
        <v>29.841768595744497</v>
      </c>
      <c r="F325" s="26">
        <f ca="1"/>
        <v>57.580403960176653</v>
      </c>
      <c r="G325" s="26">
        <f ca="1"/>
        <v>189.87254864582505</v>
      </c>
      <c r="H325" s="26">
        <f ca="1"/>
        <v>393.46831448834757</v>
      </c>
      <c r="I325" s="26">
        <f ca="1"/>
        <v>979.33516763561965</v>
      </c>
      <c r="J325" s="26">
        <f ca="1"/>
        <v>1384.5368646194534</v>
      </c>
      <c r="K325" s="26">
        <f ca="1"/>
        <v>1543.9747811687623</v>
      </c>
      <c r="L325" s="26">
        <f ca="1"/>
        <v>1419.5922727414636</v>
      </c>
      <c r="M325" s="6"/>
      <c r="N325" s="1" t="str">
        <f t="shared" si="9"/>
        <v>$M(2015)/million</v>
      </c>
      <c r="O325" s="1"/>
    </row>
    <row r="326" spans="1:15" x14ac:dyDescent="0.25">
      <c r="A326" t="str">
        <v>LA Non-econ</v>
      </c>
      <c r="C326" s="26">
        <f ca="1"/>
        <v>2.0101825657418924</v>
      </c>
      <c r="D326" s="26">
        <f ca="1"/>
        <v>17.07001815687919</v>
      </c>
      <c r="E326" s="26">
        <f ca="1"/>
        <v>41.513449085293921</v>
      </c>
      <c r="F326" s="26">
        <f ca="1"/>
        <v>74.648024521636785</v>
      </c>
      <c r="G326" s="26">
        <f ca="1"/>
        <v>182.14398711403609</v>
      </c>
      <c r="H326" s="26">
        <f ca="1"/>
        <v>301.1617342982766</v>
      </c>
      <c r="I326" s="26">
        <f ca="1"/>
        <v>348.9918613431982</v>
      </c>
      <c r="J326" s="26">
        <f ca="1"/>
        <v>315.39578505004994</v>
      </c>
      <c r="K326" s="26">
        <f ca="1"/>
        <v>272.70573276546048</v>
      </c>
      <c r="L326" s="26">
        <f ca="1"/>
        <v>212.98892289968811</v>
      </c>
      <c r="M326" s="6"/>
      <c r="N326" s="1" t="str">
        <f t="shared" si="9"/>
        <v>$M(2015)/million</v>
      </c>
      <c r="O326" s="1"/>
    </row>
    <row r="327" spans="1:15" s="2" customFormat="1" ht="15" x14ac:dyDescent="0.4">
      <c r="A327" s="2" t="s">
        <v>228</v>
      </c>
      <c r="C327" s="2" t="s">
        <v>244</v>
      </c>
    </row>
    <row r="328" spans="1:15" x14ac:dyDescent="0.25">
      <c r="A328" t="str">
        <f t="array" ref="A328:A335">R_CODE&amp;" "&amp;I_2_NAME</f>
        <v>EU Non-econ</v>
      </c>
      <c r="C328" s="29">
        <f t="array" aca="1" ref="C328:L335" ca="1">rcons_1_per_cap_b-isat_2_per_cap_b</f>
        <v>31188.633411971554</v>
      </c>
      <c r="D328" s="29">
        <f ca="1"/>
        <v>35809.990986162484</v>
      </c>
      <c r="E328" s="29">
        <f ca="1"/>
        <v>41857.193746180921</v>
      </c>
      <c r="F328" s="29">
        <f ca="1"/>
        <v>49190.033318140471</v>
      </c>
      <c r="G328" s="29">
        <f ca="1"/>
        <v>75243.763969144959</v>
      </c>
      <c r="H328" s="29">
        <f ca="1"/>
        <v>115152.34180828427</v>
      </c>
      <c r="I328" s="29">
        <f ca="1"/>
        <v>221157.90008549488</v>
      </c>
      <c r="J328" s="29">
        <f ca="1"/>
        <v>377559.59382950864</v>
      </c>
      <c r="K328" s="29">
        <f ca="1"/>
        <v>586473.38847838517</v>
      </c>
      <c r="L328" s="29">
        <f ca="1"/>
        <v>843046.2938798134</v>
      </c>
      <c r="M328" s="6"/>
      <c r="N328" s="1" t="str">
        <f t="shared" ref="N328:N335" si="10">CURRENCY_NAME&amp;"/"&amp;POP_UNIT_NAME</f>
        <v>$M(2015)/million</v>
      </c>
      <c r="O328" s="1"/>
    </row>
    <row r="329" spans="1:15" x14ac:dyDescent="0.25">
      <c r="A329" t="str">
        <v>US Non-econ</v>
      </c>
      <c r="C329" s="26">
        <f ca="1"/>
        <v>49158.792607016927</v>
      </c>
      <c r="D329" s="26">
        <f ca="1"/>
        <v>55988.003199456209</v>
      </c>
      <c r="E329" s="26">
        <f ca="1"/>
        <v>61938.44864115808</v>
      </c>
      <c r="F329" s="26">
        <f ca="1"/>
        <v>68653.27485729428</v>
      </c>
      <c r="G329" s="26">
        <f ca="1"/>
        <v>91713.636713971791</v>
      </c>
      <c r="H329" s="26">
        <f ca="1"/>
        <v>130056.60223361893</v>
      </c>
      <c r="I329" s="26">
        <f ca="1"/>
        <v>264030.52550617757</v>
      </c>
      <c r="J329" s="26">
        <f ca="1"/>
        <v>496812.18469672109</v>
      </c>
      <c r="K329" s="26">
        <f ca="1"/>
        <v>876125.74198500451</v>
      </c>
      <c r="L329" s="26">
        <f ca="1"/>
        <v>1458863.8719411283</v>
      </c>
      <c r="M329" s="6"/>
      <c r="N329" s="1" t="str">
        <f t="shared" si="10"/>
        <v>$M(2015)/million</v>
      </c>
      <c r="O329" s="1"/>
    </row>
    <row r="330" spans="1:15" x14ac:dyDescent="0.25">
      <c r="A330" t="str">
        <v>OT Non-econ</v>
      </c>
      <c r="C330" s="26">
        <f ca="1"/>
        <v>31459.197214049491</v>
      </c>
      <c r="D330" s="26">
        <f ca="1"/>
        <v>37078.766056413275</v>
      </c>
      <c r="E330" s="26">
        <f ca="1"/>
        <v>43209.338741197113</v>
      </c>
      <c r="F330" s="26">
        <f ca="1"/>
        <v>50617.656349282006</v>
      </c>
      <c r="G330" s="26">
        <f ca="1"/>
        <v>77082.902160647951</v>
      </c>
      <c r="H330" s="26">
        <f ca="1"/>
        <v>117724.82567144108</v>
      </c>
      <c r="I330" s="26">
        <f ca="1"/>
        <v>189826.17784101047</v>
      </c>
      <c r="J330" s="26">
        <f ca="1"/>
        <v>256510.63307632628</v>
      </c>
      <c r="K330" s="26">
        <f ca="1"/>
        <v>310432.40666814713</v>
      </c>
      <c r="L330" s="26">
        <f ca="1"/>
        <v>350433.92106389283</v>
      </c>
      <c r="M330" s="6"/>
      <c r="N330" s="1" t="str">
        <f t="shared" si="10"/>
        <v>$M(2015)/million</v>
      </c>
      <c r="O330" s="1"/>
    </row>
    <row r="331" spans="1:15" x14ac:dyDescent="0.25">
      <c r="A331" t="str">
        <v>EE Non-econ</v>
      </c>
      <c r="C331" s="26">
        <f ca="1"/>
        <v>14057.519749151452</v>
      </c>
      <c r="D331" s="26">
        <f ca="1"/>
        <v>20799.182077964972</v>
      </c>
      <c r="E331" s="26">
        <f ca="1"/>
        <v>28405.814418890546</v>
      </c>
      <c r="F331" s="26">
        <f ca="1"/>
        <v>35172.299358948199</v>
      </c>
      <c r="G331" s="26">
        <f ca="1"/>
        <v>55829.898016114472</v>
      </c>
      <c r="H331" s="26">
        <f ca="1"/>
        <v>83856.440495041708</v>
      </c>
      <c r="I331" s="26">
        <f ca="1"/>
        <v>116870.14049922825</v>
      </c>
      <c r="J331" s="26">
        <f ca="1"/>
        <v>134796.17785913442</v>
      </c>
      <c r="K331" s="26">
        <f ca="1"/>
        <v>143403.8537592683</v>
      </c>
      <c r="L331" s="26">
        <f ca="1"/>
        <v>147312.10403120753</v>
      </c>
      <c r="M331" s="6"/>
      <c r="N331" s="1" t="str">
        <f t="shared" si="10"/>
        <v>$M(2015)/million</v>
      </c>
      <c r="O331" s="1"/>
    </row>
    <row r="332" spans="1:15" x14ac:dyDescent="0.25">
      <c r="A332" t="str">
        <v>CA Non-econ</v>
      </c>
      <c r="C332" s="26">
        <f ca="1"/>
        <v>12398.669975474841</v>
      </c>
      <c r="D332" s="26">
        <f ca="1"/>
        <v>23061.19913059664</v>
      </c>
      <c r="E332" s="26">
        <f ca="1"/>
        <v>34857.707712073723</v>
      </c>
      <c r="F332" s="26">
        <f ca="1"/>
        <v>46529.537207183821</v>
      </c>
      <c r="G332" s="26">
        <f ca="1"/>
        <v>71469.94663105825</v>
      </c>
      <c r="H332" s="26">
        <f ca="1"/>
        <v>101115.54922459435</v>
      </c>
      <c r="I332" s="26">
        <f ca="1"/>
        <v>98172.690698544102</v>
      </c>
      <c r="J332" s="26">
        <f ca="1"/>
        <v>94973.717926103476</v>
      </c>
      <c r="K332" s="26">
        <f ca="1"/>
        <v>91743.599661879387</v>
      </c>
      <c r="L332" s="26">
        <f ca="1"/>
        <v>88599.838549115724</v>
      </c>
      <c r="M332" s="6"/>
      <c r="N332" s="1" t="str">
        <f t="shared" si="10"/>
        <v>$M(2015)/million</v>
      </c>
      <c r="O332" s="1"/>
    </row>
    <row r="333" spans="1:15" x14ac:dyDescent="0.25">
      <c r="A333" t="str">
        <v>IA Non-econ</v>
      </c>
      <c r="C333" s="26">
        <f ca="1"/>
        <v>5889.5792639917527</v>
      </c>
      <c r="D333" s="26">
        <f ca="1"/>
        <v>10020.693631179054</v>
      </c>
      <c r="E333" s="26">
        <f ca="1"/>
        <v>16288.522976102444</v>
      </c>
      <c r="F333" s="26">
        <f ca="1"/>
        <v>24740.706910126366</v>
      </c>
      <c r="G333" s="26">
        <f ca="1"/>
        <v>54207.752698115866</v>
      </c>
      <c r="H333" s="26">
        <f ca="1"/>
        <v>95431.067647748307</v>
      </c>
      <c r="I333" s="26">
        <f ca="1"/>
        <v>159236.65965140259</v>
      </c>
      <c r="J333" s="26">
        <f ca="1"/>
        <v>181486.42225504239</v>
      </c>
      <c r="K333" s="26">
        <f ca="1"/>
        <v>187653.75786800281</v>
      </c>
      <c r="L333" s="26">
        <f ca="1"/>
        <v>189389.35972924985</v>
      </c>
      <c r="M333" s="6"/>
      <c r="N333" s="1" t="str">
        <f t="shared" si="10"/>
        <v>$M(2015)/million</v>
      </c>
      <c r="O333" s="1"/>
    </row>
    <row r="334" spans="1:15" x14ac:dyDescent="0.25">
      <c r="A334" t="str">
        <v>AF Non-econ</v>
      </c>
      <c r="C334" s="26">
        <f ca="1"/>
        <v>5171.9077881195453</v>
      </c>
      <c r="D334" s="26">
        <f ca="1"/>
        <v>6999.847814080792</v>
      </c>
      <c r="E334" s="26">
        <f ca="1"/>
        <v>10019.801332325636</v>
      </c>
      <c r="F334" s="26">
        <f ca="1"/>
        <v>14868.914662460982</v>
      </c>
      <c r="G334" s="26">
        <f ca="1"/>
        <v>39716.73647304334</v>
      </c>
      <c r="H334" s="26">
        <f ca="1"/>
        <v>86049.380034300615</v>
      </c>
      <c r="I334" s="26">
        <f ca="1"/>
        <v>326578.46656399453</v>
      </c>
      <c r="J334" s="26">
        <f ca="1"/>
        <v>627091.95967006381</v>
      </c>
      <c r="K334" s="26">
        <f ca="1"/>
        <v>862510.7210983343</v>
      </c>
      <c r="L334" s="26">
        <f ca="1"/>
        <v>1008390.2185581613</v>
      </c>
      <c r="M334" s="6"/>
      <c r="N334" s="1" t="str">
        <f t="shared" si="10"/>
        <v>$M(2015)/million</v>
      </c>
      <c r="O334" s="1"/>
    </row>
    <row r="335" spans="1:15" x14ac:dyDescent="0.25">
      <c r="A335" t="str">
        <v>LA Non-econ</v>
      </c>
      <c r="C335" s="26">
        <f ca="1"/>
        <v>12385.350537977807</v>
      </c>
      <c r="D335" s="26">
        <f ca="1"/>
        <v>16547.41869700958</v>
      </c>
      <c r="E335" s="26">
        <f ca="1"/>
        <v>22462.222311942081</v>
      </c>
      <c r="F335" s="26">
        <f ca="1"/>
        <v>30306.944912152117</v>
      </c>
      <c r="G335" s="26">
        <f ca="1"/>
        <v>58941.880462446163</v>
      </c>
      <c r="H335" s="26">
        <f ca="1"/>
        <v>102215.6899637668</v>
      </c>
      <c r="I335" s="26">
        <f ca="1"/>
        <v>187408.33636772027</v>
      </c>
      <c r="J335" s="26">
        <f ca="1"/>
        <v>238660.3543718704</v>
      </c>
      <c r="K335" s="26">
        <f ca="1"/>
        <v>262789.9698879724</v>
      </c>
      <c r="L335" s="26">
        <f ca="1"/>
        <v>273205.98268263618</v>
      </c>
      <c r="M335" s="6"/>
      <c r="N335" s="1" t="str">
        <f t="shared" si="10"/>
        <v>$M(2015)/million</v>
      </c>
      <c r="O335" s="1"/>
    </row>
    <row r="336" spans="1:15" s="2" customFormat="1" ht="15" x14ac:dyDescent="0.4">
      <c r="A336" s="2" t="s">
        <v>230</v>
      </c>
      <c r="C336" s="2" t="s">
        <v>243</v>
      </c>
    </row>
    <row r="337" spans="1:15" x14ac:dyDescent="0.25">
      <c r="A337" t="str">
        <f t="array" ref="A337:A344">R_CODE&amp;" "&amp;I_2_NAME</f>
        <v>EU Non-econ</v>
      </c>
      <c r="C337" s="29">
        <f t="array" aca="1" ref="C337:L344" ca="1" xml:space="preserve"> rcons_2_per_cap_b/(1-SAVE/100)</f>
        <v>36692.509896437121</v>
      </c>
      <c r="D337" s="29">
        <f ca="1"/>
        <v>42129.401160191155</v>
      </c>
      <c r="E337" s="29">
        <f ca="1"/>
        <v>49243.757348448147</v>
      </c>
      <c r="F337" s="29">
        <f ca="1"/>
        <v>57870.627433106441</v>
      </c>
      <c r="G337" s="29">
        <f ca="1"/>
        <v>88522.075257817603</v>
      </c>
      <c r="H337" s="29">
        <f ca="1"/>
        <v>135473.34330386386</v>
      </c>
      <c r="I337" s="29">
        <f ca="1"/>
        <v>260185.76480646458</v>
      </c>
      <c r="J337" s="29">
        <f ca="1"/>
        <v>444187.75744648074</v>
      </c>
      <c r="K337" s="29">
        <f ca="1"/>
        <v>689968.69232751196</v>
      </c>
      <c r="L337" s="29">
        <f ca="1"/>
        <v>991819.16927036876</v>
      </c>
      <c r="M337" s="6"/>
      <c r="N337" s="1" t="str">
        <f t="shared" ref="N337:N344" si="11">CURRENCY_NAME&amp;"/"&amp;POP_UNIT_NAME</f>
        <v>$M(2015)/million</v>
      </c>
      <c r="O337" s="1"/>
    </row>
    <row r="338" spans="1:15" x14ac:dyDescent="0.25">
      <c r="A338" t="str">
        <v>US Non-econ</v>
      </c>
      <c r="C338" s="26">
        <f ca="1"/>
        <v>57833.873655314033</v>
      </c>
      <c r="D338" s="26">
        <f ca="1"/>
        <v>65868.239058183783</v>
      </c>
      <c r="E338" s="26">
        <f ca="1"/>
        <v>72868.763107244798</v>
      </c>
      <c r="F338" s="26">
        <f ca="1"/>
        <v>80768.558655640329</v>
      </c>
      <c r="G338" s="26">
        <f ca="1"/>
        <v>107898.39613408447</v>
      </c>
      <c r="H338" s="26">
        <f ca="1"/>
        <v>153007.76733366933</v>
      </c>
      <c r="I338" s="26">
        <f ca="1"/>
        <v>310624.14765432657</v>
      </c>
      <c r="J338" s="26">
        <f ca="1"/>
        <v>584484.92317261302</v>
      </c>
      <c r="K338" s="26">
        <f ca="1"/>
        <v>1030736.1670411818</v>
      </c>
      <c r="L338" s="26">
        <f ca="1"/>
        <v>1716310.437577798</v>
      </c>
      <c r="M338" s="6"/>
      <c r="N338" s="1" t="str">
        <f t="shared" si="11"/>
        <v>$M(2015)/million</v>
      </c>
      <c r="O338" s="1"/>
    </row>
    <row r="339" spans="1:15" x14ac:dyDescent="0.25">
      <c r="A339" t="str">
        <v>OT Non-econ</v>
      </c>
      <c r="C339" s="26">
        <f ca="1"/>
        <v>37010.82025182293</v>
      </c>
      <c r="D339" s="26">
        <f ca="1"/>
        <v>43622.077713427381</v>
      </c>
      <c r="E339" s="26">
        <f ca="1"/>
        <v>50834.516166114248</v>
      </c>
      <c r="F339" s="26">
        <f ca="1"/>
        <v>59550.183940331772</v>
      </c>
      <c r="G339" s="26">
        <f ca="1"/>
        <v>90685.767247821117</v>
      </c>
      <c r="H339" s="26">
        <f ca="1"/>
        <v>138499.79490757774</v>
      </c>
      <c r="I339" s="26">
        <f ca="1"/>
        <v>223324.91510707114</v>
      </c>
      <c r="J339" s="26">
        <f ca="1"/>
        <v>301777.21538391325</v>
      </c>
      <c r="K339" s="26">
        <f ca="1"/>
        <v>365214.5960801731</v>
      </c>
      <c r="L339" s="26">
        <f ca="1"/>
        <v>412275.20125163865</v>
      </c>
      <c r="M339" s="6"/>
      <c r="N339" s="1" t="str">
        <f t="shared" si="11"/>
        <v>$M(2015)/million</v>
      </c>
      <c r="O339" s="1"/>
    </row>
    <row r="340" spans="1:15" x14ac:dyDescent="0.25">
      <c r="A340" t="str">
        <v>EE Non-econ</v>
      </c>
      <c r="C340" s="26">
        <f ca="1"/>
        <v>16538.258528413473</v>
      </c>
      <c r="D340" s="26">
        <f ca="1"/>
        <v>24469.625974076436</v>
      </c>
      <c r="E340" s="26">
        <f ca="1"/>
        <v>33418.605198694764</v>
      </c>
      <c r="F340" s="26">
        <f ca="1"/>
        <v>41379.175716409649</v>
      </c>
      <c r="G340" s="26">
        <f ca="1"/>
        <v>65682.232960134672</v>
      </c>
      <c r="H340" s="26">
        <f ca="1"/>
        <v>98654.635876519664</v>
      </c>
      <c r="I340" s="26">
        <f ca="1"/>
        <v>137494.28294026852</v>
      </c>
      <c r="J340" s="26">
        <f ca="1"/>
        <v>158583.7386578052</v>
      </c>
      <c r="K340" s="26">
        <f ca="1"/>
        <v>168710.41618737447</v>
      </c>
      <c r="L340" s="26">
        <f ca="1"/>
        <v>173308.35768377359</v>
      </c>
      <c r="M340" s="6"/>
      <c r="N340" s="1" t="str">
        <f t="shared" si="11"/>
        <v>$M(2015)/million</v>
      </c>
      <c r="O340" s="1"/>
    </row>
    <row r="341" spans="1:15" x14ac:dyDescent="0.25">
      <c r="A341" t="str">
        <v>CA Non-econ</v>
      </c>
      <c r="C341" s="26">
        <f ca="1"/>
        <v>14586.670559382166</v>
      </c>
      <c r="D341" s="26">
        <f ca="1"/>
        <v>27130.822506584282</v>
      </c>
      <c r="E341" s="26">
        <f ca="1"/>
        <v>41009.067896557324</v>
      </c>
      <c r="F341" s="26">
        <f ca="1"/>
        <v>54740.632008451554</v>
      </c>
      <c r="G341" s="26">
        <f ca="1"/>
        <v>84082.290154186179</v>
      </c>
      <c r="H341" s="26">
        <f ca="1"/>
        <v>118959.46967599336</v>
      </c>
      <c r="I341" s="26">
        <f ca="1"/>
        <v>115497.28317475777</v>
      </c>
      <c r="J341" s="26">
        <f ca="1"/>
        <v>111733.78579541585</v>
      </c>
      <c r="K341" s="26">
        <f ca="1"/>
        <v>107933.64666103458</v>
      </c>
      <c r="L341" s="26">
        <f ca="1"/>
        <v>104235.10417543027</v>
      </c>
      <c r="M341" s="6"/>
      <c r="N341" s="1" t="str">
        <f t="shared" si="11"/>
        <v>$M(2015)/million</v>
      </c>
      <c r="O341" s="1"/>
    </row>
    <row r="342" spans="1:15" x14ac:dyDescent="0.25">
      <c r="A342" t="str">
        <v>IA Non-econ</v>
      </c>
      <c r="C342" s="26">
        <f ca="1"/>
        <v>6928.9167811667676</v>
      </c>
      <c r="D342" s="26">
        <f ca="1"/>
        <v>11789.051330798888</v>
      </c>
      <c r="E342" s="26">
        <f ca="1"/>
        <v>19162.968207179347</v>
      </c>
      <c r="F342" s="26">
        <f ca="1"/>
        <v>29106.714011913373</v>
      </c>
      <c r="G342" s="26">
        <f ca="1"/>
        <v>63773.826703665727</v>
      </c>
      <c r="H342" s="26">
        <f ca="1"/>
        <v>112271.8442914686</v>
      </c>
      <c r="I342" s="26">
        <f ca="1"/>
        <v>187337.24664870894</v>
      </c>
      <c r="J342" s="26">
        <f ca="1"/>
        <v>213513.4379471087</v>
      </c>
      <c r="K342" s="26">
        <f ca="1"/>
        <v>220769.12690353271</v>
      </c>
      <c r="L342" s="26">
        <f ca="1"/>
        <v>222811.0114461763</v>
      </c>
      <c r="M342" s="6"/>
      <c r="N342" s="1" t="str">
        <f t="shared" si="11"/>
        <v>$M(2015)/million</v>
      </c>
      <c r="O342" s="1"/>
    </row>
    <row r="343" spans="1:15" x14ac:dyDescent="0.25">
      <c r="A343" t="str">
        <v>AF Non-econ</v>
      </c>
      <c r="C343" s="26">
        <f ca="1"/>
        <v>6084.5973977877002</v>
      </c>
      <c r="D343" s="26">
        <f ca="1"/>
        <v>8235.115075389167</v>
      </c>
      <c r="E343" s="26">
        <f ca="1"/>
        <v>11788.001567441925</v>
      </c>
      <c r="F343" s="26">
        <f ca="1"/>
        <v>17492.840779365863</v>
      </c>
      <c r="G343" s="26">
        <f ca="1"/>
        <v>46725.572321227461</v>
      </c>
      <c r="H343" s="26">
        <f ca="1"/>
        <v>101234.56474623602</v>
      </c>
      <c r="I343" s="26">
        <f ca="1"/>
        <v>384209.960663523</v>
      </c>
      <c r="J343" s="26">
        <f ca="1"/>
        <v>737755.24667066336</v>
      </c>
      <c r="K343" s="26">
        <f ca="1"/>
        <v>1014718.4954098051</v>
      </c>
      <c r="L343" s="26">
        <f ca="1"/>
        <v>1186341.4335978369</v>
      </c>
      <c r="M343" s="6"/>
      <c r="N343" s="1" t="str">
        <f t="shared" si="11"/>
        <v>$M(2015)/million</v>
      </c>
      <c r="O343" s="1"/>
    </row>
    <row r="344" spans="1:15" x14ac:dyDescent="0.25">
      <c r="A344" t="str">
        <v>LA Non-econ</v>
      </c>
      <c r="C344" s="26">
        <f ca="1"/>
        <v>14571.000632915067</v>
      </c>
      <c r="D344" s="26">
        <f ca="1"/>
        <v>19467.551408246563</v>
      </c>
      <c r="E344" s="26">
        <f ca="1"/>
        <v>26426.143896402449</v>
      </c>
      <c r="F344" s="26">
        <f ca="1"/>
        <v>35655.229308414258</v>
      </c>
      <c r="G344" s="26">
        <f ca="1"/>
        <v>69343.388779348432</v>
      </c>
      <c r="H344" s="26">
        <f ca="1"/>
        <v>120253.75289854918</v>
      </c>
      <c r="I344" s="26">
        <f ca="1"/>
        <v>220480.39572672974</v>
      </c>
      <c r="J344" s="26">
        <f ca="1"/>
        <v>280776.88749631814</v>
      </c>
      <c r="K344" s="26">
        <f ca="1"/>
        <v>309164.67045643815</v>
      </c>
      <c r="L344" s="26">
        <f ca="1"/>
        <v>321418.80315604259</v>
      </c>
      <c r="M344" s="6"/>
      <c r="N344" s="1" t="str">
        <f t="shared" si="11"/>
        <v>$M(2015)/million</v>
      </c>
      <c r="O344" s="1"/>
    </row>
    <row r="345" spans="1:15" s="2" customFormat="1" ht="15" x14ac:dyDescent="0.4">
      <c r="A345" s="2" t="s">
        <v>245</v>
      </c>
      <c r="C345" s="2" t="s">
        <v>246</v>
      </c>
    </row>
    <row r="346" spans="1:15" x14ac:dyDescent="0.25">
      <c r="A346" t="str">
        <f t="array" ref="A346:A353">R_CODE&amp;" discontinuity"</f>
        <v>EU discontinuity</v>
      </c>
      <c r="C346" s="29">
        <f t="array" aca="1" ref="C346:L353" ca="1">WINCF_S*WDIS</f>
        <v>3</v>
      </c>
      <c r="D346" s="29">
        <f ca="1"/>
        <v>3</v>
      </c>
      <c r="E346" s="29">
        <f ca="1"/>
        <v>3</v>
      </c>
      <c r="F346" s="29">
        <f ca="1"/>
        <v>3</v>
      </c>
      <c r="G346" s="29">
        <f ca="1"/>
        <v>3</v>
      </c>
      <c r="H346" s="29">
        <f ca="1"/>
        <v>3</v>
      </c>
      <c r="I346" s="29">
        <f ca="1"/>
        <v>3</v>
      </c>
      <c r="J346" s="29">
        <f ca="1"/>
        <v>3</v>
      </c>
      <c r="K346" s="29">
        <f ca="1"/>
        <v>3</v>
      </c>
      <c r="L346" s="29">
        <f ca="1"/>
        <v>3</v>
      </c>
      <c r="M346" s="6"/>
      <c r="N346" s="59" t="s">
        <v>134</v>
      </c>
    </row>
    <row r="347" spans="1:15" x14ac:dyDescent="0.25">
      <c r="A347" t="str">
        <v>US discontinuity</v>
      </c>
      <c r="C347" s="26">
        <f ca="1"/>
        <v>2.4</v>
      </c>
      <c r="D347" s="26">
        <f ca="1"/>
        <v>2.4</v>
      </c>
      <c r="E347" s="26">
        <f ca="1"/>
        <v>2.4</v>
      </c>
      <c r="F347" s="26">
        <f ca="1"/>
        <v>2.4</v>
      </c>
      <c r="G347" s="26">
        <f ca="1"/>
        <v>2.4</v>
      </c>
      <c r="H347" s="26">
        <f ca="1"/>
        <v>2.4</v>
      </c>
      <c r="I347" s="26">
        <f ca="1"/>
        <v>2.4</v>
      </c>
      <c r="J347" s="26">
        <f ca="1"/>
        <v>2.4</v>
      </c>
      <c r="K347" s="26">
        <f ca="1"/>
        <v>2.4</v>
      </c>
      <c r="L347" s="26">
        <f ca="1"/>
        <v>2.4</v>
      </c>
      <c r="M347" s="6"/>
      <c r="N347" s="59" t="s">
        <v>134</v>
      </c>
    </row>
    <row r="348" spans="1:15" x14ac:dyDescent="0.25">
      <c r="A348" t="str">
        <v>OT discontinuity</v>
      </c>
      <c r="C348" s="26">
        <f ca="1"/>
        <v>2.4000000000000004</v>
      </c>
      <c r="D348" s="26">
        <f ca="1"/>
        <v>2.4000000000000004</v>
      </c>
      <c r="E348" s="26">
        <f ca="1"/>
        <v>2.4000000000000004</v>
      </c>
      <c r="F348" s="26">
        <f ca="1"/>
        <v>2.4000000000000004</v>
      </c>
      <c r="G348" s="26">
        <f ca="1"/>
        <v>2.4000000000000004</v>
      </c>
      <c r="H348" s="26">
        <f ca="1"/>
        <v>2.4000000000000004</v>
      </c>
      <c r="I348" s="26">
        <f ca="1"/>
        <v>2.4000000000000004</v>
      </c>
      <c r="J348" s="26">
        <f ca="1"/>
        <v>2.4000000000000004</v>
      </c>
      <c r="K348" s="26">
        <f ca="1"/>
        <v>2.4000000000000004</v>
      </c>
      <c r="L348" s="26">
        <f ca="1"/>
        <v>2.4000000000000004</v>
      </c>
      <c r="M348" s="6"/>
      <c r="N348" s="59" t="s">
        <v>134</v>
      </c>
    </row>
    <row r="349" spans="1:15" x14ac:dyDescent="0.25">
      <c r="A349" t="str">
        <v>EE discontinuity</v>
      </c>
      <c r="C349" s="26">
        <f ca="1"/>
        <v>1.2000000000000002</v>
      </c>
      <c r="D349" s="26">
        <f ca="1"/>
        <v>1.2000000000000002</v>
      </c>
      <c r="E349" s="26">
        <f ca="1"/>
        <v>1.2000000000000002</v>
      </c>
      <c r="F349" s="26">
        <f ca="1"/>
        <v>1.2000000000000002</v>
      </c>
      <c r="G349" s="26">
        <f ca="1"/>
        <v>1.2000000000000002</v>
      </c>
      <c r="H349" s="26">
        <f ca="1"/>
        <v>1.2000000000000002</v>
      </c>
      <c r="I349" s="26">
        <f ca="1"/>
        <v>1.2000000000000002</v>
      </c>
      <c r="J349" s="26">
        <f ca="1"/>
        <v>1.2000000000000002</v>
      </c>
      <c r="K349" s="26">
        <f ca="1"/>
        <v>1.2000000000000002</v>
      </c>
      <c r="L349" s="26">
        <f ca="1"/>
        <v>1.2000000000000002</v>
      </c>
      <c r="M349" s="6"/>
      <c r="N349" s="59" t="s">
        <v>134</v>
      </c>
    </row>
    <row r="350" spans="1:15" x14ac:dyDescent="0.25">
      <c r="A350" t="str">
        <v>CA discontinuity</v>
      </c>
      <c r="C350" s="26">
        <f ca="1"/>
        <v>2.4000000000000004</v>
      </c>
      <c r="D350" s="26">
        <f ca="1"/>
        <v>2.4000000000000004</v>
      </c>
      <c r="E350" s="26">
        <f ca="1"/>
        <v>2.4000000000000004</v>
      </c>
      <c r="F350" s="26">
        <f ca="1"/>
        <v>2.4000000000000004</v>
      </c>
      <c r="G350" s="26">
        <f ca="1"/>
        <v>2.4000000000000004</v>
      </c>
      <c r="H350" s="26">
        <f ca="1"/>
        <v>2.4000000000000004</v>
      </c>
      <c r="I350" s="26">
        <f ca="1"/>
        <v>2.4000000000000004</v>
      </c>
      <c r="J350" s="26">
        <f ca="1"/>
        <v>2.4000000000000004</v>
      </c>
      <c r="K350" s="26">
        <f ca="1"/>
        <v>2.4000000000000004</v>
      </c>
      <c r="L350" s="26">
        <f ca="1"/>
        <v>2.4000000000000004</v>
      </c>
      <c r="M350" s="6"/>
      <c r="N350" s="59" t="s">
        <v>134</v>
      </c>
    </row>
    <row r="351" spans="1:15" x14ac:dyDescent="0.25">
      <c r="A351" t="str">
        <v>IA discontinuity</v>
      </c>
      <c r="C351" s="26">
        <f ca="1"/>
        <v>2.4000000000000004</v>
      </c>
      <c r="D351" s="26">
        <f ca="1"/>
        <v>2.4000000000000004</v>
      </c>
      <c r="E351" s="26">
        <f ca="1"/>
        <v>2.4000000000000004</v>
      </c>
      <c r="F351" s="26">
        <f ca="1"/>
        <v>2.4000000000000004</v>
      </c>
      <c r="G351" s="26">
        <f ca="1"/>
        <v>2.4000000000000004</v>
      </c>
      <c r="H351" s="26">
        <f ca="1"/>
        <v>2.4000000000000004</v>
      </c>
      <c r="I351" s="26">
        <f ca="1"/>
        <v>2.4000000000000004</v>
      </c>
      <c r="J351" s="26">
        <f ca="1"/>
        <v>2.4000000000000004</v>
      </c>
      <c r="K351" s="26">
        <f ca="1"/>
        <v>2.4000000000000004</v>
      </c>
      <c r="L351" s="26">
        <f ca="1"/>
        <v>2.4000000000000004</v>
      </c>
      <c r="M351" s="6"/>
      <c r="N351" s="59" t="s">
        <v>134</v>
      </c>
    </row>
    <row r="352" spans="1:15" x14ac:dyDescent="0.25">
      <c r="A352" t="str">
        <v>AF discontinuity</v>
      </c>
      <c r="C352" s="26">
        <f ca="1"/>
        <v>1.7999999999999998</v>
      </c>
      <c r="D352" s="26">
        <f ca="1"/>
        <v>1.7999999999999998</v>
      </c>
      <c r="E352" s="26">
        <f ca="1"/>
        <v>1.7999999999999998</v>
      </c>
      <c r="F352" s="26">
        <f ca="1"/>
        <v>1.7999999999999998</v>
      </c>
      <c r="G352" s="26">
        <f ca="1"/>
        <v>1.7999999999999998</v>
      </c>
      <c r="H352" s="26">
        <f ca="1"/>
        <v>1.7999999999999998</v>
      </c>
      <c r="I352" s="26">
        <f ca="1"/>
        <v>1.7999999999999998</v>
      </c>
      <c r="J352" s="26">
        <f ca="1"/>
        <v>1.7999999999999998</v>
      </c>
      <c r="K352" s="26">
        <f ca="1"/>
        <v>1.7999999999999998</v>
      </c>
      <c r="L352" s="26">
        <f ca="1"/>
        <v>1.7999999999999998</v>
      </c>
      <c r="M352" s="6"/>
      <c r="N352" s="59" t="s">
        <v>134</v>
      </c>
    </row>
    <row r="353" spans="1:14" x14ac:dyDescent="0.25">
      <c r="A353" t="str">
        <v>LA discontinuity</v>
      </c>
      <c r="C353" s="26">
        <f ca="1"/>
        <v>1.7999999999999998</v>
      </c>
      <c r="D353" s="26">
        <f ca="1"/>
        <v>1.7999999999999998</v>
      </c>
      <c r="E353" s="26">
        <f ca="1"/>
        <v>1.7999999999999998</v>
      </c>
      <c r="F353" s="26">
        <f ca="1"/>
        <v>1.7999999999999998</v>
      </c>
      <c r="G353" s="26">
        <f ca="1"/>
        <v>1.7999999999999998</v>
      </c>
      <c r="H353" s="26">
        <f ca="1"/>
        <v>1.7999999999999998</v>
      </c>
      <c r="I353" s="26">
        <f ca="1"/>
        <v>1.7999999999999998</v>
      </c>
      <c r="J353" s="26">
        <f ca="1"/>
        <v>1.7999999999999998</v>
      </c>
      <c r="K353" s="26">
        <f ca="1"/>
        <v>1.7999999999999998</v>
      </c>
      <c r="L353" s="26">
        <f ca="1"/>
        <v>1.7999999999999998</v>
      </c>
      <c r="M353" s="6"/>
      <c r="N353" s="59" t="s">
        <v>134</v>
      </c>
    </row>
    <row r="354" spans="1:14" s="2" customFormat="1" ht="15" x14ac:dyDescent="0.4">
      <c r="A354" s="2" t="s">
        <v>247</v>
      </c>
      <c r="C354" s="2" t="s">
        <v>248</v>
      </c>
    </row>
    <row r="355" spans="1:14" x14ac:dyDescent="0.25">
      <c r="A355" t="str">
        <f t="array" ref="A355:A362">R_CODE&amp;" discontinuity"</f>
        <v>EU discontinuity</v>
      </c>
      <c r="C355" s="29">
        <f t="array" ref="C355:L362" ca="1">IREFEQDIS*(rgdp_2_per_cap_b/GDP_PER_CAP_FOCUS_0)^IPOWDIS</f>
        <v>2.9731376739882931</v>
      </c>
      <c r="D355" s="29">
        <f ca="1"/>
        <v>2.9188647468811006</v>
      </c>
      <c r="E355" s="29">
        <f ca="1"/>
        <v>2.8587654083848615</v>
      </c>
      <c r="F355" s="29">
        <f ca="1"/>
        <v>2.7978918118617875</v>
      </c>
      <c r="G355" s="29">
        <f ca="1"/>
        <v>2.6437383109910768</v>
      </c>
      <c r="H355" s="29">
        <f ca="1"/>
        <v>2.4979179159712492</v>
      </c>
      <c r="I355" s="29">
        <f ca="1"/>
        <v>2.2897472099821372</v>
      </c>
      <c r="J355" s="29">
        <f ca="1"/>
        <v>2.1321436674170489</v>
      </c>
      <c r="K355" s="29">
        <f ca="1"/>
        <v>2.0105494451761499</v>
      </c>
      <c r="L355" s="29">
        <f ca="1"/>
        <v>1.9155831566600079</v>
      </c>
      <c r="M355" s="6"/>
      <c r="N355" s="59" t="s">
        <v>134</v>
      </c>
    </row>
    <row r="356" spans="1:14" x14ac:dyDescent="0.25">
      <c r="A356" t="str">
        <v>US discontinuity</v>
      </c>
      <c r="C356" s="26">
        <f ca="1"/>
        <v>2.2385030588512698</v>
      </c>
      <c r="D356" s="26">
        <f ca="1"/>
        <v>2.2000127074630837</v>
      </c>
      <c r="E356" s="26">
        <f ca="1"/>
        <v>2.1705833969727291</v>
      </c>
      <c r="F356" s="26">
        <f ca="1"/>
        <v>2.1409984458914018</v>
      </c>
      <c r="G356" s="26">
        <f ca="1"/>
        <v>2.059902499325216</v>
      </c>
      <c r="H356" s="26">
        <f ca="1"/>
        <v>1.9661660795634652</v>
      </c>
      <c r="I356" s="26">
        <f ca="1"/>
        <v>1.789028673219476</v>
      </c>
      <c r="J356" s="26">
        <f ca="1"/>
        <v>1.644417997665127</v>
      </c>
      <c r="K356" s="26">
        <f ca="1"/>
        <v>1.5246225107232059</v>
      </c>
      <c r="L356" s="26">
        <f ca="1"/>
        <v>1.4244128534027418</v>
      </c>
      <c r="M356" s="6"/>
      <c r="N356" s="59" t="s">
        <v>134</v>
      </c>
    </row>
    <row r="357" spans="1:14" x14ac:dyDescent="0.25">
      <c r="A357" t="str">
        <v>OT discontinuity</v>
      </c>
      <c r="C357" s="26">
        <f ca="1"/>
        <v>2.3757724128536246</v>
      </c>
      <c r="D357" s="26">
        <f ca="1"/>
        <v>2.3242766369205285</v>
      </c>
      <c r="E357" s="26">
        <f ca="1"/>
        <v>2.2773380573227899</v>
      </c>
      <c r="F357" s="26">
        <f ca="1"/>
        <v>2.2297914650659738</v>
      </c>
      <c r="G357" s="26">
        <f ca="1"/>
        <v>2.1081917632219822</v>
      </c>
      <c r="H357" s="26">
        <f ca="1"/>
        <v>1.9924561813617978</v>
      </c>
      <c r="I357" s="26">
        <f ca="1"/>
        <v>1.8694924090942624</v>
      </c>
      <c r="J357" s="26">
        <f ca="1"/>
        <v>1.7959344041818752</v>
      </c>
      <c r="K357" s="26">
        <f ca="1"/>
        <v>1.7508230125293771</v>
      </c>
      <c r="L357" s="26">
        <f ca="1"/>
        <v>1.7227557234967255</v>
      </c>
      <c r="M357" s="6"/>
      <c r="N357" s="59" t="s">
        <v>134</v>
      </c>
    </row>
    <row r="358" spans="1:14" x14ac:dyDescent="0.25">
      <c r="A358" t="str">
        <v>EE discontinuity</v>
      </c>
      <c r="C358" s="26">
        <f ca="1"/>
        <v>1.3225741514468863</v>
      </c>
      <c r="D358" s="26">
        <f ca="1"/>
        <v>1.255263854062092</v>
      </c>
      <c r="E358" s="26">
        <f ca="1"/>
        <v>1.2041674719265738</v>
      </c>
      <c r="F358" s="26">
        <f ca="1"/>
        <v>1.1703463977366264</v>
      </c>
      <c r="G358" s="26">
        <f ca="1"/>
        <v>1.1004211939611199</v>
      </c>
      <c r="H358" s="26">
        <f ca="1"/>
        <v>1.0423246319586583</v>
      </c>
      <c r="I358" s="26">
        <f ca="1"/>
        <v>0.99719643074508635</v>
      </c>
      <c r="J358" s="26">
        <f ca="1"/>
        <v>0.97840241001889072</v>
      </c>
      <c r="K358" s="26">
        <f ca="1"/>
        <v>0.97036043651852</v>
      </c>
      <c r="L358" s="26">
        <f ca="1"/>
        <v>0.96688776904518325</v>
      </c>
      <c r="M358" s="6"/>
      <c r="N358" s="59" t="s">
        <v>134</v>
      </c>
    </row>
    <row r="359" spans="1:14" x14ac:dyDescent="0.25">
      <c r="A359" t="str">
        <v>CA discontinuity</v>
      </c>
      <c r="C359" s="26">
        <f ca="1"/>
        <v>2.6898073325256107</v>
      </c>
      <c r="D359" s="26">
        <f ca="1"/>
        <v>2.4762069321235853</v>
      </c>
      <c r="E359" s="26">
        <f ca="1"/>
        <v>2.3434984826285294</v>
      </c>
      <c r="F359" s="26">
        <f ca="1"/>
        <v>2.2549695865262538</v>
      </c>
      <c r="G359" s="26">
        <f ca="1"/>
        <v>2.129551066121536</v>
      </c>
      <c r="H359" s="26">
        <f ca="1"/>
        <v>2.0332719084086137</v>
      </c>
      <c r="I359" s="26">
        <f ca="1"/>
        <v>2.0412949474719762</v>
      </c>
      <c r="J359" s="26">
        <f ca="1"/>
        <v>2.0503313926544346</v>
      </c>
      <c r="K359" s="26">
        <f ca="1"/>
        <v>2.0598127862723632</v>
      </c>
      <c r="L359" s="26">
        <f ca="1"/>
        <v>2.0694112026382663</v>
      </c>
      <c r="M359" s="6"/>
      <c r="N359" s="59" t="s">
        <v>134</v>
      </c>
    </row>
    <row r="360" spans="1:14" x14ac:dyDescent="0.25">
      <c r="A360" t="str">
        <v>IA discontinuity</v>
      </c>
      <c r="C360" s="26">
        <f ca="1"/>
        <v>2.9704798932496286</v>
      </c>
      <c r="D360" s="26">
        <f ca="1"/>
        <v>2.7672696623593227</v>
      </c>
      <c r="E360" s="26">
        <f ca="1"/>
        <v>2.5937032877844635</v>
      </c>
      <c r="F360" s="26">
        <f ca="1"/>
        <v>2.453105573834502</v>
      </c>
      <c r="G360" s="26">
        <f ca="1"/>
        <v>2.2095118381984853</v>
      </c>
      <c r="H360" s="26">
        <f ca="1"/>
        <v>2.0490185124317906</v>
      </c>
      <c r="I360" s="26">
        <f ca="1"/>
        <v>1.9138098200880456</v>
      </c>
      <c r="J360" s="26">
        <f ca="1"/>
        <v>1.8807250161266367</v>
      </c>
      <c r="K360" s="26">
        <f ca="1"/>
        <v>1.8723637214922006</v>
      </c>
      <c r="L360" s="26">
        <f ca="1"/>
        <v>1.8700667554209516</v>
      </c>
      <c r="M360" s="6"/>
      <c r="N360" s="59" t="s">
        <v>134</v>
      </c>
    </row>
    <row r="361" spans="1:14" x14ac:dyDescent="0.25">
      <c r="A361" t="str">
        <v>AF discontinuity</v>
      </c>
      <c r="C361" s="26">
        <f ca="1"/>
        <v>2.2667955261799744</v>
      </c>
      <c r="D361" s="26">
        <f ca="1"/>
        <v>2.1771447446748455</v>
      </c>
      <c r="E361" s="26">
        <f ca="1"/>
        <v>2.0754768893365729</v>
      </c>
      <c r="F361" s="26">
        <f ca="1"/>
        <v>1.9690732881964534</v>
      </c>
      <c r="G361" s="26">
        <f ca="1"/>
        <v>1.7273061098063969</v>
      </c>
      <c r="H361" s="26">
        <f ca="1"/>
        <v>1.5581146720929717</v>
      </c>
      <c r="I361" s="26">
        <f ca="1"/>
        <v>1.3042698162626407</v>
      </c>
      <c r="J361" s="26">
        <f ca="1"/>
        <v>1.1956065499280895</v>
      </c>
      <c r="K361" s="26">
        <f ca="1"/>
        <v>1.1458572483158758</v>
      </c>
      <c r="L361" s="26">
        <f ca="1"/>
        <v>1.1222302386855245</v>
      </c>
      <c r="M361" s="6"/>
      <c r="N361" s="59" t="s">
        <v>134</v>
      </c>
    </row>
    <row r="362" spans="1:14" x14ac:dyDescent="0.25">
      <c r="A362" t="str">
        <v>LA discontinuity</v>
      </c>
      <c r="C362" s="26">
        <f ca="1"/>
        <v>2.0176446315904846</v>
      </c>
      <c r="D362" s="26">
        <f ca="1"/>
        <v>1.9411916555789823</v>
      </c>
      <c r="E362" s="26">
        <f ca="1"/>
        <v>1.8636831860968985</v>
      </c>
      <c r="F362" s="26">
        <f ca="1"/>
        <v>1.7907164725081528</v>
      </c>
      <c r="G362" s="26">
        <f ca="1"/>
        <v>1.6387369702653405</v>
      </c>
      <c r="H362" s="26">
        <f ca="1"/>
        <v>1.5227552587092885</v>
      </c>
      <c r="I362" s="26">
        <f ca="1"/>
        <v>1.4045178483936511</v>
      </c>
      <c r="J362" s="26">
        <f ca="1"/>
        <v>1.359967132176352</v>
      </c>
      <c r="K362" s="26">
        <f ca="1"/>
        <v>1.3426143311410796</v>
      </c>
      <c r="L362" s="26">
        <f ca="1"/>
        <v>1.3356738473942742</v>
      </c>
      <c r="M362" s="6"/>
      <c r="N362" s="59" t="s">
        <v>134</v>
      </c>
    </row>
    <row r="363" spans="1:14" s="2" customFormat="1" ht="15" x14ac:dyDescent="0.4">
      <c r="A363" s="2" t="s">
        <v>221</v>
      </c>
      <c r="C363" s="2" t="s">
        <v>249</v>
      </c>
    </row>
    <row r="364" spans="1:14" x14ac:dyDescent="0.25">
      <c r="A364" t="str">
        <f t="array" ref="A364:A371">R_CODE&amp;" discontinuity"</f>
        <v>EU discontinuity</v>
      </c>
      <c r="C364" s="29">
        <f t="array" ref="C364:C371" ca="1">occur_dis_1_b*(1-EXPFDIS_1)*igdpeqdis_1_b</f>
        <v>0</v>
      </c>
      <c r="D364" s="29">
        <f t="array" ref="D364:L371" ca="1">igdpdis_b+occur_dis_not_1_b*(1-EXPFDIS_NOT_1)*(igdpeqdis_not_1_b-igdpdis_b)</f>
        <v>0</v>
      </c>
      <c r="E364" s="29">
        <f ca="1"/>
        <v>0</v>
      </c>
      <c r="F364" s="29">
        <f ca="1"/>
        <v>0</v>
      </c>
      <c r="G364" s="29">
        <f ca="1"/>
        <v>0</v>
      </c>
      <c r="H364" s="29">
        <f ca="1"/>
        <v>0</v>
      </c>
      <c r="I364" s="29">
        <f ca="1"/>
        <v>0</v>
      </c>
      <c r="J364" s="29">
        <f ca="1"/>
        <v>0</v>
      </c>
      <c r="K364" s="29">
        <f ca="1"/>
        <v>0</v>
      </c>
      <c r="L364" s="29">
        <f ca="1"/>
        <v>0</v>
      </c>
      <c r="M364" s="6"/>
      <c r="N364" s="59" t="s">
        <v>134</v>
      </c>
    </row>
    <row r="365" spans="1:14" x14ac:dyDescent="0.25">
      <c r="A365" t="str">
        <v>US discontinuity</v>
      </c>
      <c r="C365" s="26">
        <f ca="1"/>
        <v>0</v>
      </c>
      <c r="D365" s="26">
        <f ca="1"/>
        <v>0</v>
      </c>
      <c r="E365" s="26">
        <f ca="1"/>
        <v>0</v>
      </c>
      <c r="F365" s="26">
        <f ca="1"/>
        <v>0</v>
      </c>
      <c r="G365" s="26">
        <f ca="1"/>
        <v>0</v>
      </c>
      <c r="H365" s="26">
        <f ca="1"/>
        <v>0</v>
      </c>
      <c r="I365" s="26">
        <f ca="1"/>
        <v>0</v>
      </c>
      <c r="J365" s="26">
        <f ca="1"/>
        <v>0</v>
      </c>
      <c r="K365" s="26">
        <f ca="1"/>
        <v>0</v>
      </c>
      <c r="L365" s="26">
        <f ca="1"/>
        <v>0</v>
      </c>
      <c r="M365" s="6"/>
      <c r="N365" s="59" t="s">
        <v>134</v>
      </c>
    </row>
    <row r="366" spans="1:14" x14ac:dyDescent="0.25">
      <c r="A366" t="str">
        <v>OT discontinuity</v>
      </c>
      <c r="C366" s="26">
        <f ca="1"/>
        <v>0</v>
      </c>
      <c r="D366" s="26">
        <f ca="1"/>
        <v>0</v>
      </c>
      <c r="E366" s="26">
        <f ca="1"/>
        <v>0</v>
      </c>
      <c r="F366" s="26">
        <f ca="1"/>
        <v>0</v>
      </c>
      <c r="G366" s="26">
        <f ca="1"/>
        <v>0</v>
      </c>
      <c r="H366" s="26">
        <f ca="1"/>
        <v>0</v>
      </c>
      <c r="I366" s="26">
        <f ca="1"/>
        <v>0</v>
      </c>
      <c r="J366" s="26">
        <f ca="1"/>
        <v>0</v>
      </c>
      <c r="K366" s="26">
        <f ca="1"/>
        <v>0</v>
      </c>
      <c r="L366" s="26">
        <f ca="1"/>
        <v>0</v>
      </c>
      <c r="M366" s="6"/>
      <c r="N366" s="59" t="s">
        <v>134</v>
      </c>
    </row>
    <row r="367" spans="1:14" x14ac:dyDescent="0.25">
      <c r="A367" t="str">
        <v>EE discontinuity</v>
      </c>
      <c r="C367" s="26">
        <f ca="1"/>
        <v>0</v>
      </c>
      <c r="D367" s="26">
        <f ca="1"/>
        <v>0</v>
      </c>
      <c r="E367" s="26">
        <f ca="1"/>
        <v>0</v>
      </c>
      <c r="F367" s="26">
        <f ca="1"/>
        <v>0</v>
      </c>
      <c r="G367" s="26">
        <f ca="1"/>
        <v>0</v>
      </c>
      <c r="H367" s="26">
        <f ca="1"/>
        <v>0</v>
      </c>
      <c r="I367" s="26">
        <f ca="1"/>
        <v>0</v>
      </c>
      <c r="J367" s="26">
        <f ca="1"/>
        <v>0</v>
      </c>
      <c r="K367" s="26">
        <f ca="1"/>
        <v>0</v>
      </c>
      <c r="L367" s="26">
        <f ca="1"/>
        <v>0</v>
      </c>
      <c r="M367" s="6"/>
      <c r="N367" s="59" t="s">
        <v>134</v>
      </c>
    </row>
    <row r="368" spans="1:14" x14ac:dyDescent="0.25">
      <c r="A368" t="str">
        <v>CA discontinuity</v>
      </c>
      <c r="C368" s="26">
        <f ca="1"/>
        <v>0</v>
      </c>
      <c r="D368" s="26">
        <f ca="1"/>
        <v>0</v>
      </c>
      <c r="E368" s="26">
        <f ca="1"/>
        <v>0</v>
      </c>
      <c r="F368" s="26">
        <f ca="1"/>
        <v>0</v>
      </c>
      <c r="G368" s="26">
        <f ca="1"/>
        <v>0</v>
      </c>
      <c r="H368" s="26">
        <f ca="1"/>
        <v>0</v>
      </c>
      <c r="I368" s="26">
        <f ca="1"/>
        <v>0</v>
      </c>
      <c r="J368" s="26">
        <f ca="1"/>
        <v>0</v>
      </c>
      <c r="K368" s="26">
        <f ca="1"/>
        <v>0</v>
      </c>
      <c r="L368" s="26">
        <f ca="1"/>
        <v>0</v>
      </c>
      <c r="M368" s="6"/>
      <c r="N368" s="59" t="s">
        <v>134</v>
      </c>
    </row>
    <row r="369" spans="1:15" x14ac:dyDescent="0.25">
      <c r="A369" t="str">
        <v>IA discontinuity</v>
      </c>
      <c r="C369" s="26">
        <f ca="1"/>
        <v>0</v>
      </c>
      <c r="D369" s="26">
        <f ca="1"/>
        <v>0</v>
      </c>
      <c r="E369" s="26">
        <f ca="1"/>
        <v>0</v>
      </c>
      <c r="F369" s="26">
        <f ca="1"/>
        <v>0</v>
      </c>
      <c r="G369" s="26">
        <f ca="1"/>
        <v>0</v>
      </c>
      <c r="H369" s="26">
        <f ca="1"/>
        <v>0</v>
      </c>
      <c r="I369" s="26">
        <f ca="1"/>
        <v>0</v>
      </c>
      <c r="J369" s="26">
        <f ca="1"/>
        <v>0</v>
      </c>
      <c r="K369" s="26">
        <f ca="1"/>
        <v>0</v>
      </c>
      <c r="L369" s="26">
        <f ca="1"/>
        <v>0</v>
      </c>
      <c r="M369" s="6"/>
      <c r="N369" s="59" t="s">
        <v>134</v>
      </c>
    </row>
    <row r="370" spans="1:15" x14ac:dyDescent="0.25">
      <c r="A370" t="str">
        <v>AF discontinuity</v>
      </c>
      <c r="C370" s="26">
        <f ca="1"/>
        <v>0</v>
      </c>
      <c r="D370" s="26">
        <f ca="1"/>
        <v>0</v>
      </c>
      <c r="E370" s="26">
        <f ca="1"/>
        <v>0</v>
      </c>
      <c r="F370" s="26">
        <f ca="1"/>
        <v>0</v>
      </c>
      <c r="G370" s="26">
        <f ca="1"/>
        <v>0</v>
      </c>
      <c r="H370" s="26">
        <f ca="1"/>
        <v>0</v>
      </c>
      <c r="I370" s="26">
        <f ca="1"/>
        <v>0</v>
      </c>
      <c r="J370" s="26">
        <f ca="1"/>
        <v>0</v>
      </c>
      <c r="K370" s="26">
        <f ca="1"/>
        <v>0</v>
      </c>
      <c r="L370" s="26">
        <f ca="1"/>
        <v>0</v>
      </c>
      <c r="M370" s="6"/>
      <c r="N370" s="59" t="s">
        <v>134</v>
      </c>
    </row>
    <row r="371" spans="1:15" x14ac:dyDescent="0.25">
      <c r="A371" t="str">
        <v>LA discontinuity</v>
      </c>
      <c r="C371" s="26">
        <f ca="1"/>
        <v>0</v>
      </c>
      <c r="D371" s="26">
        <f ca="1"/>
        <v>0</v>
      </c>
      <c r="E371" s="26">
        <f ca="1"/>
        <v>0</v>
      </c>
      <c r="F371" s="26">
        <f ca="1"/>
        <v>0</v>
      </c>
      <c r="G371" s="26">
        <f ca="1"/>
        <v>0</v>
      </c>
      <c r="H371" s="26">
        <f ca="1"/>
        <v>0</v>
      </c>
      <c r="I371" s="26">
        <f ca="1"/>
        <v>0</v>
      </c>
      <c r="J371" s="26">
        <f ca="1"/>
        <v>0</v>
      </c>
      <c r="K371" s="26">
        <f ca="1"/>
        <v>0</v>
      </c>
      <c r="L371" s="26">
        <f ca="1"/>
        <v>0</v>
      </c>
      <c r="M371" s="6"/>
      <c r="N371" s="59" t="s">
        <v>134</v>
      </c>
    </row>
    <row r="372" spans="1:15" s="2" customFormat="1" ht="15" x14ac:dyDescent="0.4">
      <c r="A372" s="2" t="s">
        <v>225</v>
      </c>
      <c r="C372" s="2" t="s">
        <v>251</v>
      </c>
    </row>
    <row r="373" spans="1:15" x14ac:dyDescent="0.25">
      <c r="A373" t="str">
        <f t="array" ref="A373:A380">R_CODE&amp;" discontinuity"</f>
        <v>EU discontinuity</v>
      </c>
      <c r="C373" s="29">
        <f t="array" ref="C373:L380" ca="1">IF(igdpdis_b&lt;ISATG,igdpdis_b,ISATG+(100-SAVE-ISATG)*((igdpdis_b-ISATG)/((100-SAVE-ISATG)+(igdpdis_b-ISATG))))</f>
        <v>0</v>
      </c>
      <c r="D373" s="29">
        <f ca="1"/>
        <v>0</v>
      </c>
      <c r="E373" s="29">
        <f ca="1"/>
        <v>0</v>
      </c>
      <c r="F373" s="29">
        <f ca="1"/>
        <v>0</v>
      </c>
      <c r="G373" s="29">
        <f ca="1"/>
        <v>0</v>
      </c>
      <c r="H373" s="29">
        <f ca="1"/>
        <v>0</v>
      </c>
      <c r="I373" s="29">
        <f ca="1"/>
        <v>0</v>
      </c>
      <c r="J373" s="29">
        <f ca="1"/>
        <v>0</v>
      </c>
      <c r="K373" s="29">
        <f ca="1"/>
        <v>0</v>
      </c>
      <c r="L373" s="29">
        <f ca="1"/>
        <v>0</v>
      </c>
      <c r="M373" s="6"/>
      <c r="N373" s="59" t="s">
        <v>134</v>
      </c>
    </row>
    <row r="374" spans="1:15" x14ac:dyDescent="0.25">
      <c r="A374" t="str">
        <v>US discontinuity</v>
      </c>
      <c r="C374" s="26">
        <f ca="1"/>
        <v>0</v>
      </c>
      <c r="D374" s="26">
        <f ca="1"/>
        <v>0</v>
      </c>
      <c r="E374" s="26">
        <f ca="1"/>
        <v>0</v>
      </c>
      <c r="F374" s="26">
        <f ca="1"/>
        <v>0</v>
      </c>
      <c r="G374" s="26">
        <f ca="1"/>
        <v>0</v>
      </c>
      <c r="H374" s="26">
        <f ca="1"/>
        <v>0</v>
      </c>
      <c r="I374" s="26">
        <f ca="1"/>
        <v>0</v>
      </c>
      <c r="J374" s="26">
        <f ca="1"/>
        <v>0</v>
      </c>
      <c r="K374" s="26">
        <f ca="1"/>
        <v>0</v>
      </c>
      <c r="L374" s="26">
        <f ca="1"/>
        <v>0</v>
      </c>
      <c r="M374" s="6"/>
      <c r="N374" s="59" t="s">
        <v>134</v>
      </c>
    </row>
    <row r="375" spans="1:15" x14ac:dyDescent="0.25">
      <c r="A375" t="str">
        <v>OT discontinuity</v>
      </c>
      <c r="C375" s="26">
        <f ca="1"/>
        <v>0</v>
      </c>
      <c r="D375" s="26">
        <f ca="1"/>
        <v>0</v>
      </c>
      <c r="E375" s="26">
        <f ca="1"/>
        <v>0</v>
      </c>
      <c r="F375" s="26">
        <f ca="1"/>
        <v>0</v>
      </c>
      <c r="G375" s="26">
        <f ca="1"/>
        <v>0</v>
      </c>
      <c r="H375" s="26">
        <f ca="1"/>
        <v>0</v>
      </c>
      <c r="I375" s="26">
        <f ca="1"/>
        <v>0</v>
      </c>
      <c r="J375" s="26">
        <f ca="1"/>
        <v>0</v>
      </c>
      <c r="K375" s="26">
        <f ca="1"/>
        <v>0</v>
      </c>
      <c r="L375" s="26">
        <f ca="1"/>
        <v>0</v>
      </c>
      <c r="M375" s="6"/>
      <c r="N375" s="59" t="s">
        <v>134</v>
      </c>
    </row>
    <row r="376" spans="1:15" x14ac:dyDescent="0.25">
      <c r="A376" t="str">
        <v>EE discontinuity</v>
      </c>
      <c r="C376" s="26">
        <f ca="1"/>
        <v>0</v>
      </c>
      <c r="D376" s="26">
        <f ca="1"/>
        <v>0</v>
      </c>
      <c r="E376" s="26">
        <f ca="1"/>
        <v>0</v>
      </c>
      <c r="F376" s="26">
        <f ca="1"/>
        <v>0</v>
      </c>
      <c r="G376" s="26">
        <f ca="1"/>
        <v>0</v>
      </c>
      <c r="H376" s="26">
        <f ca="1"/>
        <v>0</v>
      </c>
      <c r="I376" s="26">
        <f ca="1"/>
        <v>0</v>
      </c>
      <c r="J376" s="26">
        <f ca="1"/>
        <v>0</v>
      </c>
      <c r="K376" s="26">
        <f ca="1"/>
        <v>0</v>
      </c>
      <c r="L376" s="26">
        <f ca="1"/>
        <v>0</v>
      </c>
      <c r="M376" s="6"/>
      <c r="N376" s="59" t="s">
        <v>134</v>
      </c>
    </row>
    <row r="377" spans="1:15" x14ac:dyDescent="0.25">
      <c r="A377" t="str">
        <v>CA discontinuity</v>
      </c>
      <c r="C377" s="26">
        <f ca="1"/>
        <v>0</v>
      </c>
      <c r="D377" s="26">
        <f ca="1"/>
        <v>0</v>
      </c>
      <c r="E377" s="26">
        <f ca="1"/>
        <v>0</v>
      </c>
      <c r="F377" s="26">
        <f ca="1"/>
        <v>0</v>
      </c>
      <c r="G377" s="26">
        <f ca="1"/>
        <v>0</v>
      </c>
      <c r="H377" s="26">
        <f ca="1"/>
        <v>0</v>
      </c>
      <c r="I377" s="26">
        <f ca="1"/>
        <v>0</v>
      </c>
      <c r="J377" s="26">
        <f ca="1"/>
        <v>0</v>
      </c>
      <c r="K377" s="26">
        <f ca="1"/>
        <v>0</v>
      </c>
      <c r="L377" s="26">
        <f ca="1"/>
        <v>0</v>
      </c>
      <c r="M377" s="6"/>
      <c r="N377" s="59" t="s">
        <v>134</v>
      </c>
    </row>
    <row r="378" spans="1:15" x14ac:dyDescent="0.25">
      <c r="A378" t="str">
        <v>IA discontinuity</v>
      </c>
      <c r="C378" s="26">
        <f ca="1"/>
        <v>0</v>
      </c>
      <c r="D378" s="26">
        <f ca="1"/>
        <v>0</v>
      </c>
      <c r="E378" s="26">
        <f ca="1"/>
        <v>0</v>
      </c>
      <c r="F378" s="26">
        <f ca="1"/>
        <v>0</v>
      </c>
      <c r="G378" s="26">
        <f ca="1"/>
        <v>0</v>
      </c>
      <c r="H378" s="26">
        <f ca="1"/>
        <v>0</v>
      </c>
      <c r="I378" s="26">
        <f ca="1"/>
        <v>0</v>
      </c>
      <c r="J378" s="26">
        <f ca="1"/>
        <v>0</v>
      </c>
      <c r="K378" s="26">
        <f ca="1"/>
        <v>0</v>
      </c>
      <c r="L378" s="26">
        <f ca="1"/>
        <v>0</v>
      </c>
      <c r="M378" s="6"/>
      <c r="N378" s="59" t="s">
        <v>134</v>
      </c>
    </row>
    <row r="379" spans="1:15" x14ac:dyDescent="0.25">
      <c r="A379" t="str">
        <v>AF discontinuity</v>
      </c>
      <c r="C379" s="26">
        <f ca="1"/>
        <v>0</v>
      </c>
      <c r="D379" s="26">
        <f ca="1"/>
        <v>0</v>
      </c>
      <c r="E379" s="26">
        <f ca="1"/>
        <v>0</v>
      </c>
      <c r="F379" s="26">
        <f ca="1"/>
        <v>0</v>
      </c>
      <c r="G379" s="26">
        <f ca="1"/>
        <v>0</v>
      </c>
      <c r="H379" s="26">
        <f ca="1"/>
        <v>0</v>
      </c>
      <c r="I379" s="26">
        <f ca="1"/>
        <v>0</v>
      </c>
      <c r="J379" s="26">
        <f ca="1"/>
        <v>0</v>
      </c>
      <c r="K379" s="26">
        <f ca="1"/>
        <v>0</v>
      </c>
      <c r="L379" s="26">
        <f ca="1"/>
        <v>0</v>
      </c>
      <c r="M379" s="6"/>
      <c r="N379" s="59" t="s">
        <v>134</v>
      </c>
    </row>
    <row r="380" spans="1:15" x14ac:dyDescent="0.25">
      <c r="A380" t="str">
        <v>LA discontinuity</v>
      </c>
      <c r="C380" s="26">
        <f ca="1"/>
        <v>0</v>
      </c>
      <c r="D380" s="26">
        <f ca="1"/>
        <v>0</v>
      </c>
      <c r="E380" s="26">
        <f ca="1"/>
        <v>0</v>
      </c>
      <c r="F380" s="26">
        <f ca="1"/>
        <v>0</v>
      </c>
      <c r="G380" s="26">
        <f ca="1"/>
        <v>0</v>
      </c>
      <c r="H380" s="26">
        <f ca="1"/>
        <v>0</v>
      </c>
      <c r="I380" s="26">
        <f ca="1"/>
        <v>0</v>
      </c>
      <c r="J380" s="26">
        <f ca="1"/>
        <v>0</v>
      </c>
      <c r="K380" s="26">
        <f ca="1"/>
        <v>0</v>
      </c>
      <c r="L380" s="26">
        <f ca="1"/>
        <v>0</v>
      </c>
      <c r="M380" s="6"/>
      <c r="N380" s="59" t="s">
        <v>134</v>
      </c>
    </row>
    <row r="381" spans="1:15" s="2" customFormat="1" ht="15" x14ac:dyDescent="0.4">
      <c r="A381" s="2" t="s">
        <v>226</v>
      </c>
      <c r="C381" s="2" t="s">
        <v>252</v>
      </c>
    </row>
    <row r="382" spans="1:15" x14ac:dyDescent="0.25">
      <c r="A382" t="str">
        <f t="array" ref="A382:A389">R_CODE&amp;" discontinuity"</f>
        <v>EU discontinuity</v>
      </c>
      <c r="C382" s="29">
        <f t="array" aca="1" ref="C382:L389" ca="1">(isatdis_b/100)*rgdp_2_per_cap_b</f>
        <v>0</v>
      </c>
      <c r="D382" s="29">
        <f ca="1"/>
        <v>0</v>
      </c>
      <c r="E382" s="29">
        <f ca="1"/>
        <v>0</v>
      </c>
      <c r="F382" s="29">
        <f ca="1"/>
        <v>0</v>
      </c>
      <c r="G382" s="29">
        <f ca="1"/>
        <v>0</v>
      </c>
      <c r="H382" s="29">
        <f ca="1"/>
        <v>0</v>
      </c>
      <c r="I382" s="29">
        <f ca="1"/>
        <v>0</v>
      </c>
      <c r="J382" s="29">
        <f ca="1"/>
        <v>0</v>
      </c>
      <c r="K382" s="29">
        <f ca="1"/>
        <v>0</v>
      </c>
      <c r="L382" s="29">
        <f ca="1"/>
        <v>0</v>
      </c>
      <c r="M382" s="6"/>
      <c r="N382" s="1" t="str">
        <f t="shared" ref="N382:N389" si="12">CURRENCY_NAME&amp;"/"&amp;POP_UNIT_NAME</f>
        <v>$M(2015)/million</v>
      </c>
      <c r="O382" s="1"/>
    </row>
    <row r="383" spans="1:15" x14ac:dyDescent="0.25">
      <c r="A383" t="str">
        <v>US discontinuity</v>
      </c>
      <c r="C383" s="26">
        <f ca="1"/>
        <v>0</v>
      </c>
      <c r="D383" s="26">
        <f ca="1"/>
        <v>0</v>
      </c>
      <c r="E383" s="26">
        <f ca="1"/>
        <v>0</v>
      </c>
      <c r="F383" s="26">
        <f ca="1"/>
        <v>0</v>
      </c>
      <c r="G383" s="26">
        <f ca="1"/>
        <v>0</v>
      </c>
      <c r="H383" s="26">
        <f ca="1"/>
        <v>0</v>
      </c>
      <c r="I383" s="26">
        <f ca="1"/>
        <v>0</v>
      </c>
      <c r="J383" s="26">
        <f ca="1"/>
        <v>0</v>
      </c>
      <c r="K383" s="26">
        <f ca="1"/>
        <v>0</v>
      </c>
      <c r="L383" s="26">
        <f ca="1"/>
        <v>0</v>
      </c>
      <c r="M383" s="6"/>
      <c r="N383" s="1" t="str">
        <f t="shared" si="12"/>
        <v>$M(2015)/million</v>
      </c>
      <c r="O383" s="1"/>
    </row>
    <row r="384" spans="1:15" x14ac:dyDescent="0.25">
      <c r="A384" t="str">
        <v>OT discontinuity</v>
      </c>
      <c r="C384" s="26">
        <f ca="1"/>
        <v>0</v>
      </c>
      <c r="D384" s="26">
        <f ca="1"/>
        <v>0</v>
      </c>
      <c r="E384" s="26">
        <f ca="1"/>
        <v>0</v>
      </c>
      <c r="F384" s="26">
        <f ca="1"/>
        <v>0</v>
      </c>
      <c r="G384" s="26">
        <f ca="1"/>
        <v>0</v>
      </c>
      <c r="H384" s="26">
        <f ca="1"/>
        <v>0</v>
      </c>
      <c r="I384" s="26">
        <f ca="1"/>
        <v>0</v>
      </c>
      <c r="J384" s="26">
        <f ca="1"/>
        <v>0</v>
      </c>
      <c r="K384" s="26">
        <f ca="1"/>
        <v>0</v>
      </c>
      <c r="L384" s="26">
        <f ca="1"/>
        <v>0</v>
      </c>
      <c r="M384" s="6"/>
      <c r="N384" s="1" t="str">
        <f t="shared" si="12"/>
        <v>$M(2015)/million</v>
      </c>
      <c r="O384" s="1"/>
    </row>
    <row r="385" spans="1:15" x14ac:dyDescent="0.25">
      <c r="A385" t="str">
        <v>EE discontinuity</v>
      </c>
      <c r="C385" s="26">
        <f ca="1"/>
        <v>0</v>
      </c>
      <c r="D385" s="26">
        <f ca="1"/>
        <v>0</v>
      </c>
      <c r="E385" s="26">
        <f ca="1"/>
        <v>0</v>
      </c>
      <c r="F385" s="26">
        <f ca="1"/>
        <v>0</v>
      </c>
      <c r="G385" s="26">
        <f ca="1"/>
        <v>0</v>
      </c>
      <c r="H385" s="26">
        <f ca="1"/>
        <v>0</v>
      </c>
      <c r="I385" s="26">
        <f ca="1"/>
        <v>0</v>
      </c>
      <c r="J385" s="26">
        <f ca="1"/>
        <v>0</v>
      </c>
      <c r="K385" s="26">
        <f ca="1"/>
        <v>0</v>
      </c>
      <c r="L385" s="26">
        <f ca="1"/>
        <v>0</v>
      </c>
      <c r="M385" s="6"/>
      <c r="N385" s="1" t="str">
        <f t="shared" si="12"/>
        <v>$M(2015)/million</v>
      </c>
      <c r="O385" s="1"/>
    </row>
    <row r="386" spans="1:15" x14ac:dyDescent="0.25">
      <c r="A386" t="str">
        <v>CA discontinuity</v>
      </c>
      <c r="C386" s="26">
        <f ca="1"/>
        <v>0</v>
      </c>
      <c r="D386" s="26">
        <f ca="1"/>
        <v>0</v>
      </c>
      <c r="E386" s="26">
        <f ca="1"/>
        <v>0</v>
      </c>
      <c r="F386" s="26">
        <f ca="1"/>
        <v>0</v>
      </c>
      <c r="G386" s="26">
        <f ca="1"/>
        <v>0</v>
      </c>
      <c r="H386" s="26">
        <f ca="1"/>
        <v>0</v>
      </c>
      <c r="I386" s="26">
        <f ca="1"/>
        <v>0</v>
      </c>
      <c r="J386" s="26">
        <f ca="1"/>
        <v>0</v>
      </c>
      <c r="K386" s="26">
        <f ca="1"/>
        <v>0</v>
      </c>
      <c r="L386" s="26">
        <f ca="1"/>
        <v>0</v>
      </c>
      <c r="M386" s="6"/>
      <c r="N386" s="1" t="str">
        <f t="shared" si="12"/>
        <v>$M(2015)/million</v>
      </c>
      <c r="O386" s="1"/>
    </row>
    <row r="387" spans="1:15" x14ac:dyDescent="0.25">
      <c r="A387" t="str">
        <v>IA discontinuity</v>
      </c>
      <c r="C387" s="26">
        <f ca="1"/>
        <v>0</v>
      </c>
      <c r="D387" s="26">
        <f ca="1"/>
        <v>0</v>
      </c>
      <c r="E387" s="26">
        <f ca="1"/>
        <v>0</v>
      </c>
      <c r="F387" s="26">
        <f ca="1"/>
        <v>0</v>
      </c>
      <c r="G387" s="26">
        <f ca="1"/>
        <v>0</v>
      </c>
      <c r="H387" s="26">
        <f ca="1"/>
        <v>0</v>
      </c>
      <c r="I387" s="26">
        <f ca="1"/>
        <v>0</v>
      </c>
      <c r="J387" s="26">
        <f ca="1"/>
        <v>0</v>
      </c>
      <c r="K387" s="26">
        <f ca="1"/>
        <v>0</v>
      </c>
      <c r="L387" s="26">
        <f ca="1"/>
        <v>0</v>
      </c>
      <c r="M387" s="6"/>
      <c r="N387" s="1" t="str">
        <f t="shared" si="12"/>
        <v>$M(2015)/million</v>
      </c>
      <c r="O387" s="1"/>
    </row>
    <row r="388" spans="1:15" x14ac:dyDescent="0.25">
      <c r="A388" t="str">
        <v>AF discontinuity</v>
      </c>
      <c r="C388" s="26">
        <f ca="1"/>
        <v>0</v>
      </c>
      <c r="D388" s="26">
        <f ca="1"/>
        <v>0</v>
      </c>
      <c r="E388" s="26">
        <f ca="1"/>
        <v>0</v>
      </c>
      <c r="F388" s="26">
        <f ca="1"/>
        <v>0</v>
      </c>
      <c r="G388" s="26">
        <f ca="1"/>
        <v>0</v>
      </c>
      <c r="H388" s="26">
        <f ca="1"/>
        <v>0</v>
      </c>
      <c r="I388" s="26">
        <f ca="1"/>
        <v>0</v>
      </c>
      <c r="J388" s="26">
        <f ca="1"/>
        <v>0</v>
      </c>
      <c r="K388" s="26">
        <f ca="1"/>
        <v>0</v>
      </c>
      <c r="L388" s="26">
        <f ca="1"/>
        <v>0</v>
      </c>
      <c r="M388" s="6"/>
      <c r="N388" s="1" t="str">
        <f t="shared" si="12"/>
        <v>$M(2015)/million</v>
      </c>
      <c r="O388" s="1"/>
    </row>
    <row r="389" spans="1:15" x14ac:dyDescent="0.25">
      <c r="A389" t="str">
        <v>LA discontinuity</v>
      </c>
      <c r="C389" s="26">
        <f ca="1"/>
        <v>0</v>
      </c>
      <c r="D389" s="26">
        <f ca="1"/>
        <v>0</v>
      </c>
      <c r="E389" s="26">
        <f ca="1"/>
        <v>0</v>
      </c>
      <c r="F389" s="26">
        <f ca="1"/>
        <v>0</v>
      </c>
      <c r="G389" s="26">
        <f ca="1"/>
        <v>0</v>
      </c>
      <c r="H389" s="26">
        <f ca="1"/>
        <v>0</v>
      </c>
      <c r="I389" s="26">
        <f ca="1"/>
        <v>0</v>
      </c>
      <c r="J389" s="26">
        <f ca="1"/>
        <v>0</v>
      </c>
      <c r="K389" s="26">
        <f ca="1"/>
        <v>0</v>
      </c>
      <c r="L389" s="26">
        <f ca="1"/>
        <v>0</v>
      </c>
      <c r="M389" s="6"/>
      <c r="N389" s="1" t="str">
        <f t="shared" si="12"/>
        <v>$M(2015)/million</v>
      </c>
      <c r="O389" s="1"/>
    </row>
    <row r="390" spans="1:15" s="2" customFormat="1" ht="15" x14ac:dyDescent="0.4">
      <c r="A390" s="2" t="s">
        <v>228</v>
      </c>
      <c r="C390" s="2" t="s">
        <v>254</v>
      </c>
    </row>
    <row r="391" spans="1:15" x14ac:dyDescent="0.25">
      <c r="A391" t="str">
        <f t="array" ref="A391:A398">R_CODE&amp;" discontinuity"</f>
        <v>EU discontinuity</v>
      </c>
      <c r="C391" s="29">
        <f t="array" aca="1" ref="C391:L398" ca="1">rcons_2_per_cap_b-isatdis_per_cap_b</f>
        <v>31188.633411971554</v>
      </c>
      <c r="D391" s="29">
        <f ca="1"/>
        <v>35809.990986162484</v>
      </c>
      <c r="E391" s="29">
        <f ca="1"/>
        <v>41857.193746180921</v>
      </c>
      <c r="F391" s="29">
        <f ca="1"/>
        <v>49190.033318140471</v>
      </c>
      <c r="G391" s="29">
        <f ca="1"/>
        <v>75243.763969144959</v>
      </c>
      <c r="H391" s="29">
        <f ca="1"/>
        <v>115152.34180828427</v>
      </c>
      <c r="I391" s="29">
        <f ca="1"/>
        <v>221157.90008549488</v>
      </c>
      <c r="J391" s="29">
        <f ca="1"/>
        <v>377559.59382950864</v>
      </c>
      <c r="K391" s="29">
        <f ca="1"/>
        <v>586473.38847838517</v>
      </c>
      <c r="L391" s="29">
        <f ca="1"/>
        <v>843046.2938798134</v>
      </c>
      <c r="M391" s="6"/>
      <c r="N391" s="1" t="str">
        <f t="shared" ref="N391:N398" si="13">CURRENCY_NAME&amp;"/"&amp;POP_UNIT_NAME</f>
        <v>$M(2015)/million</v>
      </c>
      <c r="O391" s="1"/>
    </row>
    <row r="392" spans="1:15" x14ac:dyDescent="0.25">
      <c r="A392" t="str">
        <v>US discontinuity</v>
      </c>
      <c r="C392" s="26">
        <f ca="1"/>
        <v>49158.792607016927</v>
      </c>
      <c r="D392" s="26">
        <f ca="1"/>
        <v>55988.003199456209</v>
      </c>
      <c r="E392" s="26">
        <f ca="1"/>
        <v>61938.44864115808</v>
      </c>
      <c r="F392" s="26">
        <f ca="1"/>
        <v>68653.27485729428</v>
      </c>
      <c r="G392" s="26">
        <f ca="1"/>
        <v>91713.636713971791</v>
      </c>
      <c r="H392" s="26">
        <f ca="1"/>
        <v>130056.60223361893</v>
      </c>
      <c r="I392" s="26">
        <f ca="1"/>
        <v>264030.52550617757</v>
      </c>
      <c r="J392" s="26">
        <f ca="1"/>
        <v>496812.18469672109</v>
      </c>
      <c r="K392" s="26">
        <f ca="1"/>
        <v>876125.74198500451</v>
      </c>
      <c r="L392" s="26">
        <f ca="1"/>
        <v>1458863.8719411283</v>
      </c>
      <c r="M392" s="6"/>
      <c r="N392" s="1" t="str">
        <f t="shared" si="13"/>
        <v>$M(2015)/million</v>
      </c>
      <c r="O392" s="1"/>
    </row>
    <row r="393" spans="1:15" x14ac:dyDescent="0.25">
      <c r="A393" t="str">
        <v>OT discontinuity</v>
      </c>
      <c r="C393" s="26">
        <f ca="1"/>
        <v>31459.197214049491</v>
      </c>
      <c r="D393" s="26">
        <f ca="1"/>
        <v>37078.766056413275</v>
      </c>
      <c r="E393" s="26">
        <f ca="1"/>
        <v>43209.338741197113</v>
      </c>
      <c r="F393" s="26">
        <f ca="1"/>
        <v>50617.656349282006</v>
      </c>
      <c r="G393" s="26">
        <f ca="1"/>
        <v>77082.902160647951</v>
      </c>
      <c r="H393" s="26">
        <f ca="1"/>
        <v>117724.82567144108</v>
      </c>
      <c r="I393" s="26">
        <f ca="1"/>
        <v>189826.17784101047</v>
      </c>
      <c r="J393" s="26">
        <f ca="1"/>
        <v>256510.63307632628</v>
      </c>
      <c r="K393" s="26">
        <f ca="1"/>
        <v>310432.40666814713</v>
      </c>
      <c r="L393" s="26">
        <f ca="1"/>
        <v>350433.92106389283</v>
      </c>
      <c r="M393" s="6"/>
      <c r="N393" s="1" t="str">
        <f t="shared" si="13"/>
        <v>$M(2015)/million</v>
      </c>
      <c r="O393" s="1"/>
    </row>
    <row r="394" spans="1:15" x14ac:dyDescent="0.25">
      <c r="A394" t="str">
        <v>EE discontinuity</v>
      </c>
      <c r="C394" s="26">
        <f ca="1"/>
        <v>14057.519749151452</v>
      </c>
      <c r="D394" s="26">
        <f ca="1"/>
        <v>20799.182077964972</v>
      </c>
      <c r="E394" s="26">
        <f ca="1"/>
        <v>28405.814418890546</v>
      </c>
      <c r="F394" s="26">
        <f ca="1"/>
        <v>35172.299358948199</v>
      </c>
      <c r="G394" s="26">
        <f ca="1"/>
        <v>55829.898016114472</v>
      </c>
      <c r="H394" s="26">
        <f ca="1"/>
        <v>83856.440495041708</v>
      </c>
      <c r="I394" s="26">
        <f ca="1"/>
        <v>116870.14049922825</v>
      </c>
      <c r="J394" s="26">
        <f ca="1"/>
        <v>134796.17785913442</v>
      </c>
      <c r="K394" s="26">
        <f ca="1"/>
        <v>143403.8537592683</v>
      </c>
      <c r="L394" s="26">
        <f ca="1"/>
        <v>147312.10403120753</v>
      </c>
      <c r="M394" s="6"/>
      <c r="N394" s="1" t="str">
        <f t="shared" si="13"/>
        <v>$M(2015)/million</v>
      </c>
      <c r="O394" s="1"/>
    </row>
    <row r="395" spans="1:15" x14ac:dyDescent="0.25">
      <c r="A395" t="str">
        <v>CA discontinuity</v>
      </c>
      <c r="C395" s="26">
        <f ca="1"/>
        <v>12398.669975474841</v>
      </c>
      <c r="D395" s="26">
        <f ca="1"/>
        <v>23061.19913059664</v>
      </c>
      <c r="E395" s="26">
        <f ca="1"/>
        <v>34857.707712073723</v>
      </c>
      <c r="F395" s="26">
        <f ca="1"/>
        <v>46529.537207183821</v>
      </c>
      <c r="G395" s="26">
        <f ca="1"/>
        <v>71469.94663105825</v>
      </c>
      <c r="H395" s="26">
        <f ca="1"/>
        <v>101115.54922459435</v>
      </c>
      <c r="I395" s="26">
        <f ca="1"/>
        <v>98172.690698544102</v>
      </c>
      <c r="J395" s="26">
        <f ca="1"/>
        <v>94973.717926103476</v>
      </c>
      <c r="K395" s="26">
        <f ca="1"/>
        <v>91743.599661879387</v>
      </c>
      <c r="L395" s="26">
        <f ca="1"/>
        <v>88599.838549115724</v>
      </c>
      <c r="M395" s="6"/>
      <c r="N395" s="1" t="str">
        <f t="shared" si="13"/>
        <v>$M(2015)/million</v>
      </c>
      <c r="O395" s="1"/>
    </row>
    <row r="396" spans="1:15" x14ac:dyDescent="0.25">
      <c r="A396" t="str">
        <v>IA discontinuity</v>
      </c>
      <c r="C396" s="26">
        <f ca="1"/>
        <v>5889.5792639917527</v>
      </c>
      <c r="D396" s="26">
        <f ca="1"/>
        <v>10020.693631179054</v>
      </c>
      <c r="E396" s="26">
        <f ca="1"/>
        <v>16288.522976102444</v>
      </c>
      <c r="F396" s="26">
        <f ca="1"/>
        <v>24740.706910126366</v>
      </c>
      <c r="G396" s="26">
        <f ca="1"/>
        <v>54207.752698115866</v>
      </c>
      <c r="H396" s="26">
        <f ca="1"/>
        <v>95431.067647748307</v>
      </c>
      <c r="I396" s="26">
        <f ca="1"/>
        <v>159236.65965140259</v>
      </c>
      <c r="J396" s="26">
        <f ca="1"/>
        <v>181486.42225504239</v>
      </c>
      <c r="K396" s="26">
        <f ca="1"/>
        <v>187653.75786800281</v>
      </c>
      <c r="L396" s="26">
        <f ca="1"/>
        <v>189389.35972924985</v>
      </c>
      <c r="M396" s="6"/>
      <c r="N396" s="1" t="str">
        <f t="shared" si="13"/>
        <v>$M(2015)/million</v>
      </c>
      <c r="O396" s="1"/>
    </row>
    <row r="397" spans="1:15" x14ac:dyDescent="0.25">
      <c r="A397" t="str">
        <v>AF discontinuity</v>
      </c>
      <c r="C397" s="26">
        <f ca="1"/>
        <v>5171.9077881195453</v>
      </c>
      <c r="D397" s="26">
        <f ca="1"/>
        <v>6999.847814080792</v>
      </c>
      <c r="E397" s="26">
        <f ca="1"/>
        <v>10019.801332325636</v>
      </c>
      <c r="F397" s="26">
        <f ca="1"/>
        <v>14868.914662460982</v>
      </c>
      <c r="G397" s="26">
        <f ca="1"/>
        <v>39716.73647304334</v>
      </c>
      <c r="H397" s="26">
        <f ca="1"/>
        <v>86049.380034300615</v>
      </c>
      <c r="I397" s="26">
        <f ca="1"/>
        <v>326578.46656399453</v>
      </c>
      <c r="J397" s="26">
        <f ca="1"/>
        <v>627091.95967006381</v>
      </c>
      <c r="K397" s="26">
        <f ca="1"/>
        <v>862510.7210983343</v>
      </c>
      <c r="L397" s="26">
        <f ca="1"/>
        <v>1008390.2185581613</v>
      </c>
      <c r="M397" s="6"/>
      <c r="N397" s="1" t="str">
        <f t="shared" si="13"/>
        <v>$M(2015)/million</v>
      </c>
      <c r="O397" s="1"/>
    </row>
    <row r="398" spans="1:15" x14ac:dyDescent="0.25">
      <c r="A398" t="str">
        <v>LA discontinuity</v>
      </c>
      <c r="C398" s="26">
        <f ca="1"/>
        <v>12385.350537977807</v>
      </c>
      <c r="D398" s="26">
        <f ca="1"/>
        <v>16547.41869700958</v>
      </c>
      <c r="E398" s="26">
        <f ca="1"/>
        <v>22462.222311942081</v>
      </c>
      <c r="F398" s="26">
        <f ca="1"/>
        <v>30306.944912152117</v>
      </c>
      <c r="G398" s="26">
        <f ca="1"/>
        <v>58941.880462446163</v>
      </c>
      <c r="H398" s="26">
        <f ca="1"/>
        <v>102215.6899637668</v>
      </c>
      <c r="I398" s="26">
        <f ca="1"/>
        <v>187408.33636772027</v>
      </c>
      <c r="J398" s="26">
        <f ca="1"/>
        <v>238660.3543718704</v>
      </c>
      <c r="K398" s="26">
        <f ca="1"/>
        <v>262789.9698879724</v>
      </c>
      <c r="L398" s="26">
        <f ca="1"/>
        <v>273205.98268263618</v>
      </c>
      <c r="M398" s="6"/>
      <c r="N398" s="1" t="str">
        <f t="shared" si="13"/>
        <v>$M(2015)/million</v>
      </c>
      <c r="O398" s="1"/>
    </row>
    <row r="399" spans="1:15" s="2" customFormat="1" ht="15" x14ac:dyDescent="0.4">
      <c r="A399" s="2" t="s">
        <v>230</v>
      </c>
      <c r="C399" s="2" t="s">
        <v>253</v>
      </c>
    </row>
    <row r="400" spans="1:15" x14ac:dyDescent="0.25">
      <c r="A400" t="str">
        <f t="array" ref="A400:A407">R_CODE&amp;" discontinuity"</f>
        <v>EU discontinuity</v>
      </c>
      <c r="C400" s="29">
        <f t="array" ref="C400:L407" ca="1" xml:space="preserve"> rconsdis_per_cap_b/(1-SAVE/100)</f>
        <v>36692.509896437121</v>
      </c>
      <c r="D400" s="29">
        <f ca="1"/>
        <v>42129.401160191155</v>
      </c>
      <c r="E400" s="29">
        <f ca="1"/>
        <v>49243.757348448147</v>
      </c>
      <c r="F400" s="29">
        <f ca="1"/>
        <v>57870.627433106441</v>
      </c>
      <c r="G400" s="29">
        <f ca="1"/>
        <v>88522.075257817603</v>
      </c>
      <c r="H400" s="29">
        <f ca="1"/>
        <v>135473.34330386386</v>
      </c>
      <c r="I400" s="29">
        <f ca="1"/>
        <v>260185.76480646458</v>
      </c>
      <c r="J400" s="29">
        <f ca="1"/>
        <v>444187.75744648074</v>
      </c>
      <c r="K400" s="29">
        <f ca="1"/>
        <v>689968.69232751196</v>
      </c>
      <c r="L400" s="29">
        <f ca="1"/>
        <v>991819.16927036876</v>
      </c>
      <c r="M400" s="6"/>
      <c r="N400" s="1" t="str">
        <f t="shared" ref="N400:N407" si="14">CURRENCY_NAME&amp;"/"&amp;POP_UNIT_NAME</f>
        <v>$M(2015)/million</v>
      </c>
      <c r="O400" s="1"/>
    </row>
    <row r="401" spans="1:16" x14ac:dyDescent="0.25">
      <c r="A401" t="str">
        <v>US discontinuity</v>
      </c>
      <c r="C401" s="26">
        <f ca="1"/>
        <v>57833.873655314033</v>
      </c>
      <c r="D401" s="26">
        <f ca="1"/>
        <v>65868.239058183783</v>
      </c>
      <c r="E401" s="26">
        <f ca="1"/>
        <v>72868.763107244798</v>
      </c>
      <c r="F401" s="26">
        <f ca="1"/>
        <v>80768.558655640329</v>
      </c>
      <c r="G401" s="26">
        <f ca="1"/>
        <v>107898.39613408447</v>
      </c>
      <c r="H401" s="26">
        <f ca="1"/>
        <v>153007.76733366933</v>
      </c>
      <c r="I401" s="26">
        <f ca="1"/>
        <v>310624.14765432657</v>
      </c>
      <c r="J401" s="26">
        <f ca="1"/>
        <v>584484.92317261302</v>
      </c>
      <c r="K401" s="26">
        <f ca="1"/>
        <v>1030736.1670411818</v>
      </c>
      <c r="L401" s="26">
        <f ca="1"/>
        <v>1716310.437577798</v>
      </c>
      <c r="M401" s="6"/>
      <c r="N401" s="1" t="str">
        <f t="shared" si="14"/>
        <v>$M(2015)/million</v>
      </c>
      <c r="O401" s="1"/>
    </row>
    <row r="402" spans="1:16" x14ac:dyDescent="0.25">
      <c r="A402" t="str">
        <v>OT discontinuity</v>
      </c>
      <c r="C402" s="26">
        <f ca="1"/>
        <v>37010.82025182293</v>
      </c>
      <c r="D402" s="26">
        <f ca="1"/>
        <v>43622.077713427381</v>
      </c>
      <c r="E402" s="26">
        <f ca="1"/>
        <v>50834.516166114248</v>
      </c>
      <c r="F402" s="26">
        <f ca="1"/>
        <v>59550.183940331772</v>
      </c>
      <c r="G402" s="26">
        <f ca="1"/>
        <v>90685.767247821117</v>
      </c>
      <c r="H402" s="26">
        <f ca="1"/>
        <v>138499.79490757774</v>
      </c>
      <c r="I402" s="26">
        <f ca="1"/>
        <v>223324.91510707114</v>
      </c>
      <c r="J402" s="26">
        <f ca="1"/>
        <v>301777.21538391325</v>
      </c>
      <c r="K402" s="26">
        <f ca="1"/>
        <v>365214.5960801731</v>
      </c>
      <c r="L402" s="26">
        <f ca="1"/>
        <v>412275.20125163865</v>
      </c>
      <c r="M402" s="6"/>
      <c r="N402" s="1" t="str">
        <f t="shared" si="14"/>
        <v>$M(2015)/million</v>
      </c>
      <c r="O402" s="1"/>
    </row>
    <row r="403" spans="1:16" x14ac:dyDescent="0.25">
      <c r="A403" t="str">
        <v>EE discontinuity</v>
      </c>
      <c r="C403" s="26">
        <f ca="1"/>
        <v>16538.258528413473</v>
      </c>
      <c r="D403" s="26">
        <f ca="1"/>
        <v>24469.625974076436</v>
      </c>
      <c r="E403" s="26">
        <f ca="1"/>
        <v>33418.605198694764</v>
      </c>
      <c r="F403" s="26">
        <f ca="1"/>
        <v>41379.175716409649</v>
      </c>
      <c r="G403" s="26">
        <f ca="1"/>
        <v>65682.232960134672</v>
      </c>
      <c r="H403" s="26">
        <f ca="1"/>
        <v>98654.635876519664</v>
      </c>
      <c r="I403" s="26">
        <f ca="1"/>
        <v>137494.28294026852</v>
      </c>
      <c r="J403" s="26">
        <f ca="1"/>
        <v>158583.7386578052</v>
      </c>
      <c r="K403" s="26">
        <f ca="1"/>
        <v>168710.41618737447</v>
      </c>
      <c r="L403" s="26">
        <f ca="1"/>
        <v>173308.35768377359</v>
      </c>
      <c r="M403" s="6"/>
      <c r="N403" s="1" t="str">
        <f t="shared" si="14"/>
        <v>$M(2015)/million</v>
      </c>
      <c r="O403" s="1"/>
    </row>
    <row r="404" spans="1:16" x14ac:dyDescent="0.25">
      <c r="A404" t="str">
        <v>CA discontinuity</v>
      </c>
      <c r="C404" s="26">
        <f ca="1"/>
        <v>14586.670559382166</v>
      </c>
      <c r="D404" s="26">
        <f ca="1"/>
        <v>27130.822506584282</v>
      </c>
      <c r="E404" s="26">
        <f ca="1"/>
        <v>41009.067896557324</v>
      </c>
      <c r="F404" s="26">
        <f ca="1"/>
        <v>54740.632008451554</v>
      </c>
      <c r="G404" s="26">
        <f ca="1"/>
        <v>84082.290154186179</v>
      </c>
      <c r="H404" s="26">
        <f ca="1"/>
        <v>118959.46967599336</v>
      </c>
      <c r="I404" s="26">
        <f ca="1"/>
        <v>115497.28317475777</v>
      </c>
      <c r="J404" s="26">
        <f ca="1"/>
        <v>111733.78579541585</v>
      </c>
      <c r="K404" s="26">
        <f ca="1"/>
        <v>107933.64666103458</v>
      </c>
      <c r="L404" s="26">
        <f ca="1"/>
        <v>104235.10417543027</v>
      </c>
      <c r="M404" s="6"/>
      <c r="N404" s="1" t="str">
        <f t="shared" si="14"/>
        <v>$M(2015)/million</v>
      </c>
      <c r="O404" s="1"/>
    </row>
    <row r="405" spans="1:16" x14ac:dyDescent="0.25">
      <c r="A405" t="str">
        <v>IA discontinuity</v>
      </c>
      <c r="C405" s="26">
        <f ca="1"/>
        <v>6928.9167811667676</v>
      </c>
      <c r="D405" s="26">
        <f ca="1"/>
        <v>11789.051330798888</v>
      </c>
      <c r="E405" s="26">
        <f ca="1"/>
        <v>19162.968207179347</v>
      </c>
      <c r="F405" s="26">
        <f ca="1"/>
        <v>29106.714011913373</v>
      </c>
      <c r="G405" s="26">
        <f ca="1"/>
        <v>63773.826703665727</v>
      </c>
      <c r="H405" s="26">
        <f ca="1"/>
        <v>112271.8442914686</v>
      </c>
      <c r="I405" s="26">
        <f ca="1"/>
        <v>187337.24664870894</v>
      </c>
      <c r="J405" s="26">
        <f ca="1"/>
        <v>213513.4379471087</v>
      </c>
      <c r="K405" s="26">
        <f ca="1"/>
        <v>220769.12690353271</v>
      </c>
      <c r="L405" s="26">
        <f ca="1"/>
        <v>222811.0114461763</v>
      </c>
      <c r="M405" s="6"/>
      <c r="N405" s="1" t="str">
        <f t="shared" si="14"/>
        <v>$M(2015)/million</v>
      </c>
      <c r="O405" s="1"/>
    </row>
    <row r="406" spans="1:16" x14ac:dyDescent="0.25">
      <c r="A406" t="str">
        <v>AF discontinuity</v>
      </c>
      <c r="C406" s="26">
        <f ca="1"/>
        <v>6084.5973977877002</v>
      </c>
      <c r="D406" s="26">
        <f ca="1"/>
        <v>8235.115075389167</v>
      </c>
      <c r="E406" s="26">
        <f ca="1"/>
        <v>11788.001567441925</v>
      </c>
      <c r="F406" s="26">
        <f ca="1"/>
        <v>17492.840779365863</v>
      </c>
      <c r="G406" s="26">
        <f ca="1"/>
        <v>46725.572321227461</v>
      </c>
      <c r="H406" s="26">
        <f ca="1"/>
        <v>101234.56474623602</v>
      </c>
      <c r="I406" s="26">
        <f ca="1"/>
        <v>384209.960663523</v>
      </c>
      <c r="J406" s="26">
        <f ca="1"/>
        <v>737755.24667066336</v>
      </c>
      <c r="K406" s="26">
        <f ca="1"/>
        <v>1014718.4954098051</v>
      </c>
      <c r="L406" s="26">
        <f ca="1"/>
        <v>1186341.4335978369</v>
      </c>
      <c r="M406" s="6"/>
      <c r="N406" s="1" t="str">
        <f t="shared" si="14"/>
        <v>$M(2015)/million</v>
      </c>
      <c r="O406" s="1"/>
    </row>
    <row r="407" spans="1:16" x14ac:dyDescent="0.25">
      <c r="A407" t="str">
        <v>LA discontinuity</v>
      </c>
      <c r="C407" s="26">
        <f ca="1"/>
        <v>14571.000632915067</v>
      </c>
      <c r="D407" s="26">
        <f ca="1"/>
        <v>19467.551408246563</v>
      </c>
      <c r="E407" s="26">
        <f ca="1"/>
        <v>26426.143896402449</v>
      </c>
      <c r="F407" s="26">
        <f ca="1"/>
        <v>35655.229308414258</v>
      </c>
      <c r="G407" s="26">
        <f ca="1"/>
        <v>69343.388779348432</v>
      </c>
      <c r="H407" s="26">
        <f ca="1"/>
        <v>120253.75289854918</v>
      </c>
      <c r="I407" s="26">
        <f ca="1"/>
        <v>220480.39572672974</v>
      </c>
      <c r="J407" s="26">
        <f ca="1"/>
        <v>280776.88749631814</v>
      </c>
      <c r="K407" s="26">
        <f ca="1"/>
        <v>309164.67045643815</v>
      </c>
      <c r="L407" s="26">
        <f ca="1"/>
        <v>321418.80315604259</v>
      </c>
      <c r="M407" s="6"/>
      <c r="N407" s="1" t="str">
        <f t="shared" si="14"/>
        <v>$M(2015)/million</v>
      </c>
      <c r="O407" s="1"/>
    </row>
    <row r="408" spans="1:16" ht="15" x14ac:dyDescent="0.4">
      <c r="A408" s="2" t="s">
        <v>117</v>
      </c>
      <c r="B408" s="2"/>
      <c r="C408" s="53" t="s">
        <v>255</v>
      </c>
      <c r="D408" s="1"/>
      <c r="E408" s="1"/>
      <c r="F408" s="1"/>
      <c r="G408" s="1"/>
      <c r="H408" s="1"/>
      <c r="I408" s="1"/>
      <c r="J408" s="1"/>
      <c r="K408" s="1"/>
      <c r="L408" s="1"/>
      <c r="M408" s="1"/>
      <c r="N408" s="1"/>
    </row>
    <row r="409" spans="1:16" ht="13" x14ac:dyDescent="0.3">
      <c r="A409" s="1" t="str">
        <f t="array" ref="A409:A416">R_CODE&amp;" total"</f>
        <v>EU total</v>
      </c>
      <c r="C409" s="224">
        <f t="array" aca="1" ref="C409:L416" ca="1">IF(EQUITY_SWITCH=0, (cons_per_cap_after_costs_b - rconsdis_per_cap_b), (((CONS_PER_CAP_FOCUS_0)^EMUC)/(1-EMUC))*((cons_per_cap_after_costs_b)^(1-EMUC) - (rconsdis_per_cap_b) ^(1-EMUC))) * POP_B</f>
        <v>63413.680133452348</v>
      </c>
      <c r="D409" s="224">
        <f ca="1"/>
        <v>72039.265386475308</v>
      </c>
      <c r="E409" s="224">
        <f ca="1"/>
        <v>83969.502552372272</v>
      </c>
      <c r="F409" s="224">
        <f ca="1"/>
        <v>90788.62451596903</v>
      </c>
      <c r="G409" s="224">
        <f ca="1"/>
        <v>93127.955708660695</v>
      </c>
      <c r="H409" s="224">
        <f ca="1"/>
        <v>85691.453308032796</v>
      </c>
      <c r="I409" s="224">
        <f ca="1"/>
        <v>75296.066647557367</v>
      </c>
      <c r="J409" s="224">
        <f ca="1"/>
        <v>73400.122360737965</v>
      </c>
      <c r="K409" s="224">
        <f ca="1"/>
        <v>69454.064867085253</v>
      </c>
      <c r="L409" s="224">
        <f ca="1"/>
        <v>64490.125402702368</v>
      </c>
      <c r="M409" s="1"/>
      <c r="N409" s="1" t="str">
        <f t="array" ref="N409:N417">CURRENCY_NAME</f>
        <v>$M(2015)</v>
      </c>
      <c r="P409" s="124" t="s">
        <v>1038</v>
      </c>
    </row>
    <row r="410" spans="1:16" x14ac:dyDescent="0.25">
      <c r="A410" s="1" t="str">
        <v>US total</v>
      </c>
      <c r="C410" s="224">
        <f ca="1"/>
        <v>35327.667479918746</v>
      </c>
      <c r="D410" s="224">
        <f ca="1"/>
        <v>64447.046079097861</v>
      </c>
      <c r="E410" s="224">
        <f ca="1"/>
        <v>91964.810242753956</v>
      </c>
      <c r="F410" s="224">
        <f ca="1"/>
        <v>112519.28509656721</v>
      </c>
      <c r="G410" s="224">
        <f ca="1"/>
        <v>138656.78372900482</v>
      </c>
      <c r="H410" s="224">
        <f ca="1"/>
        <v>135495.43659243462</v>
      </c>
      <c r="I410" s="224">
        <f ca="1"/>
        <v>100480.54898759209</v>
      </c>
      <c r="J410" s="224">
        <f ca="1"/>
        <v>83117.745454149423</v>
      </c>
      <c r="K410" s="224">
        <f ca="1"/>
        <v>70045.2287061893</v>
      </c>
      <c r="L410" s="224">
        <f ca="1"/>
        <v>57778.309738710777</v>
      </c>
      <c r="M410" s="1"/>
      <c r="N410" s="1" t="str">
        <v>$M(2015)</v>
      </c>
    </row>
    <row r="411" spans="1:16" x14ac:dyDescent="0.25">
      <c r="A411" s="1" t="str">
        <v>OT total</v>
      </c>
      <c r="C411" s="224">
        <f ca="1"/>
        <v>30923.463783238414</v>
      </c>
      <c r="D411" s="224">
        <f ca="1"/>
        <v>43673.661517414679</v>
      </c>
      <c r="E411" s="224">
        <f ca="1"/>
        <v>55018.977111892629</v>
      </c>
      <c r="F411" s="224">
        <f ca="1"/>
        <v>61176.090018903611</v>
      </c>
      <c r="G411" s="224">
        <f ca="1"/>
        <v>60687.704951294683</v>
      </c>
      <c r="H411" s="224">
        <f ca="1"/>
        <v>50182.416233751261</v>
      </c>
      <c r="I411" s="224">
        <f ca="1"/>
        <v>42778.617824273868</v>
      </c>
      <c r="J411" s="224">
        <f ca="1"/>
        <v>42626.040561318739</v>
      </c>
      <c r="K411" s="224">
        <f ca="1"/>
        <v>43241.613026599902</v>
      </c>
      <c r="L411" s="224">
        <f ca="1"/>
        <v>43375.360269223718</v>
      </c>
      <c r="M411" s="1"/>
      <c r="N411" s="1" t="str">
        <v>$M(2015)</v>
      </c>
    </row>
    <row r="412" spans="1:16" x14ac:dyDescent="0.25">
      <c r="A412" s="1" t="str">
        <v>EE total</v>
      </c>
      <c r="C412" s="224">
        <f ca="1"/>
        <v>24284.297972666038</v>
      </c>
      <c r="D412" s="224">
        <f ca="1"/>
        <v>15356.919684465389</v>
      </c>
      <c r="E412" s="224">
        <f ca="1"/>
        <v>18551.448331399381</v>
      </c>
      <c r="F412" s="224">
        <f ca="1"/>
        <v>22613.056908264978</v>
      </c>
      <c r="G412" s="224">
        <f ca="1"/>
        <v>24008.829899915909</v>
      </c>
      <c r="H412" s="224">
        <f ca="1"/>
        <v>18739.192993177752</v>
      </c>
      <c r="I412" s="224">
        <f ca="1"/>
        <v>14897.832560608824</v>
      </c>
      <c r="J412" s="224">
        <f ca="1"/>
        <v>16940.374117556919</v>
      </c>
      <c r="K412" s="224">
        <f ca="1"/>
        <v>19520.299969520231</v>
      </c>
      <c r="L412" s="224">
        <f ca="1"/>
        <v>21897.376376538163</v>
      </c>
      <c r="M412" s="1"/>
      <c r="N412" s="1" t="str">
        <v>$M(2015)</v>
      </c>
    </row>
    <row r="413" spans="1:16" x14ac:dyDescent="0.25">
      <c r="A413" s="1" t="str">
        <v>CA total</v>
      </c>
      <c r="C413" s="224">
        <f ca="1"/>
        <v>344468.16641294799</v>
      </c>
      <c r="D413" s="224">
        <f ca="1"/>
        <v>450631.93987639173</v>
      </c>
      <c r="E413" s="224">
        <f ca="1"/>
        <v>516219.68092131324</v>
      </c>
      <c r="F413" s="224">
        <f ca="1"/>
        <v>532798.32203029678</v>
      </c>
      <c r="G413" s="224">
        <f ca="1"/>
        <v>434285.58157628094</v>
      </c>
      <c r="H413" s="224">
        <f ca="1"/>
        <v>287304.63328049629</v>
      </c>
      <c r="I413" s="224">
        <f ca="1"/>
        <v>286016.82863843197</v>
      </c>
      <c r="J413" s="224">
        <f ca="1"/>
        <v>303303.39977832115</v>
      </c>
      <c r="K413" s="224">
        <f ca="1"/>
        <v>324215.10445079947</v>
      </c>
      <c r="L413" s="224">
        <f ca="1"/>
        <v>338924.77933580434</v>
      </c>
      <c r="M413" s="1"/>
      <c r="N413" s="1" t="str">
        <v>$M(2015)</v>
      </c>
    </row>
    <row r="414" spans="1:16" x14ac:dyDescent="0.25">
      <c r="A414" s="1" t="str">
        <v>IA total</v>
      </c>
      <c r="C414" s="224">
        <f ca="1"/>
        <v>825071.74065428111</v>
      </c>
      <c r="D414" s="224">
        <f ca="1"/>
        <v>1447513.1858818033</v>
      </c>
      <c r="E414" s="224">
        <f ca="1"/>
        <v>1807310.1877462114</v>
      </c>
      <c r="F414" s="224">
        <f ca="1"/>
        <v>1955849.4689943702</v>
      </c>
      <c r="G414" s="224">
        <f ca="1"/>
        <v>1752749.3409520693</v>
      </c>
      <c r="H414" s="224">
        <f ca="1"/>
        <v>1267789.8244807294</v>
      </c>
      <c r="I414" s="224">
        <f ca="1"/>
        <v>986103.30829567625</v>
      </c>
      <c r="J414" s="224">
        <f ca="1"/>
        <v>899423.54122523486</v>
      </c>
      <c r="K414" s="224">
        <f ca="1"/>
        <v>874106.15120273561</v>
      </c>
      <c r="L414" s="224">
        <f ca="1"/>
        <v>841254.62410718529</v>
      </c>
      <c r="M414" s="1"/>
      <c r="N414" s="1" t="str">
        <v>$M(2015)</v>
      </c>
    </row>
    <row r="415" spans="1:16" x14ac:dyDescent="0.25">
      <c r="A415" s="1" t="str">
        <v>AF total</v>
      </c>
      <c r="C415" s="224">
        <f ca="1"/>
        <v>448981.6849112935</v>
      </c>
      <c r="D415" s="224">
        <f ca="1"/>
        <v>981021.64308598638</v>
      </c>
      <c r="E415" s="224">
        <f ca="1"/>
        <v>1415992.5911269607</v>
      </c>
      <c r="F415" s="224">
        <f ca="1"/>
        <v>1708846.2902530325</v>
      </c>
      <c r="G415" s="224">
        <f ca="1"/>
        <v>1877797.1814074006</v>
      </c>
      <c r="H415" s="224">
        <f ca="1"/>
        <v>1627447.7102069459</v>
      </c>
      <c r="I415" s="224">
        <f ca="1"/>
        <v>995742.55696309137</v>
      </c>
      <c r="J415" s="224">
        <f ca="1"/>
        <v>750881.33290731604</v>
      </c>
      <c r="K415" s="224">
        <f ca="1"/>
        <v>641353.5021408411</v>
      </c>
      <c r="L415" s="224">
        <f ca="1"/>
        <v>558697.29743010795</v>
      </c>
      <c r="M415" s="1"/>
      <c r="N415" s="1" t="str">
        <v>$M(2015)</v>
      </c>
    </row>
    <row r="416" spans="1:16" x14ac:dyDescent="0.25">
      <c r="A416" s="1" t="str">
        <v>LA total</v>
      </c>
      <c r="C416" s="224">
        <f ca="1"/>
        <v>127420.64410092341</v>
      </c>
      <c r="D416" s="224">
        <f ca="1"/>
        <v>258475.22764149049</v>
      </c>
      <c r="E416" s="224">
        <f ca="1"/>
        <v>345617.22957896668</v>
      </c>
      <c r="F416" s="224">
        <f ca="1"/>
        <v>388231.33211389312</v>
      </c>
      <c r="G416" s="224">
        <f ca="1"/>
        <v>367135.98314726679</v>
      </c>
      <c r="H416" s="224">
        <f ca="1"/>
        <v>276389.68809237308</v>
      </c>
      <c r="I416" s="224">
        <f ca="1"/>
        <v>206743.68143822192</v>
      </c>
      <c r="J416" s="224">
        <f ca="1"/>
        <v>180287.19196730835</v>
      </c>
      <c r="K416" s="224">
        <f ca="1"/>
        <v>170017.32804298881</v>
      </c>
      <c r="L416" s="224">
        <f ca="1"/>
        <v>160262.91943430566</v>
      </c>
      <c r="M416" s="1"/>
      <c r="N416" s="1" t="str">
        <v>$M(2015)</v>
      </c>
    </row>
    <row r="417" spans="1:16" ht="13" x14ac:dyDescent="0.3">
      <c r="A417" s="2" t="s">
        <v>257</v>
      </c>
      <c r="B417" s="2"/>
      <c r="C417" s="40">
        <f t="shared" ref="C417:L417" ca="1" si="15">SUM(C409:C416)</f>
        <v>1899891.3454487214</v>
      </c>
      <c r="D417" s="40">
        <f t="shared" ca="1" si="15"/>
        <v>3333158.8891531248</v>
      </c>
      <c r="E417" s="40">
        <f t="shared" ca="1" si="15"/>
        <v>4334644.4276118698</v>
      </c>
      <c r="F417" s="40">
        <f t="shared" ca="1" si="15"/>
        <v>4872822.469931297</v>
      </c>
      <c r="G417" s="40">
        <f t="shared" ca="1" si="15"/>
        <v>4748449.3613718934</v>
      </c>
      <c r="H417" s="40">
        <f t="shared" ca="1" si="15"/>
        <v>3749040.3551879413</v>
      </c>
      <c r="I417" s="40">
        <f t="shared" ca="1" si="15"/>
        <v>2708059.4413554538</v>
      </c>
      <c r="J417" s="40">
        <f t="shared" ca="1" si="15"/>
        <v>2349979.7483719438</v>
      </c>
      <c r="K417" s="40">
        <f t="shared" ca="1" si="15"/>
        <v>2211953.2924067592</v>
      </c>
      <c r="L417" s="40">
        <f t="shared" ca="1" si="15"/>
        <v>2086680.7920945785</v>
      </c>
      <c r="M417" s="1"/>
      <c r="N417" s="1" t="str">
        <v>$M(2015)</v>
      </c>
    </row>
    <row r="418" spans="1:16" ht="15" x14ac:dyDescent="0.4">
      <c r="A418" s="2" t="s">
        <v>87</v>
      </c>
      <c r="B418" s="2"/>
      <c r="C418" s="53" t="s">
        <v>256</v>
      </c>
      <c r="D418" s="1"/>
      <c r="E418" s="1"/>
      <c r="F418" s="1"/>
      <c r="G418" s="1"/>
      <c r="H418" s="1"/>
      <c r="I418" s="1"/>
      <c r="J418" s="1"/>
      <c r="K418" s="1"/>
      <c r="L418" s="1"/>
      <c r="M418" s="1"/>
      <c r="N418" s="1"/>
    </row>
    <row r="419" spans="1:16" ht="13" x14ac:dyDescent="0.3">
      <c r="A419" s="1" t="str">
        <f t="array" ref="A419:A426">R_CODE&amp;" total"</f>
        <v>EU total</v>
      </c>
      <c r="C419" s="224">
        <f t="array" aca="1" ref="C419:L426" ca="1">IF(EQUITY_SWITCH=0,wit_b*DFC_B,wit_b*DF)</f>
        <v>60236.475015761273</v>
      </c>
      <c r="D419" s="224">
        <f ca="1"/>
        <v>61744.609851383226</v>
      </c>
      <c r="E419" s="224">
        <f ca="1"/>
        <v>64938.841883549212</v>
      </c>
      <c r="F419" s="224">
        <f ca="1"/>
        <v>63353.057412321148</v>
      </c>
      <c r="G419" s="224">
        <f ca="1"/>
        <v>50257.302054329281</v>
      </c>
      <c r="H419" s="224">
        <f ca="1"/>
        <v>35763.463261047887</v>
      </c>
      <c r="I419" s="224">
        <f ca="1"/>
        <v>18794.910736160935</v>
      </c>
      <c r="J419" s="224">
        <f ca="1"/>
        <v>10957.984430281504</v>
      </c>
      <c r="K419" s="224">
        <f ca="1"/>
        <v>6201.5104671626013</v>
      </c>
      <c r="L419" s="224">
        <f ca="1"/>
        <v>3443.9667649775374</v>
      </c>
      <c r="M419" s="1"/>
      <c r="N419" s="1" t="str">
        <f t="array" ref="N419:N427">CURRENCY_NAME</f>
        <v>$M(2015)</v>
      </c>
      <c r="P419" s="124" t="s">
        <v>1038</v>
      </c>
    </row>
    <row r="420" spans="1:16" x14ac:dyDescent="0.25">
      <c r="A420" s="1" t="str">
        <v>US total</v>
      </c>
      <c r="C420" s="224">
        <f ca="1"/>
        <v>33557.651204612324</v>
      </c>
      <c r="D420" s="224">
        <f ca="1"/>
        <v>55237.344452086581</v>
      </c>
      <c r="E420" s="224">
        <f ca="1"/>
        <v>71122.110881626097</v>
      </c>
      <c r="F420" s="224">
        <f ca="1"/>
        <v>78516.89313193984</v>
      </c>
      <c r="G420" s="224">
        <f ca="1"/>
        <v>74827.325572898277</v>
      </c>
      <c r="H420" s="224">
        <f ca="1"/>
        <v>56549.234276540512</v>
      </c>
      <c r="I420" s="224">
        <f ca="1"/>
        <v>25081.296182202419</v>
      </c>
      <c r="J420" s="224">
        <f ca="1"/>
        <v>12408.738994880245</v>
      </c>
      <c r="K420" s="224">
        <f ca="1"/>
        <v>6254.2951204874662</v>
      </c>
      <c r="L420" s="224">
        <f ca="1"/>
        <v>3085.5356108263923</v>
      </c>
      <c r="M420" s="1"/>
      <c r="N420" s="1" t="str">
        <v>$M(2015)</v>
      </c>
    </row>
    <row r="421" spans="1:16" x14ac:dyDescent="0.25">
      <c r="A421" s="1" t="str">
        <v>OT total</v>
      </c>
      <c r="C421" s="224">
        <f ca="1"/>
        <v>29374.110596637751</v>
      </c>
      <c r="D421" s="224">
        <f ca="1"/>
        <v>37432.547052047019</v>
      </c>
      <c r="E421" s="224">
        <f ca="1"/>
        <v>42549.598921767931</v>
      </c>
      <c r="F421" s="224">
        <f ca="1"/>
        <v>42689.184508431696</v>
      </c>
      <c r="G421" s="224">
        <f ca="1"/>
        <v>32750.641797214801</v>
      </c>
      <c r="H421" s="224">
        <f ca="1"/>
        <v>20943.710604078875</v>
      </c>
      <c r="I421" s="224">
        <f ca="1"/>
        <v>10678.118250014235</v>
      </c>
      <c r="J421" s="224">
        <f ca="1"/>
        <v>6363.6881489087264</v>
      </c>
      <c r="K421" s="224">
        <f ca="1"/>
        <v>3861.0168650983933</v>
      </c>
      <c r="L421" s="224">
        <f ca="1"/>
        <v>2316.3747667309376</v>
      </c>
      <c r="M421" s="1"/>
      <c r="N421" s="1" t="str">
        <v>$M(2015)</v>
      </c>
    </row>
    <row r="422" spans="1:16" x14ac:dyDescent="0.25">
      <c r="A422" s="1" t="str">
        <v>EE total</v>
      </c>
      <c r="C422" s="224">
        <f ca="1"/>
        <v>23067.585811568995</v>
      </c>
      <c r="D422" s="224">
        <f ca="1"/>
        <v>13162.363738017233</v>
      </c>
      <c r="E422" s="224">
        <f ca="1"/>
        <v>14346.98948171323</v>
      </c>
      <c r="F422" s="224">
        <f ca="1"/>
        <v>15779.579217277511</v>
      </c>
      <c r="G422" s="224">
        <f ca="1"/>
        <v>12956.57149423364</v>
      </c>
      <c r="H422" s="224">
        <f ca="1"/>
        <v>7820.8317665488275</v>
      </c>
      <c r="I422" s="224">
        <f ca="1"/>
        <v>3718.6993372381976</v>
      </c>
      <c r="J422" s="224">
        <f ca="1"/>
        <v>2529.0469532327106</v>
      </c>
      <c r="K422" s="224">
        <f ca="1"/>
        <v>1742.9555032494932</v>
      </c>
      <c r="L422" s="224">
        <f ca="1"/>
        <v>1169.3857937178329</v>
      </c>
      <c r="M422" s="1"/>
      <c r="N422" s="1" t="str">
        <v>$M(2015)</v>
      </c>
    </row>
    <row r="423" spans="1:16" x14ac:dyDescent="0.25">
      <c r="A423" s="1" t="str">
        <v>CA total</v>
      </c>
      <c r="C423" s="224">
        <f ca="1"/>
        <v>327209.33489732473</v>
      </c>
      <c r="D423" s="224">
        <f ca="1"/>
        <v>386235.10616008448</v>
      </c>
      <c r="E423" s="224">
        <f ca="1"/>
        <v>399224.80445346306</v>
      </c>
      <c r="F423" s="224">
        <f ca="1"/>
        <v>371791.10119502491</v>
      </c>
      <c r="G423" s="224">
        <f ca="1"/>
        <v>234365.94828087094</v>
      </c>
      <c r="H423" s="224">
        <f ca="1"/>
        <v>119907.04207245224</v>
      </c>
      <c r="I423" s="224">
        <f ca="1"/>
        <v>71393.646476400056</v>
      </c>
      <c r="J423" s="224">
        <f ca="1"/>
        <v>45280.495802008285</v>
      </c>
      <c r="K423" s="224">
        <f ca="1"/>
        <v>28948.966021090248</v>
      </c>
      <c r="L423" s="224">
        <f ca="1"/>
        <v>18099.603134140347</v>
      </c>
      <c r="M423" s="1"/>
      <c r="N423" s="1" t="str">
        <v>$M(2015)</v>
      </c>
    </row>
    <row r="424" spans="1:16" x14ac:dyDescent="0.25">
      <c r="A424" s="1" t="str">
        <v>IA total</v>
      </c>
      <c r="C424" s="224">
        <f ca="1"/>
        <v>783733.30782161234</v>
      </c>
      <c r="D424" s="224">
        <f ca="1"/>
        <v>1240658.6385566369</v>
      </c>
      <c r="E424" s="224">
        <f ca="1"/>
        <v>1397705.4400599534</v>
      </c>
      <c r="F424" s="224">
        <f ca="1"/>
        <v>1364808.0291960312</v>
      </c>
      <c r="G424" s="224">
        <f ca="1"/>
        <v>945886.25277385628</v>
      </c>
      <c r="H424" s="224">
        <f ca="1"/>
        <v>529114.08384640678</v>
      </c>
      <c r="I424" s="224">
        <f ca="1"/>
        <v>246144.64581267026</v>
      </c>
      <c r="J424" s="224">
        <f ca="1"/>
        <v>134275.92276394792</v>
      </c>
      <c r="K424" s="224">
        <f ca="1"/>
        <v>78048.397260387326</v>
      </c>
      <c r="L424" s="224">
        <f ca="1"/>
        <v>44925.528493194892</v>
      </c>
      <c r="M424" s="1"/>
      <c r="N424" s="1" t="str">
        <v>$M(2015)</v>
      </c>
    </row>
    <row r="425" spans="1:16" x14ac:dyDescent="0.25">
      <c r="A425" s="1" t="str">
        <v>AF total</v>
      </c>
      <c r="C425" s="224">
        <f ca="1"/>
        <v>426486.42988039675</v>
      </c>
      <c r="D425" s="224">
        <f ca="1"/>
        <v>840830.32056402846</v>
      </c>
      <c r="E425" s="224">
        <f ca="1"/>
        <v>1095075.1902587404</v>
      </c>
      <c r="F425" s="224">
        <f ca="1"/>
        <v>1192447.1563746419</v>
      </c>
      <c r="G425" s="224">
        <f ca="1"/>
        <v>1013369.3950932868</v>
      </c>
      <c r="H425" s="224">
        <f ca="1"/>
        <v>679217.87000205542</v>
      </c>
      <c r="I425" s="224">
        <f ca="1"/>
        <v>248550.73189835827</v>
      </c>
      <c r="J425" s="224">
        <f ca="1"/>
        <v>112099.89425560769</v>
      </c>
      <c r="K425" s="224">
        <f ca="1"/>
        <v>57266.057275255538</v>
      </c>
      <c r="L425" s="224">
        <f ca="1"/>
        <v>29836.116956153935</v>
      </c>
      <c r="M425" s="1"/>
      <c r="N425" s="1" t="str">
        <v>$M(2015)</v>
      </c>
    </row>
    <row r="426" spans="1:16" x14ac:dyDescent="0.25">
      <c r="A426" s="1" t="str">
        <v>LA total</v>
      </c>
      <c r="C426" s="224">
        <f ca="1"/>
        <v>121036.50866382263</v>
      </c>
      <c r="D426" s="224">
        <f ca="1"/>
        <v>221538.24031036737</v>
      </c>
      <c r="E426" s="224">
        <f ca="1"/>
        <v>267287.3119602013</v>
      </c>
      <c r="F426" s="224">
        <f ca="1"/>
        <v>270911.05305100424</v>
      </c>
      <c r="G426" s="224">
        <f ca="1"/>
        <v>198128.09010613131</v>
      </c>
      <c r="H426" s="224">
        <f ca="1"/>
        <v>115351.67247417278</v>
      </c>
      <c r="I426" s="224">
        <f ca="1"/>
        <v>51606.002954773576</v>
      </c>
      <c r="J426" s="224">
        <f ca="1"/>
        <v>26915.271787253667</v>
      </c>
      <c r="K426" s="224">
        <f ca="1"/>
        <v>15180.741997971712</v>
      </c>
      <c r="L426" s="224">
        <f ca="1"/>
        <v>8558.5221728673059</v>
      </c>
      <c r="M426" s="1"/>
      <c r="N426" s="1" t="str">
        <v>$M(2015)</v>
      </c>
    </row>
    <row r="427" spans="1:16" ht="13" x14ac:dyDescent="0.3">
      <c r="A427" s="2" t="s">
        <v>257</v>
      </c>
      <c r="B427" s="2"/>
      <c r="C427" s="40">
        <f t="shared" ref="C427:L427" ca="1" si="16">SUM(C419:C426)</f>
        <v>1804701.4038917366</v>
      </c>
      <c r="D427" s="40">
        <f t="shared" ca="1" si="16"/>
        <v>2856839.170684651</v>
      </c>
      <c r="E427" s="40">
        <f t="shared" ca="1" si="16"/>
        <v>3352250.2879010146</v>
      </c>
      <c r="F427" s="40">
        <f t="shared" ca="1" si="16"/>
        <v>3400296.0540866721</v>
      </c>
      <c r="G427" s="40">
        <f t="shared" ca="1" si="16"/>
        <v>2562541.5271728216</v>
      </c>
      <c r="H427" s="40">
        <f t="shared" ca="1" si="16"/>
        <v>1564667.9083033032</v>
      </c>
      <c r="I427" s="40">
        <f t="shared" ca="1" si="16"/>
        <v>675968.05164781795</v>
      </c>
      <c r="J427" s="40">
        <f t="shared" ca="1" si="16"/>
        <v>350831.04313612077</v>
      </c>
      <c r="K427" s="40">
        <f t="shared" ca="1" si="16"/>
        <v>197503.94051070279</v>
      </c>
      <c r="L427" s="40">
        <f t="shared" ca="1" si="16"/>
        <v>111435.03369260918</v>
      </c>
      <c r="M427" s="1"/>
      <c r="N427" s="1" t="str">
        <v>$M(2015)</v>
      </c>
    </row>
    <row r="428" spans="1:16" ht="15" x14ac:dyDescent="0.4">
      <c r="A428" s="2" t="s">
        <v>86</v>
      </c>
      <c r="B428" s="2"/>
      <c r="C428" s="2" t="s">
        <v>258</v>
      </c>
      <c r="D428" s="1"/>
      <c r="E428" s="1"/>
      <c r="F428" s="1"/>
      <c r="G428" s="1"/>
      <c r="H428" s="1"/>
      <c r="I428" s="1"/>
      <c r="J428" s="1"/>
      <c r="K428" s="1"/>
      <c r="L428" s="1"/>
      <c r="M428" s="1"/>
      <c r="N428" s="1"/>
    </row>
    <row r="429" spans="1:16" x14ac:dyDescent="0.25">
      <c r="A429" s="1" t="str">
        <f t="array" ref="A429:A436">R_CODE&amp;" total"</f>
        <v>EU total</v>
      </c>
      <c r="B429" s="3"/>
      <c r="C429" s="28">
        <f t="array" aca="1" ref="C429:L436" ca="1">widt_b*YAGG</f>
        <v>602364.75015761273</v>
      </c>
      <c r="D429" s="28">
        <f ca="1"/>
        <v>617446.09851383232</v>
      </c>
      <c r="E429" s="28">
        <f ca="1"/>
        <v>649388.41883549211</v>
      </c>
      <c r="F429" s="28">
        <f ca="1"/>
        <v>1108678.5047156201</v>
      </c>
      <c r="G429" s="28">
        <f ca="1"/>
        <v>1256432.551358232</v>
      </c>
      <c r="H429" s="28">
        <f ca="1"/>
        <v>1341129.8722892958</v>
      </c>
      <c r="I429" s="28">
        <f ca="1"/>
        <v>939745.53680804675</v>
      </c>
      <c r="J429" s="28">
        <f ca="1"/>
        <v>547899.22151407518</v>
      </c>
      <c r="K429" s="28">
        <f ca="1"/>
        <v>310075.52335813007</v>
      </c>
      <c r="L429" s="28">
        <f ca="1"/>
        <v>86099.169124438442</v>
      </c>
      <c r="M429" s="40">
        <f t="shared" ref="M429:M436" ca="1" si="17">SUM(C429:L429)</f>
        <v>7459259.6466747746</v>
      </c>
      <c r="N429" s="1" t="str">
        <f t="array" ref="N429:N437">CURRENCY_NAME</f>
        <v>$M(2015)</v>
      </c>
    </row>
    <row r="430" spans="1:16" x14ac:dyDescent="0.25">
      <c r="A430" s="1" t="str">
        <v>US total</v>
      </c>
      <c r="B430" s="3"/>
      <c r="C430" s="28">
        <f ca="1"/>
        <v>335576.51204612327</v>
      </c>
      <c r="D430" s="28">
        <f ca="1"/>
        <v>552373.4445208658</v>
      </c>
      <c r="E430" s="28">
        <f ca="1"/>
        <v>711221.10881626094</v>
      </c>
      <c r="F430" s="28">
        <f ca="1"/>
        <v>1374045.6298089472</v>
      </c>
      <c r="G430" s="28">
        <f ca="1"/>
        <v>1870683.1393224569</v>
      </c>
      <c r="H430" s="28">
        <f ca="1"/>
        <v>2120596.2853702693</v>
      </c>
      <c r="I430" s="28">
        <f ca="1"/>
        <v>1254064.8091101209</v>
      </c>
      <c r="J430" s="28">
        <f ca="1"/>
        <v>620436.94974401221</v>
      </c>
      <c r="K430" s="28">
        <f ca="1"/>
        <v>312714.75602437329</v>
      </c>
      <c r="L430" s="28">
        <f ca="1"/>
        <v>77138.390270659802</v>
      </c>
      <c r="M430" s="40">
        <f t="shared" ca="1" si="17"/>
        <v>9228851.0250340886</v>
      </c>
      <c r="N430" s="1" t="str">
        <v>$M(2015)</v>
      </c>
    </row>
    <row r="431" spans="1:16" x14ac:dyDescent="0.25">
      <c r="A431" s="1" t="str">
        <v>OT total</v>
      </c>
      <c r="B431" s="3"/>
      <c r="C431" s="28">
        <f ca="1"/>
        <v>293741.10596637754</v>
      </c>
      <c r="D431" s="28">
        <f ca="1"/>
        <v>374325.47052047017</v>
      </c>
      <c r="E431" s="28">
        <f ca="1"/>
        <v>425495.98921767931</v>
      </c>
      <c r="F431" s="28">
        <f ca="1"/>
        <v>747060.72889755468</v>
      </c>
      <c r="G431" s="28">
        <f ca="1"/>
        <v>818766.04493037006</v>
      </c>
      <c r="H431" s="28">
        <f ca="1"/>
        <v>785389.14765295782</v>
      </c>
      <c r="I431" s="28">
        <f ca="1"/>
        <v>533905.91250071174</v>
      </c>
      <c r="J431" s="28">
        <f ca="1"/>
        <v>318184.40744543634</v>
      </c>
      <c r="K431" s="28">
        <f ca="1"/>
        <v>193050.84325491966</v>
      </c>
      <c r="L431" s="28">
        <f ca="1"/>
        <v>57909.369168273442</v>
      </c>
      <c r="M431" s="40">
        <f t="shared" ca="1" si="17"/>
        <v>4547829.0195547501</v>
      </c>
      <c r="N431" s="1" t="str">
        <v>$M(2015)</v>
      </c>
    </row>
    <row r="432" spans="1:16" x14ac:dyDescent="0.25">
      <c r="A432" s="1" t="str">
        <v>EE total</v>
      </c>
      <c r="B432" s="3"/>
      <c r="C432" s="28">
        <f ca="1"/>
        <v>230675.85811568995</v>
      </c>
      <c r="D432" s="28">
        <f ca="1"/>
        <v>131623.63738017232</v>
      </c>
      <c r="E432" s="28">
        <f ca="1"/>
        <v>143469.8948171323</v>
      </c>
      <c r="F432" s="28">
        <f ca="1"/>
        <v>276142.63630235643</v>
      </c>
      <c r="G432" s="28">
        <f ca="1"/>
        <v>323914.28735584102</v>
      </c>
      <c r="H432" s="28">
        <f ca="1"/>
        <v>293281.19124558102</v>
      </c>
      <c r="I432" s="28">
        <f ca="1"/>
        <v>185934.96686190987</v>
      </c>
      <c r="J432" s="28">
        <f ca="1"/>
        <v>126452.34766163553</v>
      </c>
      <c r="K432" s="28">
        <f ca="1"/>
        <v>87147.77516247466</v>
      </c>
      <c r="L432" s="28">
        <f ca="1"/>
        <v>29234.644842945825</v>
      </c>
      <c r="M432" s="40">
        <f t="shared" ca="1" si="17"/>
        <v>1827877.2397457391</v>
      </c>
      <c r="N432" s="1" t="str">
        <v>$M(2015)</v>
      </c>
    </row>
    <row r="433" spans="1:16" x14ac:dyDescent="0.25">
      <c r="A433" s="1" t="str">
        <v>CA total</v>
      </c>
      <c r="B433" s="3"/>
      <c r="C433" s="28">
        <f ca="1"/>
        <v>3272093.3489732472</v>
      </c>
      <c r="D433" s="28">
        <f ca="1"/>
        <v>3862351.0616008448</v>
      </c>
      <c r="E433" s="28">
        <f ca="1"/>
        <v>3992248.0445346306</v>
      </c>
      <c r="F433" s="28">
        <f ca="1"/>
        <v>6506344.270912936</v>
      </c>
      <c r="G433" s="28">
        <f ca="1"/>
        <v>5859148.7070217738</v>
      </c>
      <c r="H433" s="28">
        <f ca="1"/>
        <v>4496514.0777169587</v>
      </c>
      <c r="I433" s="28">
        <f ca="1"/>
        <v>3569682.3238200028</v>
      </c>
      <c r="J433" s="28">
        <f ca="1"/>
        <v>2264024.7901004143</v>
      </c>
      <c r="K433" s="28">
        <f ca="1"/>
        <v>1447448.3010545124</v>
      </c>
      <c r="L433" s="28">
        <f ca="1"/>
        <v>452490.07835350867</v>
      </c>
      <c r="M433" s="40">
        <f t="shared" ca="1" si="17"/>
        <v>35722345.004088826</v>
      </c>
      <c r="N433" s="1" t="str">
        <v>$M(2015)</v>
      </c>
    </row>
    <row r="434" spans="1:16" x14ac:dyDescent="0.25">
      <c r="A434" s="1" t="str">
        <v>IA total</v>
      </c>
      <c r="B434" s="3"/>
      <c r="C434" s="28">
        <f ca="1"/>
        <v>7837333.0782161234</v>
      </c>
      <c r="D434" s="28">
        <f ca="1"/>
        <v>12406586.385566369</v>
      </c>
      <c r="E434" s="28">
        <f ca="1"/>
        <v>13977054.400599534</v>
      </c>
      <c r="F434" s="28">
        <f ca="1"/>
        <v>23884140.510930546</v>
      </c>
      <c r="G434" s="28">
        <f ca="1"/>
        <v>23647156.319346406</v>
      </c>
      <c r="H434" s="28">
        <f ca="1"/>
        <v>19841778.144240253</v>
      </c>
      <c r="I434" s="28">
        <f ca="1"/>
        <v>12307232.290633513</v>
      </c>
      <c r="J434" s="28">
        <f ca="1"/>
        <v>6713796.138197396</v>
      </c>
      <c r="K434" s="28">
        <f ca="1"/>
        <v>3902419.8630193663</v>
      </c>
      <c r="L434" s="28">
        <f ca="1"/>
        <v>1123138.2123298722</v>
      </c>
      <c r="M434" s="40">
        <f t="shared" ca="1" si="17"/>
        <v>125640635.34307937</v>
      </c>
      <c r="N434" s="1" t="str">
        <v>$M(2015)</v>
      </c>
    </row>
    <row r="435" spans="1:16" x14ac:dyDescent="0.25">
      <c r="A435" s="1" t="str">
        <v>AF total</v>
      </c>
      <c r="B435" s="3"/>
      <c r="C435" s="28">
        <f ca="1"/>
        <v>4264864.2988039674</v>
      </c>
      <c r="D435" s="28">
        <f ca="1"/>
        <v>8408303.2056402843</v>
      </c>
      <c r="E435" s="28">
        <f ca="1"/>
        <v>10950751.902587404</v>
      </c>
      <c r="F435" s="28">
        <f ca="1"/>
        <v>20867825.236556232</v>
      </c>
      <c r="G435" s="28">
        <f ca="1"/>
        <v>25334234.87733217</v>
      </c>
      <c r="H435" s="28">
        <f ca="1"/>
        <v>25470670.12507708</v>
      </c>
      <c r="I435" s="28">
        <f ca="1"/>
        <v>12427536.594917914</v>
      </c>
      <c r="J435" s="28">
        <f ca="1"/>
        <v>5604994.7127803843</v>
      </c>
      <c r="K435" s="28">
        <f ca="1"/>
        <v>2863302.8637627768</v>
      </c>
      <c r="L435" s="28">
        <f ca="1"/>
        <v>745902.92390384839</v>
      </c>
      <c r="M435" s="40">
        <f t="shared" ca="1" si="17"/>
        <v>116938386.74136207</v>
      </c>
      <c r="N435" s="1" t="str">
        <v>$M(2015)</v>
      </c>
    </row>
    <row r="436" spans="1:16" x14ac:dyDescent="0.25">
      <c r="A436" s="1" t="str">
        <v>LA total</v>
      </c>
      <c r="B436" s="3"/>
      <c r="C436" s="28">
        <f ca="1"/>
        <v>1210365.0866382264</v>
      </c>
      <c r="D436" s="28">
        <f ca="1"/>
        <v>2215382.4031036738</v>
      </c>
      <c r="E436" s="28">
        <f ca="1"/>
        <v>2672873.1196020129</v>
      </c>
      <c r="F436" s="28">
        <f ca="1"/>
        <v>4740943.4283925742</v>
      </c>
      <c r="G436" s="28">
        <f ca="1"/>
        <v>4953202.2526532831</v>
      </c>
      <c r="H436" s="28">
        <f ca="1"/>
        <v>4325687.7177814795</v>
      </c>
      <c r="I436" s="28">
        <f ca="1"/>
        <v>2580300.1477386788</v>
      </c>
      <c r="J436" s="28">
        <f ca="1"/>
        <v>1345763.5893626832</v>
      </c>
      <c r="K436" s="28">
        <f ca="1"/>
        <v>759037.09989858558</v>
      </c>
      <c r="L436" s="28">
        <f ca="1"/>
        <v>213963.05432168266</v>
      </c>
      <c r="M436" s="40">
        <f t="shared" ca="1" si="17"/>
        <v>25017517.899492882</v>
      </c>
      <c r="N436" s="1" t="str">
        <v>$M(2015)</v>
      </c>
    </row>
    <row r="437" spans="1:16" ht="13" x14ac:dyDescent="0.3">
      <c r="A437" s="2" t="s">
        <v>257</v>
      </c>
      <c r="B437" s="2"/>
      <c r="C437" s="40">
        <f t="shared" ref="C437:M437" ca="1" si="18">SUM(C429:C436)</f>
        <v>18047014.038917366</v>
      </c>
      <c r="D437" s="40">
        <f t="shared" ca="1" si="18"/>
        <v>28568391.706846513</v>
      </c>
      <c r="E437" s="40">
        <f t="shared" ca="1" si="18"/>
        <v>33522502.879010145</v>
      </c>
      <c r="F437" s="40">
        <f t="shared" ca="1" si="18"/>
        <v>59505180.946516767</v>
      </c>
      <c r="G437" s="40">
        <f t="shared" ca="1" si="18"/>
        <v>64063538.179320529</v>
      </c>
      <c r="H437" s="40">
        <f t="shared" ca="1" si="18"/>
        <v>58675046.561373867</v>
      </c>
      <c r="I437" s="40">
        <f t="shared" ca="1" si="18"/>
        <v>33798402.582390897</v>
      </c>
      <c r="J437" s="40">
        <f t="shared" ca="1" si="18"/>
        <v>17541552.156806037</v>
      </c>
      <c r="K437" s="40">
        <f t="shared" ca="1" si="18"/>
        <v>9875197.0255351402</v>
      </c>
      <c r="L437" s="40">
        <f t="shared" ca="1" si="18"/>
        <v>2785875.8423152291</v>
      </c>
      <c r="M437" s="40">
        <f t="shared" ca="1" si="18"/>
        <v>326382701.91903245</v>
      </c>
      <c r="N437" s="1" t="str">
        <v>$M(2015)</v>
      </c>
    </row>
    <row r="438" spans="1:16" ht="13.5" thickBot="1" x14ac:dyDescent="0.35">
      <c r="A438" s="2" t="s">
        <v>89</v>
      </c>
      <c r="B438" s="2"/>
      <c r="M438" s="42">
        <f ca="1">MIN(addt_gt_b,CIV_VALUE)</f>
        <v>326382701.91903245</v>
      </c>
      <c r="N438" s="1" t="str">
        <f>CURRENCY_NAME</f>
        <v>$M(2015)</v>
      </c>
    </row>
    <row r="439" spans="1:16" ht="13" thickTop="1" x14ac:dyDescent="0.25"/>
    <row r="440" spans="1:16" ht="13" x14ac:dyDescent="0.3">
      <c r="A440" s="2" t="s">
        <v>594</v>
      </c>
      <c r="B440" s="7"/>
      <c r="C440" s="288">
        <f t="array" aca="1" ref="C440:L440" ca="1">DF*((CONS_PER_CAP_FOCUS_B/CONS_PER_CAP_FOCUS_0)^-EMUC)*OCCUR_SCC</f>
        <v>0.87351698122551846</v>
      </c>
      <c r="D440" s="288">
        <f ca="1"/>
        <v>0</v>
      </c>
      <c r="E440" s="288">
        <f ca="1"/>
        <v>0</v>
      </c>
      <c r="F440" s="288">
        <f ca="1"/>
        <v>0</v>
      </c>
      <c r="G440" s="288">
        <f ca="1"/>
        <v>0</v>
      </c>
      <c r="H440" s="288">
        <f ca="1"/>
        <v>0</v>
      </c>
      <c r="I440" s="288">
        <f ca="1"/>
        <v>0</v>
      </c>
      <c r="J440" s="288">
        <f ca="1"/>
        <v>0</v>
      </c>
      <c r="K440" s="288">
        <f ca="1"/>
        <v>0</v>
      </c>
      <c r="L440" s="288">
        <f ca="1"/>
        <v>0</v>
      </c>
      <c r="M440" s="85">
        <f ca="1">SUM(C440:L440)</f>
        <v>0.87351698122551846</v>
      </c>
      <c r="P440" s="294" t="s">
        <v>1075</v>
      </c>
    </row>
    <row r="442" spans="1:16" ht="13.5" thickBot="1" x14ac:dyDescent="0.35">
      <c r="A442" s="2" t="s">
        <v>415</v>
      </c>
      <c r="M442" s="42">
        <f ca="1">td_b/UDFT</f>
        <v>373642080.15867901</v>
      </c>
      <c r="N442" s="1" t="str">
        <f>CURRENCY_NAME</f>
        <v>$M(2015)</v>
      </c>
    </row>
    <row r="443" spans="1:16" ht="13.5" thickTop="1" x14ac:dyDescent="0.3">
      <c r="A443" s="2" t="s">
        <v>417</v>
      </c>
      <c r="M443" s="40">
        <f>IF(DROP = 0, 0, tdu_b/DROP)</f>
        <v>0</v>
      </c>
      <c r="N443" s="1" t="str">
        <f>CURRENCY_NAME</f>
        <v>$M(2015)</v>
      </c>
      <c r="O443" t="s">
        <v>416</v>
      </c>
    </row>
  </sheetData>
  <pageMargins left="0.75" right="0.75" top="1" bottom="1" header="0.5" footer="0.5"/>
  <pageSetup paperSize="9" orientation="portrait" horizontalDpi="36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O451"/>
  <sheetViews>
    <sheetView topLeftCell="A436" workbookViewId="0">
      <selection activeCell="P123" sqref="P123"/>
    </sheetView>
  </sheetViews>
  <sheetFormatPr defaultRowHeight="12.5" x14ac:dyDescent="0.25"/>
  <cols>
    <col min="1" max="1" width="17.81640625" bestFit="1" customWidth="1"/>
    <col min="2" max="2" width="9.81640625" customWidth="1"/>
    <col min="3" max="3" width="10.1796875" bestFit="1" customWidth="1"/>
    <col min="4" max="6" width="9.81640625" bestFit="1" customWidth="1"/>
    <col min="7" max="10" width="10.81640625" bestFit="1" customWidth="1"/>
    <col min="11" max="12" width="11.54296875" bestFit="1" customWidth="1"/>
    <col min="13" max="13" width="11.54296875" customWidth="1"/>
    <col min="14" max="14" width="8.81640625" bestFit="1" customWidth="1"/>
  </cols>
  <sheetData>
    <row r="1" spans="1:4" ht="13" x14ac:dyDescent="0.3">
      <c r="A1" s="2" t="str">
        <f>MODEL_NAME</f>
        <v>PAGE-ICE Nonlinear Arctic Feedbacks</v>
      </c>
      <c r="B1" s="2"/>
      <c r="C1" t="s">
        <v>39</v>
      </c>
      <c r="D1" s="51" t="str">
        <f>VERSION</f>
        <v>6.22</v>
      </c>
    </row>
    <row r="2" spans="1:4" s="3" customFormat="1" x14ac:dyDescent="0.25"/>
    <row r="3" spans="1:4" s="3" customFormat="1" x14ac:dyDescent="0.25"/>
    <row r="4" spans="1:4" s="3" customFormat="1" x14ac:dyDescent="0.25"/>
    <row r="5" spans="1:4" s="3" customFormat="1" x14ac:dyDescent="0.25"/>
    <row r="6" spans="1:4" s="3" customFormat="1" x14ac:dyDescent="0.25"/>
    <row r="7" spans="1:4" s="3" customFormat="1" x14ac:dyDescent="0.25"/>
    <row r="8" spans="1:4" s="3" customFormat="1" x14ac:dyDescent="0.25"/>
    <row r="9" spans="1:4" s="3" customFormat="1" x14ac:dyDescent="0.25"/>
    <row r="10" spans="1:4" s="3" customFormat="1" x14ac:dyDescent="0.25"/>
    <row r="11" spans="1:4" s="3" customFormat="1" x14ac:dyDescent="0.25"/>
    <row r="12" spans="1:4" s="3" customFormat="1" x14ac:dyDescent="0.25"/>
    <row r="13" spans="1:4" s="3" customFormat="1" x14ac:dyDescent="0.25"/>
    <row r="14" spans="1:4" s="3" customFormat="1" x14ac:dyDescent="0.25"/>
    <row r="15" spans="1:4" s="3" customFormat="1" x14ac:dyDescent="0.25"/>
    <row r="16" spans="1:4" x14ac:dyDescent="0.25">
      <c r="A16" s="1"/>
      <c r="C16" s="3"/>
    </row>
    <row r="17" spans="1:14" x14ac:dyDescent="0.25">
      <c r="A17" s="1"/>
      <c r="C17" s="3"/>
    </row>
    <row r="18" spans="1:14" x14ac:dyDescent="0.25">
      <c r="A18" s="1"/>
      <c r="C18" s="3"/>
    </row>
    <row r="19" spans="1:14" x14ac:dyDescent="0.25">
      <c r="A19" s="1"/>
      <c r="C19" s="3"/>
    </row>
    <row r="20" spans="1:14" x14ac:dyDescent="0.25">
      <c r="A20" s="1"/>
      <c r="C20" s="3"/>
    </row>
    <row r="21" spans="1:14" x14ac:dyDescent="0.25">
      <c r="A21" s="1"/>
      <c r="C21" s="3"/>
    </row>
    <row r="22" spans="1:14" x14ac:dyDescent="0.25">
      <c r="A22" s="1"/>
      <c r="C22" s="3"/>
    </row>
    <row r="23" spans="1:14" x14ac:dyDescent="0.25">
      <c r="A23" s="1"/>
      <c r="C23" s="3"/>
    </row>
    <row r="24" spans="1:14" x14ac:dyDescent="0.25">
      <c r="C24" s="3"/>
    </row>
    <row r="25" spans="1:14" x14ac:dyDescent="0.25">
      <c r="C25" s="3"/>
    </row>
    <row r="26" spans="1:14" x14ac:dyDescent="0.25">
      <c r="B26">
        <f>Y_0</f>
        <v>2015</v>
      </c>
      <c r="C26">
        <f t="array" ref="C26:L26">Y</f>
        <v>2020</v>
      </c>
      <c r="D26">
        <v>2030</v>
      </c>
      <c r="E26">
        <v>2040</v>
      </c>
      <c r="F26">
        <v>2050</v>
      </c>
      <c r="G26">
        <v>2075</v>
      </c>
      <c r="H26">
        <v>2100</v>
      </c>
      <c r="I26">
        <v>2150</v>
      </c>
      <c r="J26">
        <v>2200</v>
      </c>
      <c r="K26">
        <v>2250</v>
      </c>
      <c r="L26">
        <v>2300</v>
      </c>
    </row>
    <row r="27" spans="1:14" s="4" customFormat="1" x14ac:dyDescent="0.25">
      <c r="A27" s="4" t="s">
        <v>59</v>
      </c>
      <c r="C27" s="12">
        <f>'Impacts A'!C27-'Impacts B'!C27</f>
        <v>0</v>
      </c>
      <c r="D27" s="12">
        <f>'Impacts A'!D27-'Impacts B'!D27</f>
        <v>0</v>
      </c>
      <c r="E27" s="12">
        <f>'Impacts A'!E27-'Impacts B'!E27</f>
        <v>0</v>
      </c>
      <c r="F27" s="12">
        <f>'Impacts A'!F27-'Impacts B'!F27</f>
        <v>0</v>
      </c>
      <c r="G27" s="12">
        <f>'Impacts A'!G27-'Impacts B'!G27</f>
        <v>0</v>
      </c>
      <c r="H27" s="12">
        <f>'Impacts A'!H27-'Impacts B'!H27</f>
        <v>0</v>
      </c>
      <c r="I27" s="12">
        <f>'Impacts A'!I27-'Impacts B'!I27</f>
        <v>0</v>
      </c>
      <c r="J27" s="12">
        <f>'Impacts A'!J27-'Impacts B'!J27</f>
        <v>0</v>
      </c>
      <c r="K27" s="12">
        <f>'Impacts A'!K27-'Impacts B'!K27</f>
        <v>0</v>
      </c>
      <c r="L27" s="12">
        <f>'Impacts A'!L27-'Impacts B'!L27</f>
        <v>0</v>
      </c>
      <c r="N27" s="4" t="s">
        <v>41</v>
      </c>
    </row>
    <row r="28" spans="1:14" s="4" customFormat="1" x14ac:dyDescent="0.25">
      <c r="A28" s="4" t="s">
        <v>84</v>
      </c>
      <c r="C28" s="14">
        <f>'Impacts A'!C28-'Impacts B'!C28</f>
        <v>0</v>
      </c>
      <c r="D28" s="14">
        <f>'Impacts A'!D28-'Impacts B'!D28</f>
        <v>0</v>
      </c>
      <c r="E28" s="14">
        <f>'Impacts A'!E28-'Impacts B'!E28</f>
        <v>0</v>
      </c>
      <c r="F28" s="14">
        <f>'Impacts A'!F28-'Impacts B'!F28</f>
        <v>0</v>
      </c>
      <c r="G28" s="14">
        <f>'Impacts A'!G28-'Impacts B'!G28</f>
        <v>0</v>
      </c>
      <c r="H28" s="14">
        <f>'Impacts A'!H28-'Impacts B'!H28</f>
        <v>0</v>
      </c>
      <c r="I28" s="14">
        <f>'Impacts A'!I28-'Impacts B'!I28</f>
        <v>0</v>
      </c>
      <c r="J28" s="14">
        <f>'Impacts A'!J28-'Impacts B'!J28</f>
        <v>0</v>
      </c>
      <c r="K28" s="14">
        <f>'Impacts A'!K28-'Impacts B'!K28</f>
        <v>0</v>
      </c>
      <c r="L28" s="14">
        <f>'Impacts A'!L28-'Impacts B'!L28</f>
        <v>0</v>
      </c>
    </row>
    <row r="29" spans="1:14" s="4" customFormat="1" x14ac:dyDescent="0.25">
      <c r="A29" s="4" t="s">
        <v>85</v>
      </c>
      <c r="C29" s="14">
        <f>'Impacts A'!C29-'Impacts B'!C29</f>
        <v>0</v>
      </c>
      <c r="D29" s="14">
        <f>'Impacts A'!D29-'Impacts B'!D29</f>
        <v>0</v>
      </c>
      <c r="E29" s="14">
        <f>'Impacts A'!E29-'Impacts B'!E29</f>
        <v>0</v>
      </c>
      <c r="F29" s="14">
        <f>'Impacts A'!F29-'Impacts B'!F29</f>
        <v>0</v>
      </c>
      <c r="G29" s="14">
        <f>'Impacts A'!G29-'Impacts B'!G29</f>
        <v>0</v>
      </c>
      <c r="H29" s="14">
        <f>'Impacts A'!H29-'Impacts B'!H29</f>
        <v>0</v>
      </c>
      <c r="I29" s="14">
        <f>'Impacts A'!I29-'Impacts B'!I29</f>
        <v>0</v>
      </c>
      <c r="J29" s="14">
        <f>'Impacts A'!J29-'Impacts B'!J29</f>
        <v>0</v>
      </c>
      <c r="K29" s="14">
        <f>'Impacts A'!K29-'Impacts B'!K29</f>
        <v>0</v>
      </c>
      <c r="L29" s="14">
        <f>'Impacts A'!L29-'Impacts B'!L29</f>
        <v>0</v>
      </c>
    </row>
    <row r="30" spans="1:14" s="4" customFormat="1" ht="13" thickBot="1" x14ac:dyDescent="0.3">
      <c r="A30" s="4" t="s">
        <v>83</v>
      </c>
      <c r="C30" s="35">
        <f>'Impacts A'!C30-'Impacts B'!C30</f>
        <v>0</v>
      </c>
      <c r="D30" s="35">
        <f>'Impacts A'!D30-'Impacts B'!D30</f>
        <v>0</v>
      </c>
      <c r="E30" s="35">
        <f>'Impacts A'!E30-'Impacts B'!E30</f>
        <v>0</v>
      </c>
      <c r="F30" s="35">
        <f>'Impacts A'!F30-'Impacts B'!F30</f>
        <v>0</v>
      </c>
      <c r="G30" s="35">
        <f>'Impacts A'!G30-'Impacts B'!G30</f>
        <v>0</v>
      </c>
      <c r="H30" s="35">
        <f>'Impacts A'!H30-'Impacts B'!H30</f>
        <v>0</v>
      </c>
      <c r="I30" s="35">
        <f>'Impacts A'!I30-'Impacts B'!I30</f>
        <v>0</v>
      </c>
      <c r="J30" s="35">
        <f>'Impacts A'!J30-'Impacts B'!J30</f>
        <v>0</v>
      </c>
      <c r="K30" s="35">
        <f>'Impacts A'!K30-'Impacts B'!K30</f>
        <v>0</v>
      </c>
      <c r="L30" s="35">
        <f>'Impacts A'!L30-'Impacts B'!L30</f>
        <v>0</v>
      </c>
      <c r="N30" s="4" t="s">
        <v>41</v>
      </c>
    </row>
    <row r="31" spans="1:14" s="4" customFormat="1" ht="13" thickTop="1" x14ac:dyDescent="0.25"/>
    <row r="32" spans="1:14" ht="13" x14ac:dyDescent="0.3">
      <c r="A32" s="2" t="s">
        <v>79</v>
      </c>
      <c r="B32" s="2"/>
    </row>
    <row r="33" spans="1:14" ht="15.5" x14ac:dyDescent="0.4">
      <c r="C33" s="3" t="s">
        <v>203</v>
      </c>
    </row>
    <row r="34" spans="1:14" x14ac:dyDescent="0.25">
      <c r="A34" t="str">
        <f t="array" ref="A34:A41">R_CODE&amp;" sea level"</f>
        <v>EU sea level</v>
      </c>
      <c r="C34" s="13">
        <f>'Impacts A'!C34-'Impacts B'!C34</f>
        <v>0</v>
      </c>
      <c r="D34" s="13">
        <f>'Impacts A'!D34-'Impacts B'!D34</f>
        <v>0</v>
      </c>
      <c r="E34" s="13">
        <f>'Impacts A'!E34-'Impacts B'!E34</f>
        <v>0</v>
      </c>
      <c r="F34" s="13">
        <f>'Impacts A'!F34-'Impacts B'!F34</f>
        <v>0</v>
      </c>
      <c r="G34" s="13">
        <f>'Impacts A'!G34-'Impacts B'!G34</f>
        <v>0</v>
      </c>
      <c r="H34" s="13">
        <f>'Impacts A'!H34-'Impacts B'!H34</f>
        <v>0</v>
      </c>
      <c r="I34" s="13">
        <f>'Impacts A'!I34-'Impacts B'!I34</f>
        <v>0</v>
      </c>
      <c r="J34" s="13">
        <f>'Impacts A'!J34-'Impacts B'!J34</f>
        <v>0</v>
      </c>
      <c r="K34" s="13">
        <f>'Impacts A'!K34-'Impacts B'!K34</f>
        <v>0</v>
      </c>
      <c r="L34" s="13">
        <f>'Impacts A'!L34-'Impacts B'!L34</f>
        <v>0</v>
      </c>
      <c r="N34" s="59" t="s">
        <v>182</v>
      </c>
    </row>
    <row r="35" spans="1:14" x14ac:dyDescent="0.25">
      <c r="A35" t="str">
        <v>US sea level</v>
      </c>
      <c r="C35" s="13">
        <f>'Impacts A'!C35-'Impacts B'!C35</f>
        <v>0</v>
      </c>
      <c r="D35" s="13">
        <f>'Impacts A'!D35-'Impacts B'!D35</f>
        <v>0</v>
      </c>
      <c r="E35" s="13">
        <f>'Impacts A'!E35-'Impacts B'!E35</f>
        <v>0</v>
      </c>
      <c r="F35" s="13">
        <f>'Impacts A'!F35-'Impacts B'!F35</f>
        <v>0</v>
      </c>
      <c r="G35" s="13">
        <f>'Impacts A'!G35-'Impacts B'!G35</f>
        <v>0</v>
      </c>
      <c r="H35" s="13">
        <f>'Impacts A'!H35-'Impacts B'!H35</f>
        <v>0</v>
      </c>
      <c r="I35" s="13">
        <f>'Impacts A'!I35-'Impacts B'!I35</f>
        <v>0</v>
      </c>
      <c r="J35" s="13">
        <f>'Impacts A'!J35-'Impacts B'!J35</f>
        <v>0</v>
      </c>
      <c r="K35" s="13">
        <f>'Impacts A'!K35-'Impacts B'!K35</f>
        <v>0</v>
      </c>
      <c r="L35" s="13">
        <f>'Impacts A'!L35-'Impacts B'!L35</f>
        <v>0</v>
      </c>
      <c r="N35" s="59" t="s">
        <v>182</v>
      </c>
    </row>
    <row r="36" spans="1:14" x14ac:dyDescent="0.25">
      <c r="A36" t="str">
        <v>OT sea level</v>
      </c>
      <c r="C36" s="13">
        <f>'Impacts A'!C36-'Impacts B'!C36</f>
        <v>0</v>
      </c>
      <c r="D36" s="13">
        <f>'Impacts A'!D36-'Impacts B'!D36</f>
        <v>0</v>
      </c>
      <c r="E36" s="13">
        <f>'Impacts A'!E36-'Impacts B'!E36</f>
        <v>0</v>
      </c>
      <c r="F36" s="13">
        <f>'Impacts A'!F36-'Impacts B'!F36</f>
        <v>0</v>
      </c>
      <c r="G36" s="13">
        <f>'Impacts A'!G36-'Impacts B'!G36</f>
        <v>0</v>
      </c>
      <c r="H36" s="13">
        <f>'Impacts A'!H36-'Impacts B'!H36</f>
        <v>0</v>
      </c>
      <c r="I36" s="13">
        <f>'Impacts A'!I36-'Impacts B'!I36</f>
        <v>0</v>
      </c>
      <c r="J36" s="13">
        <f>'Impacts A'!J36-'Impacts B'!J36</f>
        <v>0</v>
      </c>
      <c r="K36" s="13">
        <f>'Impacts A'!K36-'Impacts B'!K36</f>
        <v>0</v>
      </c>
      <c r="L36" s="13">
        <f>'Impacts A'!L36-'Impacts B'!L36</f>
        <v>0</v>
      </c>
      <c r="N36" s="59" t="s">
        <v>182</v>
      </c>
    </row>
    <row r="37" spans="1:14" x14ac:dyDescent="0.25">
      <c r="A37" t="str">
        <v>EE sea level</v>
      </c>
      <c r="C37" s="13">
        <f>'Impacts A'!C37-'Impacts B'!C37</f>
        <v>0</v>
      </c>
      <c r="D37" s="13">
        <f>'Impacts A'!D37-'Impacts B'!D37</f>
        <v>0</v>
      </c>
      <c r="E37" s="13">
        <f>'Impacts A'!E37-'Impacts B'!E37</f>
        <v>0</v>
      </c>
      <c r="F37" s="13">
        <f>'Impacts A'!F37-'Impacts B'!F37</f>
        <v>0</v>
      </c>
      <c r="G37" s="13">
        <f>'Impacts A'!G37-'Impacts B'!G37</f>
        <v>0</v>
      </c>
      <c r="H37" s="13">
        <f>'Impacts A'!H37-'Impacts B'!H37</f>
        <v>0</v>
      </c>
      <c r="I37" s="13">
        <f>'Impacts A'!I37-'Impacts B'!I37</f>
        <v>0</v>
      </c>
      <c r="J37" s="13">
        <f>'Impacts A'!J37-'Impacts B'!J37</f>
        <v>0</v>
      </c>
      <c r="K37" s="13">
        <f>'Impacts A'!K37-'Impacts B'!K37</f>
        <v>0</v>
      </c>
      <c r="L37" s="13">
        <f>'Impacts A'!L37-'Impacts B'!L37</f>
        <v>0</v>
      </c>
      <c r="N37" s="59" t="s">
        <v>182</v>
      </c>
    </row>
    <row r="38" spans="1:14" x14ac:dyDescent="0.25">
      <c r="A38" t="str">
        <v>CA sea level</v>
      </c>
      <c r="C38" s="13">
        <f>'Impacts A'!C38-'Impacts B'!C38</f>
        <v>0</v>
      </c>
      <c r="D38" s="13">
        <f>'Impacts A'!D38-'Impacts B'!D38</f>
        <v>0</v>
      </c>
      <c r="E38" s="13">
        <f>'Impacts A'!E38-'Impacts B'!E38</f>
        <v>0</v>
      </c>
      <c r="F38" s="13">
        <f>'Impacts A'!F38-'Impacts B'!F38</f>
        <v>0</v>
      </c>
      <c r="G38" s="13">
        <f>'Impacts A'!G38-'Impacts B'!G38</f>
        <v>0</v>
      </c>
      <c r="H38" s="13">
        <f>'Impacts A'!H38-'Impacts B'!H38</f>
        <v>0</v>
      </c>
      <c r="I38" s="13">
        <f>'Impacts A'!I38-'Impacts B'!I38</f>
        <v>0</v>
      </c>
      <c r="J38" s="13">
        <f>'Impacts A'!J38-'Impacts B'!J38</f>
        <v>0</v>
      </c>
      <c r="K38" s="13">
        <f>'Impacts A'!K38-'Impacts B'!K38</f>
        <v>0</v>
      </c>
      <c r="L38" s="13">
        <f>'Impacts A'!L38-'Impacts B'!L38</f>
        <v>0</v>
      </c>
      <c r="N38" s="59" t="s">
        <v>182</v>
      </c>
    </row>
    <row r="39" spans="1:14" x14ac:dyDescent="0.25">
      <c r="A39" t="str">
        <v>IA sea level</v>
      </c>
      <c r="C39" s="13">
        <f>'Impacts A'!C39-'Impacts B'!C39</f>
        <v>0</v>
      </c>
      <c r="D39" s="13">
        <f>'Impacts A'!D39-'Impacts B'!D39</f>
        <v>0</v>
      </c>
      <c r="E39" s="13">
        <f>'Impacts A'!E39-'Impacts B'!E39</f>
        <v>0</v>
      </c>
      <c r="F39" s="13">
        <f>'Impacts A'!F39-'Impacts B'!F39</f>
        <v>0</v>
      </c>
      <c r="G39" s="13">
        <f>'Impacts A'!G39-'Impacts B'!G39</f>
        <v>0</v>
      </c>
      <c r="H39" s="13">
        <f>'Impacts A'!H39-'Impacts B'!H39</f>
        <v>0</v>
      </c>
      <c r="I39" s="13">
        <f>'Impacts A'!I39-'Impacts B'!I39</f>
        <v>0</v>
      </c>
      <c r="J39" s="13">
        <f>'Impacts A'!J39-'Impacts B'!J39</f>
        <v>0</v>
      </c>
      <c r="K39" s="13">
        <f>'Impacts A'!K39-'Impacts B'!K39</f>
        <v>0</v>
      </c>
      <c r="L39" s="13">
        <f>'Impacts A'!L39-'Impacts B'!L39</f>
        <v>0</v>
      </c>
      <c r="N39" s="59" t="s">
        <v>182</v>
      </c>
    </row>
    <row r="40" spans="1:14" x14ac:dyDescent="0.25">
      <c r="A40" t="str">
        <v>AF sea level</v>
      </c>
      <c r="C40" s="13">
        <f>'Impacts A'!C40-'Impacts B'!C40</f>
        <v>0</v>
      </c>
      <c r="D40" s="13">
        <f>'Impacts A'!D40-'Impacts B'!D40</f>
        <v>0</v>
      </c>
      <c r="E40" s="13">
        <f>'Impacts A'!E40-'Impacts B'!E40</f>
        <v>0</v>
      </c>
      <c r="F40" s="13">
        <f>'Impacts A'!F40-'Impacts B'!F40</f>
        <v>0</v>
      </c>
      <c r="G40" s="13">
        <f>'Impacts A'!G40-'Impacts B'!G40</f>
        <v>0</v>
      </c>
      <c r="H40" s="13">
        <f>'Impacts A'!H40-'Impacts B'!H40</f>
        <v>0</v>
      </c>
      <c r="I40" s="13">
        <f>'Impacts A'!I40-'Impacts B'!I40</f>
        <v>0</v>
      </c>
      <c r="J40" s="13">
        <f>'Impacts A'!J40-'Impacts B'!J40</f>
        <v>0</v>
      </c>
      <c r="K40" s="13">
        <f>'Impacts A'!K40-'Impacts B'!K40</f>
        <v>0</v>
      </c>
      <c r="L40" s="13">
        <f>'Impacts A'!L40-'Impacts B'!L40</f>
        <v>0</v>
      </c>
      <c r="N40" s="59" t="s">
        <v>182</v>
      </c>
    </row>
    <row r="41" spans="1:14" x14ac:dyDescent="0.25">
      <c r="A41" t="str">
        <v>LA sea level</v>
      </c>
      <c r="C41" s="13">
        <f>'Impacts A'!C41-'Impacts B'!C41</f>
        <v>0</v>
      </c>
      <c r="D41" s="13">
        <f>'Impacts A'!D41-'Impacts B'!D41</f>
        <v>0</v>
      </c>
      <c r="E41" s="13">
        <f>'Impacts A'!E41-'Impacts B'!E41</f>
        <v>0</v>
      </c>
      <c r="F41" s="13">
        <f>'Impacts A'!F41-'Impacts B'!F41</f>
        <v>0</v>
      </c>
      <c r="G41" s="13">
        <f>'Impacts A'!G41-'Impacts B'!G41</f>
        <v>0</v>
      </c>
      <c r="H41" s="13">
        <f>'Impacts A'!H41-'Impacts B'!H41</f>
        <v>0</v>
      </c>
      <c r="I41" s="13">
        <f>'Impacts A'!I41-'Impacts B'!I41</f>
        <v>0</v>
      </c>
      <c r="J41" s="13">
        <f>'Impacts A'!J41-'Impacts B'!J41</f>
        <v>0</v>
      </c>
      <c r="K41" s="13">
        <f>'Impacts A'!K41-'Impacts B'!K41</f>
        <v>0</v>
      </c>
      <c r="L41" s="13">
        <f>'Impacts A'!L41-'Impacts B'!L41</f>
        <v>0</v>
      </c>
      <c r="N41" s="59" t="s">
        <v>182</v>
      </c>
    </row>
    <row r="42" spans="1:14" ht="15.5" x14ac:dyDescent="0.4">
      <c r="C42" t="s">
        <v>80</v>
      </c>
    </row>
    <row r="43" spans="1:14" x14ac:dyDescent="0.25">
      <c r="A43" t="str">
        <f t="array" ref="A43:A50">R_CODE&amp;" "&amp;I_1_NAME</f>
        <v>EU Economic</v>
      </c>
      <c r="C43" s="13">
        <f>'Impacts A'!C43-'Impacts B'!C43</f>
        <v>0</v>
      </c>
      <c r="D43" s="13">
        <f>'Impacts A'!D43-'Impacts B'!D43</f>
        <v>0</v>
      </c>
      <c r="E43" s="13">
        <f>'Impacts A'!E43-'Impacts B'!E43</f>
        <v>0</v>
      </c>
      <c r="F43" s="13">
        <f>'Impacts A'!F43-'Impacts B'!F43</f>
        <v>0</v>
      </c>
      <c r="G43" s="13">
        <f>'Impacts A'!G43-'Impacts B'!G43</f>
        <v>0</v>
      </c>
      <c r="H43" s="13">
        <f>'Impacts A'!H43-'Impacts B'!H43</f>
        <v>0</v>
      </c>
      <c r="I43" s="13">
        <f>'Impacts A'!I43-'Impacts B'!I43</f>
        <v>0</v>
      </c>
      <c r="J43" s="13">
        <f>'Impacts A'!J43-'Impacts B'!J43</f>
        <v>0</v>
      </c>
      <c r="K43" s="13">
        <f>'Impacts A'!K43-'Impacts B'!K43</f>
        <v>0</v>
      </c>
      <c r="L43" s="13">
        <f>'Impacts A'!L43-'Impacts B'!L43</f>
        <v>0</v>
      </c>
      <c r="N43" s="59" t="s">
        <v>43</v>
      </c>
    </row>
    <row r="44" spans="1:14" x14ac:dyDescent="0.25">
      <c r="A44" t="str">
        <v>US Economic</v>
      </c>
      <c r="C44" s="13">
        <f>'Impacts A'!C44-'Impacts B'!C44</f>
        <v>0</v>
      </c>
      <c r="D44" s="13">
        <f>'Impacts A'!D44-'Impacts B'!D44</f>
        <v>0</v>
      </c>
      <c r="E44" s="13">
        <f>'Impacts A'!E44-'Impacts B'!E44</f>
        <v>0</v>
      </c>
      <c r="F44" s="13">
        <f>'Impacts A'!F44-'Impacts B'!F44</f>
        <v>0</v>
      </c>
      <c r="G44" s="13">
        <f>'Impacts A'!G44-'Impacts B'!G44</f>
        <v>0</v>
      </c>
      <c r="H44" s="13">
        <f>'Impacts A'!H44-'Impacts B'!H44</f>
        <v>0</v>
      </c>
      <c r="I44" s="13">
        <f>'Impacts A'!I44-'Impacts B'!I44</f>
        <v>0</v>
      </c>
      <c r="J44" s="13">
        <f>'Impacts A'!J44-'Impacts B'!J44</f>
        <v>0</v>
      </c>
      <c r="K44" s="13">
        <f>'Impacts A'!K44-'Impacts B'!K44</f>
        <v>0</v>
      </c>
      <c r="L44" s="13">
        <f>'Impacts A'!L44-'Impacts B'!L44</f>
        <v>0</v>
      </c>
      <c r="N44" s="59" t="s">
        <v>43</v>
      </c>
    </row>
    <row r="45" spans="1:14" x14ac:dyDescent="0.25">
      <c r="A45" t="str">
        <v>OT Economic</v>
      </c>
      <c r="C45" s="13">
        <f>'Impacts A'!C45-'Impacts B'!C45</f>
        <v>0</v>
      </c>
      <c r="D45" s="13">
        <f>'Impacts A'!D45-'Impacts B'!D45</f>
        <v>0</v>
      </c>
      <c r="E45" s="13">
        <f>'Impacts A'!E45-'Impacts B'!E45</f>
        <v>0</v>
      </c>
      <c r="F45" s="13">
        <f>'Impacts A'!F45-'Impacts B'!F45</f>
        <v>0</v>
      </c>
      <c r="G45" s="13">
        <f>'Impacts A'!G45-'Impacts B'!G45</f>
        <v>0</v>
      </c>
      <c r="H45" s="13">
        <f>'Impacts A'!H45-'Impacts B'!H45</f>
        <v>0</v>
      </c>
      <c r="I45" s="13">
        <f>'Impacts A'!I45-'Impacts B'!I45</f>
        <v>0</v>
      </c>
      <c r="J45" s="13">
        <f>'Impacts A'!J45-'Impacts B'!J45</f>
        <v>0</v>
      </c>
      <c r="K45" s="13">
        <f>'Impacts A'!K45-'Impacts B'!K45</f>
        <v>0</v>
      </c>
      <c r="L45" s="13">
        <f>'Impacts A'!L45-'Impacts B'!L45</f>
        <v>0</v>
      </c>
      <c r="N45" s="59" t="s">
        <v>43</v>
      </c>
    </row>
    <row r="46" spans="1:14" x14ac:dyDescent="0.25">
      <c r="A46" t="str">
        <v>EE Economic</v>
      </c>
      <c r="C46" s="13">
        <f>'Impacts A'!C46-'Impacts B'!C46</f>
        <v>0</v>
      </c>
      <c r="D46" s="13">
        <f>'Impacts A'!D46-'Impacts B'!D46</f>
        <v>0</v>
      </c>
      <c r="E46" s="13">
        <f>'Impacts A'!E46-'Impacts B'!E46</f>
        <v>0</v>
      </c>
      <c r="F46" s="13">
        <f>'Impacts A'!F46-'Impacts B'!F46</f>
        <v>0</v>
      </c>
      <c r="G46" s="13">
        <f>'Impacts A'!G46-'Impacts B'!G46</f>
        <v>0</v>
      </c>
      <c r="H46" s="13">
        <f>'Impacts A'!H46-'Impacts B'!H46</f>
        <v>0</v>
      </c>
      <c r="I46" s="13">
        <f>'Impacts A'!I46-'Impacts B'!I46</f>
        <v>0</v>
      </c>
      <c r="J46" s="13">
        <f>'Impacts A'!J46-'Impacts B'!J46</f>
        <v>0</v>
      </c>
      <c r="K46" s="13">
        <f>'Impacts A'!K46-'Impacts B'!K46</f>
        <v>0</v>
      </c>
      <c r="L46" s="13">
        <f>'Impacts A'!L46-'Impacts B'!L46</f>
        <v>0</v>
      </c>
      <c r="N46" s="59" t="s">
        <v>43</v>
      </c>
    </row>
    <row r="47" spans="1:14" x14ac:dyDescent="0.25">
      <c r="A47" t="str">
        <v>CA Economic</v>
      </c>
      <c r="C47" s="13">
        <f>'Impacts A'!C47-'Impacts B'!C47</f>
        <v>0</v>
      </c>
      <c r="D47" s="13">
        <f>'Impacts A'!D47-'Impacts B'!D47</f>
        <v>0</v>
      </c>
      <c r="E47" s="13">
        <f>'Impacts A'!E47-'Impacts B'!E47</f>
        <v>0</v>
      </c>
      <c r="F47" s="13">
        <f>'Impacts A'!F47-'Impacts B'!F47</f>
        <v>0</v>
      </c>
      <c r="G47" s="13">
        <f>'Impacts A'!G47-'Impacts B'!G47</f>
        <v>0</v>
      </c>
      <c r="H47" s="13">
        <f>'Impacts A'!H47-'Impacts B'!H47</f>
        <v>0</v>
      </c>
      <c r="I47" s="13">
        <f>'Impacts A'!I47-'Impacts B'!I47</f>
        <v>0</v>
      </c>
      <c r="J47" s="13">
        <f>'Impacts A'!J47-'Impacts B'!J47</f>
        <v>0</v>
      </c>
      <c r="K47" s="13">
        <f>'Impacts A'!K47-'Impacts B'!K47</f>
        <v>0</v>
      </c>
      <c r="L47" s="13">
        <f>'Impacts A'!L47-'Impacts B'!L47</f>
        <v>0</v>
      </c>
      <c r="N47" s="59" t="s">
        <v>43</v>
      </c>
    </row>
    <row r="48" spans="1:14" x14ac:dyDescent="0.25">
      <c r="A48" t="str">
        <v>IA Economic</v>
      </c>
      <c r="C48" s="13">
        <f>'Impacts A'!C48-'Impacts B'!C48</f>
        <v>0</v>
      </c>
      <c r="D48" s="13">
        <f>'Impacts A'!D48-'Impacts B'!D48</f>
        <v>0</v>
      </c>
      <c r="E48" s="13">
        <f>'Impacts A'!E48-'Impacts B'!E48</f>
        <v>0</v>
      </c>
      <c r="F48" s="13">
        <f>'Impacts A'!F48-'Impacts B'!F48</f>
        <v>0</v>
      </c>
      <c r="G48" s="13">
        <f>'Impacts A'!G48-'Impacts B'!G48</f>
        <v>0</v>
      </c>
      <c r="H48" s="13">
        <f>'Impacts A'!H48-'Impacts B'!H48</f>
        <v>0</v>
      </c>
      <c r="I48" s="13">
        <f>'Impacts A'!I48-'Impacts B'!I48</f>
        <v>0</v>
      </c>
      <c r="J48" s="13">
        <f>'Impacts A'!J48-'Impacts B'!J48</f>
        <v>0</v>
      </c>
      <c r="K48" s="13">
        <f>'Impacts A'!K48-'Impacts B'!K48</f>
        <v>0</v>
      </c>
      <c r="L48" s="13">
        <f>'Impacts A'!L48-'Impacts B'!L48</f>
        <v>0</v>
      </c>
      <c r="N48" s="59" t="s">
        <v>43</v>
      </c>
    </row>
    <row r="49" spans="1:14" x14ac:dyDescent="0.25">
      <c r="A49" t="str">
        <v>AF Economic</v>
      </c>
      <c r="C49" s="13">
        <f>'Impacts A'!C49-'Impacts B'!C49</f>
        <v>0</v>
      </c>
      <c r="D49" s="13">
        <f>'Impacts A'!D49-'Impacts B'!D49</f>
        <v>0</v>
      </c>
      <c r="E49" s="13">
        <f>'Impacts A'!E49-'Impacts B'!E49</f>
        <v>0</v>
      </c>
      <c r="F49" s="13">
        <f>'Impacts A'!F49-'Impacts B'!F49</f>
        <v>0</v>
      </c>
      <c r="G49" s="13">
        <f>'Impacts A'!G49-'Impacts B'!G49</f>
        <v>0</v>
      </c>
      <c r="H49" s="13">
        <f>'Impacts A'!H49-'Impacts B'!H49</f>
        <v>0</v>
      </c>
      <c r="I49" s="13">
        <f>'Impacts A'!I49-'Impacts B'!I49</f>
        <v>0</v>
      </c>
      <c r="J49" s="13">
        <f>'Impacts A'!J49-'Impacts B'!J49</f>
        <v>0</v>
      </c>
      <c r="K49" s="13">
        <f>'Impacts A'!K49-'Impacts B'!K49</f>
        <v>0</v>
      </c>
      <c r="L49" s="13">
        <f>'Impacts A'!L49-'Impacts B'!L49</f>
        <v>0</v>
      </c>
      <c r="N49" s="59" t="s">
        <v>43</v>
      </c>
    </row>
    <row r="50" spans="1:14" x14ac:dyDescent="0.25">
      <c r="A50" t="str">
        <v>LA Economic</v>
      </c>
      <c r="C50" s="13">
        <f>'Impacts A'!C50-'Impacts B'!C50</f>
        <v>0</v>
      </c>
      <c r="D50" s="13">
        <f>'Impacts A'!D50-'Impacts B'!D50</f>
        <v>0</v>
      </c>
      <c r="E50" s="13">
        <f>'Impacts A'!E50-'Impacts B'!E50</f>
        <v>0</v>
      </c>
      <c r="F50" s="13">
        <f>'Impacts A'!F50-'Impacts B'!F50</f>
        <v>0</v>
      </c>
      <c r="G50" s="13">
        <f>'Impacts A'!G50-'Impacts B'!G50</f>
        <v>0</v>
      </c>
      <c r="H50" s="13">
        <f>'Impacts A'!H50-'Impacts B'!H50</f>
        <v>0</v>
      </c>
      <c r="I50" s="13">
        <f>'Impacts A'!I50-'Impacts B'!I50</f>
        <v>0</v>
      </c>
      <c r="J50" s="13">
        <f>'Impacts A'!J50-'Impacts B'!J50</f>
        <v>0</v>
      </c>
      <c r="K50" s="13">
        <f>'Impacts A'!K50-'Impacts B'!K50</f>
        <v>0</v>
      </c>
      <c r="L50" s="13">
        <f>'Impacts A'!L50-'Impacts B'!L50</f>
        <v>0</v>
      </c>
      <c r="N50" s="59" t="s">
        <v>43</v>
      </c>
    </row>
    <row r="51" spans="1:14" ht="15.5" x14ac:dyDescent="0.4">
      <c r="C51" t="s">
        <v>81</v>
      </c>
      <c r="N51" s="1"/>
    </row>
    <row r="52" spans="1:14" x14ac:dyDescent="0.25">
      <c r="A52" t="str">
        <f t="array" ref="A52:A59">R_CODE&amp;" "&amp;I_2_NAME</f>
        <v>EU Non-econ</v>
      </c>
      <c r="C52" s="13">
        <f>'Impacts A'!C52-'Impacts B'!C52</f>
        <v>0</v>
      </c>
      <c r="D52" s="13">
        <f>'Impacts A'!D52-'Impacts B'!D52</f>
        <v>0</v>
      </c>
      <c r="E52" s="13">
        <f>'Impacts A'!E52-'Impacts B'!E52</f>
        <v>0</v>
      </c>
      <c r="F52" s="13">
        <f>'Impacts A'!F52-'Impacts B'!F52</f>
        <v>0</v>
      </c>
      <c r="G52" s="13">
        <f>'Impacts A'!G52-'Impacts B'!G52</f>
        <v>0</v>
      </c>
      <c r="H52" s="13">
        <f>'Impacts A'!H52-'Impacts B'!H52</f>
        <v>0</v>
      </c>
      <c r="I52" s="13">
        <f>'Impacts A'!I52-'Impacts B'!I52</f>
        <v>0</v>
      </c>
      <c r="J52" s="13">
        <f>'Impacts A'!J52-'Impacts B'!J52</f>
        <v>0</v>
      </c>
      <c r="K52" s="13">
        <f>'Impacts A'!K52-'Impacts B'!K52</f>
        <v>0</v>
      </c>
      <c r="L52" s="13">
        <f>'Impacts A'!L52-'Impacts B'!L52</f>
        <v>0</v>
      </c>
      <c r="N52" s="59" t="s">
        <v>43</v>
      </c>
    </row>
    <row r="53" spans="1:14" x14ac:dyDescent="0.25">
      <c r="A53" t="str">
        <v>US Non-econ</v>
      </c>
      <c r="C53" s="13">
        <f>'Impacts A'!C53-'Impacts B'!C53</f>
        <v>0</v>
      </c>
      <c r="D53" s="13">
        <f>'Impacts A'!D53-'Impacts B'!D53</f>
        <v>0</v>
      </c>
      <c r="E53" s="13">
        <f>'Impacts A'!E53-'Impacts B'!E53</f>
        <v>0</v>
      </c>
      <c r="F53" s="13">
        <f>'Impacts A'!F53-'Impacts B'!F53</f>
        <v>0</v>
      </c>
      <c r="G53" s="13">
        <f>'Impacts A'!G53-'Impacts B'!G53</f>
        <v>0</v>
      </c>
      <c r="H53" s="13">
        <f>'Impacts A'!H53-'Impacts B'!H53</f>
        <v>0</v>
      </c>
      <c r="I53" s="13">
        <f>'Impacts A'!I53-'Impacts B'!I53</f>
        <v>0</v>
      </c>
      <c r="J53" s="13">
        <f>'Impacts A'!J53-'Impacts B'!J53</f>
        <v>0</v>
      </c>
      <c r="K53" s="13">
        <f>'Impacts A'!K53-'Impacts B'!K53</f>
        <v>0</v>
      </c>
      <c r="L53" s="13">
        <f>'Impacts A'!L53-'Impacts B'!L53</f>
        <v>0</v>
      </c>
      <c r="N53" s="59" t="s">
        <v>43</v>
      </c>
    </row>
    <row r="54" spans="1:14" x14ac:dyDescent="0.25">
      <c r="A54" t="str">
        <v>OT Non-econ</v>
      </c>
      <c r="C54" s="13">
        <f>'Impacts A'!C54-'Impacts B'!C54</f>
        <v>0</v>
      </c>
      <c r="D54" s="13">
        <f>'Impacts A'!D54-'Impacts B'!D54</f>
        <v>0</v>
      </c>
      <c r="E54" s="13">
        <f>'Impacts A'!E54-'Impacts B'!E54</f>
        <v>0</v>
      </c>
      <c r="F54" s="13">
        <f>'Impacts A'!F54-'Impacts B'!F54</f>
        <v>0</v>
      </c>
      <c r="G54" s="13">
        <f>'Impacts A'!G54-'Impacts B'!G54</f>
        <v>0</v>
      </c>
      <c r="H54" s="13">
        <f>'Impacts A'!H54-'Impacts B'!H54</f>
        <v>0</v>
      </c>
      <c r="I54" s="13">
        <f>'Impacts A'!I54-'Impacts B'!I54</f>
        <v>0</v>
      </c>
      <c r="J54" s="13">
        <f>'Impacts A'!J54-'Impacts B'!J54</f>
        <v>0</v>
      </c>
      <c r="K54" s="13">
        <f>'Impacts A'!K54-'Impacts B'!K54</f>
        <v>0</v>
      </c>
      <c r="L54" s="13">
        <f>'Impacts A'!L54-'Impacts B'!L54</f>
        <v>0</v>
      </c>
      <c r="N54" s="59" t="s">
        <v>43</v>
      </c>
    </row>
    <row r="55" spans="1:14" x14ac:dyDescent="0.25">
      <c r="A55" t="str">
        <v>EE Non-econ</v>
      </c>
      <c r="C55" s="13">
        <f>'Impacts A'!C55-'Impacts B'!C55</f>
        <v>0</v>
      </c>
      <c r="D55" s="13">
        <f>'Impacts A'!D55-'Impacts B'!D55</f>
        <v>0</v>
      </c>
      <c r="E55" s="13">
        <f>'Impacts A'!E55-'Impacts B'!E55</f>
        <v>0</v>
      </c>
      <c r="F55" s="13">
        <f>'Impacts A'!F55-'Impacts B'!F55</f>
        <v>0</v>
      </c>
      <c r="G55" s="13">
        <f>'Impacts A'!G55-'Impacts B'!G55</f>
        <v>0</v>
      </c>
      <c r="H55" s="13">
        <f>'Impacts A'!H55-'Impacts B'!H55</f>
        <v>0</v>
      </c>
      <c r="I55" s="13">
        <f>'Impacts A'!I55-'Impacts B'!I55</f>
        <v>0</v>
      </c>
      <c r="J55" s="13">
        <f>'Impacts A'!J55-'Impacts B'!J55</f>
        <v>0</v>
      </c>
      <c r="K55" s="13">
        <f>'Impacts A'!K55-'Impacts B'!K55</f>
        <v>0</v>
      </c>
      <c r="L55" s="13">
        <f>'Impacts A'!L55-'Impacts B'!L55</f>
        <v>0</v>
      </c>
      <c r="N55" s="59" t="s">
        <v>43</v>
      </c>
    </row>
    <row r="56" spans="1:14" x14ac:dyDescent="0.25">
      <c r="A56" t="str">
        <v>CA Non-econ</v>
      </c>
      <c r="C56" s="13">
        <f>'Impacts A'!C56-'Impacts B'!C56</f>
        <v>0</v>
      </c>
      <c r="D56" s="13">
        <f>'Impacts A'!D56-'Impacts B'!D56</f>
        <v>0</v>
      </c>
      <c r="E56" s="13">
        <f>'Impacts A'!E56-'Impacts B'!E56</f>
        <v>0</v>
      </c>
      <c r="F56" s="13">
        <f>'Impacts A'!F56-'Impacts B'!F56</f>
        <v>0</v>
      </c>
      <c r="G56" s="13">
        <f>'Impacts A'!G56-'Impacts B'!G56</f>
        <v>0</v>
      </c>
      <c r="H56" s="13">
        <f>'Impacts A'!H56-'Impacts B'!H56</f>
        <v>0</v>
      </c>
      <c r="I56" s="13">
        <f>'Impacts A'!I56-'Impacts B'!I56</f>
        <v>0</v>
      </c>
      <c r="J56" s="13">
        <f>'Impacts A'!J56-'Impacts B'!J56</f>
        <v>0</v>
      </c>
      <c r="K56" s="13">
        <f>'Impacts A'!K56-'Impacts B'!K56</f>
        <v>0</v>
      </c>
      <c r="L56" s="13">
        <f>'Impacts A'!L56-'Impacts B'!L56</f>
        <v>0</v>
      </c>
      <c r="N56" s="59" t="s">
        <v>43</v>
      </c>
    </row>
    <row r="57" spans="1:14" x14ac:dyDescent="0.25">
      <c r="A57" t="str">
        <v>IA Non-econ</v>
      </c>
      <c r="C57" s="13">
        <f>'Impacts A'!C57-'Impacts B'!C57</f>
        <v>0</v>
      </c>
      <c r="D57" s="13">
        <f>'Impacts A'!D57-'Impacts B'!D57</f>
        <v>0</v>
      </c>
      <c r="E57" s="13">
        <f>'Impacts A'!E57-'Impacts B'!E57</f>
        <v>0</v>
      </c>
      <c r="F57" s="13">
        <f>'Impacts A'!F57-'Impacts B'!F57</f>
        <v>0</v>
      </c>
      <c r="G57" s="13">
        <f>'Impacts A'!G57-'Impacts B'!G57</f>
        <v>0</v>
      </c>
      <c r="H57" s="13">
        <f>'Impacts A'!H57-'Impacts B'!H57</f>
        <v>0</v>
      </c>
      <c r="I57" s="13">
        <f>'Impacts A'!I57-'Impacts B'!I57</f>
        <v>0</v>
      </c>
      <c r="J57" s="13">
        <f>'Impacts A'!J57-'Impacts B'!J57</f>
        <v>0</v>
      </c>
      <c r="K57" s="13">
        <f>'Impacts A'!K57-'Impacts B'!K57</f>
        <v>0</v>
      </c>
      <c r="L57" s="13">
        <f>'Impacts A'!L57-'Impacts B'!L57</f>
        <v>0</v>
      </c>
      <c r="N57" s="59" t="s">
        <v>43</v>
      </c>
    </row>
    <row r="58" spans="1:14" x14ac:dyDescent="0.25">
      <c r="A58" t="str">
        <v>AF Non-econ</v>
      </c>
      <c r="C58" s="13">
        <f>'Impacts A'!C58-'Impacts B'!C58</f>
        <v>0</v>
      </c>
      <c r="D58" s="13">
        <f>'Impacts A'!D58-'Impacts B'!D58</f>
        <v>0</v>
      </c>
      <c r="E58" s="13">
        <f>'Impacts A'!E58-'Impacts B'!E58</f>
        <v>0</v>
      </c>
      <c r="F58" s="13">
        <f>'Impacts A'!F58-'Impacts B'!F58</f>
        <v>0</v>
      </c>
      <c r="G58" s="13">
        <f>'Impacts A'!G58-'Impacts B'!G58</f>
        <v>0</v>
      </c>
      <c r="H58" s="13">
        <f>'Impacts A'!H58-'Impacts B'!H58</f>
        <v>0</v>
      </c>
      <c r="I58" s="13">
        <f>'Impacts A'!I58-'Impacts B'!I58</f>
        <v>0</v>
      </c>
      <c r="J58" s="13">
        <f>'Impacts A'!J58-'Impacts B'!J58</f>
        <v>0</v>
      </c>
      <c r="K58" s="13">
        <f>'Impacts A'!K58-'Impacts B'!K58</f>
        <v>0</v>
      </c>
      <c r="L58" s="13">
        <f>'Impacts A'!L58-'Impacts B'!L58</f>
        <v>0</v>
      </c>
      <c r="N58" s="59" t="s">
        <v>43</v>
      </c>
    </row>
    <row r="59" spans="1:14" x14ac:dyDescent="0.25">
      <c r="A59" t="str">
        <v>LA Non-econ</v>
      </c>
      <c r="C59" s="13">
        <f>'Impacts A'!C59-'Impacts B'!C59</f>
        <v>0</v>
      </c>
      <c r="D59" s="13">
        <f>'Impacts A'!D59-'Impacts B'!D59</f>
        <v>0</v>
      </c>
      <c r="E59" s="13">
        <f>'Impacts A'!E59-'Impacts B'!E59</f>
        <v>0</v>
      </c>
      <c r="F59" s="13">
        <f>'Impacts A'!F59-'Impacts B'!F59</f>
        <v>0</v>
      </c>
      <c r="G59" s="13">
        <f>'Impacts A'!G59-'Impacts B'!G59</f>
        <v>0</v>
      </c>
      <c r="H59" s="13">
        <f>'Impacts A'!H59-'Impacts B'!H59</f>
        <v>0</v>
      </c>
      <c r="I59" s="13">
        <f>'Impacts A'!I59-'Impacts B'!I59</f>
        <v>0</v>
      </c>
      <c r="J59" s="13">
        <f>'Impacts A'!J59-'Impacts B'!J59</f>
        <v>0</v>
      </c>
      <c r="K59" s="13">
        <f>'Impacts A'!K59-'Impacts B'!K59</f>
        <v>0</v>
      </c>
      <c r="L59" s="13">
        <f>'Impacts A'!L59-'Impacts B'!L59</f>
        <v>0</v>
      </c>
      <c r="N59" s="59" t="s">
        <v>43</v>
      </c>
    </row>
    <row r="60" spans="1:14" ht="15.5" x14ac:dyDescent="0.4">
      <c r="C60" s="63" t="s">
        <v>232</v>
      </c>
    </row>
    <row r="61" spans="1:14" x14ac:dyDescent="0.25">
      <c r="A61" t="str">
        <f t="array" ref="A61:A68">R_CODE&amp;" sea level"</f>
        <v>EU sea level</v>
      </c>
      <c r="C61" s="13">
        <f>'Impacts A'!C61-'Impacts B'!C61</f>
        <v>0</v>
      </c>
      <c r="D61" s="13">
        <f>'Impacts A'!D61-'Impacts B'!D61</f>
        <v>0</v>
      </c>
      <c r="E61" s="13">
        <f>'Impacts A'!E61-'Impacts B'!E61</f>
        <v>0</v>
      </c>
      <c r="F61" s="13">
        <f>'Impacts A'!F61-'Impacts B'!F61</f>
        <v>0</v>
      </c>
      <c r="G61" s="13">
        <f>'Impacts A'!G61-'Impacts B'!G61</f>
        <v>0</v>
      </c>
      <c r="H61" s="13">
        <f>'Impacts A'!H61-'Impacts B'!H61</f>
        <v>0</v>
      </c>
      <c r="I61" s="13">
        <f>'Impacts A'!I61-'Impacts B'!I61</f>
        <v>0</v>
      </c>
      <c r="J61" s="13">
        <f>'Impacts A'!J61-'Impacts B'!J61</f>
        <v>0</v>
      </c>
      <c r="K61" s="13">
        <f>'Impacts A'!K61-'Impacts B'!K61</f>
        <v>0</v>
      </c>
      <c r="L61" s="13">
        <f>'Impacts A'!L61-'Impacts B'!L61</f>
        <v>0</v>
      </c>
      <c r="N61" s="59" t="s">
        <v>40</v>
      </c>
    </row>
    <row r="62" spans="1:14" x14ac:dyDescent="0.25">
      <c r="A62" t="str">
        <v>US sea level</v>
      </c>
      <c r="C62" s="13">
        <f>'Impacts A'!C62-'Impacts B'!C62</f>
        <v>0</v>
      </c>
      <c r="D62" s="13">
        <f>'Impacts A'!D62-'Impacts B'!D62</f>
        <v>0</v>
      </c>
      <c r="E62" s="13">
        <f>'Impacts A'!E62-'Impacts B'!E62</f>
        <v>0</v>
      </c>
      <c r="F62" s="13">
        <f>'Impacts A'!F62-'Impacts B'!F62</f>
        <v>0</v>
      </c>
      <c r="G62" s="13">
        <f>'Impacts A'!G62-'Impacts B'!G62</f>
        <v>0</v>
      </c>
      <c r="H62" s="13">
        <f>'Impacts A'!H62-'Impacts B'!H62</f>
        <v>0</v>
      </c>
      <c r="I62" s="13">
        <f>'Impacts A'!I62-'Impacts B'!I62</f>
        <v>0</v>
      </c>
      <c r="J62" s="13">
        <f>'Impacts A'!J62-'Impacts B'!J62</f>
        <v>0</v>
      </c>
      <c r="K62" s="13">
        <f>'Impacts A'!K62-'Impacts B'!K62</f>
        <v>0</v>
      </c>
      <c r="L62" s="13">
        <f>'Impacts A'!L62-'Impacts B'!L62</f>
        <v>0</v>
      </c>
      <c r="N62" s="59" t="s">
        <v>40</v>
      </c>
    </row>
    <row r="63" spans="1:14" x14ac:dyDescent="0.25">
      <c r="A63" t="str">
        <v>OT sea level</v>
      </c>
      <c r="C63" s="13">
        <f>'Impacts A'!C63-'Impacts B'!C63</f>
        <v>0</v>
      </c>
      <c r="D63" s="13">
        <f>'Impacts A'!D63-'Impacts B'!D63</f>
        <v>0</v>
      </c>
      <c r="E63" s="13">
        <f>'Impacts A'!E63-'Impacts B'!E63</f>
        <v>0</v>
      </c>
      <c r="F63" s="13">
        <f>'Impacts A'!F63-'Impacts B'!F63</f>
        <v>0</v>
      </c>
      <c r="G63" s="13">
        <f>'Impacts A'!G63-'Impacts B'!G63</f>
        <v>0</v>
      </c>
      <c r="H63" s="13">
        <f>'Impacts A'!H63-'Impacts B'!H63</f>
        <v>0</v>
      </c>
      <c r="I63" s="13">
        <f>'Impacts A'!I63-'Impacts B'!I63</f>
        <v>0</v>
      </c>
      <c r="J63" s="13">
        <f>'Impacts A'!J63-'Impacts B'!J63</f>
        <v>0</v>
      </c>
      <c r="K63" s="13">
        <f>'Impacts A'!K63-'Impacts B'!K63</f>
        <v>0</v>
      </c>
      <c r="L63" s="13">
        <f>'Impacts A'!L63-'Impacts B'!L63</f>
        <v>0</v>
      </c>
      <c r="N63" s="59" t="s">
        <v>40</v>
      </c>
    </row>
    <row r="64" spans="1:14" x14ac:dyDescent="0.25">
      <c r="A64" t="str">
        <v>EE sea level</v>
      </c>
      <c r="C64" s="13">
        <f>'Impacts A'!C64-'Impacts B'!C64</f>
        <v>0</v>
      </c>
      <c r="D64" s="13">
        <f>'Impacts A'!D64-'Impacts B'!D64</f>
        <v>0</v>
      </c>
      <c r="E64" s="13">
        <f>'Impacts A'!E64-'Impacts B'!E64</f>
        <v>0</v>
      </c>
      <c r="F64" s="13">
        <f>'Impacts A'!F64-'Impacts B'!F64</f>
        <v>0</v>
      </c>
      <c r="G64" s="13">
        <f>'Impacts A'!G64-'Impacts B'!G64</f>
        <v>0</v>
      </c>
      <c r="H64" s="13">
        <f>'Impacts A'!H64-'Impacts B'!H64</f>
        <v>0</v>
      </c>
      <c r="I64" s="13">
        <f>'Impacts A'!I64-'Impacts B'!I64</f>
        <v>0</v>
      </c>
      <c r="J64" s="13">
        <f>'Impacts A'!J64-'Impacts B'!J64</f>
        <v>0</v>
      </c>
      <c r="K64" s="13">
        <f>'Impacts A'!K64-'Impacts B'!K64</f>
        <v>0</v>
      </c>
      <c r="L64" s="13">
        <f>'Impacts A'!L64-'Impacts B'!L64</f>
        <v>0</v>
      </c>
      <c r="N64" s="59" t="s">
        <v>40</v>
      </c>
    </row>
    <row r="65" spans="1:14" x14ac:dyDescent="0.25">
      <c r="A65" t="str">
        <v>CA sea level</v>
      </c>
      <c r="C65" s="13">
        <f>'Impacts A'!C65-'Impacts B'!C65</f>
        <v>0</v>
      </c>
      <c r="D65" s="13">
        <f>'Impacts A'!D65-'Impacts B'!D65</f>
        <v>0</v>
      </c>
      <c r="E65" s="13">
        <f>'Impacts A'!E65-'Impacts B'!E65</f>
        <v>0</v>
      </c>
      <c r="F65" s="13">
        <f>'Impacts A'!F65-'Impacts B'!F65</f>
        <v>0</v>
      </c>
      <c r="G65" s="13">
        <f>'Impacts A'!G65-'Impacts B'!G65</f>
        <v>0</v>
      </c>
      <c r="H65" s="13">
        <f>'Impacts A'!H65-'Impacts B'!H65</f>
        <v>0</v>
      </c>
      <c r="I65" s="13">
        <f>'Impacts A'!I65-'Impacts B'!I65</f>
        <v>0</v>
      </c>
      <c r="J65" s="13">
        <f>'Impacts A'!J65-'Impacts B'!J65</f>
        <v>0</v>
      </c>
      <c r="K65" s="13">
        <f>'Impacts A'!K65-'Impacts B'!K65</f>
        <v>0</v>
      </c>
      <c r="L65" s="13">
        <f>'Impacts A'!L65-'Impacts B'!L65</f>
        <v>0</v>
      </c>
      <c r="N65" s="59" t="s">
        <v>40</v>
      </c>
    </row>
    <row r="66" spans="1:14" x14ac:dyDescent="0.25">
      <c r="A66" t="str">
        <v>IA sea level</v>
      </c>
      <c r="C66" s="13">
        <f>'Impacts A'!C66-'Impacts B'!C66</f>
        <v>0</v>
      </c>
      <c r="D66" s="13">
        <f>'Impacts A'!D66-'Impacts B'!D66</f>
        <v>0</v>
      </c>
      <c r="E66" s="13">
        <f>'Impacts A'!E66-'Impacts B'!E66</f>
        <v>0</v>
      </c>
      <c r="F66" s="13">
        <f>'Impacts A'!F66-'Impacts B'!F66</f>
        <v>0</v>
      </c>
      <c r="G66" s="13">
        <f>'Impacts A'!G66-'Impacts B'!G66</f>
        <v>0</v>
      </c>
      <c r="H66" s="13">
        <f>'Impacts A'!H66-'Impacts B'!H66</f>
        <v>0</v>
      </c>
      <c r="I66" s="13">
        <f>'Impacts A'!I66-'Impacts B'!I66</f>
        <v>0</v>
      </c>
      <c r="J66" s="13">
        <f>'Impacts A'!J66-'Impacts B'!J66</f>
        <v>0</v>
      </c>
      <c r="K66" s="13">
        <f>'Impacts A'!K66-'Impacts B'!K66</f>
        <v>0</v>
      </c>
      <c r="L66" s="13">
        <f>'Impacts A'!L66-'Impacts B'!L66</f>
        <v>0</v>
      </c>
      <c r="N66" s="59" t="s">
        <v>40</v>
      </c>
    </row>
    <row r="67" spans="1:14" x14ac:dyDescent="0.25">
      <c r="A67" t="str">
        <v>AF sea level</v>
      </c>
      <c r="C67" s="13">
        <f>'Impacts A'!C67-'Impacts B'!C67</f>
        <v>0</v>
      </c>
      <c r="D67" s="13">
        <f>'Impacts A'!D67-'Impacts B'!D67</f>
        <v>0</v>
      </c>
      <c r="E67" s="13">
        <f>'Impacts A'!E67-'Impacts B'!E67</f>
        <v>0</v>
      </c>
      <c r="F67" s="13">
        <f>'Impacts A'!F67-'Impacts B'!F67</f>
        <v>0</v>
      </c>
      <c r="G67" s="13">
        <f>'Impacts A'!G67-'Impacts B'!G67</f>
        <v>0</v>
      </c>
      <c r="H67" s="13">
        <f>'Impacts A'!H67-'Impacts B'!H67</f>
        <v>0</v>
      </c>
      <c r="I67" s="13">
        <f>'Impacts A'!I67-'Impacts B'!I67</f>
        <v>0</v>
      </c>
      <c r="J67" s="13">
        <f>'Impacts A'!J67-'Impacts B'!J67</f>
        <v>0</v>
      </c>
      <c r="K67" s="13">
        <f>'Impacts A'!K67-'Impacts B'!K67</f>
        <v>0</v>
      </c>
      <c r="L67" s="13">
        <f>'Impacts A'!L67-'Impacts B'!L67</f>
        <v>0</v>
      </c>
      <c r="N67" s="59" t="s">
        <v>40</v>
      </c>
    </row>
    <row r="68" spans="1:14" x14ac:dyDescent="0.25">
      <c r="A68" t="str">
        <v>LA sea level</v>
      </c>
      <c r="C68" s="13">
        <f>'Impacts A'!C68-'Impacts B'!C68</f>
        <v>0</v>
      </c>
      <c r="D68" s="13">
        <f>'Impacts A'!D68-'Impacts B'!D68</f>
        <v>0</v>
      </c>
      <c r="E68" s="13">
        <f>'Impacts A'!E68-'Impacts B'!E68</f>
        <v>0</v>
      </c>
      <c r="F68" s="13">
        <f>'Impacts A'!F68-'Impacts B'!F68</f>
        <v>0</v>
      </c>
      <c r="G68" s="13">
        <f>'Impacts A'!G68-'Impacts B'!G68</f>
        <v>0</v>
      </c>
      <c r="H68" s="13">
        <f>'Impacts A'!H68-'Impacts B'!H68</f>
        <v>0</v>
      </c>
      <c r="I68" s="13">
        <f>'Impacts A'!I68-'Impacts B'!I68</f>
        <v>0</v>
      </c>
      <c r="J68" s="13">
        <f>'Impacts A'!J68-'Impacts B'!J68</f>
        <v>0</v>
      </c>
      <c r="K68" s="13">
        <f>'Impacts A'!K68-'Impacts B'!K68</f>
        <v>0</v>
      </c>
      <c r="L68" s="13">
        <f>'Impacts A'!L68-'Impacts B'!L68</f>
        <v>0</v>
      </c>
      <c r="N68" s="59" t="s">
        <v>40</v>
      </c>
    </row>
    <row r="69" spans="1:14" ht="15.5" x14ac:dyDescent="0.4">
      <c r="C69" s="63" t="s">
        <v>233</v>
      </c>
    </row>
    <row r="70" spans="1:14" x14ac:dyDescent="0.25">
      <c r="A70" t="str">
        <f t="array" ref="A70:A77">R_CODE&amp;" "&amp;I_1_NAME</f>
        <v>EU Economic</v>
      </c>
      <c r="C70" s="13">
        <f>'Impacts A'!C70-'Impacts B'!C70</f>
        <v>0</v>
      </c>
      <c r="D70" s="13">
        <f>'Impacts A'!D70-'Impacts B'!D70</f>
        <v>0</v>
      </c>
      <c r="E70" s="13">
        <f>'Impacts A'!E70-'Impacts B'!E70</f>
        <v>0</v>
      </c>
      <c r="F70" s="13">
        <f>'Impacts A'!F70-'Impacts B'!F70</f>
        <v>0</v>
      </c>
      <c r="G70" s="13">
        <f>'Impacts A'!G70-'Impacts B'!G70</f>
        <v>0</v>
      </c>
      <c r="H70" s="13">
        <f>'Impacts A'!H70-'Impacts B'!H70</f>
        <v>0</v>
      </c>
      <c r="I70" s="13">
        <f>'Impacts A'!I70-'Impacts B'!I70</f>
        <v>0</v>
      </c>
      <c r="J70" s="13">
        <f>'Impacts A'!J70-'Impacts B'!J70</f>
        <v>0</v>
      </c>
      <c r="K70" s="13">
        <f>'Impacts A'!K70-'Impacts B'!K70</f>
        <v>0</v>
      </c>
      <c r="L70" s="13">
        <f>'Impacts A'!L70-'Impacts B'!L70</f>
        <v>0</v>
      </c>
      <c r="N70" s="59" t="s">
        <v>40</v>
      </c>
    </row>
    <row r="71" spans="1:14" x14ac:dyDescent="0.25">
      <c r="A71" t="str">
        <v>US Economic</v>
      </c>
      <c r="C71" s="13">
        <f>'Impacts A'!C71-'Impacts B'!C71</f>
        <v>0</v>
      </c>
      <c r="D71" s="13">
        <f>'Impacts A'!D71-'Impacts B'!D71</f>
        <v>0</v>
      </c>
      <c r="E71" s="13">
        <f>'Impacts A'!E71-'Impacts B'!E71</f>
        <v>0</v>
      </c>
      <c r="F71" s="13">
        <f>'Impacts A'!F71-'Impacts B'!F71</f>
        <v>0</v>
      </c>
      <c r="G71" s="13">
        <f>'Impacts A'!G71-'Impacts B'!G71</f>
        <v>0</v>
      </c>
      <c r="H71" s="13">
        <f>'Impacts A'!H71-'Impacts B'!H71</f>
        <v>0</v>
      </c>
      <c r="I71" s="13">
        <f>'Impacts A'!I71-'Impacts B'!I71</f>
        <v>0</v>
      </c>
      <c r="J71" s="13">
        <f>'Impacts A'!J71-'Impacts B'!J71</f>
        <v>0</v>
      </c>
      <c r="K71" s="13">
        <f>'Impacts A'!K71-'Impacts B'!K71</f>
        <v>0</v>
      </c>
      <c r="L71" s="13">
        <f>'Impacts A'!L71-'Impacts B'!L71</f>
        <v>0</v>
      </c>
      <c r="N71" s="59" t="s">
        <v>40</v>
      </c>
    </row>
    <row r="72" spans="1:14" x14ac:dyDescent="0.25">
      <c r="A72" t="str">
        <v>OT Economic</v>
      </c>
      <c r="C72" s="13">
        <f>'Impacts A'!C72-'Impacts B'!C72</f>
        <v>0</v>
      </c>
      <c r="D72" s="13">
        <f>'Impacts A'!D72-'Impacts B'!D72</f>
        <v>0</v>
      </c>
      <c r="E72" s="13">
        <f>'Impacts A'!E72-'Impacts B'!E72</f>
        <v>0</v>
      </c>
      <c r="F72" s="13">
        <f>'Impacts A'!F72-'Impacts B'!F72</f>
        <v>0</v>
      </c>
      <c r="G72" s="13">
        <f>'Impacts A'!G72-'Impacts B'!G72</f>
        <v>0</v>
      </c>
      <c r="H72" s="13">
        <f>'Impacts A'!H72-'Impacts B'!H72</f>
        <v>0</v>
      </c>
      <c r="I72" s="13">
        <f>'Impacts A'!I72-'Impacts B'!I72</f>
        <v>0</v>
      </c>
      <c r="J72" s="13">
        <f>'Impacts A'!J72-'Impacts B'!J72</f>
        <v>0</v>
      </c>
      <c r="K72" s="13">
        <f>'Impacts A'!K72-'Impacts B'!K72</f>
        <v>0</v>
      </c>
      <c r="L72" s="13">
        <f>'Impacts A'!L72-'Impacts B'!L72</f>
        <v>0</v>
      </c>
      <c r="N72" s="59" t="s">
        <v>40</v>
      </c>
    </row>
    <row r="73" spans="1:14" x14ac:dyDescent="0.25">
      <c r="A73" t="str">
        <v>EE Economic</v>
      </c>
      <c r="C73" s="13">
        <f>'Impacts A'!C73-'Impacts B'!C73</f>
        <v>0</v>
      </c>
      <c r="D73" s="13">
        <f>'Impacts A'!D73-'Impacts B'!D73</f>
        <v>0</v>
      </c>
      <c r="E73" s="13">
        <f>'Impacts A'!E73-'Impacts B'!E73</f>
        <v>0</v>
      </c>
      <c r="F73" s="13">
        <f>'Impacts A'!F73-'Impacts B'!F73</f>
        <v>0</v>
      </c>
      <c r="G73" s="13">
        <f>'Impacts A'!G73-'Impacts B'!G73</f>
        <v>0</v>
      </c>
      <c r="H73" s="13">
        <f>'Impacts A'!H73-'Impacts B'!H73</f>
        <v>0</v>
      </c>
      <c r="I73" s="13">
        <f>'Impacts A'!I73-'Impacts B'!I73</f>
        <v>0</v>
      </c>
      <c r="J73" s="13">
        <f>'Impacts A'!J73-'Impacts B'!J73</f>
        <v>0</v>
      </c>
      <c r="K73" s="13">
        <f>'Impacts A'!K73-'Impacts B'!K73</f>
        <v>0</v>
      </c>
      <c r="L73" s="13">
        <f>'Impacts A'!L73-'Impacts B'!L73</f>
        <v>0</v>
      </c>
      <c r="N73" s="59" t="s">
        <v>40</v>
      </c>
    </row>
    <row r="74" spans="1:14" x14ac:dyDescent="0.25">
      <c r="A74" t="str">
        <v>CA Economic</v>
      </c>
      <c r="C74" s="13">
        <f>'Impacts A'!C74-'Impacts B'!C74</f>
        <v>0</v>
      </c>
      <c r="D74" s="13">
        <f>'Impacts A'!D74-'Impacts B'!D74</f>
        <v>0</v>
      </c>
      <c r="E74" s="13">
        <f>'Impacts A'!E74-'Impacts B'!E74</f>
        <v>0</v>
      </c>
      <c r="F74" s="13">
        <f>'Impacts A'!F74-'Impacts B'!F74</f>
        <v>0</v>
      </c>
      <c r="G74" s="13">
        <f>'Impacts A'!G74-'Impacts B'!G74</f>
        <v>0</v>
      </c>
      <c r="H74" s="13">
        <f>'Impacts A'!H74-'Impacts B'!H74</f>
        <v>0</v>
      </c>
      <c r="I74" s="13">
        <f>'Impacts A'!I74-'Impacts B'!I74</f>
        <v>0</v>
      </c>
      <c r="J74" s="13">
        <f>'Impacts A'!J74-'Impacts B'!J74</f>
        <v>0</v>
      </c>
      <c r="K74" s="13">
        <f>'Impacts A'!K74-'Impacts B'!K74</f>
        <v>0</v>
      </c>
      <c r="L74" s="13">
        <f>'Impacts A'!L74-'Impacts B'!L74</f>
        <v>0</v>
      </c>
      <c r="N74" s="59" t="s">
        <v>40</v>
      </c>
    </row>
    <row r="75" spans="1:14" x14ac:dyDescent="0.25">
      <c r="A75" t="str">
        <v>IA Economic</v>
      </c>
      <c r="C75" s="13">
        <f>'Impacts A'!C75-'Impacts B'!C75</f>
        <v>0</v>
      </c>
      <c r="D75" s="13">
        <f>'Impacts A'!D75-'Impacts B'!D75</f>
        <v>0</v>
      </c>
      <c r="E75" s="13">
        <f>'Impacts A'!E75-'Impacts B'!E75</f>
        <v>0</v>
      </c>
      <c r="F75" s="13">
        <f>'Impacts A'!F75-'Impacts B'!F75</f>
        <v>0</v>
      </c>
      <c r="G75" s="13">
        <f>'Impacts A'!G75-'Impacts B'!G75</f>
        <v>0</v>
      </c>
      <c r="H75" s="13">
        <f>'Impacts A'!H75-'Impacts B'!H75</f>
        <v>0</v>
      </c>
      <c r="I75" s="13">
        <f>'Impacts A'!I75-'Impacts B'!I75</f>
        <v>0</v>
      </c>
      <c r="J75" s="13">
        <f>'Impacts A'!J75-'Impacts B'!J75</f>
        <v>0</v>
      </c>
      <c r="K75" s="13">
        <f>'Impacts A'!K75-'Impacts B'!K75</f>
        <v>0</v>
      </c>
      <c r="L75" s="13">
        <f>'Impacts A'!L75-'Impacts B'!L75</f>
        <v>0</v>
      </c>
      <c r="N75" s="59" t="s">
        <v>40</v>
      </c>
    </row>
    <row r="76" spans="1:14" x14ac:dyDescent="0.25">
      <c r="A76" t="str">
        <v>AF Economic</v>
      </c>
      <c r="C76" s="13">
        <f>'Impacts A'!C76-'Impacts B'!C76</f>
        <v>0</v>
      </c>
      <c r="D76" s="13">
        <f>'Impacts A'!D76-'Impacts B'!D76</f>
        <v>0</v>
      </c>
      <c r="E76" s="13">
        <f>'Impacts A'!E76-'Impacts B'!E76</f>
        <v>0</v>
      </c>
      <c r="F76" s="13">
        <f>'Impacts A'!F76-'Impacts B'!F76</f>
        <v>0</v>
      </c>
      <c r="G76" s="13">
        <f>'Impacts A'!G76-'Impacts B'!G76</f>
        <v>0</v>
      </c>
      <c r="H76" s="13">
        <f>'Impacts A'!H76-'Impacts B'!H76</f>
        <v>0</v>
      </c>
      <c r="I76" s="13">
        <f>'Impacts A'!I76-'Impacts B'!I76</f>
        <v>0</v>
      </c>
      <c r="J76" s="13">
        <f>'Impacts A'!J76-'Impacts B'!J76</f>
        <v>0</v>
      </c>
      <c r="K76" s="13">
        <f>'Impacts A'!K76-'Impacts B'!K76</f>
        <v>0</v>
      </c>
      <c r="L76" s="13">
        <f>'Impacts A'!L76-'Impacts B'!L76</f>
        <v>0</v>
      </c>
      <c r="N76" s="59" t="s">
        <v>40</v>
      </c>
    </row>
    <row r="77" spans="1:14" x14ac:dyDescent="0.25">
      <c r="A77" t="str">
        <v>LA Economic</v>
      </c>
      <c r="C77" s="13">
        <f>'Impacts A'!C77-'Impacts B'!C77</f>
        <v>0</v>
      </c>
      <c r="D77" s="13">
        <f>'Impacts A'!D77-'Impacts B'!D77</f>
        <v>0</v>
      </c>
      <c r="E77" s="13">
        <f>'Impacts A'!E77-'Impacts B'!E77</f>
        <v>0</v>
      </c>
      <c r="F77" s="13">
        <f>'Impacts A'!F77-'Impacts B'!F77</f>
        <v>0</v>
      </c>
      <c r="G77" s="13">
        <f>'Impacts A'!G77-'Impacts B'!G77</f>
        <v>0</v>
      </c>
      <c r="H77" s="13">
        <f>'Impacts A'!H77-'Impacts B'!H77</f>
        <v>0</v>
      </c>
      <c r="I77" s="13">
        <f>'Impacts A'!I77-'Impacts B'!I77</f>
        <v>0</v>
      </c>
      <c r="J77" s="13">
        <f>'Impacts A'!J77-'Impacts B'!J77</f>
        <v>0</v>
      </c>
      <c r="K77" s="13">
        <f>'Impacts A'!K77-'Impacts B'!K77</f>
        <v>0</v>
      </c>
      <c r="L77" s="13">
        <f>'Impacts A'!L77-'Impacts B'!L77</f>
        <v>0</v>
      </c>
      <c r="N77" s="59" t="s">
        <v>40</v>
      </c>
    </row>
    <row r="78" spans="1:14" ht="15.5" x14ac:dyDescent="0.4">
      <c r="C78" s="63" t="s">
        <v>234</v>
      </c>
    </row>
    <row r="79" spans="1:14" x14ac:dyDescent="0.25">
      <c r="A79" t="str">
        <f t="array" ref="A79:A86">R_CODE&amp;" "&amp;I_2_NAME</f>
        <v>EU Non-econ</v>
      </c>
      <c r="C79" s="13">
        <f>'Impacts A'!C79-'Impacts B'!C79</f>
        <v>0</v>
      </c>
      <c r="D79" s="13">
        <f>'Impacts A'!D79-'Impacts B'!D79</f>
        <v>0</v>
      </c>
      <c r="E79" s="13">
        <f>'Impacts A'!E79-'Impacts B'!E79</f>
        <v>0</v>
      </c>
      <c r="F79" s="13">
        <f>'Impacts A'!F79-'Impacts B'!F79</f>
        <v>0</v>
      </c>
      <c r="G79" s="13">
        <f>'Impacts A'!G79-'Impacts B'!G79</f>
        <v>0</v>
      </c>
      <c r="H79" s="13">
        <f>'Impacts A'!H79-'Impacts B'!H79</f>
        <v>0</v>
      </c>
      <c r="I79" s="13">
        <f>'Impacts A'!I79-'Impacts B'!I79</f>
        <v>0</v>
      </c>
      <c r="J79" s="13">
        <f>'Impacts A'!J79-'Impacts B'!J79</f>
        <v>0</v>
      </c>
      <c r="K79" s="13">
        <f>'Impacts A'!K79-'Impacts B'!K79</f>
        <v>0</v>
      </c>
      <c r="L79" s="13">
        <f>'Impacts A'!L79-'Impacts B'!L79</f>
        <v>0</v>
      </c>
      <c r="N79" s="59" t="s">
        <v>40</v>
      </c>
    </row>
    <row r="80" spans="1:14" x14ac:dyDescent="0.25">
      <c r="A80" t="str">
        <v>US Non-econ</v>
      </c>
      <c r="C80" s="13">
        <f>'Impacts A'!C80-'Impacts B'!C80</f>
        <v>0</v>
      </c>
      <c r="D80" s="13">
        <f>'Impacts A'!D80-'Impacts B'!D80</f>
        <v>0</v>
      </c>
      <c r="E80" s="13">
        <f>'Impacts A'!E80-'Impacts B'!E80</f>
        <v>0</v>
      </c>
      <c r="F80" s="13">
        <f>'Impacts A'!F80-'Impacts B'!F80</f>
        <v>0</v>
      </c>
      <c r="G80" s="13">
        <f>'Impacts A'!G80-'Impacts B'!G80</f>
        <v>0</v>
      </c>
      <c r="H80" s="13">
        <f>'Impacts A'!H80-'Impacts B'!H80</f>
        <v>0</v>
      </c>
      <c r="I80" s="13">
        <f>'Impacts A'!I80-'Impacts B'!I80</f>
        <v>0</v>
      </c>
      <c r="J80" s="13">
        <f>'Impacts A'!J80-'Impacts B'!J80</f>
        <v>0</v>
      </c>
      <c r="K80" s="13">
        <f>'Impacts A'!K80-'Impacts B'!K80</f>
        <v>0</v>
      </c>
      <c r="L80" s="13">
        <f>'Impacts A'!L80-'Impacts B'!L80</f>
        <v>0</v>
      </c>
      <c r="N80" s="59" t="s">
        <v>40</v>
      </c>
    </row>
    <row r="81" spans="1:14" x14ac:dyDescent="0.25">
      <c r="A81" t="str">
        <v>OT Non-econ</v>
      </c>
      <c r="C81" s="13">
        <f>'Impacts A'!C81-'Impacts B'!C81</f>
        <v>0</v>
      </c>
      <c r="D81" s="13">
        <f>'Impacts A'!D81-'Impacts B'!D81</f>
        <v>0</v>
      </c>
      <c r="E81" s="13">
        <f>'Impacts A'!E81-'Impacts B'!E81</f>
        <v>0</v>
      </c>
      <c r="F81" s="13">
        <f>'Impacts A'!F81-'Impacts B'!F81</f>
        <v>0</v>
      </c>
      <c r="G81" s="13">
        <f>'Impacts A'!G81-'Impacts B'!G81</f>
        <v>0</v>
      </c>
      <c r="H81" s="13">
        <f>'Impacts A'!H81-'Impacts B'!H81</f>
        <v>0</v>
      </c>
      <c r="I81" s="13">
        <f>'Impacts A'!I81-'Impacts B'!I81</f>
        <v>0</v>
      </c>
      <c r="J81" s="13">
        <f>'Impacts A'!J81-'Impacts B'!J81</f>
        <v>0</v>
      </c>
      <c r="K81" s="13">
        <f>'Impacts A'!K81-'Impacts B'!K81</f>
        <v>0</v>
      </c>
      <c r="L81" s="13">
        <f>'Impacts A'!L81-'Impacts B'!L81</f>
        <v>0</v>
      </c>
      <c r="N81" s="59" t="s">
        <v>40</v>
      </c>
    </row>
    <row r="82" spans="1:14" x14ac:dyDescent="0.25">
      <c r="A82" t="str">
        <v>EE Non-econ</v>
      </c>
      <c r="C82" s="13">
        <f>'Impacts A'!C82-'Impacts B'!C82</f>
        <v>0</v>
      </c>
      <c r="D82" s="13">
        <f>'Impacts A'!D82-'Impacts B'!D82</f>
        <v>0</v>
      </c>
      <c r="E82" s="13">
        <f>'Impacts A'!E82-'Impacts B'!E82</f>
        <v>0</v>
      </c>
      <c r="F82" s="13">
        <f>'Impacts A'!F82-'Impacts B'!F82</f>
        <v>0</v>
      </c>
      <c r="G82" s="13">
        <f>'Impacts A'!G82-'Impacts B'!G82</f>
        <v>0</v>
      </c>
      <c r="H82" s="13">
        <f>'Impacts A'!H82-'Impacts B'!H82</f>
        <v>0</v>
      </c>
      <c r="I82" s="13">
        <f>'Impacts A'!I82-'Impacts B'!I82</f>
        <v>0</v>
      </c>
      <c r="J82" s="13">
        <f>'Impacts A'!J82-'Impacts B'!J82</f>
        <v>0</v>
      </c>
      <c r="K82" s="13">
        <f>'Impacts A'!K82-'Impacts B'!K82</f>
        <v>0</v>
      </c>
      <c r="L82" s="13">
        <f>'Impacts A'!L82-'Impacts B'!L82</f>
        <v>0</v>
      </c>
      <c r="N82" s="59" t="s">
        <v>40</v>
      </c>
    </row>
    <row r="83" spans="1:14" x14ac:dyDescent="0.25">
      <c r="A83" t="str">
        <v>CA Non-econ</v>
      </c>
      <c r="C83" s="13">
        <f>'Impacts A'!C83-'Impacts B'!C83</f>
        <v>0</v>
      </c>
      <c r="D83" s="13">
        <f>'Impacts A'!D83-'Impacts B'!D83</f>
        <v>0</v>
      </c>
      <c r="E83" s="13">
        <f>'Impacts A'!E83-'Impacts B'!E83</f>
        <v>0</v>
      </c>
      <c r="F83" s="13">
        <f>'Impacts A'!F83-'Impacts B'!F83</f>
        <v>0</v>
      </c>
      <c r="G83" s="13">
        <f>'Impacts A'!G83-'Impacts B'!G83</f>
        <v>0</v>
      </c>
      <c r="H83" s="13">
        <f>'Impacts A'!H83-'Impacts B'!H83</f>
        <v>0</v>
      </c>
      <c r="I83" s="13">
        <f>'Impacts A'!I83-'Impacts B'!I83</f>
        <v>0</v>
      </c>
      <c r="J83" s="13">
        <f>'Impacts A'!J83-'Impacts B'!J83</f>
        <v>0</v>
      </c>
      <c r="K83" s="13">
        <f>'Impacts A'!K83-'Impacts B'!K83</f>
        <v>0</v>
      </c>
      <c r="L83" s="13">
        <f>'Impacts A'!L83-'Impacts B'!L83</f>
        <v>0</v>
      </c>
      <c r="N83" s="59" t="s">
        <v>40</v>
      </c>
    </row>
    <row r="84" spans="1:14" x14ac:dyDescent="0.25">
      <c r="A84" t="str">
        <v>IA Non-econ</v>
      </c>
      <c r="C84" s="13">
        <f>'Impacts A'!C84-'Impacts B'!C84</f>
        <v>0</v>
      </c>
      <c r="D84" s="13">
        <f>'Impacts A'!D84-'Impacts B'!D84</f>
        <v>0</v>
      </c>
      <c r="E84" s="13">
        <f>'Impacts A'!E84-'Impacts B'!E84</f>
        <v>0</v>
      </c>
      <c r="F84" s="13">
        <f>'Impacts A'!F84-'Impacts B'!F84</f>
        <v>0</v>
      </c>
      <c r="G84" s="13">
        <f>'Impacts A'!G84-'Impacts B'!G84</f>
        <v>0</v>
      </c>
      <c r="H84" s="13">
        <f>'Impacts A'!H84-'Impacts B'!H84</f>
        <v>0</v>
      </c>
      <c r="I84" s="13">
        <f>'Impacts A'!I84-'Impacts B'!I84</f>
        <v>0</v>
      </c>
      <c r="J84" s="13">
        <f>'Impacts A'!J84-'Impacts B'!J84</f>
        <v>0</v>
      </c>
      <c r="K84" s="13">
        <f>'Impacts A'!K84-'Impacts B'!K84</f>
        <v>0</v>
      </c>
      <c r="L84" s="13">
        <f>'Impacts A'!L84-'Impacts B'!L84</f>
        <v>0</v>
      </c>
      <c r="N84" s="59" t="s">
        <v>40</v>
      </c>
    </row>
    <row r="85" spans="1:14" x14ac:dyDescent="0.25">
      <c r="A85" t="str">
        <v>AF Non-econ</v>
      </c>
      <c r="C85" s="13">
        <f>'Impacts A'!C85-'Impacts B'!C85</f>
        <v>0</v>
      </c>
      <c r="D85" s="13">
        <f>'Impacts A'!D85-'Impacts B'!D85</f>
        <v>0</v>
      </c>
      <c r="E85" s="13">
        <f>'Impacts A'!E85-'Impacts B'!E85</f>
        <v>0</v>
      </c>
      <c r="F85" s="13">
        <f>'Impacts A'!F85-'Impacts B'!F85</f>
        <v>0</v>
      </c>
      <c r="G85" s="13">
        <f>'Impacts A'!G85-'Impacts B'!G85</f>
        <v>0</v>
      </c>
      <c r="H85" s="13">
        <f>'Impacts A'!H85-'Impacts B'!H85</f>
        <v>0</v>
      </c>
      <c r="I85" s="13">
        <f>'Impacts A'!I85-'Impacts B'!I85</f>
        <v>0</v>
      </c>
      <c r="J85" s="13">
        <f>'Impacts A'!J85-'Impacts B'!J85</f>
        <v>0</v>
      </c>
      <c r="K85" s="13">
        <f>'Impacts A'!K85-'Impacts B'!K85</f>
        <v>0</v>
      </c>
      <c r="L85" s="13">
        <f>'Impacts A'!L85-'Impacts B'!L85</f>
        <v>0</v>
      </c>
      <c r="N85" s="59" t="s">
        <v>40</v>
      </c>
    </row>
    <row r="86" spans="1:14" x14ac:dyDescent="0.25">
      <c r="A86" t="str">
        <v>LA Non-econ</v>
      </c>
      <c r="C86" s="13">
        <f>'Impacts A'!C86-'Impacts B'!C86</f>
        <v>0</v>
      </c>
      <c r="D86" s="13">
        <f>'Impacts A'!D86-'Impacts B'!D86</f>
        <v>0</v>
      </c>
      <c r="E86" s="13">
        <f>'Impacts A'!E86-'Impacts B'!E86</f>
        <v>0</v>
      </c>
      <c r="F86" s="13">
        <f>'Impacts A'!F86-'Impacts B'!F86</f>
        <v>0</v>
      </c>
      <c r="G86" s="13">
        <f>'Impacts A'!G86-'Impacts B'!G86</f>
        <v>0</v>
      </c>
      <c r="H86" s="13">
        <f>'Impacts A'!H86-'Impacts B'!H86</f>
        <v>0</v>
      </c>
      <c r="I86" s="13">
        <f>'Impacts A'!I86-'Impacts B'!I86</f>
        <v>0</v>
      </c>
      <c r="J86" s="13">
        <f>'Impacts A'!J86-'Impacts B'!J86</f>
        <v>0</v>
      </c>
      <c r="K86" s="13">
        <f>'Impacts A'!K86-'Impacts B'!K86</f>
        <v>0</v>
      </c>
      <c r="L86" s="13">
        <f>'Impacts A'!L86-'Impacts B'!L86</f>
        <v>0</v>
      </c>
      <c r="N86" s="59" t="s">
        <v>40</v>
      </c>
    </row>
    <row r="87" spans="1:14" s="2" customFormat="1" ht="15" x14ac:dyDescent="0.4">
      <c r="A87" s="2" t="s">
        <v>967</v>
      </c>
      <c r="C87" s="2" t="s">
        <v>204</v>
      </c>
    </row>
    <row r="88" spans="1:14" x14ac:dyDescent="0.25">
      <c r="A88" t="str">
        <f t="array" ref="A88:A95">R_CODE&amp;" sea level"</f>
        <v>EU sea level</v>
      </c>
      <c r="C88" s="29">
        <f ca="1">'Impacts A'!C88-'Impacts B'!C88</f>
        <v>2.7584951630521548E-5</v>
      </c>
      <c r="D88" s="29">
        <f ca="1">'Impacts A'!D88-'Impacts B'!D88</f>
        <v>3.9516905312797501E-4</v>
      </c>
      <c r="E88" s="29">
        <f ca="1">'Impacts A'!E88-'Impacts B'!E88</f>
        <v>1.1695121176267809E-3</v>
      </c>
      <c r="F88" s="29">
        <f ca="1">'Impacts A'!F88-'Impacts B'!F88</f>
        <v>2.3931794616686153E-3</v>
      </c>
      <c r="G88" s="29">
        <f ca="1">'Impacts A'!G88-'Impacts B'!G88</f>
        <v>8.4482533789880243E-3</v>
      </c>
      <c r="H88" s="29">
        <f ca="1">'Impacts A'!H88-'Impacts B'!H88</f>
        <v>1.6930939748940776E-2</v>
      </c>
      <c r="I88" s="29">
        <f ca="1">'Impacts A'!I88-'Impacts B'!I88</f>
        <v>4.0608366407915097E-2</v>
      </c>
      <c r="J88" s="29">
        <f ca="1">'Impacts A'!J88-'Impacts B'!J88</f>
        <v>6.4040908589620971E-2</v>
      </c>
      <c r="K88" s="29">
        <f ca="1">'Impacts A'!K88-'Impacts B'!K88</f>
        <v>8.5298687855651867E-2</v>
      </c>
      <c r="L88" s="29">
        <f ca="1">'Impacts A'!L88-'Impacts B'!L88</f>
        <v>0.10493314375201068</v>
      </c>
      <c r="M88" s="6"/>
      <c r="N88" s="59" t="s">
        <v>182</v>
      </c>
    </row>
    <row r="89" spans="1:14" x14ac:dyDescent="0.25">
      <c r="A89" t="str">
        <v>US sea level</v>
      </c>
      <c r="C89" s="26">
        <f ca="1">'Impacts A'!C89-'Impacts B'!C89</f>
        <v>2.7584951630521548E-5</v>
      </c>
      <c r="D89" s="26">
        <f ca="1">'Impacts A'!D89-'Impacts B'!D89</f>
        <v>3.9516905312797501E-4</v>
      </c>
      <c r="E89" s="26">
        <f ca="1">'Impacts A'!E89-'Impacts B'!E89</f>
        <v>1.1695121176267809E-3</v>
      </c>
      <c r="F89" s="26">
        <f ca="1">'Impacts A'!F89-'Impacts B'!F89</f>
        <v>2.3931794616686153E-3</v>
      </c>
      <c r="G89" s="26">
        <f ca="1">'Impacts A'!G89-'Impacts B'!G89</f>
        <v>8.4482533789880243E-3</v>
      </c>
      <c r="H89" s="26">
        <f ca="1">'Impacts A'!H89-'Impacts B'!H89</f>
        <v>1.6930939748940776E-2</v>
      </c>
      <c r="I89" s="26">
        <f ca="1">'Impacts A'!I89-'Impacts B'!I89</f>
        <v>4.0608366407915097E-2</v>
      </c>
      <c r="J89" s="26">
        <f ca="1">'Impacts A'!J89-'Impacts B'!J89</f>
        <v>6.4040908589620971E-2</v>
      </c>
      <c r="K89" s="26">
        <f ca="1">'Impacts A'!K89-'Impacts B'!K89</f>
        <v>8.5298687855651867E-2</v>
      </c>
      <c r="L89" s="26">
        <f ca="1">'Impacts A'!L89-'Impacts B'!L89</f>
        <v>0.10493314375201068</v>
      </c>
      <c r="M89" s="6"/>
      <c r="N89" s="59" t="s">
        <v>182</v>
      </c>
    </row>
    <row r="90" spans="1:14" x14ac:dyDescent="0.25">
      <c r="A90" t="str">
        <v>OT sea level</v>
      </c>
      <c r="C90" s="26">
        <f ca="1">'Impacts A'!C90-'Impacts B'!C90</f>
        <v>2.7584951630521548E-5</v>
      </c>
      <c r="D90" s="26">
        <f ca="1">'Impacts A'!D90-'Impacts B'!D90</f>
        <v>3.9516905312797501E-4</v>
      </c>
      <c r="E90" s="26">
        <f ca="1">'Impacts A'!E90-'Impacts B'!E90</f>
        <v>1.1695121176267809E-3</v>
      </c>
      <c r="F90" s="26">
        <f ca="1">'Impacts A'!F90-'Impacts B'!F90</f>
        <v>2.3931794616686153E-3</v>
      </c>
      <c r="G90" s="26">
        <f ca="1">'Impacts A'!G90-'Impacts B'!G90</f>
        <v>8.4482533789880243E-3</v>
      </c>
      <c r="H90" s="26">
        <f ca="1">'Impacts A'!H90-'Impacts B'!H90</f>
        <v>1.6930939748940776E-2</v>
      </c>
      <c r="I90" s="26">
        <f ca="1">'Impacts A'!I90-'Impacts B'!I90</f>
        <v>4.0608366407915097E-2</v>
      </c>
      <c r="J90" s="26">
        <f ca="1">'Impacts A'!J90-'Impacts B'!J90</f>
        <v>6.4040908589620971E-2</v>
      </c>
      <c r="K90" s="26">
        <f ca="1">'Impacts A'!K90-'Impacts B'!K90</f>
        <v>8.5298687855651867E-2</v>
      </c>
      <c r="L90" s="26">
        <f ca="1">'Impacts A'!L90-'Impacts B'!L90</f>
        <v>0.10493314375201068</v>
      </c>
      <c r="M90" s="6"/>
      <c r="N90" s="59" t="s">
        <v>182</v>
      </c>
    </row>
    <row r="91" spans="1:14" x14ac:dyDescent="0.25">
      <c r="A91" t="str">
        <v>EE sea level</v>
      </c>
      <c r="C91" s="26">
        <f ca="1">'Impacts A'!C91-'Impacts B'!C91</f>
        <v>2.7584951630521548E-5</v>
      </c>
      <c r="D91" s="26">
        <f ca="1">'Impacts A'!D91-'Impacts B'!D91</f>
        <v>3.9516905312797501E-4</v>
      </c>
      <c r="E91" s="26">
        <f ca="1">'Impacts A'!E91-'Impacts B'!E91</f>
        <v>1.1695121176267809E-3</v>
      </c>
      <c r="F91" s="26">
        <f ca="1">'Impacts A'!F91-'Impacts B'!F91</f>
        <v>2.3931794616686153E-3</v>
      </c>
      <c r="G91" s="26">
        <f ca="1">'Impacts A'!G91-'Impacts B'!G91</f>
        <v>8.4482533789880243E-3</v>
      </c>
      <c r="H91" s="26">
        <f ca="1">'Impacts A'!H91-'Impacts B'!H91</f>
        <v>1.6930939748940776E-2</v>
      </c>
      <c r="I91" s="26">
        <f ca="1">'Impacts A'!I91-'Impacts B'!I91</f>
        <v>4.0608366407915097E-2</v>
      </c>
      <c r="J91" s="26">
        <f ca="1">'Impacts A'!J91-'Impacts B'!J91</f>
        <v>6.4040908589620971E-2</v>
      </c>
      <c r="K91" s="26">
        <f ca="1">'Impacts A'!K91-'Impacts B'!K91</f>
        <v>8.5298687855651867E-2</v>
      </c>
      <c r="L91" s="26">
        <f ca="1">'Impacts A'!L91-'Impacts B'!L91</f>
        <v>0.10493314375201068</v>
      </c>
      <c r="M91" s="6"/>
      <c r="N91" s="59" t="s">
        <v>182</v>
      </c>
    </row>
    <row r="92" spans="1:14" x14ac:dyDescent="0.25">
      <c r="A92" t="str">
        <v>CA sea level</v>
      </c>
      <c r="C92" s="26">
        <f ca="1">'Impacts A'!C92-'Impacts B'!C92</f>
        <v>2.7584951630521548E-5</v>
      </c>
      <c r="D92" s="26">
        <f ca="1">'Impacts A'!D92-'Impacts B'!D92</f>
        <v>3.9516905312797501E-4</v>
      </c>
      <c r="E92" s="26">
        <f ca="1">'Impacts A'!E92-'Impacts B'!E92</f>
        <v>1.1695121176267809E-3</v>
      </c>
      <c r="F92" s="26">
        <f ca="1">'Impacts A'!F92-'Impacts B'!F92</f>
        <v>2.3931794616686153E-3</v>
      </c>
      <c r="G92" s="26">
        <f ca="1">'Impacts A'!G92-'Impacts B'!G92</f>
        <v>8.4482533789880243E-3</v>
      </c>
      <c r="H92" s="26">
        <f ca="1">'Impacts A'!H92-'Impacts B'!H92</f>
        <v>1.6930939748940776E-2</v>
      </c>
      <c r="I92" s="26">
        <f ca="1">'Impacts A'!I92-'Impacts B'!I92</f>
        <v>4.0608366407915097E-2</v>
      </c>
      <c r="J92" s="26">
        <f ca="1">'Impacts A'!J92-'Impacts B'!J92</f>
        <v>6.4040908589620971E-2</v>
      </c>
      <c r="K92" s="26">
        <f ca="1">'Impacts A'!K92-'Impacts B'!K92</f>
        <v>8.5298687855651867E-2</v>
      </c>
      <c r="L92" s="26">
        <f ca="1">'Impacts A'!L92-'Impacts B'!L92</f>
        <v>0.10493314375201046</v>
      </c>
      <c r="M92" s="6"/>
      <c r="N92" s="59" t="s">
        <v>182</v>
      </c>
    </row>
    <row r="93" spans="1:14" x14ac:dyDescent="0.25">
      <c r="A93" t="str">
        <v>IA sea level</v>
      </c>
      <c r="C93" s="26">
        <f ca="1">'Impacts A'!C93-'Impacts B'!C93</f>
        <v>2.7584951630521548E-5</v>
      </c>
      <c r="D93" s="26">
        <f ca="1">'Impacts A'!D93-'Impacts B'!D93</f>
        <v>3.9516905312797501E-4</v>
      </c>
      <c r="E93" s="26">
        <f ca="1">'Impacts A'!E93-'Impacts B'!E93</f>
        <v>1.1695121176267809E-3</v>
      </c>
      <c r="F93" s="26">
        <f ca="1">'Impacts A'!F93-'Impacts B'!F93</f>
        <v>2.3931794616686153E-3</v>
      </c>
      <c r="G93" s="26">
        <f ca="1">'Impacts A'!G93-'Impacts B'!G93</f>
        <v>8.4482533789880243E-3</v>
      </c>
      <c r="H93" s="26">
        <f ca="1">'Impacts A'!H93-'Impacts B'!H93</f>
        <v>1.6930939748940776E-2</v>
      </c>
      <c r="I93" s="26">
        <f ca="1">'Impacts A'!I93-'Impacts B'!I93</f>
        <v>4.0608366407915097E-2</v>
      </c>
      <c r="J93" s="26">
        <f ca="1">'Impacts A'!J93-'Impacts B'!J93</f>
        <v>6.4040908589620971E-2</v>
      </c>
      <c r="K93" s="26">
        <f ca="1">'Impacts A'!K93-'Impacts B'!K93</f>
        <v>8.5298687855651867E-2</v>
      </c>
      <c r="L93" s="26">
        <f ca="1">'Impacts A'!L93-'Impacts B'!L93</f>
        <v>0.10493314375201046</v>
      </c>
      <c r="M93" s="6"/>
      <c r="N93" s="59" t="s">
        <v>182</v>
      </c>
    </row>
    <row r="94" spans="1:14" x14ac:dyDescent="0.25">
      <c r="A94" t="str">
        <v>AF sea level</v>
      </c>
      <c r="C94" s="26">
        <f ca="1">'Impacts A'!C94-'Impacts B'!C94</f>
        <v>2.7584951630521548E-5</v>
      </c>
      <c r="D94" s="26">
        <f ca="1">'Impacts A'!D94-'Impacts B'!D94</f>
        <v>3.9516905312797501E-4</v>
      </c>
      <c r="E94" s="26">
        <f ca="1">'Impacts A'!E94-'Impacts B'!E94</f>
        <v>1.1695121176267809E-3</v>
      </c>
      <c r="F94" s="26">
        <f ca="1">'Impacts A'!F94-'Impacts B'!F94</f>
        <v>2.3931794616686153E-3</v>
      </c>
      <c r="G94" s="26">
        <f ca="1">'Impacts A'!G94-'Impacts B'!G94</f>
        <v>8.4482533789880243E-3</v>
      </c>
      <c r="H94" s="26">
        <f ca="1">'Impacts A'!H94-'Impacts B'!H94</f>
        <v>1.6930939748940776E-2</v>
      </c>
      <c r="I94" s="26">
        <f ca="1">'Impacts A'!I94-'Impacts B'!I94</f>
        <v>4.0608366407915097E-2</v>
      </c>
      <c r="J94" s="26">
        <f ca="1">'Impacts A'!J94-'Impacts B'!J94</f>
        <v>6.4040908589620971E-2</v>
      </c>
      <c r="K94" s="26">
        <f ca="1">'Impacts A'!K94-'Impacts B'!K94</f>
        <v>8.5298687855651867E-2</v>
      </c>
      <c r="L94" s="26">
        <f ca="1">'Impacts A'!L94-'Impacts B'!L94</f>
        <v>0.10493314375201046</v>
      </c>
      <c r="M94" s="6"/>
      <c r="N94" s="59" t="s">
        <v>182</v>
      </c>
    </row>
    <row r="95" spans="1:14" x14ac:dyDescent="0.25">
      <c r="A95" t="str">
        <v>LA sea level</v>
      </c>
      <c r="C95" s="26">
        <f ca="1">'Impacts A'!C95-'Impacts B'!C95</f>
        <v>2.7584951630521548E-5</v>
      </c>
      <c r="D95" s="26">
        <f ca="1">'Impacts A'!D95-'Impacts B'!D95</f>
        <v>3.9516905312797501E-4</v>
      </c>
      <c r="E95" s="26">
        <f ca="1">'Impacts A'!E95-'Impacts B'!E95</f>
        <v>1.1695121176267809E-3</v>
      </c>
      <c r="F95" s="26">
        <f ca="1">'Impacts A'!F95-'Impacts B'!F95</f>
        <v>2.3931794616686153E-3</v>
      </c>
      <c r="G95" s="26">
        <f ca="1">'Impacts A'!G95-'Impacts B'!G95</f>
        <v>8.4482533789880243E-3</v>
      </c>
      <c r="H95" s="26">
        <f ca="1">'Impacts A'!H95-'Impacts B'!H95</f>
        <v>1.6930939748940776E-2</v>
      </c>
      <c r="I95" s="26">
        <f ca="1">'Impacts A'!I95-'Impacts B'!I95</f>
        <v>4.0608366407915097E-2</v>
      </c>
      <c r="J95" s="26">
        <f ca="1">'Impacts A'!J95-'Impacts B'!J95</f>
        <v>6.4040908589620971E-2</v>
      </c>
      <c r="K95" s="26">
        <f ca="1">'Impacts A'!K95-'Impacts B'!K95</f>
        <v>8.5298687855651867E-2</v>
      </c>
      <c r="L95" s="26">
        <f ca="1">'Impacts A'!L95-'Impacts B'!L95</f>
        <v>0.10493314375201046</v>
      </c>
      <c r="M95" s="6"/>
      <c r="N95" s="59" t="s">
        <v>182</v>
      </c>
    </row>
    <row r="96" spans="1:14" ht="15" x14ac:dyDescent="0.4">
      <c r="A96" s="2" t="s">
        <v>968</v>
      </c>
      <c r="C96" s="2" t="s">
        <v>711</v>
      </c>
      <c r="D96" s="6"/>
      <c r="E96" s="6"/>
      <c r="F96" s="6"/>
      <c r="G96" s="6"/>
      <c r="H96" s="6"/>
      <c r="I96" s="6"/>
      <c r="J96" s="6"/>
      <c r="K96" s="6"/>
      <c r="L96" s="6"/>
      <c r="M96" s="6"/>
      <c r="N96" s="59"/>
    </row>
    <row r="97" spans="1:15" x14ac:dyDescent="0.25">
      <c r="A97" t="str">
        <f t="array" ref="A97:A104">R_CODE&amp;" "&amp;I_1_NAME</f>
        <v>EU Economic</v>
      </c>
      <c r="C97" s="29">
        <f ca="1">'Impacts A'!C97-'Impacts B'!C97</f>
        <v>1.5704384180761366E-3</v>
      </c>
      <c r="D97" s="29">
        <f ca="1">'Impacts A'!D97-'Impacts B'!D97</f>
        <v>1.0551441026565911E-2</v>
      </c>
      <c r="E97" s="29">
        <f ca="1">'Impacts A'!E97-'Impacts B'!E97</f>
        <v>2.2474350760623096E-2</v>
      </c>
      <c r="F97" s="29">
        <f ca="1">'Impacts A'!F97-'Impacts B'!F97</f>
        <v>3.5914779635433547E-2</v>
      </c>
      <c r="G97" s="29">
        <f ca="1">'Impacts A'!G97-'Impacts B'!G97</f>
        <v>7.2495314324431348E-2</v>
      </c>
      <c r="H97" s="29">
        <f ca="1">'Impacts A'!H97-'Impacts B'!H97</f>
        <v>0.10529378570532444</v>
      </c>
      <c r="I97" s="29">
        <f ca="1">'Impacts A'!I97-'Impacts B'!I97</f>
        <v>0.15519514846207905</v>
      </c>
      <c r="J97" s="29">
        <f ca="1">'Impacts A'!J97-'Impacts B'!J97</f>
        <v>0.17106660730824785</v>
      </c>
      <c r="K97" s="29">
        <f ca="1">'Impacts A'!K97-'Impacts B'!K97</f>
        <v>0.17512024373485779</v>
      </c>
      <c r="L97" s="29">
        <f ca="1">'Impacts A'!L97-'Impacts B'!L97</f>
        <v>0.18090598015455583</v>
      </c>
      <c r="M97" s="6"/>
      <c r="N97" s="59" t="s">
        <v>43</v>
      </c>
      <c r="O97" s="3" t="s">
        <v>713</v>
      </c>
    </row>
    <row r="98" spans="1:15" x14ac:dyDescent="0.25">
      <c r="A98" t="str">
        <v>US Economic</v>
      </c>
      <c r="C98" s="26">
        <f ca="1">'Impacts A'!C98-'Impacts B'!C98</f>
        <v>1.6569980159246711E-3</v>
      </c>
      <c r="D98" s="26">
        <f ca="1">'Impacts A'!D98-'Impacts B'!D98</f>
        <v>1.1133016516218674E-2</v>
      </c>
      <c r="E98" s="26">
        <f ca="1">'Impacts A'!E98-'Impacts B'!E98</f>
        <v>2.371309450333392E-2</v>
      </c>
      <c r="F98" s="26">
        <f ca="1">'Impacts A'!F98-'Impacts B'!F98</f>
        <v>3.7894334418488995E-2</v>
      </c>
      <c r="G98" s="26">
        <f ca="1">'Impacts A'!G98-'Impacts B'!G98</f>
        <v>7.6491119050976053E-2</v>
      </c>
      <c r="H98" s="26">
        <f ca="1">'Impacts A'!H98-'Impacts B'!H98</f>
        <v>0.11109738019301929</v>
      </c>
      <c r="I98" s="26">
        <f ca="1">'Impacts A'!I98-'Impacts B'!I98</f>
        <v>0.16374921176313784</v>
      </c>
      <c r="J98" s="26">
        <f ca="1">'Impacts A'!J98-'Impacts B'!J98</f>
        <v>0.1804954754276018</v>
      </c>
      <c r="K98" s="26">
        <f ca="1">'Impacts A'!K98-'Impacts B'!K98</f>
        <v>0.18477254063363091</v>
      </c>
      <c r="L98" s="26">
        <f ca="1">'Impacts A'!L98-'Impacts B'!L98</f>
        <v>0.19087717591110476</v>
      </c>
      <c r="M98" s="6"/>
      <c r="N98" s="59" t="s">
        <v>43</v>
      </c>
      <c r="O98" s="3" t="s">
        <v>713</v>
      </c>
    </row>
    <row r="99" spans="1:15" x14ac:dyDescent="0.25">
      <c r="A99" t="str">
        <v>OT Economic</v>
      </c>
      <c r="C99" s="26">
        <f ca="1">'Impacts A'!C99-'Impacts B'!C99</f>
        <v>1.5086101339001345E-3</v>
      </c>
      <c r="D99" s="26">
        <f ca="1">'Impacts A'!D99-'Impacts B'!D99</f>
        <v>1.0136029962527715E-2</v>
      </c>
      <c r="E99" s="26">
        <f ca="1">'Impacts A'!E99-'Impacts B'!E99</f>
        <v>2.1589533801543936E-2</v>
      </c>
      <c r="F99" s="26">
        <f ca="1">'Impacts A'!F99-'Impacts B'!F99</f>
        <v>3.450081193325083E-2</v>
      </c>
      <c r="G99" s="26">
        <f ca="1">'Impacts A'!G99-'Impacts B'!G99</f>
        <v>6.9641168091186145E-2</v>
      </c>
      <c r="H99" s="26">
        <f ca="1">'Impacts A'!H99-'Impacts B'!H99</f>
        <v>0.10114836107125669</v>
      </c>
      <c r="I99" s="26">
        <f ca="1">'Impacts A'!I99-'Impacts B'!I99</f>
        <v>0.14908510324703528</v>
      </c>
      <c r="J99" s="26">
        <f ca="1">'Impacts A'!J99-'Impacts B'!J99</f>
        <v>0.16433170150871135</v>
      </c>
      <c r="K99" s="26">
        <f ca="1">'Impacts A'!K99-'Impacts B'!K99</f>
        <v>0.16822574595002138</v>
      </c>
      <c r="L99" s="26">
        <f ca="1">'Impacts A'!L99-'Impacts B'!L99</f>
        <v>0.17378369747130584</v>
      </c>
      <c r="M99" s="6"/>
      <c r="N99" s="59" t="s">
        <v>43</v>
      </c>
      <c r="O99" s="3" t="s">
        <v>713</v>
      </c>
    </row>
    <row r="100" spans="1:15" x14ac:dyDescent="0.25">
      <c r="A100" t="str">
        <v>EE Economic</v>
      </c>
      <c r="C100" s="26">
        <f ca="1">'Impacts A'!C100-'Impacts B'!C100</f>
        <v>2.0403333778160615E-3</v>
      </c>
      <c r="D100" s="26">
        <f ca="1">'Impacts A'!D100-'Impacts B'!D100</f>
        <v>1.3708565113255133E-2</v>
      </c>
      <c r="E100" s="26">
        <f ca="1">'Impacts A'!E100-'Impacts B'!E100</f>
        <v>2.9198959649628264E-2</v>
      </c>
      <c r="F100" s="26">
        <f ca="1">'Impacts A'!F100-'Impacts B'!F100</f>
        <v>4.6660934172018997E-2</v>
      </c>
      <c r="G100" s="26">
        <f ca="1">'Impacts A'!G100-'Impacts B'!G100</f>
        <v>9.4186825697095244E-2</v>
      </c>
      <c r="H100" s="26">
        <f ca="1">'Impacts A'!H100-'Impacts B'!H100</f>
        <v>0.13679901292424113</v>
      </c>
      <c r="I100" s="26">
        <f ca="1">'Impacts A'!I100-'Impacts B'!I100</f>
        <v>0.20163149209639997</v>
      </c>
      <c r="J100" s="26">
        <f ca="1">'Impacts A'!J100-'Impacts B'!J100</f>
        <v>0.22225189138473311</v>
      </c>
      <c r="K100" s="26">
        <f ca="1">'Impacts A'!K100-'Impacts B'!K100</f>
        <v>0.22751842689961954</v>
      </c>
      <c r="L100" s="26">
        <f ca="1">'Impacts A'!L100-'Impacts B'!L100</f>
        <v>0.23503532854725684</v>
      </c>
      <c r="M100" s="6"/>
      <c r="N100" s="59" t="s">
        <v>43</v>
      </c>
      <c r="O100" s="3" t="s">
        <v>713</v>
      </c>
    </row>
    <row r="101" spans="1:15" x14ac:dyDescent="0.25">
      <c r="A101" t="str">
        <v>CA Economic</v>
      </c>
      <c r="C101" s="26">
        <f ca="1">'Impacts A'!C101-'Impacts B'!C101</f>
        <v>1.4467818497241325E-3</v>
      </c>
      <c r="D101" s="26">
        <f ca="1">'Impacts A'!D101-'Impacts B'!D101</f>
        <v>9.7206188984912956E-3</v>
      </c>
      <c r="E101" s="26">
        <f ca="1">'Impacts A'!E101-'Impacts B'!E101</f>
        <v>2.0704716842466553E-2</v>
      </c>
      <c r="F101" s="26">
        <f ca="1">'Impacts A'!F101-'Impacts B'!F101</f>
        <v>3.3086844231068113E-2</v>
      </c>
      <c r="G101" s="26">
        <f ca="1">'Impacts A'!G101-'Impacts B'!G101</f>
        <v>6.6787021857940942E-2</v>
      </c>
      <c r="H101" s="26">
        <f ca="1">'Impacts A'!H101-'Impacts B'!H101</f>
        <v>9.7002936437188936E-2</v>
      </c>
      <c r="I101" s="26">
        <f ca="1">'Impacts A'!I101-'Impacts B'!I101</f>
        <v>0.14297505803199329</v>
      </c>
      <c r="J101" s="26">
        <f ca="1">'Impacts A'!J101-'Impacts B'!J101</f>
        <v>0.15759679570917484</v>
      </c>
      <c r="K101" s="26">
        <f ca="1">'Impacts A'!K101-'Impacts B'!K101</f>
        <v>0.16133124816518674</v>
      </c>
      <c r="L101" s="26">
        <f ca="1">'Impacts A'!L101-'Impacts B'!L101</f>
        <v>0.1666614147880523</v>
      </c>
      <c r="M101" s="6"/>
      <c r="N101" s="59" t="s">
        <v>43</v>
      </c>
      <c r="O101" s="3" t="s">
        <v>713</v>
      </c>
    </row>
    <row r="102" spans="1:15" x14ac:dyDescent="0.25">
      <c r="A102" t="str">
        <v>IA Economic</v>
      </c>
      <c r="C102" s="26">
        <f ca="1">'Impacts A'!C102-'Impacts B'!C102</f>
        <v>1.2489313403598601E-3</v>
      </c>
      <c r="D102" s="26">
        <f ca="1">'Impacts A'!D102-'Impacts B'!D102</f>
        <v>8.3913034935676478E-3</v>
      </c>
      <c r="E102" s="26">
        <f ca="1">'Impacts A'!E102-'Impacts B'!E102</f>
        <v>1.7873302573409688E-2</v>
      </c>
      <c r="F102" s="26">
        <f ca="1">'Impacts A'!F102-'Impacts B'!F102</f>
        <v>2.8562147584082709E-2</v>
      </c>
      <c r="G102" s="26">
        <f ca="1">'Impacts A'!G102-'Impacts B'!G102</f>
        <v>5.7653753911555583E-2</v>
      </c>
      <c r="H102" s="26">
        <f ca="1">'Impacts A'!H102-'Impacts B'!H102</f>
        <v>8.3737577608172131E-2</v>
      </c>
      <c r="I102" s="26">
        <f ca="1">'Impacts A'!I102-'Impacts B'!I102</f>
        <v>0.12342291334385536</v>
      </c>
      <c r="J102" s="26">
        <f ca="1">'Impacts A'!J102-'Impacts B'!J102</f>
        <v>0.13604509715065305</v>
      </c>
      <c r="K102" s="26">
        <f ca="1">'Impacts A'!K102-'Impacts B'!K102</f>
        <v>0.1392688552537038</v>
      </c>
      <c r="L102" s="26">
        <f ca="1">'Impacts A'!L102-'Impacts B'!L102</f>
        <v>0.14387011020165374</v>
      </c>
      <c r="M102" s="6"/>
      <c r="N102" s="59" t="s">
        <v>43</v>
      </c>
      <c r="O102" s="3" t="s">
        <v>713</v>
      </c>
    </row>
    <row r="103" spans="1:15" x14ac:dyDescent="0.25">
      <c r="A103" t="str">
        <v>AF Economic</v>
      </c>
      <c r="C103" s="26">
        <f ca="1">'Impacts A'!C103-'Impacts B'!C103</f>
        <v>1.4962444770638683E-3</v>
      </c>
      <c r="D103" s="26">
        <f ca="1">'Impacts A'!D103-'Impacts B'!D103</f>
        <v>1.0052947749720431E-2</v>
      </c>
      <c r="E103" s="26">
        <f ca="1">'Impacts A'!E103-'Impacts B'!E103</f>
        <v>2.1412570409729881E-2</v>
      </c>
      <c r="F103" s="26">
        <f ca="1">'Impacts A'!F103-'Impacts B'!F103</f>
        <v>3.4218018392817129E-2</v>
      </c>
      <c r="G103" s="26">
        <f ca="1">'Impacts A'!G103-'Impacts B'!G103</f>
        <v>6.9070338844536394E-2</v>
      </c>
      <c r="H103" s="26">
        <f ca="1">'Impacts A'!H103-'Impacts B'!H103</f>
        <v>0.10031927614444314</v>
      </c>
      <c r="I103" s="26">
        <f ca="1">'Impacts A'!I103-'Impacts B'!I103</f>
        <v>0.14786309420402688</v>
      </c>
      <c r="J103" s="26">
        <f ca="1">'Impacts A'!J103-'Impacts B'!J103</f>
        <v>0.16298472034880618</v>
      </c>
      <c r="K103" s="26">
        <f ca="1">'Impacts A'!K103-'Impacts B'!K103</f>
        <v>0.16684684639305303</v>
      </c>
      <c r="L103" s="26">
        <f ca="1">'Impacts A'!L103-'Impacts B'!L103</f>
        <v>0.17235924093465727</v>
      </c>
      <c r="M103" s="6"/>
      <c r="N103" s="59" t="s">
        <v>43</v>
      </c>
      <c r="O103" s="3" t="s">
        <v>713</v>
      </c>
    </row>
    <row r="104" spans="1:15" x14ac:dyDescent="0.25">
      <c r="A104" t="str">
        <v>LA Economic</v>
      </c>
      <c r="C104" s="26">
        <f ca="1">'Impacts A'!C104-'Impacts B'!C104</f>
        <v>1.2860283108686588E-3</v>
      </c>
      <c r="D104" s="26">
        <f ca="1">'Impacts A'!D104-'Impacts B'!D104</f>
        <v>8.6405501319930522E-3</v>
      </c>
      <c r="E104" s="26">
        <f ca="1">'Impacts A'!E104-'Impacts B'!E104</f>
        <v>1.8404192748857184E-2</v>
      </c>
      <c r="F104" s="26">
        <f ca="1">'Impacts A'!F104-'Impacts B'!F104</f>
        <v>2.9410528205392694E-2</v>
      </c>
      <c r="G104" s="26">
        <f ca="1">'Impacts A'!G104-'Impacts B'!G104</f>
        <v>5.936624165150306E-2</v>
      </c>
      <c r="H104" s="26">
        <f ca="1">'Impacts A'!H104-'Impacts B'!H104</f>
        <v>8.6224832388612782E-2</v>
      </c>
      <c r="I104" s="26">
        <f ca="1">'Impacts A'!I104-'Impacts B'!I104</f>
        <v>0.12708894047288055</v>
      </c>
      <c r="J104" s="26">
        <f ca="1">'Impacts A'!J104-'Impacts B'!J104</f>
        <v>0.14008604063037566</v>
      </c>
      <c r="K104" s="26">
        <f ca="1">'Impacts A'!K104-'Impacts B'!K104</f>
        <v>0.14340555392460885</v>
      </c>
      <c r="L104" s="26">
        <f ca="1">'Impacts A'!L104-'Impacts B'!L104</f>
        <v>0.14814347981160481</v>
      </c>
      <c r="M104" s="6"/>
      <c r="N104" s="59" t="s">
        <v>43</v>
      </c>
      <c r="O104" s="3" t="s">
        <v>713</v>
      </c>
    </row>
    <row r="105" spans="1:15" s="2" customFormat="1" ht="15" x14ac:dyDescent="0.4">
      <c r="A105" s="2" t="s">
        <v>969</v>
      </c>
      <c r="C105" s="2" t="s">
        <v>710</v>
      </c>
    </row>
    <row r="106" spans="1:15" x14ac:dyDescent="0.25">
      <c r="A106" t="str">
        <f t="array" ref="A106:A113">R_CODE&amp;" "&amp;I_1_NAME</f>
        <v>EU Economic</v>
      </c>
      <c r="C106" s="29">
        <f ca="1">'Impacts A'!C106-'Impacts B'!C106</f>
        <v>1.5704384180770248E-3</v>
      </c>
      <c r="D106" s="29">
        <f ca="1">'Impacts A'!D106-'Impacts B'!D106</f>
        <v>1.0551441026566577E-2</v>
      </c>
      <c r="E106" s="29">
        <f ca="1">'Impacts A'!E106-'Impacts B'!E106</f>
        <v>2.2474350760623096E-2</v>
      </c>
      <c r="F106" s="29">
        <f ca="1">'Impacts A'!F106-'Impacts B'!F106</f>
        <v>3.5914779635433547E-2</v>
      </c>
      <c r="G106" s="29">
        <f ca="1">'Impacts A'!G106-'Impacts B'!G106</f>
        <v>7.2495314324431348E-2</v>
      </c>
      <c r="H106" s="29">
        <f ca="1">'Impacts A'!H106-'Impacts B'!H106</f>
        <v>0.10529378570532444</v>
      </c>
      <c r="I106" s="29">
        <f ca="1">'Impacts A'!I106-'Impacts B'!I106</f>
        <v>0.15519514846207816</v>
      </c>
      <c r="J106" s="29">
        <f ca="1">'Impacts A'!J106-'Impacts B'!J106</f>
        <v>0.17106660730824874</v>
      </c>
      <c r="K106" s="29">
        <f ca="1">'Impacts A'!K106-'Impacts B'!K106</f>
        <v>0.17512024373485824</v>
      </c>
      <c r="L106" s="29">
        <f ca="1">'Impacts A'!L106-'Impacts B'!L106</f>
        <v>0.18090598015455539</v>
      </c>
      <c r="M106" s="6"/>
      <c r="N106" s="59" t="s">
        <v>43</v>
      </c>
    </row>
    <row r="107" spans="1:15" x14ac:dyDescent="0.25">
      <c r="A107" t="str">
        <v>US Economic</v>
      </c>
      <c r="C107" s="26">
        <f ca="1">'Impacts A'!C107-'Impacts B'!C107</f>
        <v>1.6569980159235609E-3</v>
      </c>
      <c r="D107" s="26">
        <f ca="1">'Impacts A'!D107-'Impacts B'!D107</f>
        <v>1.1133016516219563E-2</v>
      </c>
      <c r="E107" s="26">
        <f ca="1">'Impacts A'!E107-'Impacts B'!E107</f>
        <v>2.3713094503334364E-2</v>
      </c>
      <c r="F107" s="26">
        <f ca="1">'Impacts A'!F107-'Impacts B'!F107</f>
        <v>3.7894334418488551E-2</v>
      </c>
      <c r="G107" s="26">
        <f ca="1">'Impacts A'!G107-'Impacts B'!G107</f>
        <v>7.6491119050975165E-2</v>
      </c>
      <c r="H107" s="26">
        <f ca="1">'Impacts A'!H107-'Impacts B'!H107</f>
        <v>0.11109738019301929</v>
      </c>
      <c r="I107" s="26">
        <f ca="1">'Impacts A'!I107-'Impacts B'!I107</f>
        <v>0.16374921176313739</v>
      </c>
      <c r="J107" s="26">
        <f ca="1">'Impacts A'!J107-'Impacts B'!J107</f>
        <v>0.18049547542760092</v>
      </c>
      <c r="K107" s="26">
        <f ca="1">'Impacts A'!K107-'Impacts B'!K107</f>
        <v>0.18477254063362958</v>
      </c>
      <c r="L107" s="26">
        <f ca="1">'Impacts A'!L107-'Impacts B'!L107</f>
        <v>0.19087717591110565</v>
      </c>
      <c r="M107" s="6"/>
      <c r="N107" s="59" t="s">
        <v>43</v>
      </c>
    </row>
    <row r="108" spans="1:15" x14ac:dyDescent="0.25">
      <c r="A108" t="str">
        <v>OT Economic</v>
      </c>
      <c r="C108" s="26">
        <f ca="1">'Impacts A'!C108-'Impacts B'!C108</f>
        <v>1.5086101339008007E-3</v>
      </c>
      <c r="D108" s="26">
        <f ca="1">'Impacts A'!D108-'Impacts B'!D108</f>
        <v>1.0136029962528381E-2</v>
      </c>
      <c r="E108" s="26">
        <f ca="1">'Impacts A'!E108-'Impacts B'!E108</f>
        <v>2.1589533801543492E-2</v>
      </c>
      <c r="F108" s="26">
        <f ca="1">'Impacts A'!F108-'Impacts B'!F108</f>
        <v>3.450081193325083E-2</v>
      </c>
      <c r="G108" s="26">
        <f ca="1">'Impacts A'!G108-'Impacts B'!G108</f>
        <v>6.9641168091186145E-2</v>
      </c>
      <c r="H108" s="26">
        <f ca="1">'Impacts A'!H108-'Impacts B'!H108</f>
        <v>0.10114836107125624</v>
      </c>
      <c r="I108" s="26">
        <f ca="1">'Impacts A'!I108-'Impacts B'!I108</f>
        <v>0.14908510324703528</v>
      </c>
      <c r="J108" s="26">
        <f ca="1">'Impacts A'!J108-'Impacts B'!J108</f>
        <v>0.16433170150871113</v>
      </c>
      <c r="K108" s="26">
        <f ca="1">'Impacts A'!K108-'Impacts B'!K108</f>
        <v>0.16822574595002093</v>
      </c>
      <c r="L108" s="26">
        <f ca="1">'Impacts A'!L108-'Impacts B'!L108</f>
        <v>0.17378369747130495</v>
      </c>
      <c r="M108" s="6"/>
      <c r="N108" s="59" t="s">
        <v>43</v>
      </c>
    </row>
    <row r="109" spans="1:15" x14ac:dyDescent="0.25">
      <c r="A109" t="str">
        <v>EE Economic</v>
      </c>
      <c r="C109" s="26">
        <f ca="1">'Impacts A'!C109-'Impacts B'!C109</f>
        <v>2.0403333778165056E-3</v>
      </c>
      <c r="D109" s="26">
        <f ca="1">'Impacts A'!D109-'Impacts B'!D109</f>
        <v>1.3708565113255577E-2</v>
      </c>
      <c r="E109" s="26">
        <f ca="1">'Impacts A'!E109-'Impacts B'!E109</f>
        <v>2.9198959649628264E-2</v>
      </c>
      <c r="F109" s="26">
        <f ca="1">'Impacts A'!F109-'Impacts B'!F109</f>
        <v>4.6660934172019441E-2</v>
      </c>
      <c r="G109" s="26">
        <f ca="1">'Impacts A'!G109-'Impacts B'!G109</f>
        <v>9.4186825697096133E-2</v>
      </c>
      <c r="H109" s="26">
        <f ca="1">'Impacts A'!H109-'Impacts B'!H109</f>
        <v>0.13679901292424024</v>
      </c>
      <c r="I109" s="26">
        <f ca="1">'Impacts A'!I109-'Impacts B'!I109</f>
        <v>0.20163149209640041</v>
      </c>
      <c r="J109" s="26">
        <f ca="1">'Impacts A'!J109-'Impacts B'!J109</f>
        <v>0.22225189138473267</v>
      </c>
      <c r="K109" s="26">
        <f ca="1">'Impacts A'!K109-'Impacts B'!K109</f>
        <v>0.22751842689961865</v>
      </c>
      <c r="L109" s="26">
        <f ca="1">'Impacts A'!L109-'Impacts B'!L109</f>
        <v>0.23503532854725684</v>
      </c>
      <c r="M109" s="6"/>
      <c r="N109" s="59" t="s">
        <v>43</v>
      </c>
    </row>
    <row r="110" spans="1:15" x14ac:dyDescent="0.25">
      <c r="A110" t="str">
        <v>CA Economic</v>
      </c>
      <c r="C110" s="26">
        <f ca="1">'Impacts A'!C110-'Impacts B'!C110</f>
        <v>1.4467818497243545E-3</v>
      </c>
      <c r="D110" s="26">
        <f ca="1">'Impacts A'!D110-'Impacts B'!D110</f>
        <v>9.7206188984904074E-3</v>
      </c>
      <c r="E110" s="26">
        <f ca="1">'Impacts A'!E110-'Impacts B'!E110</f>
        <v>2.0704716842463888E-2</v>
      </c>
      <c r="F110" s="26">
        <f ca="1">'Impacts A'!F110-'Impacts B'!F110</f>
        <v>3.3086844231068557E-2</v>
      </c>
      <c r="G110" s="26">
        <f ca="1">'Impacts A'!G110-'Impacts B'!G110</f>
        <v>6.6787021857940942E-2</v>
      </c>
      <c r="H110" s="26">
        <f ca="1">'Impacts A'!H110-'Impacts B'!H110</f>
        <v>9.7002936437188492E-2</v>
      </c>
      <c r="I110" s="26">
        <f ca="1">'Impacts A'!I110-'Impacts B'!I110</f>
        <v>0.14297505803199284</v>
      </c>
      <c r="J110" s="26">
        <f ca="1">'Impacts A'!J110-'Impacts B'!J110</f>
        <v>0.15759679570917373</v>
      </c>
      <c r="K110" s="26">
        <f ca="1">'Impacts A'!K110-'Impacts B'!K110</f>
        <v>0.16133124816518407</v>
      </c>
      <c r="L110" s="26">
        <f ca="1">'Impacts A'!L110-'Impacts B'!L110</f>
        <v>0.16666141478805474</v>
      </c>
      <c r="M110" s="6"/>
      <c r="N110" s="59" t="s">
        <v>43</v>
      </c>
    </row>
    <row r="111" spans="1:15" x14ac:dyDescent="0.25">
      <c r="A111" t="str">
        <v>IA Economic</v>
      </c>
      <c r="C111" s="26">
        <f ca="1">'Impacts A'!C111-'Impacts B'!C111</f>
        <v>1.2489313403605262E-3</v>
      </c>
      <c r="D111" s="26">
        <f ca="1">'Impacts A'!D111-'Impacts B'!D111</f>
        <v>8.391303493568758E-3</v>
      </c>
      <c r="E111" s="26">
        <f ca="1">'Impacts A'!E111-'Impacts B'!E111</f>
        <v>1.78733025734088E-2</v>
      </c>
      <c r="F111" s="26">
        <f ca="1">'Impacts A'!F111-'Impacts B'!F111</f>
        <v>2.8562147584084929E-2</v>
      </c>
      <c r="G111" s="26">
        <f ca="1">'Impacts A'!G111-'Impacts B'!G111</f>
        <v>5.7653753911555583E-2</v>
      </c>
      <c r="H111" s="26">
        <f ca="1">'Impacts A'!H111-'Impacts B'!H111</f>
        <v>8.3737577608171243E-2</v>
      </c>
      <c r="I111" s="26">
        <f ca="1">'Impacts A'!I111-'Impacts B'!I111</f>
        <v>0.12342291334385735</v>
      </c>
      <c r="J111" s="26">
        <f ca="1">'Impacts A'!J111-'Impacts B'!J111</f>
        <v>0.13604509715065438</v>
      </c>
      <c r="K111" s="26">
        <f ca="1">'Impacts A'!K111-'Impacts B'!K111</f>
        <v>0.13926885525370603</v>
      </c>
      <c r="L111" s="26">
        <f ca="1">'Impacts A'!L111-'Impacts B'!L111</f>
        <v>0.14387011020165419</v>
      </c>
      <c r="M111" s="6"/>
      <c r="N111" s="59" t="s">
        <v>43</v>
      </c>
    </row>
    <row r="112" spans="1:15" x14ac:dyDescent="0.25">
      <c r="A112" t="str">
        <v>AF Economic</v>
      </c>
      <c r="C112" s="26">
        <f ca="1">'Impacts A'!C112-'Impacts B'!C112</f>
        <v>1.4962444770654226E-3</v>
      </c>
      <c r="D112" s="26">
        <f ca="1">'Impacts A'!D112-'Impacts B'!D112</f>
        <v>1.0052947749720875E-2</v>
      </c>
      <c r="E112" s="26">
        <f ca="1">'Impacts A'!E112-'Impacts B'!E112</f>
        <v>2.141257040972766E-2</v>
      </c>
      <c r="F112" s="26">
        <f ca="1">'Impacts A'!F112-'Impacts B'!F112</f>
        <v>3.4218018392814464E-2</v>
      </c>
      <c r="G112" s="26">
        <f ca="1">'Impacts A'!G112-'Impacts B'!G112</f>
        <v>6.9070338844537282E-2</v>
      </c>
      <c r="H112" s="26">
        <f ca="1">'Impacts A'!H112-'Impacts B'!H112</f>
        <v>0.10031927614444269</v>
      </c>
      <c r="I112" s="26">
        <f ca="1">'Impacts A'!I112-'Impacts B'!I112</f>
        <v>0.14786309420402688</v>
      </c>
      <c r="J112" s="26">
        <f ca="1">'Impacts A'!J112-'Impacts B'!J112</f>
        <v>0.16298472034880396</v>
      </c>
      <c r="K112" s="26">
        <f ca="1">'Impacts A'!K112-'Impacts B'!K112</f>
        <v>0.16684684639305347</v>
      </c>
      <c r="L112" s="26">
        <f ca="1">'Impacts A'!L112-'Impacts B'!L112</f>
        <v>0.17235924093465504</v>
      </c>
      <c r="M112" s="6"/>
      <c r="N112" s="59" t="s">
        <v>43</v>
      </c>
    </row>
    <row r="113" spans="1:14" x14ac:dyDescent="0.25">
      <c r="A113" t="str">
        <v>LA Economic</v>
      </c>
      <c r="C113" s="26">
        <f ca="1">'Impacts A'!C113-'Impacts B'!C113</f>
        <v>1.2860283108662163E-3</v>
      </c>
      <c r="D113" s="26">
        <f ca="1">'Impacts A'!D113-'Impacts B'!D113</f>
        <v>8.6405501319914979E-3</v>
      </c>
      <c r="E113" s="26">
        <f ca="1">'Impacts A'!E113-'Impacts B'!E113</f>
        <v>1.840419274885674E-2</v>
      </c>
      <c r="F113" s="26">
        <f ca="1">'Impacts A'!F113-'Impacts B'!F113</f>
        <v>2.9410528205394471E-2</v>
      </c>
      <c r="G113" s="26">
        <f ca="1">'Impacts A'!G113-'Impacts B'!G113</f>
        <v>5.9366241651502616E-2</v>
      </c>
      <c r="H113" s="26">
        <f ca="1">'Impacts A'!H113-'Impacts B'!H113</f>
        <v>8.6224832388612338E-2</v>
      </c>
      <c r="I113" s="26">
        <f ca="1">'Impacts A'!I113-'Impacts B'!I113</f>
        <v>0.12708894047288255</v>
      </c>
      <c r="J113" s="26">
        <f ca="1">'Impacts A'!J113-'Impacts B'!J113</f>
        <v>0.140086040630377</v>
      </c>
      <c r="K113" s="26">
        <f ca="1">'Impacts A'!K113-'Impacts B'!K113</f>
        <v>0.14340555392460819</v>
      </c>
      <c r="L113" s="26">
        <f ca="1">'Impacts A'!L113-'Impacts B'!L113</f>
        <v>0.14814347981160414</v>
      </c>
      <c r="M113" s="6"/>
      <c r="N113" s="59" t="s">
        <v>43</v>
      </c>
    </row>
    <row r="114" spans="1:14" s="2" customFormat="1" ht="15" x14ac:dyDescent="0.4">
      <c r="A114" s="2" t="s">
        <v>970</v>
      </c>
      <c r="C114" s="2" t="s">
        <v>82</v>
      </c>
    </row>
    <row r="115" spans="1:14" x14ac:dyDescent="0.25">
      <c r="A115" t="str">
        <f t="array" ref="A115:A122">R_CODE&amp;" "&amp;I_2_NAME</f>
        <v>EU Non-econ</v>
      </c>
      <c r="C115" s="29">
        <f ca="1">'Impacts A'!C115-'Impacts B'!C115</f>
        <v>1.5704384180770248E-3</v>
      </c>
      <c r="D115" s="29">
        <f ca="1">'Impacts A'!D115-'Impacts B'!D115</f>
        <v>1.0551441026566577E-2</v>
      </c>
      <c r="E115" s="29">
        <f ca="1">'Impacts A'!E115-'Impacts B'!E115</f>
        <v>2.2474350760623096E-2</v>
      </c>
      <c r="F115" s="29">
        <f ca="1">'Impacts A'!F115-'Impacts B'!F115</f>
        <v>3.5914779635433547E-2</v>
      </c>
      <c r="G115" s="29">
        <f ca="1">'Impacts A'!G115-'Impacts B'!G115</f>
        <v>7.2495314324431348E-2</v>
      </c>
      <c r="H115" s="29">
        <f ca="1">'Impacts A'!H115-'Impacts B'!H115</f>
        <v>0.10529378570532444</v>
      </c>
      <c r="I115" s="29">
        <f ca="1">'Impacts A'!I115-'Impacts B'!I115</f>
        <v>0.15519514846207816</v>
      </c>
      <c r="J115" s="29">
        <f ca="1">'Impacts A'!J115-'Impacts B'!J115</f>
        <v>0.17106660730824874</v>
      </c>
      <c r="K115" s="29">
        <f ca="1">'Impacts A'!K115-'Impacts B'!K115</f>
        <v>0.17512024373485824</v>
      </c>
      <c r="L115" s="29">
        <f ca="1">'Impacts A'!L115-'Impacts B'!L115</f>
        <v>0.18090598015455539</v>
      </c>
      <c r="M115" s="6"/>
      <c r="N115" s="59" t="s">
        <v>43</v>
      </c>
    </row>
    <row r="116" spans="1:14" x14ac:dyDescent="0.25">
      <c r="A116" t="str">
        <v>US Non-econ</v>
      </c>
      <c r="C116" s="26">
        <f ca="1">'Impacts A'!C116-'Impacts B'!C116</f>
        <v>1.6569980159235609E-3</v>
      </c>
      <c r="D116" s="26">
        <f ca="1">'Impacts A'!D116-'Impacts B'!D116</f>
        <v>1.1133016516219563E-2</v>
      </c>
      <c r="E116" s="26">
        <f ca="1">'Impacts A'!E116-'Impacts B'!E116</f>
        <v>2.3713094503334364E-2</v>
      </c>
      <c r="F116" s="26">
        <f ca="1">'Impacts A'!F116-'Impacts B'!F116</f>
        <v>3.7894334418488551E-2</v>
      </c>
      <c r="G116" s="26">
        <f ca="1">'Impacts A'!G116-'Impacts B'!G116</f>
        <v>7.6491119050975165E-2</v>
      </c>
      <c r="H116" s="26">
        <f ca="1">'Impacts A'!H116-'Impacts B'!H116</f>
        <v>0.11109738019301929</v>
      </c>
      <c r="I116" s="26">
        <f ca="1">'Impacts A'!I116-'Impacts B'!I116</f>
        <v>0.16374921176313739</v>
      </c>
      <c r="J116" s="26">
        <f ca="1">'Impacts A'!J116-'Impacts B'!J116</f>
        <v>0.18049547542760092</v>
      </c>
      <c r="K116" s="26">
        <f ca="1">'Impacts A'!K116-'Impacts B'!K116</f>
        <v>0.18477254063362958</v>
      </c>
      <c r="L116" s="26">
        <f ca="1">'Impacts A'!L116-'Impacts B'!L116</f>
        <v>0.19087717591110565</v>
      </c>
      <c r="M116" s="6"/>
      <c r="N116" s="59" t="s">
        <v>43</v>
      </c>
    </row>
    <row r="117" spans="1:14" x14ac:dyDescent="0.25">
      <c r="A117" t="str">
        <v>OT Non-econ</v>
      </c>
      <c r="C117" s="26">
        <f ca="1">'Impacts A'!C117-'Impacts B'!C117</f>
        <v>1.5086101339008007E-3</v>
      </c>
      <c r="D117" s="26">
        <f ca="1">'Impacts A'!D117-'Impacts B'!D117</f>
        <v>1.0136029962528381E-2</v>
      </c>
      <c r="E117" s="26">
        <f ca="1">'Impacts A'!E117-'Impacts B'!E117</f>
        <v>2.1589533801543492E-2</v>
      </c>
      <c r="F117" s="26">
        <f ca="1">'Impacts A'!F117-'Impacts B'!F117</f>
        <v>3.450081193325083E-2</v>
      </c>
      <c r="G117" s="26">
        <f ca="1">'Impacts A'!G117-'Impacts B'!G117</f>
        <v>6.9641168091186145E-2</v>
      </c>
      <c r="H117" s="26">
        <f ca="1">'Impacts A'!H117-'Impacts B'!H117</f>
        <v>0.10114836107125624</v>
      </c>
      <c r="I117" s="26">
        <f ca="1">'Impacts A'!I117-'Impacts B'!I117</f>
        <v>0.14908510324703528</v>
      </c>
      <c r="J117" s="26">
        <f ca="1">'Impacts A'!J117-'Impacts B'!J117</f>
        <v>0.16433170150871113</v>
      </c>
      <c r="K117" s="26">
        <f ca="1">'Impacts A'!K117-'Impacts B'!K117</f>
        <v>0.16822574595002093</v>
      </c>
      <c r="L117" s="26">
        <f ca="1">'Impacts A'!L117-'Impacts B'!L117</f>
        <v>0.17378369747130495</v>
      </c>
      <c r="M117" s="6"/>
      <c r="N117" s="59" t="s">
        <v>43</v>
      </c>
    </row>
    <row r="118" spans="1:14" x14ac:dyDescent="0.25">
      <c r="A118" t="str">
        <v>EE Non-econ</v>
      </c>
      <c r="C118" s="26">
        <f ca="1">'Impacts A'!C118-'Impacts B'!C118</f>
        <v>2.0403333778165056E-3</v>
      </c>
      <c r="D118" s="26">
        <f ca="1">'Impacts A'!D118-'Impacts B'!D118</f>
        <v>1.3708565113255577E-2</v>
      </c>
      <c r="E118" s="26">
        <f ca="1">'Impacts A'!E118-'Impacts B'!E118</f>
        <v>2.9198959649628264E-2</v>
      </c>
      <c r="F118" s="26">
        <f ca="1">'Impacts A'!F118-'Impacts B'!F118</f>
        <v>4.6660934172019441E-2</v>
      </c>
      <c r="G118" s="26">
        <f ca="1">'Impacts A'!G118-'Impacts B'!G118</f>
        <v>9.4186825697096133E-2</v>
      </c>
      <c r="H118" s="26">
        <f ca="1">'Impacts A'!H118-'Impacts B'!H118</f>
        <v>0.13679901292424024</v>
      </c>
      <c r="I118" s="26">
        <f ca="1">'Impacts A'!I118-'Impacts B'!I118</f>
        <v>0.20163149209640041</v>
      </c>
      <c r="J118" s="26">
        <f ca="1">'Impacts A'!J118-'Impacts B'!J118</f>
        <v>0.22225189138473267</v>
      </c>
      <c r="K118" s="26">
        <f ca="1">'Impacts A'!K118-'Impacts B'!K118</f>
        <v>0.22751842689961865</v>
      </c>
      <c r="L118" s="26">
        <f ca="1">'Impacts A'!L118-'Impacts B'!L118</f>
        <v>0.23503532854725684</v>
      </c>
      <c r="M118" s="6"/>
      <c r="N118" s="59" t="s">
        <v>43</v>
      </c>
    </row>
    <row r="119" spans="1:14" x14ac:dyDescent="0.25">
      <c r="A119" t="str">
        <v>CA Non-econ</v>
      </c>
      <c r="C119" s="26">
        <f ca="1">'Impacts A'!C119-'Impacts B'!C119</f>
        <v>1.4467818497243545E-3</v>
      </c>
      <c r="D119" s="26">
        <f ca="1">'Impacts A'!D119-'Impacts B'!D119</f>
        <v>9.7206188984904074E-3</v>
      </c>
      <c r="E119" s="26">
        <f ca="1">'Impacts A'!E119-'Impacts B'!E119</f>
        <v>2.0704716842463888E-2</v>
      </c>
      <c r="F119" s="26">
        <f ca="1">'Impacts A'!F119-'Impacts B'!F119</f>
        <v>3.3086844231068557E-2</v>
      </c>
      <c r="G119" s="26">
        <f ca="1">'Impacts A'!G119-'Impacts B'!G119</f>
        <v>6.6787021857940942E-2</v>
      </c>
      <c r="H119" s="26">
        <f ca="1">'Impacts A'!H119-'Impacts B'!H119</f>
        <v>9.7002936437188492E-2</v>
      </c>
      <c r="I119" s="26">
        <f ca="1">'Impacts A'!I119-'Impacts B'!I119</f>
        <v>0.14297505803199284</v>
      </c>
      <c r="J119" s="26">
        <f ca="1">'Impacts A'!J119-'Impacts B'!J119</f>
        <v>0.15759679570917373</v>
      </c>
      <c r="K119" s="26">
        <f ca="1">'Impacts A'!K119-'Impacts B'!K119</f>
        <v>0.16133124816518407</v>
      </c>
      <c r="L119" s="26">
        <f ca="1">'Impacts A'!L119-'Impacts B'!L119</f>
        <v>0.16666141478805474</v>
      </c>
      <c r="M119" s="6"/>
      <c r="N119" s="59" t="s">
        <v>43</v>
      </c>
    </row>
    <row r="120" spans="1:14" x14ac:dyDescent="0.25">
      <c r="A120" t="str">
        <v>IA Non-econ</v>
      </c>
      <c r="C120" s="26">
        <f ca="1">'Impacts A'!C120-'Impacts B'!C120</f>
        <v>1.2489313403605262E-3</v>
      </c>
      <c r="D120" s="26">
        <f ca="1">'Impacts A'!D120-'Impacts B'!D120</f>
        <v>8.391303493568758E-3</v>
      </c>
      <c r="E120" s="26">
        <f ca="1">'Impacts A'!E120-'Impacts B'!E120</f>
        <v>1.78733025734088E-2</v>
      </c>
      <c r="F120" s="26">
        <f ca="1">'Impacts A'!F120-'Impacts B'!F120</f>
        <v>2.8562147584084929E-2</v>
      </c>
      <c r="G120" s="26">
        <f ca="1">'Impacts A'!G120-'Impacts B'!G120</f>
        <v>5.7653753911555583E-2</v>
      </c>
      <c r="H120" s="26">
        <f ca="1">'Impacts A'!H120-'Impacts B'!H120</f>
        <v>8.3737577608171243E-2</v>
      </c>
      <c r="I120" s="26">
        <f ca="1">'Impacts A'!I120-'Impacts B'!I120</f>
        <v>0.12342291334385735</v>
      </c>
      <c r="J120" s="26">
        <f ca="1">'Impacts A'!J120-'Impacts B'!J120</f>
        <v>0.13604509715065438</v>
      </c>
      <c r="K120" s="26">
        <f ca="1">'Impacts A'!K120-'Impacts B'!K120</f>
        <v>0.13926885525370603</v>
      </c>
      <c r="L120" s="26">
        <f ca="1">'Impacts A'!L120-'Impacts B'!L120</f>
        <v>0.14387011020165419</v>
      </c>
      <c r="M120" s="6"/>
      <c r="N120" s="59" t="s">
        <v>43</v>
      </c>
    </row>
    <row r="121" spans="1:14" x14ac:dyDescent="0.25">
      <c r="A121" t="str">
        <v>AF Non-econ</v>
      </c>
      <c r="C121" s="26">
        <f ca="1">'Impacts A'!C121-'Impacts B'!C121</f>
        <v>1.4962444770654226E-3</v>
      </c>
      <c r="D121" s="26">
        <f ca="1">'Impacts A'!D121-'Impacts B'!D121</f>
        <v>1.0052947749720875E-2</v>
      </c>
      <c r="E121" s="26">
        <f ca="1">'Impacts A'!E121-'Impacts B'!E121</f>
        <v>2.141257040972766E-2</v>
      </c>
      <c r="F121" s="26">
        <f ca="1">'Impacts A'!F121-'Impacts B'!F121</f>
        <v>3.4218018392814464E-2</v>
      </c>
      <c r="G121" s="26">
        <f ca="1">'Impacts A'!G121-'Impacts B'!G121</f>
        <v>6.9070338844537282E-2</v>
      </c>
      <c r="H121" s="26">
        <f ca="1">'Impacts A'!H121-'Impacts B'!H121</f>
        <v>0.10031927614444269</v>
      </c>
      <c r="I121" s="26">
        <f ca="1">'Impacts A'!I121-'Impacts B'!I121</f>
        <v>0.14786309420402688</v>
      </c>
      <c r="J121" s="26">
        <f ca="1">'Impacts A'!J121-'Impacts B'!J121</f>
        <v>0.16298472034880396</v>
      </c>
      <c r="K121" s="26">
        <f ca="1">'Impacts A'!K121-'Impacts B'!K121</f>
        <v>0.16684684639305347</v>
      </c>
      <c r="L121" s="26">
        <f ca="1">'Impacts A'!L121-'Impacts B'!L121</f>
        <v>0.17235924093465504</v>
      </c>
      <c r="M121" s="6"/>
      <c r="N121" s="59" t="s">
        <v>43</v>
      </c>
    </row>
    <row r="122" spans="1:14" x14ac:dyDescent="0.25">
      <c r="A122" t="str">
        <v>LA Non-econ</v>
      </c>
      <c r="C122" s="26">
        <f ca="1">'Impacts A'!C122-'Impacts B'!C122</f>
        <v>1.2860283108662163E-3</v>
      </c>
      <c r="D122" s="26">
        <f ca="1">'Impacts A'!D122-'Impacts B'!D122</f>
        <v>8.6405501319914979E-3</v>
      </c>
      <c r="E122" s="26">
        <f ca="1">'Impacts A'!E122-'Impacts B'!E122</f>
        <v>1.840419274885674E-2</v>
      </c>
      <c r="F122" s="26">
        <f ca="1">'Impacts A'!F122-'Impacts B'!F122</f>
        <v>2.9410528205394471E-2</v>
      </c>
      <c r="G122" s="26">
        <f ca="1">'Impacts A'!G122-'Impacts B'!G122</f>
        <v>5.9366241651502616E-2</v>
      </c>
      <c r="H122" s="26">
        <f ca="1">'Impacts A'!H122-'Impacts B'!H122</f>
        <v>8.6224832388612338E-2</v>
      </c>
      <c r="I122" s="26">
        <f ca="1">'Impacts A'!I122-'Impacts B'!I122</f>
        <v>0.12708894047288255</v>
      </c>
      <c r="J122" s="26">
        <f ca="1">'Impacts A'!J122-'Impacts B'!J122</f>
        <v>0.140086040630377</v>
      </c>
      <c r="K122" s="26">
        <f ca="1">'Impacts A'!K122-'Impacts B'!K122</f>
        <v>0.14340555392460819</v>
      </c>
      <c r="L122" s="26">
        <f ca="1">'Impacts A'!L122-'Impacts B'!L122</f>
        <v>0.14814347981160414</v>
      </c>
      <c r="M122" s="6"/>
      <c r="N122" s="59" t="s">
        <v>43</v>
      </c>
    </row>
    <row r="123" spans="1:14" s="2" customFormat="1" ht="15" x14ac:dyDescent="0.4">
      <c r="A123" s="2" t="s">
        <v>971</v>
      </c>
      <c r="C123" s="2" t="s">
        <v>135</v>
      </c>
    </row>
    <row r="124" spans="1:14" x14ac:dyDescent="0.25">
      <c r="A124" t="s">
        <v>136</v>
      </c>
      <c r="C124" s="26">
        <f ca="1">'Impacts A'!C124-'Impacts B'!C124</f>
        <v>1.2365656835251482E-3</v>
      </c>
      <c r="D124" s="26">
        <f ca="1">'Impacts A'!D124-'Impacts B'!D124</f>
        <v>8.3082212807610301E-3</v>
      </c>
      <c r="E124" s="26">
        <f ca="1">'Impacts A'!E124-'Impacts B'!E124</f>
        <v>1.7696339181592968E-2</v>
      </c>
      <c r="F124" s="26">
        <f ca="1">'Impacts A'!F124-'Impacts B'!F124</f>
        <v>2.8279354043648341E-2</v>
      </c>
      <c r="G124" s="26">
        <f ca="1">'Impacts A'!G124-'Impacts B'!G124</f>
        <v>5.708292466490672E-2</v>
      </c>
      <c r="H124" s="26">
        <f ca="1">'Impacts A'!H124-'Impacts B'!H124</f>
        <v>8.2908492681357693E-2</v>
      </c>
      <c r="I124" s="26">
        <f ca="1">'Impacts A'!I124-'Impacts B'!I124</f>
        <v>0.12220090430084873</v>
      </c>
      <c r="J124" s="26">
        <f ca="1">'Impacts A'!J124-'Impacts B'!J124</f>
        <v>0.13469811599074699</v>
      </c>
      <c r="K124" s="26">
        <f ca="1">'Impacts A'!K124-'Impacts B'!K124</f>
        <v>0.13788995569673856</v>
      </c>
      <c r="L124" s="26">
        <f ca="1">'Impacts A'!L124-'Impacts B'!L124</f>
        <v>0.14244565366500406</v>
      </c>
      <c r="M124" s="6"/>
      <c r="N124" s="1" t="s">
        <v>43</v>
      </c>
    </row>
    <row r="125" spans="1:14" x14ac:dyDescent="0.25">
      <c r="A125" t="s">
        <v>137</v>
      </c>
      <c r="C125" s="26">
        <f ca="1">'Impacts A'!C125-'Impacts B'!C125</f>
        <v>2.4731313670502131E-4</v>
      </c>
      <c r="D125" s="26">
        <f ca="1">'Impacts A'!D125-'Impacts B'!D125</f>
        <v>1.6616442561522065E-3</v>
      </c>
      <c r="E125" s="26">
        <f ca="1">'Impacts A'!E125-'Impacts B'!E125</f>
        <v>3.5392678363185964E-3</v>
      </c>
      <c r="F125" s="26">
        <f ca="1">'Impacts A'!F125-'Impacts B'!F125</f>
        <v>5.6558708087296877E-3</v>
      </c>
      <c r="G125" s="26">
        <f ca="1">'Impacts A'!G125-'Impacts B'!G125</f>
        <v>1.1416584932981338E-2</v>
      </c>
      <c r="H125" s="26">
        <f ca="1">'Impacts A'!H125-'Impacts B'!H125</f>
        <v>1.6581698536271533E-2</v>
      </c>
      <c r="I125" s="26">
        <f ca="1">'Impacts A'!I125-'Impacts B'!I125</f>
        <v>2.4440180860169747E-2</v>
      </c>
      <c r="J125" s="26">
        <f ca="1">'Impacts A'!J125-'Impacts B'!J125</f>
        <v>2.6939623198149399E-2</v>
      </c>
      <c r="K125" s="26">
        <f ca="1">'Impacts A'!K125-'Impacts B'!K125</f>
        <v>2.7577991139347714E-2</v>
      </c>
      <c r="L125" s="26">
        <f ca="1">'Impacts A'!L125-'Impacts B'!L125</f>
        <v>2.8489130733000814E-2</v>
      </c>
      <c r="M125" s="6"/>
      <c r="N125" s="1"/>
    </row>
    <row r="126" spans="1:14" x14ac:dyDescent="0.25">
      <c r="A126" s="3" t="s">
        <v>250</v>
      </c>
      <c r="C126" s="26">
        <f ca="1">'Impacts A'!C126-'Impacts B'!C126</f>
        <v>0</v>
      </c>
      <c r="D126" s="26">
        <f ca="1">'Impacts A'!D126-'Impacts B'!D126</f>
        <v>0</v>
      </c>
      <c r="E126" s="26">
        <f ca="1">'Impacts A'!E126-'Impacts B'!E126</f>
        <v>0</v>
      </c>
      <c r="F126" s="26">
        <f ca="1">'Impacts A'!F126-'Impacts B'!F126</f>
        <v>0</v>
      </c>
      <c r="G126" s="26">
        <f ca="1">'Impacts A'!G126-'Impacts B'!G126</f>
        <v>0</v>
      </c>
      <c r="H126" s="26">
        <f ca="1">'Impacts A'!H126-'Impacts B'!H126</f>
        <v>0</v>
      </c>
      <c r="I126" s="26">
        <f ca="1">'Impacts A'!I126-'Impacts B'!I126</f>
        <v>0</v>
      </c>
      <c r="J126" s="26">
        <f ca="1">'Impacts A'!J126-'Impacts B'!J126</f>
        <v>0</v>
      </c>
      <c r="K126" s="26">
        <f ca="1">'Impacts A'!K126-'Impacts B'!K126</f>
        <v>0</v>
      </c>
      <c r="L126" s="26">
        <f ca="1">'Impacts A'!L126-'Impacts B'!L126</f>
        <v>0</v>
      </c>
      <c r="M126" s="6"/>
      <c r="N126" s="1"/>
    </row>
    <row r="127" spans="1:14" x14ac:dyDescent="0.25">
      <c r="A127" t="s">
        <v>205</v>
      </c>
      <c r="B127" s="14">
        <f>'Impacts A'!B127-'Impacts B'!B127</f>
        <v>0</v>
      </c>
      <c r="C127" s="14">
        <f ca="1">'Impacts A'!C127-'Impacts B'!C127</f>
        <v>0</v>
      </c>
      <c r="D127" s="14">
        <f ca="1">'Impacts A'!D127-'Impacts B'!D127</f>
        <v>0</v>
      </c>
      <c r="E127" s="14">
        <f ca="1">'Impacts A'!E127-'Impacts B'!E127</f>
        <v>0</v>
      </c>
      <c r="F127" s="14">
        <f ca="1">'Impacts A'!F127-'Impacts B'!F127</f>
        <v>0</v>
      </c>
      <c r="G127" s="14">
        <f ca="1">'Impacts A'!G127-'Impacts B'!G127</f>
        <v>0</v>
      </c>
      <c r="H127" s="14">
        <f ca="1">'Impacts A'!H127-'Impacts B'!H127</f>
        <v>0</v>
      </c>
      <c r="I127" s="14">
        <f ca="1">'Impacts A'!I127-'Impacts B'!I127</f>
        <v>0</v>
      </c>
      <c r="J127" s="14">
        <f ca="1">'Impacts A'!J127-'Impacts B'!J127</f>
        <v>0</v>
      </c>
      <c r="K127" s="14">
        <f ca="1">'Impacts A'!K127-'Impacts B'!K127</f>
        <v>0</v>
      </c>
      <c r="L127" s="14">
        <f ca="1">'Impacts A'!L127-'Impacts B'!L127</f>
        <v>0</v>
      </c>
      <c r="M127" s="6"/>
      <c r="N127" s="1"/>
    </row>
    <row r="129" spans="1:14" s="1" customFormat="1" ht="13" x14ac:dyDescent="0.3">
      <c r="A129" s="44" t="s">
        <v>405</v>
      </c>
      <c r="B129" s="6"/>
      <c r="C129" s="6"/>
      <c r="D129" s="6"/>
      <c r="E129" s="6"/>
      <c r="F129" s="6"/>
      <c r="G129" s="6"/>
      <c r="H129" s="6"/>
      <c r="I129" s="6"/>
      <c r="J129" s="6"/>
      <c r="K129" s="6"/>
      <c r="L129" s="6"/>
    </row>
    <row r="130" spans="1:14" s="1" customFormat="1" x14ac:dyDescent="0.25">
      <c r="A130" s="1" t="str">
        <f t="array" ref="A130:A137">R_CODE</f>
        <v>EU</v>
      </c>
      <c r="B130" s="6"/>
      <c r="C130" s="29">
        <f ca="1">'Impacts A'!C130-'Impacts B'!C130</f>
        <v>0</v>
      </c>
      <c r="D130" s="29">
        <f ca="1">'Impacts A'!D130-'Impacts B'!D130</f>
        <v>0</v>
      </c>
      <c r="E130" s="29">
        <f ca="1">'Impacts A'!E130-'Impacts B'!E130</f>
        <v>0</v>
      </c>
      <c r="F130" s="29">
        <f ca="1">'Impacts A'!F130-'Impacts B'!F130</f>
        <v>0</v>
      </c>
      <c r="G130" s="29">
        <f ca="1">'Impacts A'!G130-'Impacts B'!G130</f>
        <v>0</v>
      </c>
      <c r="H130" s="29">
        <f ca="1">'Impacts A'!H130-'Impacts B'!H130</f>
        <v>0</v>
      </c>
      <c r="I130" s="29">
        <f ca="1">'Impacts A'!I130-'Impacts B'!I130</f>
        <v>0</v>
      </c>
      <c r="J130" s="29">
        <f ca="1">'Impacts A'!J130-'Impacts B'!J130</f>
        <v>0</v>
      </c>
      <c r="K130" s="29">
        <f ca="1">'Impacts A'!K130-'Impacts B'!K130</f>
        <v>0</v>
      </c>
      <c r="L130" s="29">
        <f ca="1">'Impacts A'!L130-'Impacts B'!L130</f>
        <v>0</v>
      </c>
      <c r="N130" s="1" t="str">
        <f t="shared" ref="N130:N137" si="0">CURRENCY_NAME&amp;"/"&amp;POP_UNIT_NAME</f>
        <v>$M(2015)/million</v>
      </c>
    </row>
    <row r="131" spans="1:14" s="1" customFormat="1" x14ac:dyDescent="0.25">
      <c r="A131" s="1" t="str">
        <v>US</v>
      </c>
      <c r="B131" s="6"/>
      <c r="C131" s="26">
        <f ca="1">'Impacts A'!C131-'Impacts B'!C131</f>
        <v>0</v>
      </c>
      <c r="D131" s="26">
        <f ca="1">'Impacts A'!D131-'Impacts B'!D131</f>
        <v>0</v>
      </c>
      <c r="E131" s="26">
        <f ca="1">'Impacts A'!E131-'Impacts B'!E131</f>
        <v>0</v>
      </c>
      <c r="F131" s="26">
        <f ca="1">'Impacts A'!F131-'Impacts B'!F131</f>
        <v>0</v>
      </c>
      <c r="G131" s="26">
        <f ca="1">'Impacts A'!G131-'Impacts B'!G131</f>
        <v>0</v>
      </c>
      <c r="H131" s="26">
        <f ca="1">'Impacts A'!H131-'Impacts B'!H131</f>
        <v>0</v>
      </c>
      <c r="I131" s="26">
        <f ca="1">'Impacts A'!I131-'Impacts B'!I131</f>
        <v>0</v>
      </c>
      <c r="J131" s="26">
        <f ca="1">'Impacts A'!J131-'Impacts B'!J131</f>
        <v>0</v>
      </c>
      <c r="K131" s="26">
        <f ca="1">'Impacts A'!K131-'Impacts B'!K131</f>
        <v>0</v>
      </c>
      <c r="L131" s="26">
        <f ca="1">'Impacts A'!L131-'Impacts B'!L131</f>
        <v>0</v>
      </c>
      <c r="N131" s="1" t="str">
        <f t="shared" si="0"/>
        <v>$M(2015)/million</v>
      </c>
    </row>
    <row r="132" spans="1:14" s="1" customFormat="1" x14ac:dyDescent="0.25">
      <c r="A132" s="1" t="str">
        <v>OT</v>
      </c>
      <c r="B132" s="6"/>
      <c r="C132" s="26">
        <f ca="1">'Impacts A'!C132-'Impacts B'!C132</f>
        <v>0</v>
      </c>
      <c r="D132" s="26">
        <f ca="1">'Impacts A'!D132-'Impacts B'!D132</f>
        <v>0</v>
      </c>
      <c r="E132" s="26">
        <f ca="1">'Impacts A'!E132-'Impacts B'!E132</f>
        <v>0</v>
      </c>
      <c r="F132" s="26">
        <f ca="1">'Impacts A'!F132-'Impacts B'!F132</f>
        <v>0</v>
      </c>
      <c r="G132" s="26">
        <f ca="1">'Impacts A'!G132-'Impacts B'!G132</f>
        <v>0</v>
      </c>
      <c r="H132" s="26">
        <f ca="1">'Impacts A'!H132-'Impacts B'!H132</f>
        <v>0</v>
      </c>
      <c r="I132" s="26">
        <f ca="1">'Impacts A'!I132-'Impacts B'!I132</f>
        <v>0</v>
      </c>
      <c r="J132" s="26">
        <f ca="1">'Impacts A'!J132-'Impacts B'!J132</f>
        <v>0</v>
      </c>
      <c r="K132" s="26">
        <f ca="1">'Impacts A'!K132-'Impacts B'!K132</f>
        <v>0</v>
      </c>
      <c r="L132" s="26">
        <f ca="1">'Impacts A'!L132-'Impacts B'!L132</f>
        <v>0</v>
      </c>
      <c r="N132" s="1" t="str">
        <f t="shared" si="0"/>
        <v>$M(2015)/million</v>
      </c>
    </row>
    <row r="133" spans="1:14" s="1" customFormat="1" x14ac:dyDescent="0.25">
      <c r="A133" s="1" t="str">
        <v>EE</v>
      </c>
      <c r="B133" s="6"/>
      <c r="C133" s="26">
        <f ca="1">'Impacts A'!C133-'Impacts B'!C133</f>
        <v>0</v>
      </c>
      <c r="D133" s="26">
        <f ca="1">'Impacts A'!D133-'Impacts B'!D133</f>
        <v>0</v>
      </c>
      <c r="E133" s="26">
        <f ca="1">'Impacts A'!E133-'Impacts B'!E133</f>
        <v>0</v>
      </c>
      <c r="F133" s="26">
        <f ca="1">'Impacts A'!F133-'Impacts B'!F133</f>
        <v>0</v>
      </c>
      <c r="G133" s="26">
        <f ca="1">'Impacts A'!G133-'Impacts B'!G133</f>
        <v>0</v>
      </c>
      <c r="H133" s="26">
        <f ca="1">'Impacts A'!H133-'Impacts B'!H133</f>
        <v>0</v>
      </c>
      <c r="I133" s="26">
        <f ca="1">'Impacts A'!I133-'Impacts B'!I133</f>
        <v>0</v>
      </c>
      <c r="J133" s="26">
        <f ca="1">'Impacts A'!J133-'Impacts B'!J133</f>
        <v>0</v>
      </c>
      <c r="K133" s="26">
        <f ca="1">'Impacts A'!K133-'Impacts B'!K133</f>
        <v>0</v>
      </c>
      <c r="L133" s="26">
        <f ca="1">'Impacts A'!L133-'Impacts B'!L133</f>
        <v>0</v>
      </c>
      <c r="N133" s="1" t="str">
        <f t="shared" si="0"/>
        <v>$M(2015)/million</v>
      </c>
    </row>
    <row r="134" spans="1:14" s="1" customFormat="1" x14ac:dyDescent="0.25">
      <c r="A134" s="1" t="str">
        <v>CA</v>
      </c>
      <c r="B134" s="6"/>
      <c r="C134" s="26">
        <f ca="1">'Impacts A'!C134-'Impacts B'!C134</f>
        <v>0</v>
      </c>
      <c r="D134" s="26">
        <f ca="1">'Impacts A'!D134-'Impacts B'!D134</f>
        <v>0</v>
      </c>
      <c r="E134" s="26">
        <f ca="1">'Impacts A'!E134-'Impacts B'!E134</f>
        <v>0</v>
      </c>
      <c r="F134" s="26">
        <f ca="1">'Impacts A'!F134-'Impacts B'!F134</f>
        <v>0</v>
      </c>
      <c r="G134" s="26">
        <f ca="1">'Impacts A'!G134-'Impacts B'!G134</f>
        <v>0</v>
      </c>
      <c r="H134" s="26">
        <f ca="1">'Impacts A'!H134-'Impacts B'!H134</f>
        <v>0</v>
      </c>
      <c r="I134" s="26">
        <f ca="1">'Impacts A'!I134-'Impacts B'!I134</f>
        <v>0</v>
      </c>
      <c r="J134" s="26">
        <f ca="1">'Impacts A'!J134-'Impacts B'!J134</f>
        <v>0</v>
      </c>
      <c r="K134" s="26">
        <f ca="1">'Impacts A'!K134-'Impacts B'!K134</f>
        <v>0</v>
      </c>
      <c r="L134" s="26">
        <f ca="1">'Impacts A'!L134-'Impacts B'!L134</f>
        <v>0</v>
      </c>
      <c r="N134" s="1" t="str">
        <f t="shared" si="0"/>
        <v>$M(2015)/million</v>
      </c>
    </row>
    <row r="135" spans="1:14" s="1" customFormat="1" x14ac:dyDescent="0.25">
      <c r="A135" s="1" t="str">
        <v>IA</v>
      </c>
      <c r="B135" s="6"/>
      <c r="C135" s="26">
        <f ca="1">'Impacts A'!C135-'Impacts B'!C135</f>
        <v>0</v>
      </c>
      <c r="D135" s="26">
        <f ca="1">'Impacts A'!D135-'Impacts B'!D135</f>
        <v>0</v>
      </c>
      <c r="E135" s="26">
        <f ca="1">'Impacts A'!E135-'Impacts B'!E135</f>
        <v>0</v>
      </c>
      <c r="F135" s="26">
        <f ca="1">'Impacts A'!F135-'Impacts B'!F135</f>
        <v>0</v>
      </c>
      <c r="G135" s="26">
        <f ca="1">'Impacts A'!G135-'Impacts B'!G135</f>
        <v>0</v>
      </c>
      <c r="H135" s="26">
        <f ca="1">'Impacts A'!H135-'Impacts B'!H135</f>
        <v>0</v>
      </c>
      <c r="I135" s="26">
        <f ca="1">'Impacts A'!I135-'Impacts B'!I135</f>
        <v>0</v>
      </c>
      <c r="J135" s="26">
        <f ca="1">'Impacts A'!J135-'Impacts B'!J135</f>
        <v>0</v>
      </c>
      <c r="K135" s="26">
        <f ca="1">'Impacts A'!K135-'Impacts B'!K135</f>
        <v>0</v>
      </c>
      <c r="L135" s="26">
        <f ca="1">'Impacts A'!L135-'Impacts B'!L135</f>
        <v>0</v>
      </c>
      <c r="N135" s="1" t="str">
        <f t="shared" si="0"/>
        <v>$M(2015)/million</v>
      </c>
    </row>
    <row r="136" spans="1:14" s="1" customFormat="1" x14ac:dyDescent="0.25">
      <c r="A136" s="1" t="str">
        <v>AF</v>
      </c>
      <c r="B136" s="6"/>
      <c r="C136" s="26">
        <f ca="1">'Impacts A'!C136-'Impacts B'!C136</f>
        <v>0</v>
      </c>
      <c r="D136" s="26">
        <f ca="1">'Impacts A'!D136-'Impacts B'!D136</f>
        <v>0</v>
      </c>
      <c r="E136" s="26">
        <f ca="1">'Impacts A'!E136-'Impacts B'!E136</f>
        <v>0</v>
      </c>
      <c r="F136" s="26">
        <f ca="1">'Impacts A'!F136-'Impacts B'!F136</f>
        <v>0</v>
      </c>
      <c r="G136" s="26">
        <f ca="1">'Impacts A'!G136-'Impacts B'!G136</f>
        <v>0</v>
      </c>
      <c r="H136" s="26">
        <f ca="1">'Impacts A'!H136-'Impacts B'!H136</f>
        <v>0</v>
      </c>
      <c r="I136" s="26">
        <f ca="1">'Impacts A'!I136-'Impacts B'!I136</f>
        <v>0</v>
      </c>
      <c r="J136" s="26">
        <f ca="1">'Impacts A'!J136-'Impacts B'!J136</f>
        <v>0</v>
      </c>
      <c r="K136" s="26">
        <f ca="1">'Impacts A'!K136-'Impacts B'!K136</f>
        <v>0</v>
      </c>
      <c r="L136" s="26">
        <f ca="1">'Impacts A'!L136-'Impacts B'!L136</f>
        <v>0</v>
      </c>
      <c r="N136" s="1" t="str">
        <f t="shared" si="0"/>
        <v>$M(2015)/million</v>
      </c>
    </row>
    <row r="137" spans="1:14" s="1" customFormat="1" x14ac:dyDescent="0.25">
      <c r="A137" s="1" t="str">
        <v>LA</v>
      </c>
      <c r="B137" s="6"/>
      <c r="C137" s="26">
        <f ca="1">'Impacts A'!C137-'Impacts B'!C137</f>
        <v>0</v>
      </c>
      <c r="D137" s="26">
        <f ca="1">'Impacts A'!D137-'Impacts B'!D137</f>
        <v>0</v>
      </c>
      <c r="E137" s="26">
        <f ca="1">'Impacts A'!E137-'Impacts B'!E137</f>
        <v>0</v>
      </c>
      <c r="F137" s="26">
        <f ca="1">'Impacts A'!F137-'Impacts B'!F137</f>
        <v>0</v>
      </c>
      <c r="G137" s="26">
        <f ca="1">'Impacts A'!G137-'Impacts B'!G137</f>
        <v>0</v>
      </c>
      <c r="H137" s="26">
        <f ca="1">'Impacts A'!H137-'Impacts B'!H137</f>
        <v>0</v>
      </c>
      <c r="I137" s="26">
        <f ca="1">'Impacts A'!I137-'Impacts B'!I137</f>
        <v>0</v>
      </c>
      <c r="J137" s="26">
        <f ca="1">'Impacts A'!J137-'Impacts B'!J137</f>
        <v>0</v>
      </c>
      <c r="K137" s="26">
        <f ca="1">'Impacts A'!K137-'Impacts B'!K137</f>
        <v>0</v>
      </c>
      <c r="L137" s="26">
        <f ca="1">'Impacts A'!L137-'Impacts B'!L137</f>
        <v>0</v>
      </c>
      <c r="N137" s="1" t="str">
        <f t="shared" si="0"/>
        <v>$M(2015)/million</v>
      </c>
    </row>
    <row r="138" spans="1:14" s="1" customFormat="1" ht="13" x14ac:dyDescent="0.3">
      <c r="A138" s="44" t="s">
        <v>406</v>
      </c>
      <c r="B138" s="6"/>
      <c r="C138" s="6"/>
      <c r="D138" s="6"/>
      <c r="E138" s="6"/>
      <c r="F138" s="6"/>
      <c r="G138" s="6"/>
      <c r="H138" s="6"/>
      <c r="I138" s="6"/>
      <c r="J138" s="6"/>
      <c r="K138" s="6"/>
      <c r="L138" s="6"/>
    </row>
    <row r="139" spans="1:14" s="1" customFormat="1" x14ac:dyDescent="0.25">
      <c r="A139" s="1" t="str">
        <f t="array" ref="A139:A146">R_CODE</f>
        <v>EU</v>
      </c>
      <c r="B139" s="6"/>
      <c r="C139" s="29">
        <f ca="1">'Impacts A'!C139-'Impacts B'!C139</f>
        <v>0</v>
      </c>
      <c r="D139" s="29">
        <f ca="1">'Impacts A'!D139-'Impacts B'!D139</f>
        <v>0</v>
      </c>
      <c r="E139" s="29">
        <f ca="1">'Impacts A'!E139-'Impacts B'!E139</f>
        <v>0</v>
      </c>
      <c r="F139" s="29">
        <f ca="1">'Impacts A'!F139-'Impacts B'!F139</f>
        <v>0</v>
      </c>
      <c r="G139" s="29">
        <f ca="1">'Impacts A'!G139-'Impacts B'!G139</f>
        <v>0</v>
      </c>
      <c r="H139" s="29">
        <f ca="1">'Impacts A'!H139-'Impacts B'!H139</f>
        <v>0</v>
      </c>
      <c r="I139" s="29">
        <f ca="1">'Impacts A'!I139-'Impacts B'!I139</f>
        <v>0</v>
      </c>
      <c r="J139" s="29">
        <f ca="1">'Impacts A'!J139-'Impacts B'!J139</f>
        <v>0</v>
      </c>
      <c r="K139" s="29">
        <f ca="1">'Impacts A'!K139-'Impacts B'!K139</f>
        <v>0</v>
      </c>
      <c r="L139" s="29">
        <f ca="1">'Impacts A'!L139-'Impacts B'!L139</f>
        <v>0</v>
      </c>
      <c r="N139" s="1" t="str">
        <f t="shared" ref="N139:N146" si="1">CURRENCY_NAME&amp;"/"&amp;POP_UNIT_NAME</f>
        <v>$M(2015)/million</v>
      </c>
    </row>
    <row r="140" spans="1:14" s="1" customFormat="1" x14ac:dyDescent="0.25">
      <c r="A140" s="1" t="str">
        <v>US</v>
      </c>
      <c r="B140" s="6"/>
      <c r="C140" s="26">
        <f ca="1">'Impacts A'!C140-'Impacts B'!C140</f>
        <v>0</v>
      </c>
      <c r="D140" s="26">
        <f ca="1">'Impacts A'!D140-'Impacts B'!D140</f>
        <v>0</v>
      </c>
      <c r="E140" s="26">
        <f ca="1">'Impacts A'!E140-'Impacts B'!E140</f>
        <v>0</v>
      </c>
      <c r="F140" s="26">
        <f ca="1">'Impacts A'!F140-'Impacts B'!F140</f>
        <v>0</v>
      </c>
      <c r="G140" s="26">
        <f ca="1">'Impacts A'!G140-'Impacts B'!G140</f>
        <v>0</v>
      </c>
      <c r="H140" s="26">
        <f ca="1">'Impacts A'!H140-'Impacts B'!H140</f>
        <v>0</v>
      </c>
      <c r="I140" s="26">
        <f ca="1">'Impacts A'!I140-'Impacts B'!I140</f>
        <v>0</v>
      </c>
      <c r="J140" s="26">
        <f ca="1">'Impacts A'!J140-'Impacts B'!J140</f>
        <v>0</v>
      </c>
      <c r="K140" s="26">
        <f ca="1">'Impacts A'!K140-'Impacts B'!K140</f>
        <v>0</v>
      </c>
      <c r="L140" s="26">
        <f ca="1">'Impacts A'!L140-'Impacts B'!L140</f>
        <v>0</v>
      </c>
      <c r="N140" s="1" t="str">
        <f t="shared" si="1"/>
        <v>$M(2015)/million</v>
      </c>
    </row>
    <row r="141" spans="1:14" s="1" customFormat="1" x14ac:dyDescent="0.25">
      <c r="A141" s="1" t="str">
        <v>OT</v>
      </c>
      <c r="B141" s="6"/>
      <c r="C141" s="26">
        <f ca="1">'Impacts A'!C141-'Impacts B'!C141</f>
        <v>0</v>
      </c>
      <c r="D141" s="26">
        <f ca="1">'Impacts A'!D141-'Impacts B'!D141</f>
        <v>0</v>
      </c>
      <c r="E141" s="26">
        <f ca="1">'Impacts A'!E141-'Impacts B'!E141</f>
        <v>0</v>
      </c>
      <c r="F141" s="26">
        <f ca="1">'Impacts A'!F141-'Impacts B'!F141</f>
        <v>0</v>
      </c>
      <c r="G141" s="26">
        <f ca="1">'Impacts A'!G141-'Impacts B'!G141</f>
        <v>0</v>
      </c>
      <c r="H141" s="26">
        <f ca="1">'Impacts A'!H141-'Impacts B'!H141</f>
        <v>0</v>
      </c>
      <c r="I141" s="26">
        <f ca="1">'Impacts A'!I141-'Impacts B'!I141</f>
        <v>0</v>
      </c>
      <c r="J141" s="26">
        <f ca="1">'Impacts A'!J141-'Impacts B'!J141</f>
        <v>0</v>
      </c>
      <c r="K141" s="26">
        <f ca="1">'Impacts A'!K141-'Impacts B'!K141</f>
        <v>0</v>
      </c>
      <c r="L141" s="26">
        <f ca="1">'Impacts A'!L141-'Impacts B'!L141</f>
        <v>0</v>
      </c>
      <c r="N141" s="1" t="str">
        <f t="shared" si="1"/>
        <v>$M(2015)/million</v>
      </c>
    </row>
    <row r="142" spans="1:14" s="1" customFormat="1" x14ac:dyDescent="0.25">
      <c r="A142" s="1" t="str">
        <v>EE</v>
      </c>
      <c r="B142" s="6"/>
      <c r="C142" s="26">
        <f ca="1">'Impacts A'!C142-'Impacts B'!C142</f>
        <v>0</v>
      </c>
      <c r="D142" s="26">
        <f ca="1">'Impacts A'!D142-'Impacts B'!D142</f>
        <v>0</v>
      </c>
      <c r="E142" s="26">
        <f ca="1">'Impacts A'!E142-'Impacts B'!E142</f>
        <v>0</v>
      </c>
      <c r="F142" s="26">
        <f ca="1">'Impacts A'!F142-'Impacts B'!F142</f>
        <v>0</v>
      </c>
      <c r="G142" s="26">
        <f ca="1">'Impacts A'!G142-'Impacts B'!G142</f>
        <v>0</v>
      </c>
      <c r="H142" s="26">
        <f ca="1">'Impacts A'!H142-'Impacts B'!H142</f>
        <v>0</v>
      </c>
      <c r="I142" s="26">
        <f ca="1">'Impacts A'!I142-'Impacts B'!I142</f>
        <v>0</v>
      </c>
      <c r="J142" s="26">
        <f ca="1">'Impacts A'!J142-'Impacts B'!J142</f>
        <v>0</v>
      </c>
      <c r="K142" s="26">
        <f ca="1">'Impacts A'!K142-'Impacts B'!K142</f>
        <v>0</v>
      </c>
      <c r="L142" s="26">
        <f ca="1">'Impacts A'!L142-'Impacts B'!L142</f>
        <v>0</v>
      </c>
      <c r="N142" s="1" t="str">
        <f t="shared" si="1"/>
        <v>$M(2015)/million</v>
      </c>
    </row>
    <row r="143" spans="1:14" s="1" customFormat="1" x14ac:dyDescent="0.25">
      <c r="A143" s="1" t="str">
        <v>CA</v>
      </c>
      <c r="B143" s="6"/>
      <c r="C143" s="26">
        <f ca="1">'Impacts A'!C143-'Impacts B'!C143</f>
        <v>0</v>
      </c>
      <c r="D143" s="26">
        <f ca="1">'Impacts A'!D143-'Impacts B'!D143</f>
        <v>0</v>
      </c>
      <c r="E143" s="26">
        <f ca="1">'Impacts A'!E143-'Impacts B'!E143</f>
        <v>0</v>
      </c>
      <c r="F143" s="26">
        <f ca="1">'Impacts A'!F143-'Impacts B'!F143</f>
        <v>0</v>
      </c>
      <c r="G143" s="26">
        <f ca="1">'Impacts A'!G143-'Impacts B'!G143</f>
        <v>0</v>
      </c>
      <c r="H143" s="26">
        <f ca="1">'Impacts A'!H143-'Impacts B'!H143</f>
        <v>0</v>
      </c>
      <c r="I143" s="26">
        <f ca="1">'Impacts A'!I143-'Impacts B'!I143</f>
        <v>0</v>
      </c>
      <c r="J143" s="26">
        <f ca="1">'Impacts A'!J143-'Impacts B'!J143</f>
        <v>0</v>
      </c>
      <c r="K143" s="26">
        <f ca="1">'Impacts A'!K143-'Impacts B'!K143</f>
        <v>0</v>
      </c>
      <c r="L143" s="26">
        <f ca="1">'Impacts A'!L143-'Impacts B'!L143</f>
        <v>0</v>
      </c>
      <c r="N143" s="1" t="str">
        <f t="shared" si="1"/>
        <v>$M(2015)/million</v>
      </c>
    </row>
    <row r="144" spans="1:14" s="1" customFormat="1" x14ac:dyDescent="0.25">
      <c r="A144" s="1" t="str">
        <v>IA</v>
      </c>
      <c r="B144" s="6"/>
      <c r="C144" s="26">
        <f ca="1">'Impacts A'!C144-'Impacts B'!C144</f>
        <v>0</v>
      </c>
      <c r="D144" s="26">
        <f ca="1">'Impacts A'!D144-'Impacts B'!D144</f>
        <v>0</v>
      </c>
      <c r="E144" s="26">
        <f ca="1">'Impacts A'!E144-'Impacts B'!E144</f>
        <v>0</v>
      </c>
      <c r="F144" s="26">
        <f ca="1">'Impacts A'!F144-'Impacts B'!F144</f>
        <v>0</v>
      </c>
      <c r="G144" s="26">
        <f ca="1">'Impacts A'!G144-'Impacts B'!G144</f>
        <v>0</v>
      </c>
      <c r="H144" s="26">
        <f ca="1">'Impacts A'!H144-'Impacts B'!H144</f>
        <v>0</v>
      </c>
      <c r="I144" s="26">
        <f ca="1">'Impacts A'!I144-'Impacts B'!I144</f>
        <v>0</v>
      </c>
      <c r="J144" s="26">
        <f ca="1">'Impacts A'!J144-'Impacts B'!J144</f>
        <v>0</v>
      </c>
      <c r="K144" s="26">
        <f ca="1">'Impacts A'!K144-'Impacts B'!K144</f>
        <v>0</v>
      </c>
      <c r="L144" s="26">
        <f ca="1">'Impacts A'!L144-'Impacts B'!L144</f>
        <v>0</v>
      </c>
      <c r="N144" s="1" t="str">
        <f t="shared" si="1"/>
        <v>$M(2015)/million</v>
      </c>
    </row>
    <row r="145" spans="1:14" s="1" customFormat="1" x14ac:dyDescent="0.25">
      <c r="A145" s="1" t="str">
        <v>AF</v>
      </c>
      <c r="B145" s="6"/>
      <c r="C145" s="26">
        <f ca="1">'Impacts A'!C145-'Impacts B'!C145</f>
        <v>0</v>
      </c>
      <c r="D145" s="26">
        <f ca="1">'Impacts A'!D145-'Impacts B'!D145</f>
        <v>0</v>
      </c>
      <c r="E145" s="26">
        <f ca="1">'Impacts A'!E145-'Impacts B'!E145</f>
        <v>0</v>
      </c>
      <c r="F145" s="26">
        <f ca="1">'Impacts A'!F145-'Impacts B'!F145</f>
        <v>0</v>
      </c>
      <c r="G145" s="26">
        <f ca="1">'Impacts A'!G145-'Impacts B'!G145</f>
        <v>0</v>
      </c>
      <c r="H145" s="26">
        <f ca="1">'Impacts A'!H145-'Impacts B'!H145</f>
        <v>0</v>
      </c>
      <c r="I145" s="26">
        <f ca="1">'Impacts A'!I145-'Impacts B'!I145</f>
        <v>0</v>
      </c>
      <c r="J145" s="26">
        <f ca="1">'Impacts A'!J145-'Impacts B'!J145</f>
        <v>0</v>
      </c>
      <c r="K145" s="26">
        <f ca="1">'Impacts A'!K145-'Impacts B'!K145</f>
        <v>0</v>
      </c>
      <c r="L145" s="26">
        <f ca="1">'Impacts A'!L145-'Impacts B'!L145</f>
        <v>0</v>
      </c>
      <c r="N145" s="1" t="str">
        <f t="shared" si="1"/>
        <v>$M(2015)/million</v>
      </c>
    </row>
    <row r="146" spans="1:14" s="1" customFormat="1" x14ac:dyDescent="0.25">
      <c r="A146" s="1" t="str">
        <v>LA</v>
      </c>
      <c r="B146" s="6"/>
      <c r="C146" s="26">
        <f ca="1">'Impacts A'!C146-'Impacts B'!C146</f>
        <v>0</v>
      </c>
      <c r="D146" s="26">
        <f ca="1">'Impacts A'!D146-'Impacts B'!D146</f>
        <v>0</v>
      </c>
      <c r="E146" s="26">
        <f ca="1">'Impacts A'!E146-'Impacts B'!E146</f>
        <v>0</v>
      </c>
      <c r="F146" s="26">
        <f ca="1">'Impacts A'!F146-'Impacts B'!F146</f>
        <v>0</v>
      </c>
      <c r="G146" s="26">
        <f ca="1">'Impacts A'!G146-'Impacts B'!G146</f>
        <v>0</v>
      </c>
      <c r="H146" s="26">
        <f ca="1">'Impacts A'!H146-'Impacts B'!H146</f>
        <v>0</v>
      </c>
      <c r="I146" s="26">
        <f ca="1">'Impacts A'!I146-'Impacts B'!I146</f>
        <v>0</v>
      </c>
      <c r="J146" s="26">
        <f ca="1">'Impacts A'!J146-'Impacts B'!J146</f>
        <v>0</v>
      </c>
      <c r="K146" s="26">
        <f ca="1">'Impacts A'!K146-'Impacts B'!K146</f>
        <v>0</v>
      </c>
      <c r="L146" s="26">
        <f ca="1">'Impacts A'!L146-'Impacts B'!L146</f>
        <v>0</v>
      </c>
      <c r="N146" s="1" t="str">
        <f t="shared" si="1"/>
        <v>$M(2015)/million</v>
      </c>
    </row>
    <row r="147" spans="1:14" s="2" customFormat="1" ht="15" x14ac:dyDescent="0.4">
      <c r="A147" s="2" t="s">
        <v>222</v>
      </c>
      <c r="C147" s="2" t="s">
        <v>220</v>
      </c>
    </row>
    <row r="148" spans="1:14" x14ac:dyDescent="0.25">
      <c r="A148" t="str">
        <f t="array" ref="A148:A155">R_CODE&amp;" sea level"</f>
        <v>EU sea level</v>
      </c>
      <c r="C148" s="29">
        <f ca="1">'Impacts A'!C148-'Impacts B'!C148</f>
        <v>5.8561973384607668E-5</v>
      </c>
      <c r="D148" s="29">
        <f ca="1">'Impacts A'!D148-'Impacts B'!D148</f>
        <v>7.8264056576077268E-4</v>
      </c>
      <c r="E148" s="29">
        <f ca="1">'Impacts A'!E148-'Impacts B'!E148</f>
        <v>2.1642108775202784E-3</v>
      </c>
      <c r="F148" s="29">
        <f ca="1">'Impacts A'!F148-'Impacts B'!F148</f>
        <v>4.1733918255427715E-3</v>
      </c>
      <c r="G148" s="29">
        <f ca="1">'Impacts A'!G148-'Impacts B'!G148</f>
        <v>1.2241705777671141E-2</v>
      </c>
      <c r="H148" s="29">
        <f ca="1">'Impacts A'!H148-'Impacts B'!H148</f>
        <v>2.2157719525148778E-2</v>
      </c>
      <c r="I148" s="29">
        <f ca="1">'Impacts A'!I148-'Impacts B'!I148</f>
        <v>4.7656794431613525E-2</v>
      </c>
      <c r="J148" s="29">
        <f ca="1">'Impacts A'!J148-'Impacts B'!J148</f>
        <v>7.0588305017842856E-2</v>
      </c>
      <c r="K148" s="29">
        <f ca="1">'Impacts A'!K148-'Impacts B'!K148</f>
        <v>9.0168595311386657E-2</v>
      </c>
      <c r="L148" s="29">
        <f ca="1">'Impacts A'!L148-'Impacts B'!L148</f>
        <v>0.10774525868670315</v>
      </c>
      <c r="M148" s="6"/>
      <c r="N148" s="59" t="s">
        <v>134</v>
      </c>
    </row>
    <row r="149" spans="1:14" x14ac:dyDescent="0.25">
      <c r="A149" t="str">
        <v>US sea level</v>
      </c>
      <c r="C149" s="26">
        <f ca="1">'Impacts A'!C149-'Impacts B'!C149</f>
        <v>4.6849578707708339E-5</v>
      </c>
      <c r="D149" s="26">
        <f ca="1">'Impacts A'!D149-'Impacts B'!D149</f>
        <v>6.2611245260862924E-4</v>
      </c>
      <c r="E149" s="26">
        <f ca="1">'Impacts A'!E149-'Impacts B'!E149</f>
        <v>1.7313687020162338E-3</v>
      </c>
      <c r="F149" s="26">
        <f ca="1">'Impacts A'!F149-'Impacts B'!F149</f>
        <v>3.3387134604342394E-3</v>
      </c>
      <c r="G149" s="26">
        <f ca="1">'Impacts A'!G149-'Impacts B'!G149</f>
        <v>9.7933646221368686E-3</v>
      </c>
      <c r="H149" s="26">
        <f ca="1">'Impacts A'!H149-'Impacts B'!H149</f>
        <v>1.7726175620119022E-2</v>
      </c>
      <c r="I149" s="26">
        <f ca="1">'Impacts A'!I149-'Impacts B'!I149</f>
        <v>3.8125435545290687E-2</v>
      </c>
      <c r="J149" s="26">
        <f ca="1">'Impacts A'!J149-'Impacts B'!J149</f>
        <v>5.6470644014274374E-2</v>
      </c>
      <c r="K149" s="26">
        <f ca="1">'Impacts A'!K149-'Impacts B'!K149</f>
        <v>7.2134876249109414E-2</v>
      </c>
      <c r="L149" s="26">
        <f ca="1">'Impacts A'!L149-'Impacts B'!L149</f>
        <v>8.6196206949362697E-2</v>
      </c>
      <c r="M149" s="6"/>
      <c r="N149" s="59" t="s">
        <v>134</v>
      </c>
    </row>
    <row r="150" spans="1:14" x14ac:dyDescent="0.25">
      <c r="A150" t="str">
        <v>OT sea level</v>
      </c>
      <c r="C150" s="26">
        <f ca="1">'Impacts A'!C150-'Impacts B'!C150</f>
        <v>4.6849578707652828E-5</v>
      </c>
      <c r="D150" s="26">
        <f ca="1">'Impacts A'!D150-'Impacts B'!D150</f>
        <v>6.2611245260862924E-4</v>
      </c>
      <c r="E150" s="26">
        <f ca="1">'Impacts A'!E150-'Impacts B'!E150</f>
        <v>1.7313687020162338E-3</v>
      </c>
      <c r="F150" s="26">
        <f ca="1">'Impacts A'!F150-'Impacts B'!F150</f>
        <v>3.3387134604341839E-3</v>
      </c>
      <c r="G150" s="26">
        <f ca="1">'Impacts A'!G150-'Impacts B'!G150</f>
        <v>9.7933646221368686E-3</v>
      </c>
      <c r="H150" s="26">
        <f ca="1">'Impacts A'!H150-'Impacts B'!H150</f>
        <v>1.7726175620119022E-2</v>
      </c>
      <c r="I150" s="26">
        <f ca="1">'Impacts A'!I150-'Impacts B'!I150</f>
        <v>3.8125435545290687E-2</v>
      </c>
      <c r="J150" s="26">
        <f ca="1">'Impacts A'!J150-'Impacts B'!J150</f>
        <v>5.6470644014274374E-2</v>
      </c>
      <c r="K150" s="26">
        <f ca="1">'Impacts A'!K150-'Impacts B'!K150</f>
        <v>7.2134876249109414E-2</v>
      </c>
      <c r="L150" s="26">
        <f ca="1">'Impacts A'!L150-'Impacts B'!L150</f>
        <v>8.6196206949362697E-2</v>
      </c>
      <c r="M150" s="6"/>
      <c r="N150" s="59" t="s">
        <v>134</v>
      </c>
    </row>
    <row r="151" spans="1:14" x14ac:dyDescent="0.25">
      <c r="A151" t="str">
        <v>EE sea level</v>
      </c>
      <c r="C151" s="26">
        <f ca="1">'Impacts A'!C151-'Impacts B'!C151</f>
        <v>2.3424789353826414E-5</v>
      </c>
      <c r="D151" s="26">
        <f ca="1">'Impacts A'!D151-'Impacts B'!D151</f>
        <v>3.1305622630431462E-4</v>
      </c>
      <c r="E151" s="26">
        <f ca="1">'Impacts A'!E151-'Impacts B'!E151</f>
        <v>8.6568435100811691E-4</v>
      </c>
      <c r="F151" s="26">
        <f ca="1">'Impacts A'!F151-'Impacts B'!F151</f>
        <v>1.669356730217092E-3</v>
      </c>
      <c r="G151" s="26">
        <f ca="1">'Impacts A'!G151-'Impacts B'!G151</f>
        <v>4.8966823110684343E-3</v>
      </c>
      <c r="H151" s="26">
        <f ca="1">'Impacts A'!H151-'Impacts B'!H151</f>
        <v>8.8630878100595112E-3</v>
      </c>
      <c r="I151" s="26">
        <f ca="1">'Impacts A'!I151-'Impacts B'!I151</f>
        <v>1.9062717772645343E-2</v>
      </c>
      <c r="J151" s="26">
        <f ca="1">'Impacts A'!J151-'Impacts B'!J151</f>
        <v>2.8235322007137187E-2</v>
      </c>
      <c r="K151" s="26">
        <f ca="1">'Impacts A'!K151-'Impacts B'!K151</f>
        <v>3.6067438124554707E-2</v>
      </c>
      <c r="L151" s="26">
        <f ca="1">'Impacts A'!L151-'Impacts B'!L151</f>
        <v>4.3098103474681349E-2</v>
      </c>
      <c r="M151" s="6"/>
      <c r="N151" s="59" t="s">
        <v>134</v>
      </c>
    </row>
    <row r="152" spans="1:14" x14ac:dyDescent="0.25">
      <c r="A152" t="str">
        <v>CA sea level</v>
      </c>
      <c r="C152" s="26">
        <f ca="1">'Impacts A'!C152-'Impacts B'!C152</f>
        <v>4.3047544048713249E-5</v>
      </c>
      <c r="D152" s="26">
        <f ca="1">'Impacts A'!D152-'Impacts B'!D152</f>
        <v>5.6895990248656547E-4</v>
      </c>
      <c r="E152" s="26">
        <f ca="1">'Impacts A'!E152-'Impacts B'!E152</f>
        <v>1.5690963495657018E-3</v>
      </c>
      <c r="F152" s="26">
        <f ca="1">'Impacts A'!F152-'Impacts B'!F152</f>
        <v>3.025659693840721E-3</v>
      </c>
      <c r="G152" s="26">
        <f ca="1">'Impacts A'!G152-'Impacts B'!G152</f>
        <v>9.5578864482244175E-3</v>
      </c>
      <c r="H152" s="26">
        <f ca="1">'Impacts A'!H152-'Impacts B'!H152</f>
        <v>1.7429986515737905E-2</v>
      </c>
      <c r="I152" s="26">
        <f ca="1">'Impacts A'!I152-'Impacts B'!I152</f>
        <v>3.7696466048518174E-2</v>
      </c>
      <c r="J152" s="26">
        <f ca="1">'Impacts A'!J152-'Impacts B'!J152</f>
        <v>5.596558972367438E-2</v>
      </c>
      <c r="K152" s="26">
        <f ca="1">'Impacts A'!K152-'Impacts B'!K152</f>
        <v>7.1581659307151879E-2</v>
      </c>
      <c r="L152" s="26">
        <f ca="1">'Impacts A'!L152-'Impacts B'!L152</f>
        <v>8.5602311698436573E-2</v>
      </c>
      <c r="M152" s="6"/>
      <c r="N152" s="59" t="s">
        <v>134</v>
      </c>
    </row>
    <row r="153" spans="1:14" x14ac:dyDescent="0.25">
      <c r="A153" t="str">
        <v>IA sea level</v>
      </c>
      <c r="C153" s="26">
        <f ca="1">'Impacts A'!C153-'Impacts B'!C153</f>
        <v>4.3047544048713249E-5</v>
      </c>
      <c r="D153" s="26">
        <f ca="1">'Impacts A'!D153-'Impacts B'!D153</f>
        <v>5.6895990248656547E-4</v>
      </c>
      <c r="E153" s="26">
        <f ca="1">'Impacts A'!E153-'Impacts B'!E153</f>
        <v>1.5690963495657018E-3</v>
      </c>
      <c r="F153" s="26">
        <f ca="1">'Impacts A'!F153-'Impacts B'!F153</f>
        <v>3.025659693840721E-3</v>
      </c>
      <c r="G153" s="26">
        <f ca="1">'Impacts A'!G153-'Impacts B'!G153</f>
        <v>9.5578864482244175E-3</v>
      </c>
      <c r="H153" s="26">
        <f ca="1">'Impacts A'!H153-'Impacts B'!H153</f>
        <v>1.7429986515737905E-2</v>
      </c>
      <c r="I153" s="26">
        <f ca="1">'Impacts A'!I153-'Impacts B'!I153</f>
        <v>3.7696466048518174E-2</v>
      </c>
      <c r="J153" s="26">
        <f ca="1">'Impacts A'!J153-'Impacts B'!J153</f>
        <v>5.596558972367438E-2</v>
      </c>
      <c r="K153" s="26">
        <f ca="1">'Impacts A'!K153-'Impacts B'!K153</f>
        <v>7.1581659307151879E-2</v>
      </c>
      <c r="L153" s="26">
        <f ca="1">'Impacts A'!L153-'Impacts B'!L153</f>
        <v>8.5602311698436573E-2</v>
      </c>
      <c r="M153" s="6"/>
      <c r="N153" s="59" t="s">
        <v>134</v>
      </c>
    </row>
    <row r="154" spans="1:14" x14ac:dyDescent="0.25">
      <c r="A154" t="str">
        <v>AF sea level</v>
      </c>
      <c r="C154" s="26">
        <f ca="1">'Impacts A'!C154-'Impacts B'!C154</f>
        <v>3.2285658036534937E-5</v>
      </c>
      <c r="D154" s="26">
        <f ca="1">'Impacts A'!D154-'Impacts B'!D154</f>
        <v>4.2671992686493798E-4</v>
      </c>
      <c r="E154" s="26">
        <f ca="1">'Impacts A'!E154-'Impacts B'!E154</f>
        <v>1.1768222621743596E-3</v>
      </c>
      <c r="F154" s="26">
        <f ca="1">'Impacts A'!F154-'Impacts B'!F154</f>
        <v>2.2692447703805407E-3</v>
      </c>
      <c r="G154" s="26">
        <f ca="1">'Impacts A'!G154-'Impacts B'!G154</f>
        <v>7.1684148361682576E-3</v>
      </c>
      <c r="H154" s="26">
        <f ca="1">'Impacts A'!H154-'Impacts B'!H154</f>
        <v>1.3072489886803318E-2</v>
      </c>
      <c r="I154" s="26">
        <f ca="1">'Impacts A'!I154-'Impacts B'!I154</f>
        <v>2.8272349536388575E-2</v>
      </c>
      <c r="J154" s="26">
        <f ca="1">'Impacts A'!J154-'Impacts B'!J154</f>
        <v>4.1974192292755896E-2</v>
      </c>
      <c r="K154" s="26">
        <f ca="1">'Impacts A'!K154-'Impacts B'!K154</f>
        <v>5.3686244480363854E-2</v>
      </c>
      <c r="L154" s="26">
        <f ca="1">'Impacts A'!L154-'Impacts B'!L154</f>
        <v>6.4201733773827208E-2</v>
      </c>
      <c r="M154" s="6"/>
      <c r="N154" s="59" t="s">
        <v>134</v>
      </c>
    </row>
    <row r="155" spans="1:14" x14ac:dyDescent="0.25">
      <c r="A155" t="str">
        <v>LA sea level</v>
      </c>
      <c r="C155" s="26">
        <f ca="1">'Impacts A'!C155-'Impacts B'!C155</f>
        <v>3.2285658036534937E-5</v>
      </c>
      <c r="D155" s="26">
        <f ca="1">'Impacts A'!D155-'Impacts B'!D155</f>
        <v>4.2671992686493798E-4</v>
      </c>
      <c r="E155" s="26">
        <f ca="1">'Impacts A'!E155-'Impacts B'!E155</f>
        <v>1.1768222621743596E-3</v>
      </c>
      <c r="F155" s="26">
        <f ca="1">'Impacts A'!F155-'Impacts B'!F155</f>
        <v>2.2692447703805407E-3</v>
      </c>
      <c r="G155" s="26">
        <f ca="1">'Impacts A'!G155-'Impacts B'!G155</f>
        <v>7.1684148361682576E-3</v>
      </c>
      <c r="H155" s="26">
        <f ca="1">'Impacts A'!H155-'Impacts B'!H155</f>
        <v>1.3072489886803318E-2</v>
      </c>
      <c r="I155" s="26">
        <f ca="1">'Impacts A'!I155-'Impacts B'!I155</f>
        <v>2.8272349536388575E-2</v>
      </c>
      <c r="J155" s="26">
        <f ca="1">'Impacts A'!J155-'Impacts B'!J155</f>
        <v>4.1974192292755896E-2</v>
      </c>
      <c r="K155" s="26">
        <f ca="1">'Impacts A'!K155-'Impacts B'!K155</f>
        <v>5.3686244480363854E-2</v>
      </c>
      <c r="L155" s="26">
        <f ca="1">'Impacts A'!L155-'Impacts B'!L155</f>
        <v>6.4201733773827208E-2</v>
      </c>
      <c r="M155" s="6"/>
      <c r="N155" s="59" t="s">
        <v>134</v>
      </c>
    </row>
    <row r="156" spans="1:14" s="2" customFormat="1" ht="15" x14ac:dyDescent="0.4">
      <c r="A156" s="2" t="s">
        <v>221</v>
      </c>
      <c r="C156" s="2" t="s">
        <v>223</v>
      </c>
    </row>
    <row r="157" spans="1:14" x14ac:dyDescent="0.25">
      <c r="A157" t="str">
        <f t="array" ref="A157:A164">R_CODE&amp;" sea level"</f>
        <v>EU sea level</v>
      </c>
      <c r="C157" s="29">
        <f ca="1">'Impacts A'!C157-'Impacts B'!C157</f>
        <v>5.7314247170536792E-5</v>
      </c>
      <c r="D157" s="29">
        <f ca="1">'Impacts A'!D157-'Impacts B'!D157</f>
        <v>7.3472194392631973E-4</v>
      </c>
      <c r="E157" s="29">
        <f ca="1">'Impacts A'!E157-'Impacts B'!E157</f>
        <v>1.9382309211752879E-3</v>
      </c>
      <c r="F157" s="29">
        <f ca="1">'Impacts A'!F157-'Impacts B'!F157</f>
        <v>3.5601963851813467E-3</v>
      </c>
      <c r="G157" s="29">
        <f ca="1">'Impacts A'!G157-'Impacts B'!G157</f>
        <v>9.1899426437354048E-3</v>
      </c>
      <c r="H157" s="29">
        <f ca="1">'Impacts A'!H157-'Impacts B'!H157</f>
        <v>1.4638115431017784E-2</v>
      </c>
      <c r="I157" s="29">
        <f ca="1">'Impacts A'!I157-'Impacts B'!I157</f>
        <v>2.5886764367292314E-2</v>
      </c>
      <c r="J157" s="29">
        <f ca="1">'Impacts A'!J157-'Impacts B'!J157</f>
        <v>3.265366921482149E-2</v>
      </c>
      <c r="K157" s="29">
        <f ca="1">'Impacts A'!K157-'Impacts B'!K157</f>
        <v>3.6547297989756533E-2</v>
      </c>
      <c r="L157" s="29">
        <f ca="1">'Impacts A'!L157-'Impacts B'!L157</f>
        <v>3.9168111478834589E-2</v>
      </c>
      <c r="M157" s="6"/>
      <c r="N157" s="59" t="s">
        <v>134</v>
      </c>
    </row>
    <row r="158" spans="1:14" x14ac:dyDescent="0.25">
      <c r="A158" t="str">
        <v>US sea level</v>
      </c>
      <c r="C158" s="26">
        <f ca="1">'Impacts A'!C158-'Impacts B'!C158</f>
        <v>4.0004858611608629E-5</v>
      </c>
      <c r="D158" s="26">
        <f ca="1">'Impacts A'!D158-'Impacts B'!D158</f>
        <v>5.1371840405578517E-4</v>
      </c>
      <c r="E158" s="26">
        <f ca="1">'Impacts A'!E158-'Impacts B'!E158</f>
        <v>1.3771074843680342E-3</v>
      </c>
      <c r="F158" s="26">
        <f ca="1">'Impacts A'!F158-'Impacts B'!F158</f>
        <v>2.5734458866871757E-3</v>
      </c>
      <c r="G158" s="26">
        <f ca="1">'Impacts A'!G158-'Impacts B'!G158</f>
        <v>6.9161911676489662E-3</v>
      </c>
      <c r="H158" s="26">
        <f ca="1">'Impacts A'!H158-'Impacts B'!H158</f>
        <v>1.1272219797192284E-2</v>
      </c>
      <c r="I158" s="26">
        <f ca="1">'Impacts A'!I158-'Impacts B'!I158</f>
        <v>1.9617646845580206E-2</v>
      </c>
      <c r="J158" s="26">
        <f ca="1">'Impacts A'!J158-'Impacts B'!J158</f>
        <v>2.4044367286028878E-2</v>
      </c>
      <c r="K158" s="26">
        <f ca="1">'Impacts A'!K158-'Impacts B'!K158</f>
        <v>2.5913381361579169E-2</v>
      </c>
      <c r="L158" s="26">
        <f ca="1">'Impacts A'!L158-'Impacts B'!L158</f>
        <v>2.6580376939367323E-2</v>
      </c>
      <c r="M158" s="6"/>
      <c r="N158" s="59" t="s">
        <v>134</v>
      </c>
    </row>
    <row r="159" spans="1:14" x14ac:dyDescent="0.25">
      <c r="A159" t="str">
        <v>OT sea level</v>
      </c>
      <c r="C159" s="26">
        <f ca="1">'Impacts A'!C159-'Impacts B'!C159</f>
        <v>4.5739860402793653E-5</v>
      </c>
      <c r="D159" s="26">
        <f ca="1">'Impacts A'!D159-'Impacts B'!D159</f>
        <v>5.8159169296984059E-4</v>
      </c>
      <c r="E159" s="26">
        <f ca="1">'Impacts A'!E159-'Impacts B'!E159</f>
        <v>1.535383023308079E-3</v>
      </c>
      <c r="F159" s="26">
        <f ca="1">'Impacts A'!F159-'Impacts B'!F159</f>
        <v>2.8226021449914152E-3</v>
      </c>
      <c r="G159" s="26">
        <f ca="1">'Impacts A'!G159-'Impacts B'!G159</f>
        <v>7.2951300924328777E-3</v>
      </c>
      <c r="H159" s="26">
        <f ca="1">'Impacts A'!H159-'Impacts B'!H159</f>
        <v>1.162790735365915E-2</v>
      </c>
      <c r="I159" s="26">
        <f ca="1">'Impacts A'!I159-'Impacts B'!I159</f>
        <v>2.1674649670861967E-2</v>
      </c>
      <c r="J159" s="26">
        <f ca="1">'Impacts A'!J159-'Impacts B'!J159</f>
        <v>2.9327805942379048E-2</v>
      </c>
      <c r="K159" s="26">
        <f ca="1">'Impacts A'!K159-'Impacts B'!K159</f>
        <v>3.5374140764172335E-2</v>
      </c>
      <c r="L159" s="26">
        <f ca="1">'Impacts A'!L159-'Impacts B'!L159</f>
        <v>4.0757437624254322E-2</v>
      </c>
      <c r="M159" s="6"/>
      <c r="N159" s="59" t="s">
        <v>134</v>
      </c>
    </row>
    <row r="160" spans="1:14" x14ac:dyDescent="0.25">
      <c r="A160" t="str">
        <v>EE sea level</v>
      </c>
      <c r="C160" s="26">
        <f ca="1">'Impacts A'!C160-'Impacts B'!C160</f>
        <v>2.9133961955890575E-5</v>
      </c>
      <c r="D160" s="26">
        <f ca="1">'Impacts A'!D160-'Impacts B'!D160</f>
        <v>3.4625980447922089E-4</v>
      </c>
      <c r="E160" s="26">
        <f ca="1">'Impacts A'!E160-'Impacts B'!E160</f>
        <v>8.7189398445339239E-4</v>
      </c>
      <c r="F160" s="26">
        <f ca="1">'Impacts A'!F160-'Impacts B'!F160</f>
        <v>1.5766132529881904E-3</v>
      </c>
      <c r="G160" s="26">
        <f ca="1">'Impacts A'!G160-'Impacts B'!G160</f>
        <v>4.0248051143583208E-3</v>
      </c>
      <c r="H160" s="26">
        <f ca="1">'Impacts A'!H160-'Impacts B'!H160</f>
        <v>6.4478337248790596E-3</v>
      </c>
      <c r="I160" s="26">
        <f ca="1">'Impacts A'!I160-'Impacts B'!I160</f>
        <v>1.2555863391258748E-2</v>
      </c>
      <c r="J160" s="26">
        <f ca="1">'Impacts A'!J160-'Impacts B'!J160</f>
        <v>1.7815187632705287E-2</v>
      </c>
      <c r="K160" s="26">
        <f ca="1">'Impacts A'!K160-'Impacts B'!K160</f>
        <v>2.233388906995748E-2</v>
      </c>
      <c r="L160" s="26">
        <f ca="1">'Impacts A'!L160-'Impacts B'!L160</f>
        <v>2.6468465145171649E-2</v>
      </c>
      <c r="M160" s="6"/>
      <c r="N160" s="59" t="s">
        <v>134</v>
      </c>
    </row>
    <row r="161" spans="1:15" x14ac:dyDescent="0.25">
      <c r="A161" t="str">
        <v>CA sea level</v>
      </c>
      <c r="C161" s="26">
        <f ca="1">'Impacts A'!C161-'Impacts B'!C161</f>
        <v>5.5525527612898529E-5</v>
      </c>
      <c r="D161" s="26">
        <f ca="1">'Impacts A'!D161-'Impacts B'!D161</f>
        <v>6.0866794653025025E-4</v>
      </c>
      <c r="E161" s="26">
        <f ca="1">'Impacts A'!E161-'Impacts B'!E161</f>
        <v>1.4817794448228616E-3</v>
      </c>
      <c r="F161" s="26">
        <f ca="1">'Impacts A'!F161-'Impacts B'!F161</f>
        <v>2.6186269015219255E-3</v>
      </c>
      <c r="G161" s="26">
        <f ca="1">'Impacts A'!G161-'Impacts B'!G161</f>
        <v>7.2680542176902785E-3</v>
      </c>
      <c r="H161" s="26">
        <f ca="1">'Impacts A'!H161-'Impacts B'!H161</f>
        <v>1.1943590365628975E-2</v>
      </c>
      <c r="I161" s="26">
        <f ca="1">'Impacts A'!I161-'Impacts B'!I161</f>
        <v>2.6061932608624216E-2</v>
      </c>
      <c r="J161" s="26">
        <f ca="1">'Impacts A'!J161-'Impacts B'!J161</f>
        <v>3.9068618197639404E-2</v>
      </c>
      <c r="K161" s="26">
        <f ca="1">'Impacts A'!K161-'Impacts B'!K161</f>
        <v>5.047511107460867E-2</v>
      </c>
      <c r="L161" s="26">
        <f ca="1">'Impacts A'!L161-'Impacts B'!L161</f>
        <v>6.0983294256150344E-2</v>
      </c>
      <c r="M161" s="6"/>
      <c r="N161" s="59" t="s">
        <v>134</v>
      </c>
    </row>
    <row r="162" spans="1:15" x14ac:dyDescent="0.25">
      <c r="A162" t="str">
        <v>IA sea level</v>
      </c>
      <c r="C162" s="26">
        <f ca="1">'Impacts A'!C162-'Impacts B'!C162</f>
        <v>6.9360788819916586E-5</v>
      </c>
      <c r="D162" s="26">
        <f ca="1">'Impacts A'!D162-'Impacts B'!D162</f>
        <v>7.7989327597915992E-4</v>
      </c>
      <c r="E162" s="26">
        <f ca="1">'Impacts A'!E162-'Impacts B'!E162</f>
        <v>1.85629023385947E-3</v>
      </c>
      <c r="F162" s="26">
        <f ca="1">'Impacts A'!F162-'Impacts B'!F162</f>
        <v>3.1545150247800358E-3</v>
      </c>
      <c r="G162" s="26">
        <f ca="1">'Impacts A'!G162-'Impacts B'!G162</f>
        <v>7.8688598950431565E-3</v>
      </c>
      <c r="H162" s="26">
        <f ca="1">'Impacts A'!H162-'Impacts B'!H162</f>
        <v>1.2112793974085379E-2</v>
      </c>
      <c r="I162" s="26">
        <f ca="1">'Impacts A'!I162-'Impacts B'!I162</f>
        <v>2.2495033701302902E-2</v>
      </c>
      <c r="J162" s="26">
        <f ca="1">'Impacts A'!J162-'Impacts B'!J162</f>
        <v>3.2127082031319754E-2</v>
      </c>
      <c r="K162" s="26">
        <f ca="1">'Impacts A'!K162-'Impacts B'!K162</f>
        <v>4.068758347156054E-2</v>
      </c>
      <c r="L162" s="26">
        <f ca="1">'Impacts A'!L162-'Impacts B'!L162</f>
        <v>4.8533914819131496E-2</v>
      </c>
      <c r="M162" s="6"/>
      <c r="N162" s="59" t="s">
        <v>134</v>
      </c>
    </row>
    <row r="163" spans="1:15" x14ac:dyDescent="0.25">
      <c r="A163" t="str">
        <v>AF sea level</v>
      </c>
      <c r="C163" s="26">
        <f ca="1">'Impacts A'!C163-'Impacts B'!C163</f>
        <v>5.4110572793752976E-5</v>
      </c>
      <c r="D163" s="26">
        <f ca="1">'Impacts A'!D163-'Impacts B'!D163</f>
        <v>6.5157332087362185E-4</v>
      </c>
      <c r="E163" s="26">
        <f ca="1">'Impacts A'!E163-'Impacts B'!E163</f>
        <v>1.6109562178557857E-3</v>
      </c>
      <c r="F163" s="26">
        <f ca="1">'Impacts A'!F163-'Impacts B'!F163</f>
        <v>2.7565967257511259E-3</v>
      </c>
      <c r="G163" s="26">
        <f ca="1">'Impacts A'!G163-'Impacts B'!G163</f>
        <v>6.4796748908502177E-3</v>
      </c>
      <c r="H163" s="26">
        <f ca="1">'Impacts A'!H163-'Impacts B'!H163</f>
        <v>9.3733410888858781E-3</v>
      </c>
      <c r="I163" s="26">
        <f ca="1">'Impacts A'!I163-'Impacts B'!I163</f>
        <v>1.3612596892906503E-2</v>
      </c>
      <c r="J163" s="26">
        <f ca="1">'Impacts A'!J163-'Impacts B'!J163</f>
        <v>1.6633305469006432E-2</v>
      </c>
      <c r="K163" s="26">
        <f ca="1">'Impacts A'!K163-'Impacts B'!K163</f>
        <v>1.9344135938686891E-2</v>
      </c>
      <c r="L163" s="26">
        <f ca="1">'Impacts A'!L163-'Impacts B'!L163</f>
        <v>2.2084381639901673E-2</v>
      </c>
      <c r="M163" s="6"/>
      <c r="N163" s="59" t="s">
        <v>134</v>
      </c>
    </row>
    <row r="164" spans="1:15" x14ac:dyDescent="0.25">
      <c r="A164" t="str">
        <v>LA sea level</v>
      </c>
      <c r="C164" s="26">
        <f ca="1">'Impacts A'!C164-'Impacts B'!C164</f>
        <v>4.1664640112015761E-5</v>
      </c>
      <c r="D164" s="26">
        <f ca="1">'Impacts A'!D164-'Impacts B'!D164</f>
        <v>5.0393342613302972E-4</v>
      </c>
      <c r="E164" s="26">
        <f ca="1">'Impacts A'!E164-'Impacts B'!E164</f>
        <v>1.2663979185155161E-3</v>
      </c>
      <c r="F164" s="26">
        <f ca="1">'Impacts A'!F164-'Impacts B'!F164</f>
        <v>2.2302358357092489E-3</v>
      </c>
      <c r="G164" s="26">
        <f ca="1">'Impacts A'!G164-'Impacts B'!G164</f>
        <v>5.7663939461937153E-3</v>
      </c>
      <c r="H164" s="26">
        <f ca="1">'Impacts A'!H164-'Impacts B'!H164</f>
        <v>8.9161681436141782E-3</v>
      </c>
      <c r="I164" s="26">
        <f ca="1">'Impacts A'!I164-'Impacts B'!I164</f>
        <v>1.6094323973635416E-2</v>
      </c>
      <c r="J164" s="26">
        <f ca="1">'Impacts A'!J164-'Impacts B'!J164</f>
        <v>2.2233326366385642E-2</v>
      </c>
      <c r="K164" s="26">
        <f ca="1">'Impacts A'!K164-'Impacts B'!K164</f>
        <v>2.7632636491445317E-2</v>
      </c>
      <c r="L164" s="26">
        <f ca="1">'Impacts A'!L164-'Impacts B'!L164</f>
        <v>3.2669508437180972E-2</v>
      </c>
      <c r="M164" s="6"/>
      <c r="N164" s="59" t="s">
        <v>134</v>
      </c>
    </row>
    <row r="165" spans="1:15" s="2" customFormat="1" ht="15" x14ac:dyDescent="0.4">
      <c r="A165" s="2" t="s">
        <v>225</v>
      </c>
      <c r="C165" s="2" t="s">
        <v>224</v>
      </c>
    </row>
    <row r="166" spans="1:15" x14ac:dyDescent="0.25">
      <c r="A166" t="str">
        <f t="array" ref="A166:A173">R_CODE&amp;" sea level"</f>
        <v>EU sea level</v>
      </c>
      <c r="C166" s="29">
        <f ca="1">'Impacts A'!C166-'Impacts B'!C166</f>
        <v>5.7314247170536792E-5</v>
      </c>
      <c r="D166" s="29">
        <f ca="1">'Impacts A'!D166-'Impacts B'!D166</f>
        <v>6.6124974953368776E-4</v>
      </c>
      <c r="E166" s="29">
        <f ca="1">'Impacts A'!E166-'Impacts B'!E166</f>
        <v>1.5505847369402526E-3</v>
      </c>
      <c r="F166" s="29">
        <f ca="1">'Impacts A'!F166-'Impacts B'!F166</f>
        <v>2.4921374696269538E-3</v>
      </c>
      <c r="G166" s="29">
        <f ca="1">'Impacts A'!G166-'Impacts B'!G166</f>
        <v>4.5949713218677024E-3</v>
      </c>
      <c r="H166" s="29">
        <f ca="1">'Impacts A'!H166-'Impacts B'!H166</f>
        <v>7.3190577155088921E-3</v>
      </c>
      <c r="I166" s="29">
        <f ca="1">'Impacts A'!I166-'Impacts B'!I166</f>
        <v>2.9967049880847529E-2</v>
      </c>
      <c r="J166" s="29">
        <f ca="1">'Impacts A'!J166-'Impacts B'!J166</f>
        <v>3.6722155541686452E-2</v>
      </c>
      <c r="K166" s="29">
        <f ca="1">'Impacts A'!K166-'Impacts B'!K166</f>
        <v>4.0440084175825564E-2</v>
      </c>
      <c r="L166" s="29">
        <f ca="1">'Impacts A'!L166-'Impacts B'!L166</f>
        <v>4.2909194168714637E-2</v>
      </c>
      <c r="M166" s="6"/>
      <c r="N166" s="59" t="s">
        <v>134</v>
      </c>
    </row>
    <row r="167" spans="1:15" x14ac:dyDescent="0.25">
      <c r="A167" t="str">
        <v>US sea level</v>
      </c>
      <c r="C167" s="26">
        <f ca="1">'Impacts A'!C167-'Impacts B'!C167</f>
        <v>4.0004858611608629E-5</v>
      </c>
      <c r="D167" s="26">
        <f ca="1">'Impacts A'!D167-'Impacts B'!D167</f>
        <v>4.6234656365023996E-4</v>
      </c>
      <c r="E167" s="26">
        <f ca="1">'Impacts A'!E167-'Impacts B'!E167</f>
        <v>1.1016859874944385E-3</v>
      </c>
      <c r="F167" s="26">
        <f ca="1">'Impacts A'!F167-'Impacts B'!F167</f>
        <v>1.801412120681023E-3</v>
      </c>
      <c r="G167" s="26">
        <f ca="1">'Impacts A'!G167-'Impacts B'!G167</f>
        <v>3.4580955838244831E-3</v>
      </c>
      <c r="H167" s="26">
        <f ca="1">'Impacts A'!H167-'Impacts B'!H167</f>
        <v>5.6361098985961422E-3</v>
      </c>
      <c r="I167" s="26">
        <f ca="1">'Impacts A'!I167-'Impacts B'!I167</f>
        <v>2.2709790734184609E-2</v>
      </c>
      <c r="J167" s="26">
        <f ca="1">'Impacts A'!J167-'Impacts B'!J167</f>
        <v>2.7040177003392063E-2</v>
      </c>
      <c r="K167" s="26">
        <f ca="1">'Impacts A'!K167-'Impacts B'!K167</f>
        <v>2.867351025064141E-2</v>
      </c>
      <c r="L167" s="26">
        <f ca="1">'Impacts A'!L167-'Impacts B'!L167</f>
        <v>2.9119161279584638E-2</v>
      </c>
      <c r="M167" s="6"/>
      <c r="N167" s="59" t="s">
        <v>134</v>
      </c>
    </row>
    <row r="168" spans="1:15" x14ac:dyDescent="0.25">
      <c r="A168" t="str">
        <v>OT sea level</v>
      </c>
      <c r="C168" s="26">
        <f ca="1">'Impacts A'!C168-'Impacts B'!C168</f>
        <v>4.5739860402793653E-5</v>
      </c>
      <c r="D168" s="26">
        <f ca="1">'Impacts A'!D168-'Impacts B'!D168</f>
        <v>5.2343252367287318E-4</v>
      </c>
      <c r="E168" s="26">
        <f ca="1">'Impacts A'!E168-'Impacts B'!E168</f>
        <v>1.2283064186465187E-3</v>
      </c>
      <c r="F168" s="26">
        <f ca="1">'Impacts A'!F168-'Impacts B'!F168</f>
        <v>1.9758215014940017E-3</v>
      </c>
      <c r="G168" s="26">
        <f ca="1">'Impacts A'!G168-'Impacts B'!G168</f>
        <v>3.6475650462164388E-3</v>
      </c>
      <c r="H168" s="26">
        <f ca="1">'Impacts A'!H168-'Impacts B'!H168</f>
        <v>5.8139536768295752E-3</v>
      </c>
      <c r="I168" s="26">
        <f ca="1">'Impacts A'!I168-'Impacts B'!I168</f>
        <v>2.5091019434521855E-2</v>
      </c>
      <c r="J168" s="26">
        <f ca="1">'Impacts A'!J168-'Impacts B'!J168</f>
        <v>3.2981906089242674E-2</v>
      </c>
      <c r="K168" s="26">
        <f ca="1">'Impacts A'!K168-'Impacts B'!K168</f>
        <v>3.914196968956718E-2</v>
      </c>
      <c r="L168" s="26">
        <f ca="1">'Impacts A'!L168-'Impacts B'!L168</f>
        <v>4.4650322387471797E-2</v>
      </c>
      <c r="M168" s="6"/>
      <c r="N168" s="59" t="s">
        <v>134</v>
      </c>
    </row>
    <row r="169" spans="1:15" x14ac:dyDescent="0.25">
      <c r="A169" t="str">
        <v>EE sea level</v>
      </c>
      <c r="C169" s="26">
        <f ca="1">'Impacts A'!C169-'Impacts B'!C169</f>
        <v>2.9133961955890575E-5</v>
      </c>
      <c r="D169" s="26">
        <f ca="1">'Impacts A'!D169-'Impacts B'!D169</f>
        <v>3.1163382403129325E-4</v>
      </c>
      <c r="E169" s="26">
        <f ca="1">'Impacts A'!E169-'Impacts B'!E169</f>
        <v>6.9751518756269726E-4</v>
      </c>
      <c r="F169" s="26">
        <f ca="1">'Impacts A'!F169-'Impacts B'!F169</f>
        <v>1.1036292770917333E-3</v>
      </c>
      <c r="G169" s="26">
        <f ca="1">'Impacts A'!G169-'Impacts B'!G169</f>
        <v>2.0124025571791604E-3</v>
      </c>
      <c r="H169" s="26">
        <f ca="1">'Impacts A'!H169-'Impacts B'!H169</f>
        <v>3.2239168624395298E-3</v>
      </c>
      <c r="I169" s="26">
        <f ca="1">'Impacts A'!I169-'Impacts B'!I169</f>
        <v>1.4534925230685225E-2</v>
      </c>
      <c r="J169" s="26">
        <f ca="1">'Impacts A'!J169-'Impacts B'!J169</f>
        <v>2.0034872251219638E-2</v>
      </c>
      <c r="K169" s="26">
        <f ca="1">'Impacts A'!K169-'Impacts B'!K169</f>
        <v>2.4712753162101753E-2</v>
      </c>
      <c r="L169" s="26">
        <f ca="1">'Impacts A'!L169-'Impacts B'!L169</f>
        <v>2.8996560400308014E-2</v>
      </c>
      <c r="M169" s="6"/>
      <c r="N169" s="59" t="s">
        <v>134</v>
      </c>
    </row>
    <row r="170" spans="1:15" x14ac:dyDescent="0.25">
      <c r="A170" t="str">
        <v>CA sea level</v>
      </c>
      <c r="C170" s="26">
        <f ca="1">'Impacts A'!C170-'Impacts B'!C170</f>
        <v>5.5525527612898529E-5</v>
      </c>
      <c r="D170" s="26">
        <f ca="1">'Impacts A'!D170-'Impacts B'!D170</f>
        <v>5.8837901497926781E-4</v>
      </c>
      <c r="E170" s="26">
        <f ca="1">'Impacts A'!E170-'Impacts B'!E170</f>
        <v>1.3829941485012931E-3</v>
      </c>
      <c r="F170" s="26">
        <f ca="1">'Impacts A'!F170-'Impacts B'!F170</f>
        <v>2.3567642113697662E-3</v>
      </c>
      <c r="G170" s="26">
        <f ca="1">'Impacts A'!G170-'Impacts B'!G170</f>
        <v>5.9355776111137404E-3</v>
      </c>
      <c r="H170" s="26">
        <f ca="1">'Impacts A'!H170-'Impacts B'!H170</f>
        <v>8.9576927742217594E-3</v>
      </c>
      <c r="I170" s="26">
        <f ca="1">'Impacts A'!I170-'Impacts B'!I170</f>
        <v>2.8030539198499294E-2</v>
      </c>
      <c r="J170" s="26">
        <f ca="1">'Impacts A'!J170-'Impacts B'!J170</f>
        <v>4.1421850709993269E-2</v>
      </c>
      <c r="K170" s="26">
        <f ca="1">'Impacts A'!K170-'Impacts B'!K170</f>
        <v>5.3086737873880407E-2</v>
      </c>
      <c r="L170" s="26">
        <f ca="1">'Impacts A'!L170-'Impacts B'!L170</f>
        <v>6.3821096043965353E-2</v>
      </c>
      <c r="M170" s="6"/>
      <c r="N170" s="59" t="s">
        <v>134</v>
      </c>
    </row>
    <row r="171" spans="1:15" x14ac:dyDescent="0.25">
      <c r="A171" t="str">
        <v>IA sea level</v>
      </c>
      <c r="C171" s="26">
        <f ca="1">'Impacts A'!C171-'Impacts B'!C171</f>
        <v>6.9360788819916586E-5</v>
      </c>
      <c r="D171" s="26">
        <f ca="1">'Impacts A'!D171-'Impacts B'!D171</f>
        <v>7.5389683344651015E-4</v>
      </c>
      <c r="E171" s="26">
        <f ca="1">'Impacts A'!E171-'Impacts B'!E171</f>
        <v>1.7325375516020758E-3</v>
      </c>
      <c r="F171" s="26">
        <f ca="1">'Impacts A'!F171-'Impacts B'!F171</f>
        <v>2.839063522302121E-3</v>
      </c>
      <c r="G171" s="26">
        <f ca="1">'Impacts A'!G171-'Impacts B'!G171</f>
        <v>6.4262355809519001E-3</v>
      </c>
      <c r="H171" s="26">
        <f ca="1">'Impacts A'!H171-'Impacts B'!H171</f>
        <v>9.0845954805640616E-3</v>
      </c>
      <c r="I171" s="26">
        <f ca="1">'Impacts A'!I171-'Impacts B'!I171</f>
        <v>2.4194212048851638E-2</v>
      </c>
      <c r="J171" s="26">
        <f ca="1">'Impacts A'!J171-'Impacts B'!J171</f>
        <v>3.4062202786824924E-2</v>
      </c>
      <c r="K171" s="26">
        <f ca="1">'Impacts A'!K171-'Impacts B'!K171</f>
        <v>4.2792794953609103E-2</v>
      </c>
      <c r="L171" s="26">
        <f ca="1">'Impacts A'!L171-'Impacts B'!L171</f>
        <v>5.0792396128207296E-2</v>
      </c>
      <c r="M171" s="6"/>
      <c r="N171" s="59" t="s">
        <v>134</v>
      </c>
    </row>
    <row r="172" spans="1:15" x14ac:dyDescent="0.25">
      <c r="A172" t="str">
        <v>AF sea level</v>
      </c>
      <c r="C172" s="26">
        <f ca="1">'Impacts A'!C172-'Impacts B'!C172</f>
        <v>5.4110572793752976E-5</v>
      </c>
      <c r="D172" s="26">
        <f ca="1">'Impacts A'!D172-'Impacts B'!D172</f>
        <v>6.2985421017791587E-4</v>
      </c>
      <c r="E172" s="26">
        <f ca="1">'Impacts A'!E172-'Impacts B'!E172</f>
        <v>1.5035591366654444E-3</v>
      </c>
      <c r="F172" s="26">
        <f ca="1">'Impacts A'!F172-'Impacts B'!F172</f>
        <v>2.48093705317598E-3</v>
      </c>
      <c r="G172" s="26">
        <f ca="1">'Impacts A'!G172-'Impacts B'!G172</f>
        <v>5.2917344941943445E-3</v>
      </c>
      <c r="H172" s="26">
        <f ca="1">'Impacts A'!H172-'Impacts B'!H172</f>
        <v>7.0300058166644086E-3</v>
      </c>
      <c r="I172" s="26">
        <f ca="1">'Impacts A'!I172-'Impacts B'!I172</f>
        <v>1.4640834067452091E-2</v>
      </c>
      <c r="J172" s="26">
        <f ca="1">'Impacts A'!J172-'Impacts B'!J172</f>
        <v>1.7635184650388436E-2</v>
      </c>
      <c r="K172" s="26">
        <f ca="1">'Impacts A'!K172-'Impacts B'!K172</f>
        <v>2.0345018606415188E-2</v>
      </c>
      <c r="L172" s="26">
        <f ca="1">'Impacts A'!L172-'Impacts B'!L172</f>
        <v>2.3112058128437474E-2</v>
      </c>
      <c r="M172" s="6"/>
      <c r="N172" s="59" t="s">
        <v>134</v>
      </c>
    </row>
    <row r="173" spans="1:15" x14ac:dyDescent="0.25">
      <c r="A173" t="str">
        <v>LA sea level</v>
      </c>
      <c r="C173" s="26">
        <f ca="1">'Impacts A'!C173-'Impacts B'!C173</f>
        <v>4.1664640112015761E-5</v>
      </c>
      <c r="D173" s="26">
        <f ca="1">'Impacts A'!D173-'Impacts B'!D173</f>
        <v>4.8713564526192688E-4</v>
      </c>
      <c r="E173" s="26">
        <f ca="1">'Impacts A'!E173-'Impacts B'!E173</f>
        <v>1.1819713906144891E-3</v>
      </c>
      <c r="F173" s="26">
        <f ca="1">'Impacts A'!F173-'Impacts B'!F173</f>
        <v>2.0072122521383462E-3</v>
      </c>
      <c r="G173" s="26">
        <f ca="1">'Impacts A'!G173-'Impacts B'!G173</f>
        <v>4.7092217227248656E-3</v>
      </c>
      <c r="H173" s="26">
        <f ca="1">'Impacts A'!H173-'Impacts B'!H173</f>
        <v>6.6871261077106059E-3</v>
      </c>
      <c r="I173" s="26">
        <f ca="1">'Impacts A'!I173-'Impacts B'!I173</f>
        <v>1.7310020165851037E-2</v>
      </c>
      <c r="J173" s="26">
        <f ca="1">'Impacts A'!J173-'Impacts B'!J173</f>
        <v>2.3572513388523952E-2</v>
      </c>
      <c r="K173" s="26">
        <f ca="1">'Impacts A'!K173-'Impacts B'!K173</f>
        <v>2.9062373493686344E-2</v>
      </c>
      <c r="L173" s="26">
        <f ca="1">'Impacts A'!L173-'Impacts B'!L173</f>
        <v>3.4189754113983284E-2</v>
      </c>
      <c r="M173" s="6"/>
      <c r="N173" s="59" t="s">
        <v>134</v>
      </c>
    </row>
    <row r="174" spans="1:15" s="2" customFormat="1" ht="15" x14ac:dyDescent="0.4">
      <c r="A174" s="2" t="s">
        <v>226</v>
      </c>
      <c r="C174" s="2" t="s">
        <v>227</v>
      </c>
    </row>
    <row r="175" spans="1:15" x14ac:dyDescent="0.25">
      <c r="A175" t="str">
        <f t="array" ref="A175:A182">R_CODE&amp;" sea level"</f>
        <v>EU sea level</v>
      </c>
      <c r="C175" s="29">
        <f ca="1">'Impacts A'!C175-'Impacts B'!C175</f>
        <v>2.1121282627433402E-2</v>
      </c>
      <c r="D175" s="29">
        <f ca="1">'Impacts A'!D175-'Impacts B'!D175</f>
        <v>0.27996945942439311</v>
      </c>
      <c r="E175" s="29">
        <f ca="1">'Impacts A'!E175-'Impacts B'!E175</f>
        <v>0.76810930163534863</v>
      </c>
      <c r="F175" s="29">
        <f ca="1">'Impacts A'!F175-'Impacts B'!F175</f>
        <v>1.4517884683209559</v>
      </c>
      <c r="G175" s="29">
        <f ca="1">'Impacts A'!G175-'Impacts B'!G175</f>
        <v>4.0988364238983763</v>
      </c>
      <c r="H175" s="29">
        <f ca="1">'Impacts A'!H175-'Impacts B'!H175</f>
        <v>9.9969796835736133</v>
      </c>
      <c r="I175" s="29">
        <f ca="1">'Impacts A'!I175-'Impacts B'!I175</f>
        <v>78.598605053714664</v>
      </c>
      <c r="J175" s="29">
        <f ca="1">'Impacts A'!J175-'Impacts B'!J175</f>
        <v>164.51722483319554</v>
      </c>
      <c r="K175" s="29">
        <f ca="1">'Impacts A'!K175-'Impacts B'!K175</f>
        <v>281.46613134794188</v>
      </c>
      <c r="L175" s="29">
        <f ca="1">'Impacts A'!L175-'Impacts B'!L175</f>
        <v>429.25576731902856</v>
      </c>
      <c r="M175" s="6"/>
      <c r="N175" s="1" t="str">
        <f t="shared" ref="N175:N182" si="2">CURRENCY_NAME&amp;"/"&amp;POP_UNIT_NAME</f>
        <v>$M(2015)/million</v>
      </c>
      <c r="O175" s="1"/>
    </row>
    <row r="176" spans="1:15" x14ac:dyDescent="0.25">
      <c r="A176" t="str">
        <v>US sea level</v>
      </c>
      <c r="C176" s="26">
        <f ca="1">'Impacts A'!C176-'Impacts B'!C176</f>
        <v>2.3229323756964959E-2</v>
      </c>
      <c r="D176" s="26">
        <f ca="1">'Impacts A'!D176-'Impacts B'!D176</f>
        <v>0.30667074650844484</v>
      </c>
      <c r="E176" s="26">
        <f ca="1">'Impacts A'!E176-'Impacts B'!E176</f>
        <v>0.81048360154221655</v>
      </c>
      <c r="F176" s="26">
        <f ca="1">'Impacts A'!F176-'Impacts B'!F176</f>
        <v>1.4715468699490941</v>
      </c>
      <c r="G176" s="26">
        <f ca="1">'Impacts A'!G176-'Impacts B'!G176</f>
        <v>3.7815290241079538</v>
      </c>
      <c r="H176" s="26">
        <f ca="1">'Impacts A'!H176-'Impacts B'!H176</f>
        <v>8.7420263371019473</v>
      </c>
      <c r="I176" s="26">
        <f ca="1">'Impacts A'!I176-'Impacts B'!I176</f>
        <v>71.348820505406138</v>
      </c>
      <c r="J176" s="26">
        <f ca="1">'Impacts A'!J176-'Impacts B'!J176</f>
        <v>159.70609155968805</v>
      </c>
      <c r="K176" s="26">
        <f ca="1">'Impacts A'!K176-'Impacts B'!K176</f>
        <v>298.42294050937744</v>
      </c>
      <c r="L176" s="26">
        <f ca="1">'Impacts A'!L176-'Impacts B'!L176</f>
        <v>504.13817861328243</v>
      </c>
      <c r="M176" s="6"/>
      <c r="N176" s="1" t="str">
        <f t="shared" si="2"/>
        <v>$M(2015)/million</v>
      </c>
      <c r="O176" s="1"/>
    </row>
    <row r="177" spans="1:15" x14ac:dyDescent="0.25">
      <c r="A177" t="str">
        <v>OT sea level</v>
      </c>
      <c r="C177" s="26">
        <f ca="1">'Impacts A'!C177-'Impacts B'!C177</f>
        <v>1.6993324291746603E-2</v>
      </c>
      <c r="D177" s="26">
        <f ca="1">'Impacts A'!D177-'Impacts B'!D177</f>
        <v>0.22957355188898987</v>
      </c>
      <c r="E177" s="26">
        <f ca="1">'Impacts A'!E177-'Impacts B'!E177</f>
        <v>0.62877723403960317</v>
      </c>
      <c r="F177" s="26">
        <f ca="1">'Impacts A'!F177-'Impacts B'!F177</f>
        <v>1.1861145597255529</v>
      </c>
      <c r="G177" s="26">
        <f ca="1">'Impacts A'!G177-'Impacts B'!G177</f>
        <v>3.3389761474428497</v>
      </c>
      <c r="H177" s="26">
        <f ca="1">'Impacts A'!H177-'Impacts B'!H177</f>
        <v>8.1307481769982246</v>
      </c>
      <c r="I177" s="26">
        <f ca="1">'Impacts A'!I177-'Impacts B'!I177</f>
        <v>56.538123586062284</v>
      </c>
      <c r="J177" s="26">
        <f ca="1">'Impacts A'!J177-'Impacts B'!J177</f>
        <v>100.4693594366604</v>
      </c>
      <c r="K177" s="26">
        <f ca="1">'Impacts A'!K177-'Impacts B'!K177</f>
        <v>144.36258209133348</v>
      </c>
      <c r="L177" s="26">
        <f ca="1">'Impacts A'!L177-'Impacts B'!L177</f>
        <v>185.94144486577034</v>
      </c>
      <c r="M177" s="6"/>
      <c r="N177" s="1" t="str">
        <f t="shared" si="2"/>
        <v>$M(2015)/million</v>
      </c>
      <c r="O177" s="1"/>
    </row>
    <row r="178" spans="1:15" x14ac:dyDescent="0.25">
      <c r="A178" t="str">
        <v>EE sea level</v>
      </c>
      <c r="C178" s="26">
        <f ca="1">'Impacts A'!C178-'Impacts B'!C178</f>
        <v>4.8298542714668713E-3</v>
      </c>
      <c r="D178" s="26">
        <f ca="1">'Impacts A'!D178-'Impacts B'!D178</f>
        <v>7.6382312679967868E-2</v>
      </c>
      <c r="E178" s="26">
        <f ca="1">'Impacts A'!E178-'Impacts B'!E178</f>
        <v>0.23360776823700036</v>
      </c>
      <c r="F178" s="26">
        <f ca="1">'Impacts A'!F178-'Impacts B'!F178</f>
        <v>0.45798417464688157</v>
      </c>
      <c r="G178" s="26">
        <f ca="1">'Impacts A'!G178-'Impacts B'!G178</f>
        <v>1.3269434923819858</v>
      </c>
      <c r="H178" s="26">
        <f ca="1">'Impacts A'!H178-'Impacts B'!H178</f>
        <v>3.19326702338887</v>
      </c>
      <c r="I178" s="26">
        <f ca="1">'Impacts A'!I178-'Impacts B'!I178</f>
        <v>20.051840884617093</v>
      </c>
      <c r="J178" s="26">
        <f ca="1">'Impacts A'!J178-'Impacts B'!J178</f>
        <v>31.896403639984896</v>
      </c>
      <c r="K178" s="26">
        <f ca="1">'Impacts A'!K178-'Impacts B'!K178</f>
        <v>41.883046181021086</v>
      </c>
      <c r="L178" s="26">
        <f ca="1">'Impacts A'!L178-'Impacts B'!L178</f>
        <v>50.511680338064366</v>
      </c>
      <c r="M178" s="6"/>
      <c r="N178" s="1" t="str">
        <f t="shared" si="2"/>
        <v>$M(2015)/million</v>
      </c>
      <c r="O178" s="1"/>
    </row>
    <row r="179" spans="1:15" x14ac:dyDescent="0.25">
      <c r="A179" t="str">
        <v>CA sea level</v>
      </c>
      <c r="C179" s="26">
        <f ca="1">'Impacts A'!C179-'Impacts B'!C179</f>
        <v>8.1525281059242616E-3</v>
      </c>
      <c r="D179" s="26">
        <f ca="1">'Impacts A'!D179-'Impacts B'!D179</f>
        <v>0.16116668186617744</v>
      </c>
      <c r="E179" s="26">
        <f ca="1">'Impacts A'!E179-'Impacts B'!E179</f>
        <v>0.57410036521397956</v>
      </c>
      <c r="F179" s="26">
        <f ca="1">'Impacts A'!F179-'Impacts B'!F179</f>
        <v>1.3084334672448676</v>
      </c>
      <c r="G179" s="26">
        <f ca="1">'Impacts A'!G179-'Impacts B'!G179</f>
        <v>5.0725072429962097</v>
      </c>
      <c r="H179" s="26">
        <f ca="1">'Impacts A'!H179-'Impacts B'!H179</f>
        <v>10.83138504000317</v>
      </c>
      <c r="I179" s="26">
        <f ca="1">'Impacts A'!I179-'Impacts B'!I179</f>
        <v>32.902243671517112</v>
      </c>
      <c r="J179" s="26">
        <f ca="1">'Impacts A'!J179-'Impacts B'!J179</f>
        <v>47.078245615049809</v>
      </c>
      <c r="K179" s="26">
        <f ca="1">'Impacts A'!K179-'Impacts B'!K179</f>
        <v>58.346520205285287</v>
      </c>
      <c r="L179" s="26">
        <f ca="1">'Impacts A'!L179-'Impacts B'!L179</f>
        <v>67.78916627560011</v>
      </c>
      <c r="M179" s="6"/>
      <c r="N179" s="1" t="str">
        <f t="shared" si="2"/>
        <v>$M(2015)/million</v>
      </c>
      <c r="O179" s="1"/>
    </row>
    <row r="180" spans="1:15" x14ac:dyDescent="0.25">
      <c r="A180" t="str">
        <v>IA sea level</v>
      </c>
      <c r="C180" s="26">
        <f ca="1">'Impacts A'!C180-'Impacts B'!C180</f>
        <v>4.8511257849170875E-3</v>
      </c>
      <c r="D180" s="26">
        <f ca="1">'Impacts A'!D180-'Impacts B'!D180</f>
        <v>9.0381773983921221E-2</v>
      </c>
      <c r="E180" s="26">
        <f ca="1">'Impacts A'!E180-'Impacts B'!E180</f>
        <v>0.33934575764625663</v>
      </c>
      <c r="F180" s="26">
        <f ca="1">'Impacts A'!F180-'Impacts B'!F180</f>
        <v>0.84738486338054031</v>
      </c>
      <c r="G180" s="26">
        <f ca="1">'Impacts A'!G180-'Impacts B'!G180</f>
        <v>4.2144167776766039</v>
      </c>
      <c r="H180" s="26">
        <f ca="1">'Impacts A'!H180-'Impacts B'!H180</f>
        <v>10.48162593264658</v>
      </c>
      <c r="I180" s="26">
        <f ca="1">'Impacts A'!I180-'Impacts B'!I180</f>
        <v>46.384417752428362</v>
      </c>
      <c r="J180" s="26">
        <f ca="1">'Impacts A'!J180-'Impacts B'!J180</f>
        <v>74.310935927739138</v>
      </c>
      <c r="K180" s="26">
        <f ca="1">'Impacts A'!K180-'Impacts B'!K180</f>
        <v>96.483013927530919</v>
      </c>
      <c r="L180" s="26">
        <f ca="1">'Impacts A'!L180-'Impacts B'!L180</f>
        <v>115.49058809974122</v>
      </c>
      <c r="M180" s="6"/>
      <c r="N180" s="1" t="str">
        <f t="shared" si="2"/>
        <v>$M(2015)/million</v>
      </c>
      <c r="O180" s="1"/>
    </row>
    <row r="181" spans="1:15" x14ac:dyDescent="0.25">
      <c r="A181" t="str">
        <v>AF sea level</v>
      </c>
      <c r="C181" s="26">
        <f ca="1">'Impacts A'!C181-'Impacts B'!C181</f>
        <v>3.3188515649520411E-3</v>
      </c>
      <c r="D181" s="26">
        <f ca="1">'Impacts A'!D181-'Impacts B'!D181</f>
        <v>5.2697029102134252E-2</v>
      </c>
      <c r="E181" s="26">
        <f ca="1">'Impacts A'!E181-'Impacts B'!E181</f>
        <v>0.18106102211774555</v>
      </c>
      <c r="F181" s="26">
        <f ca="1">'Impacts A'!F181-'Impacts B'!F181</f>
        <v>0.44489421988400579</v>
      </c>
      <c r="G181" s="26">
        <f ca="1">'Impacts A'!G181-'Impacts B'!G181</f>
        <v>2.5416266291822751</v>
      </c>
      <c r="H181" s="26">
        <f ca="1">'Impacts A'!H181-'Impacts B'!H181</f>
        <v>7.3077327515382535</v>
      </c>
      <c r="I181" s="26">
        <f ca="1">'Impacts A'!I181-'Impacts B'!I181</f>
        <v>57.400569815093831</v>
      </c>
      <c r="J181" s="26">
        <f ca="1">'Impacts A'!J181-'Impacts B'!J181</f>
        <v>132.33456263983589</v>
      </c>
      <c r="K181" s="26">
        <f ca="1">'Impacts A'!K181-'Impacts B'!K181</f>
        <v>209.6288487970678</v>
      </c>
      <c r="L181" s="26">
        <f ca="1">'Impacts A'!L181-'Impacts B'!L181</f>
        <v>277.96556050882828</v>
      </c>
      <c r="M181" s="6"/>
      <c r="N181" s="1" t="str">
        <f t="shared" si="2"/>
        <v>$M(2015)/million</v>
      </c>
      <c r="O181" s="1"/>
    </row>
    <row r="182" spans="1:15" x14ac:dyDescent="0.25">
      <c r="A182" t="str">
        <v>LA sea level</v>
      </c>
      <c r="C182" s="26">
        <f ca="1">'Impacts A'!C182-'Impacts B'!C182</f>
        <v>6.1073806292668564E-3</v>
      </c>
      <c r="D182" s="26">
        <f ca="1">'Impacts A'!D182-'Impacts B'!D182</f>
        <v>9.5976099321987363E-2</v>
      </c>
      <c r="E182" s="26">
        <f ca="1">'Impacts A'!E182-'Impacts B'!E182</f>
        <v>0.31746066108959781</v>
      </c>
      <c r="F182" s="26">
        <f ca="1">'Impacts A'!F182-'Impacts B'!F182</f>
        <v>0.72941687147158518</v>
      </c>
      <c r="G182" s="26">
        <f ca="1">'Impacts A'!G182-'Impacts B'!G182</f>
        <v>3.3365108049347327</v>
      </c>
      <c r="H182" s="26">
        <f ca="1">'Impacts A'!H182-'Impacts B'!H182</f>
        <v>8.2120904147260489</v>
      </c>
      <c r="I182" s="26">
        <f ca="1">'Impacts A'!I182-'Impacts B'!I182</f>
        <v>38.83370031028926</v>
      </c>
      <c r="J182" s="26">
        <f ca="1">'Impacts A'!J182-'Impacts B'!J182</f>
        <v>67.237707930102943</v>
      </c>
      <c r="K182" s="26">
        <f ca="1">'Impacts A'!K182-'Impacts B'!K182</f>
        <v>91.218041412268121</v>
      </c>
      <c r="L182" s="26">
        <f ca="1">'Impacts A'!L182-'Impacts B'!L182</f>
        <v>111.47833991055722</v>
      </c>
      <c r="M182" s="6"/>
      <c r="N182" s="1" t="str">
        <f t="shared" si="2"/>
        <v>$M(2015)/million</v>
      </c>
      <c r="O182" s="1"/>
    </row>
    <row r="183" spans="1:15" s="2" customFormat="1" ht="15" x14ac:dyDescent="0.4">
      <c r="A183" s="2" t="s">
        <v>228</v>
      </c>
      <c r="C183" s="2" t="s">
        <v>229</v>
      </c>
    </row>
    <row r="184" spans="1:15" x14ac:dyDescent="0.25">
      <c r="A184" t="str">
        <f t="array" ref="A184:A191">R_CODE&amp;" sea level"</f>
        <v>EU sea level</v>
      </c>
      <c r="C184" s="29">
        <f ca="1">'Impacts A'!C184-'Impacts B'!C184</f>
        <v>-2.112128262524493E-2</v>
      </c>
      <c r="D184" s="29">
        <f ca="1">'Impacts A'!D184-'Impacts B'!D184</f>
        <v>-0.27996945942868479</v>
      </c>
      <c r="E184" s="29">
        <f ca="1">'Impacts A'!E184-'Impacts B'!E184</f>
        <v>-0.76810930163628655</v>
      </c>
      <c r="F184" s="29">
        <f ca="1">'Impacts A'!F184-'Impacts B'!F184</f>
        <v>-1.4517884683154989</v>
      </c>
      <c r="G184" s="29">
        <f ca="1">'Impacts A'!G184-'Impacts B'!G184</f>
        <v>-4.0988364239019575</v>
      </c>
      <c r="H184" s="29">
        <f ca="1">'Impacts A'!H184-'Impacts B'!H184</f>
        <v>-9.9969796835794114</v>
      </c>
      <c r="I184" s="29">
        <f ca="1">'Impacts A'!I184-'Impacts B'!I184</f>
        <v>-78.598605053703068</v>
      </c>
      <c r="J184" s="29">
        <f ca="1">'Impacts A'!J184-'Impacts B'!J184</f>
        <v>-164.51722483319463</v>
      </c>
      <c r="K184" s="29">
        <f ca="1">'Impacts A'!K184-'Impacts B'!K184</f>
        <v>-281.46613134793006</v>
      </c>
      <c r="L184" s="29">
        <f ca="1">'Impacts A'!L184-'Impacts B'!L184</f>
        <v>-429.25576731900219</v>
      </c>
      <c r="M184" s="6"/>
      <c r="N184" s="1" t="str">
        <f t="shared" ref="N184:N191" si="3">CURRENCY_NAME&amp;"/"&amp;POP_UNIT_NAME</f>
        <v>$M(2015)/million</v>
      </c>
      <c r="O184" s="1"/>
    </row>
    <row r="185" spans="1:15" x14ac:dyDescent="0.25">
      <c r="A185" t="str">
        <v>US sea level</v>
      </c>
      <c r="C185" s="26">
        <f ca="1">'Impacts A'!C185-'Impacts B'!C185</f>
        <v>-2.3229323756822851E-2</v>
      </c>
      <c r="D185" s="26">
        <f ca="1">'Impacts A'!D185-'Impacts B'!D185</f>
        <v>-0.30667074650409631</v>
      </c>
      <c r="E185" s="26">
        <f ca="1">'Impacts A'!E185-'Impacts B'!E185</f>
        <v>-0.81048360154090915</v>
      </c>
      <c r="F185" s="26">
        <f ca="1">'Impacts A'!F185-'Impacts B'!F185</f>
        <v>-1.4715468699578196</v>
      </c>
      <c r="G185" s="26">
        <f ca="1">'Impacts A'!G185-'Impacts B'!G185</f>
        <v>-3.7815290240978356</v>
      </c>
      <c r="H185" s="26">
        <f ca="1">'Impacts A'!H185-'Impacts B'!H185</f>
        <v>-8.7420263371022884</v>
      </c>
      <c r="I185" s="26">
        <f ca="1">'Impacts A'!I185-'Impacts B'!I185</f>
        <v>-71.348820505430922</v>
      </c>
      <c r="J185" s="26">
        <f ca="1">'Impacts A'!J185-'Impacts B'!J185</f>
        <v>-159.70609155966667</v>
      </c>
      <c r="K185" s="26">
        <f ca="1">'Impacts A'!K185-'Impacts B'!K185</f>
        <v>-298.4229405092774</v>
      </c>
      <c r="L185" s="26">
        <f ca="1">'Impacts A'!L185-'Impacts B'!L185</f>
        <v>-504.1381786132697</v>
      </c>
      <c r="M185" s="6"/>
      <c r="N185" s="1" t="str">
        <f t="shared" si="3"/>
        <v>$M(2015)/million</v>
      </c>
      <c r="O185" s="1"/>
    </row>
    <row r="186" spans="1:15" x14ac:dyDescent="0.25">
      <c r="A186" t="str">
        <v>OT sea level</v>
      </c>
      <c r="C186" s="26">
        <f ca="1">'Impacts A'!C186-'Impacts B'!C186</f>
        <v>-1.699332429052447E-2</v>
      </c>
      <c r="D186" s="26">
        <f ca="1">'Impacts A'!D186-'Impacts B'!D186</f>
        <v>-0.22957355188555084</v>
      </c>
      <c r="E186" s="26">
        <f ca="1">'Impacts A'!E186-'Impacts B'!E186</f>
        <v>-0.62877723403653363</v>
      </c>
      <c r="F186" s="26">
        <f ca="1">'Impacts A'!F186-'Impacts B'!F186</f>
        <v>-1.186114559728594</v>
      </c>
      <c r="G186" s="26">
        <f ca="1">'Impacts A'!G186-'Impacts B'!G186</f>
        <v>-3.338976147439098</v>
      </c>
      <c r="H186" s="26">
        <f ca="1">'Impacts A'!H186-'Impacts B'!H186</f>
        <v>-8.1307481770054437</v>
      </c>
      <c r="I186" s="26">
        <f ca="1">'Impacts A'!I186-'Impacts B'!I186</f>
        <v>-56.538123586040456</v>
      </c>
      <c r="J186" s="26">
        <f ca="1">'Impacts A'!J186-'Impacts B'!J186</f>
        <v>-100.46935943665449</v>
      </c>
      <c r="K186" s="26">
        <f ca="1">'Impacts A'!K186-'Impacts B'!K186</f>
        <v>-144.36258209130028</v>
      </c>
      <c r="L186" s="26">
        <f ca="1">'Impacts A'!L186-'Impacts B'!L186</f>
        <v>-185.94144486577716</v>
      </c>
      <c r="M186" s="6"/>
      <c r="N186" s="1" t="str">
        <f t="shared" si="3"/>
        <v>$M(2015)/million</v>
      </c>
      <c r="O186" s="1"/>
    </row>
    <row r="187" spans="1:15" x14ac:dyDescent="0.25">
      <c r="A187" t="str">
        <v>EE sea level</v>
      </c>
      <c r="C187" s="26">
        <f ca="1">'Impacts A'!C187-'Impacts B'!C187</f>
        <v>-4.829854271520162E-3</v>
      </c>
      <c r="D187" s="26">
        <f ca="1">'Impacts A'!D187-'Impacts B'!D187</f>
        <v>-7.6382312679925235E-2</v>
      </c>
      <c r="E187" s="26">
        <f ca="1">'Impacts A'!E187-'Impacts B'!E187</f>
        <v>-0.23360776823392371</v>
      </c>
      <c r="F187" s="26">
        <f ca="1">'Impacts A'!F187-'Impacts B'!F187</f>
        <v>-0.45798417464538943</v>
      </c>
      <c r="G187" s="26">
        <f ca="1">'Impacts A'!G187-'Impacts B'!G187</f>
        <v>-1.3269434923786321</v>
      </c>
      <c r="H187" s="26">
        <f ca="1">'Impacts A'!H187-'Impacts B'!H187</f>
        <v>-3.1932670233945828</v>
      </c>
      <c r="I187" s="26">
        <f ca="1">'Impacts A'!I187-'Impacts B'!I187</f>
        <v>-20.051840884611011</v>
      </c>
      <c r="J187" s="26">
        <f ca="1">'Impacts A'!J187-'Impacts B'!J187</f>
        <v>-31.896403639984783</v>
      </c>
      <c r="K187" s="26">
        <f ca="1">'Impacts A'!K187-'Impacts B'!K187</f>
        <v>-41.883046181028476</v>
      </c>
      <c r="L187" s="26">
        <f ca="1">'Impacts A'!L187-'Impacts B'!L187</f>
        <v>-50.511680338036967</v>
      </c>
      <c r="M187" s="6"/>
      <c r="N187" s="1" t="str">
        <f t="shared" si="3"/>
        <v>$M(2015)/million</v>
      </c>
      <c r="O187" s="1"/>
    </row>
    <row r="188" spans="1:15" x14ac:dyDescent="0.25">
      <c r="A188" t="str">
        <v>CA sea level</v>
      </c>
      <c r="C188" s="26">
        <f ca="1">'Impacts A'!C188-'Impacts B'!C188</f>
        <v>-8.1525281057110988E-3</v>
      </c>
      <c r="D188" s="26">
        <f ca="1">'Impacts A'!D188-'Impacts B'!D188</f>
        <v>-0.16116668186805327</v>
      </c>
      <c r="E188" s="26">
        <f ca="1">'Impacts A'!E188-'Impacts B'!E188</f>
        <v>-0.5741003652146901</v>
      </c>
      <c r="F188" s="26">
        <f ca="1">'Impacts A'!F188-'Impacts B'!F188</f>
        <v>-1.3084334672457771</v>
      </c>
      <c r="G188" s="26">
        <f ca="1">'Impacts A'!G188-'Impacts B'!G188</f>
        <v>-5.0725072430068394</v>
      </c>
      <c r="H188" s="26">
        <f ca="1">'Impacts A'!H188-'Impacts B'!H188</f>
        <v>-10.831385040000896</v>
      </c>
      <c r="I188" s="26">
        <f ca="1">'Impacts A'!I188-'Impacts B'!I188</f>
        <v>-32.902243671516771</v>
      </c>
      <c r="J188" s="26">
        <f ca="1">'Impacts A'!J188-'Impacts B'!J188</f>
        <v>-47.078245615048218</v>
      </c>
      <c r="K188" s="26">
        <f ca="1">'Impacts A'!K188-'Impacts B'!K188</f>
        <v>-58.34652020529029</v>
      </c>
      <c r="L188" s="26">
        <f ca="1">'Impacts A'!L188-'Impacts B'!L188</f>
        <v>-67.789166275601019</v>
      </c>
      <c r="M188" s="6"/>
      <c r="N188" s="1" t="str">
        <f t="shared" si="3"/>
        <v>$M(2015)/million</v>
      </c>
      <c r="O188" s="1"/>
    </row>
    <row r="189" spans="1:15" x14ac:dyDescent="0.25">
      <c r="A189" t="str">
        <v>IA sea level</v>
      </c>
      <c r="C189" s="26">
        <f ca="1">'Impacts A'!C189-'Impacts B'!C189</f>
        <v>-4.8511257846257649E-3</v>
      </c>
      <c r="D189" s="26">
        <f ca="1">'Impacts A'!D189-'Impacts B'!D189</f>
        <v>-9.0381773985427571E-2</v>
      </c>
      <c r="E189" s="26">
        <f ca="1">'Impacts A'!E189-'Impacts B'!E189</f>
        <v>-0.33934575764578767</v>
      </c>
      <c r="F189" s="26">
        <f ca="1">'Impacts A'!F189-'Impacts B'!F189</f>
        <v>-0.84738486338028451</v>
      </c>
      <c r="G189" s="26">
        <f ca="1">'Impacts A'!G189-'Impacts B'!G189</f>
        <v>-4.2144167776787071</v>
      </c>
      <c r="H189" s="26">
        <f ca="1">'Impacts A'!H189-'Impacts B'!H189</f>
        <v>-10.481625932647148</v>
      </c>
      <c r="I189" s="26">
        <f ca="1">'Impacts A'!I189-'Impacts B'!I189</f>
        <v>-46.384417752444278</v>
      </c>
      <c r="J189" s="26">
        <f ca="1">'Impacts A'!J189-'Impacts B'!J189</f>
        <v>-74.310935927758692</v>
      </c>
      <c r="K189" s="26">
        <f ca="1">'Impacts A'!K189-'Impacts B'!K189</f>
        <v>-96.4830139275291</v>
      </c>
      <c r="L189" s="26">
        <f ca="1">'Impacts A'!L189-'Impacts B'!L189</f>
        <v>-115.49058809975395</v>
      </c>
      <c r="M189" s="6"/>
      <c r="N189" s="1" t="str">
        <f t="shared" si="3"/>
        <v>$M(2015)/million</v>
      </c>
      <c r="O189" s="1"/>
    </row>
    <row r="190" spans="1:15" x14ac:dyDescent="0.25">
      <c r="A190" t="str">
        <v>AF sea level</v>
      </c>
      <c r="C190" s="26">
        <f ca="1">'Impacts A'!C190-'Impacts B'!C190</f>
        <v>-3.3188515653819195E-3</v>
      </c>
      <c r="D190" s="26">
        <f ca="1">'Impacts A'!D190-'Impacts B'!D190</f>
        <v>-5.2697029102091619E-2</v>
      </c>
      <c r="E190" s="26">
        <f ca="1">'Impacts A'!E190-'Impacts B'!E190</f>
        <v>-0.18106102211822872</v>
      </c>
      <c r="F190" s="26">
        <f ca="1">'Impacts A'!F190-'Impacts B'!F190</f>
        <v>-0.44489421988328104</v>
      </c>
      <c r="G190" s="26">
        <f ca="1">'Impacts A'!G190-'Impacts B'!G190</f>
        <v>-2.5416266291795182</v>
      </c>
      <c r="H190" s="26">
        <f ca="1">'Impacts A'!H190-'Impacts B'!H190</f>
        <v>-7.307732751549338</v>
      </c>
      <c r="I190" s="26">
        <f ca="1">'Impacts A'!I190-'Impacts B'!I190</f>
        <v>-57.400569815130439</v>
      </c>
      <c r="J190" s="26">
        <f ca="1">'Impacts A'!J190-'Impacts B'!J190</f>
        <v>-132.33456263982225</v>
      </c>
      <c r="K190" s="26">
        <f ca="1">'Impacts A'!K190-'Impacts B'!K190</f>
        <v>-209.62884879705962</v>
      </c>
      <c r="L190" s="26">
        <f ca="1">'Impacts A'!L190-'Impacts B'!L190</f>
        <v>-277.96556050877552</v>
      </c>
      <c r="M190" s="6"/>
      <c r="N190" s="1" t="str">
        <f t="shared" si="3"/>
        <v>$M(2015)/million</v>
      </c>
      <c r="O190" s="1"/>
    </row>
    <row r="191" spans="1:15" x14ac:dyDescent="0.25">
      <c r="A191" t="str">
        <v>LA sea level</v>
      </c>
      <c r="C191" s="26">
        <f ca="1">'Impacts A'!C191-'Impacts B'!C191</f>
        <v>-6.1073806282365695E-3</v>
      </c>
      <c r="D191" s="26">
        <f ca="1">'Impacts A'!D191-'Impacts B'!D191</f>
        <v>-9.5976099320978392E-2</v>
      </c>
      <c r="E191" s="26">
        <f ca="1">'Impacts A'!E191-'Impacts B'!E191</f>
        <v>-0.31746066108826199</v>
      </c>
      <c r="F191" s="26">
        <f ca="1">'Impacts A'!F191-'Impacts B'!F191</f>
        <v>-0.72941687147249468</v>
      </c>
      <c r="G191" s="26">
        <f ca="1">'Impacts A'!G191-'Impacts B'!G191</f>
        <v>-3.3365108049329137</v>
      </c>
      <c r="H191" s="26">
        <f ca="1">'Impacts A'!H191-'Impacts B'!H191</f>
        <v>-8.2120904147304827</v>
      </c>
      <c r="I191" s="26">
        <f ca="1">'Impacts A'!I191-'Impacts B'!I191</f>
        <v>-38.833700310293352</v>
      </c>
      <c r="J191" s="26">
        <f ca="1">'Impacts A'!J191-'Impacts B'!J191</f>
        <v>-67.237707930093165</v>
      </c>
      <c r="K191" s="26">
        <f ca="1">'Impacts A'!K191-'Impacts B'!K191</f>
        <v>-91.218041412299499</v>
      </c>
      <c r="L191" s="26">
        <f ca="1">'Impacts A'!L191-'Impacts B'!L191</f>
        <v>-111.47833991056541</v>
      </c>
      <c r="M191" s="6"/>
      <c r="N191" s="1" t="str">
        <f t="shared" si="3"/>
        <v>$M(2015)/million</v>
      </c>
      <c r="O191" s="1"/>
    </row>
    <row r="192" spans="1:15" s="2" customFormat="1" ht="15" x14ac:dyDescent="0.4">
      <c r="A192" s="2" t="s">
        <v>230</v>
      </c>
      <c r="C192" s="2" t="s">
        <v>231</v>
      </c>
    </row>
    <row r="193" spans="1:15" x14ac:dyDescent="0.25">
      <c r="A193" t="str">
        <f t="array" ref="A193:A200">R_CODE&amp;" sea level"</f>
        <v>EU sea level</v>
      </c>
      <c r="C193" s="29">
        <f ca="1">'Impacts A'!C193-'Impacts B'!C193</f>
        <v>-2.4848567794833798E-2</v>
      </c>
      <c r="D193" s="29">
        <f ca="1">'Impacts A'!D193-'Impacts B'!D193</f>
        <v>-0.32937583462626208</v>
      </c>
      <c r="E193" s="29">
        <f ca="1">'Impacts A'!E193-'Impacts B'!E193</f>
        <v>-0.90365800193103496</v>
      </c>
      <c r="F193" s="29">
        <f ca="1">'Impacts A'!F193-'Impacts B'!F193</f>
        <v>-1.7079864333136356</v>
      </c>
      <c r="G193" s="29">
        <f ca="1">'Impacts A'!G193-'Impacts B'!G193</f>
        <v>-4.8221604987193132</v>
      </c>
      <c r="H193" s="29">
        <f ca="1">'Impacts A'!H193-'Impacts B'!H193</f>
        <v>-11.761152568942634</v>
      </c>
      <c r="I193" s="29">
        <f ca="1">'Impacts A'!I193-'Impacts B'!I193</f>
        <v>-92.468947122019017</v>
      </c>
      <c r="J193" s="29">
        <f ca="1">'Impacts A'!J193-'Impacts B'!J193</f>
        <v>-193.5496762743569</v>
      </c>
      <c r="K193" s="29">
        <f ca="1">'Impacts A'!K193-'Impacts B'!K193</f>
        <v>-331.13662511517759</v>
      </c>
      <c r="L193" s="29">
        <f ca="1">'Impacts A'!L193-'Impacts B'!L193</f>
        <v>-505.00678508111741</v>
      </c>
      <c r="M193" s="6"/>
      <c r="N193" s="1" t="str">
        <f t="shared" ref="N193:N200" si="4">CURRENCY_NAME&amp;"/"&amp;POP_UNIT_NAME</f>
        <v>$M(2015)/million</v>
      </c>
      <c r="O193" s="1"/>
    </row>
    <row r="194" spans="1:15" x14ac:dyDescent="0.25">
      <c r="A194" t="str">
        <v>US sea level</v>
      </c>
      <c r="C194" s="26">
        <f ca="1">'Impacts A'!C194-'Impacts B'!C194</f>
        <v>-2.7328616182785481E-2</v>
      </c>
      <c r="D194" s="26">
        <f ca="1">'Impacts A'!D194-'Impacts B'!D194</f>
        <v>-0.36078911353251897</v>
      </c>
      <c r="E194" s="26">
        <f ca="1">'Impacts A'!E194-'Impacts B'!E194</f>
        <v>-0.9535101194633171</v>
      </c>
      <c r="F194" s="26">
        <f ca="1">'Impacts A'!F194-'Impacts B'!F194</f>
        <v>-1.7312316117167939</v>
      </c>
      <c r="G194" s="26">
        <f ca="1">'Impacts A'!G194-'Impacts B'!G194</f>
        <v>-4.4488576754083624</v>
      </c>
      <c r="H194" s="26">
        <f ca="1">'Impacts A'!H194-'Impacts B'!H194</f>
        <v>-10.284736867179163</v>
      </c>
      <c r="I194" s="26">
        <f ca="1">'Impacts A'!I194-'Impacts B'!I194</f>
        <v>-83.9397888299427</v>
      </c>
      <c r="J194" s="26">
        <f ca="1">'Impacts A'!J194-'Impacts B'!J194</f>
        <v>-187.88951948191971</v>
      </c>
      <c r="K194" s="26">
        <f ca="1">'Impacts A'!K194-'Impacts B'!K194</f>
        <v>-351.08581236389</v>
      </c>
      <c r="L194" s="26">
        <f ca="1">'Impacts A'!L194-'Impacts B'!L194</f>
        <v>-593.10373954498209</v>
      </c>
      <c r="M194" s="6"/>
      <c r="N194" s="1" t="str">
        <f t="shared" si="4"/>
        <v>$M(2015)/million</v>
      </c>
      <c r="O194" s="1"/>
    </row>
    <row r="195" spans="1:15" x14ac:dyDescent="0.25">
      <c r="A195" t="str">
        <v>OT sea level</v>
      </c>
      <c r="C195" s="26">
        <f ca="1">'Impacts A'!C195-'Impacts B'!C195</f>
        <v>-1.9992146226286422E-2</v>
      </c>
      <c r="D195" s="26">
        <f ca="1">'Impacts A'!D195-'Impacts B'!D195</f>
        <v>-0.27008653163647978</v>
      </c>
      <c r="E195" s="26">
        <f ca="1">'Impacts A'!E195-'Impacts B'!E195</f>
        <v>-0.73973792239121394</v>
      </c>
      <c r="F195" s="26">
        <f ca="1">'Impacts A'!F195-'Impacts B'!F195</f>
        <v>-1.3954288938039099</v>
      </c>
      <c r="G195" s="26">
        <f ca="1">'Impacts A'!G195-'Impacts B'!G195</f>
        <v>-3.9282072322821477</v>
      </c>
      <c r="H195" s="26">
        <f ca="1">'Impacts A'!H195-'Impacts B'!H195</f>
        <v>-9.5655860906117596</v>
      </c>
      <c r="I195" s="26">
        <f ca="1">'Impacts A'!I195-'Impacts B'!I195</f>
        <v>-66.515439512993908</v>
      </c>
      <c r="J195" s="26">
        <f ca="1">'Impacts A'!J195-'Impacts B'!J195</f>
        <v>-118.19924639601959</v>
      </c>
      <c r="K195" s="26">
        <f ca="1">'Impacts A'!K195-'Impacts B'!K195</f>
        <v>-169.83833187213168</v>
      </c>
      <c r="L195" s="26">
        <f ca="1">'Impacts A'!L195-'Impacts B'!L195</f>
        <v>-218.75464101857506</v>
      </c>
      <c r="M195" s="6"/>
      <c r="N195" s="1" t="str">
        <f t="shared" si="4"/>
        <v>$M(2015)/million</v>
      </c>
      <c r="O195" s="1"/>
    </row>
    <row r="196" spans="1:15" x14ac:dyDescent="0.25">
      <c r="A196" t="str">
        <v>EE sea level</v>
      </c>
      <c r="C196" s="26">
        <f ca="1">'Impacts A'!C196-'Impacts B'!C196</f>
        <v>-5.6821814978320617E-3</v>
      </c>
      <c r="D196" s="26">
        <f ca="1">'Impacts A'!D196-'Impacts B'!D196</f>
        <v>-8.9861544329323806E-2</v>
      </c>
      <c r="E196" s="26">
        <f ca="1">'Impacts A'!E196-'Impacts B'!E196</f>
        <v>-0.27483266851049848</v>
      </c>
      <c r="F196" s="26">
        <f ca="1">'Impacts A'!F196-'Impacts B'!F196</f>
        <v>-0.53880491134623298</v>
      </c>
      <c r="G196" s="26">
        <f ca="1">'Impacts A'!G196-'Impacts B'!G196</f>
        <v>-1.5611099910456687</v>
      </c>
      <c r="H196" s="26">
        <f ca="1">'Impacts A'!H196-'Impacts B'!H196</f>
        <v>-3.7567847333993996</v>
      </c>
      <c r="I196" s="26">
        <f ca="1">'Impacts A'!I196-'Impacts B'!I196</f>
        <v>-23.59040104073938</v>
      </c>
      <c r="J196" s="26">
        <f ca="1">'Impacts A'!J196-'Impacts B'!J196</f>
        <v>-37.525180752913002</v>
      </c>
      <c r="K196" s="26">
        <f ca="1">'Impacts A'!K196-'Impacts B'!K196</f>
        <v>-49.274171977682272</v>
      </c>
      <c r="L196" s="26">
        <f ca="1">'Impacts A'!L196-'Impacts B'!L196</f>
        <v>-59.425506280065747</v>
      </c>
      <c r="M196" s="6"/>
      <c r="N196" s="1" t="str">
        <f t="shared" si="4"/>
        <v>$M(2015)/million</v>
      </c>
      <c r="O196" s="1"/>
    </row>
    <row r="197" spans="1:15" x14ac:dyDescent="0.25">
      <c r="A197" t="str">
        <v>CA sea level</v>
      </c>
      <c r="C197" s="26">
        <f ca="1">'Impacts A'!C197-'Impacts B'!C197</f>
        <v>-9.5912095366657013E-3</v>
      </c>
      <c r="D197" s="26">
        <f ca="1">'Impacts A'!D197-'Impacts B'!D197</f>
        <v>-0.18960786101888516</v>
      </c>
      <c r="E197" s="26">
        <f ca="1">'Impacts A'!E197-'Impacts B'!E197</f>
        <v>-0.67541219436679967</v>
      </c>
      <c r="F197" s="26">
        <f ca="1">'Impacts A'!F197-'Impacts B'!F197</f>
        <v>-1.5393334908731049</v>
      </c>
      <c r="G197" s="26">
        <f ca="1">'Impacts A'!G197-'Impacts B'!G197</f>
        <v>-5.9676555799960624</v>
      </c>
      <c r="H197" s="26">
        <f ca="1">'Impacts A'!H197-'Impacts B'!H197</f>
        <v>-12.742805929417955</v>
      </c>
      <c r="I197" s="26">
        <f ca="1">'Impacts A'!I197-'Impacts B'!I197</f>
        <v>-38.708521966502303</v>
      </c>
      <c r="J197" s="26">
        <f ca="1">'Impacts A'!J197-'Impacts B'!J197</f>
        <v>-55.386171311824</v>
      </c>
      <c r="K197" s="26">
        <f ca="1">'Impacts A'!K197-'Impacts B'!K197</f>
        <v>-68.642964947401197</v>
      </c>
      <c r="L197" s="26">
        <f ca="1">'Impacts A'!L197-'Impacts B'!L197</f>
        <v>-79.751960324239917</v>
      </c>
      <c r="M197" s="6"/>
      <c r="N197" s="1" t="str">
        <f t="shared" si="4"/>
        <v>$M(2015)/million</v>
      </c>
      <c r="O197" s="1"/>
    </row>
    <row r="198" spans="1:15" x14ac:dyDescent="0.25">
      <c r="A198" t="str">
        <v>IA sea level</v>
      </c>
      <c r="C198" s="26">
        <f ca="1">'Impacts A'!C198-'Impacts B'!C198</f>
        <v>-5.7072068057095748E-3</v>
      </c>
      <c r="D198" s="26">
        <f ca="1">'Impacts A'!D198-'Impacts B'!D198</f>
        <v>-0.10633149880777637</v>
      </c>
      <c r="E198" s="26">
        <f ca="1">'Impacts A'!E198-'Impacts B'!E198</f>
        <v>-0.39923030311183538</v>
      </c>
      <c r="F198" s="26">
        <f ca="1">'Impacts A'!F198-'Impacts B'!F198</f>
        <v>-0.99692336868247367</v>
      </c>
      <c r="G198" s="26">
        <f ca="1">'Impacts A'!G198-'Impacts B'!G198</f>
        <v>-4.9581373855035054</v>
      </c>
      <c r="H198" s="26">
        <f ca="1">'Impacts A'!H198-'Impacts B'!H198</f>
        <v>-12.331324626647984</v>
      </c>
      <c r="I198" s="26">
        <f ca="1">'Impacts A'!I198-'Impacts B'!I198</f>
        <v>-54.569903238181723</v>
      </c>
      <c r="J198" s="26">
        <f ca="1">'Impacts A'!J198-'Impacts B'!J198</f>
        <v>-87.424630503257504</v>
      </c>
      <c r="K198" s="26">
        <f ca="1">'Impacts A'!K198-'Impacts B'!K198</f>
        <v>-113.50942815002054</v>
      </c>
      <c r="L198" s="26">
        <f ca="1">'Impacts A'!L198-'Impacts B'!L198</f>
        <v>-135.87128011733876</v>
      </c>
      <c r="M198" s="6"/>
      <c r="N198" s="1" t="str">
        <f t="shared" si="4"/>
        <v>$M(2015)/million</v>
      </c>
      <c r="O198" s="1"/>
    </row>
    <row r="199" spans="1:15" x14ac:dyDescent="0.25">
      <c r="A199" t="str">
        <v>AF sea level</v>
      </c>
      <c r="C199" s="26">
        <f ca="1">'Impacts A'!C199-'Impacts B'!C199</f>
        <v>-3.9045312541929889E-3</v>
      </c>
      <c r="D199" s="26">
        <f ca="1">'Impacts A'!D199-'Impacts B'!D199</f>
        <v>-6.1996504826311138E-2</v>
      </c>
      <c r="E199" s="26">
        <f ca="1">'Impacts A'!E199-'Impacts B'!E199</f>
        <v>-0.21301296719684615</v>
      </c>
      <c r="F199" s="26">
        <f ca="1">'Impacts A'!F199-'Impacts B'!F199</f>
        <v>-0.52340496456599794</v>
      </c>
      <c r="G199" s="26">
        <f ca="1">'Impacts A'!G199-'Impacts B'!G199</f>
        <v>-2.9901489755065995</v>
      </c>
      <c r="H199" s="26">
        <f ca="1">'Impacts A'!H199-'Impacts B'!H199</f>
        <v>-8.5973326488747261</v>
      </c>
      <c r="I199" s="26">
        <f ca="1">'Impacts A'!I199-'Impacts B'!I199</f>
        <v>-67.530082135461271</v>
      </c>
      <c r="J199" s="26">
        <f ca="1">'Impacts A'!J199-'Impacts B'!J199</f>
        <v>-155.68772075267043</v>
      </c>
      <c r="K199" s="26">
        <f ca="1">'Impacts A'!K199-'Impacts B'!K199</f>
        <v>-246.62217505543958</v>
      </c>
      <c r="L199" s="26">
        <f ca="1">'Impacts A'!L199-'Impacts B'!L199</f>
        <v>-327.01830648095347</v>
      </c>
      <c r="M199" s="6"/>
      <c r="N199" s="1" t="str">
        <f t="shared" si="4"/>
        <v>$M(2015)/million</v>
      </c>
      <c r="O199" s="1"/>
    </row>
    <row r="200" spans="1:15" x14ac:dyDescent="0.25">
      <c r="A200" t="str">
        <v>LA sea level</v>
      </c>
      <c r="C200" s="26">
        <f ca="1">'Impacts A'!C200-'Impacts B'!C200</f>
        <v>-7.1851536813483108E-3</v>
      </c>
      <c r="D200" s="26">
        <f ca="1">'Impacts A'!D200-'Impacts B'!D200</f>
        <v>-0.11291305802660645</v>
      </c>
      <c r="E200" s="26">
        <f ca="1">'Impacts A'!E200-'Impacts B'!E200</f>
        <v>-0.37348313069014694</v>
      </c>
      <c r="F200" s="26">
        <f ca="1">'Impacts A'!F200-'Impacts B'!F200</f>
        <v>-0.85813749585213372</v>
      </c>
      <c r="G200" s="26">
        <f ca="1">'Impacts A'!G200-'Impacts B'!G200</f>
        <v>-3.9253068293328397</v>
      </c>
      <c r="H200" s="26">
        <f ca="1">'Impacts A'!H200-'Impacts B'!H200</f>
        <v>-9.6612828408542555</v>
      </c>
      <c r="I200" s="26">
        <f ca="1">'Impacts A'!I200-'Impacts B'!I200</f>
        <v>-45.686706247390248</v>
      </c>
      <c r="J200" s="26">
        <f ca="1">'Impacts A'!J200-'Impacts B'!J200</f>
        <v>-79.103185800136998</v>
      </c>
      <c r="K200" s="26">
        <f ca="1">'Impacts A'!K200-'Impacts B'!K200</f>
        <v>-107.31534283800283</v>
      </c>
      <c r="L200" s="26">
        <f ca="1">'Impacts A'!L200-'Impacts B'!L200</f>
        <v>-131.15098813007353</v>
      </c>
      <c r="M200" s="6"/>
      <c r="N200" s="1" t="str">
        <f t="shared" si="4"/>
        <v>$M(2015)/million</v>
      </c>
      <c r="O200" s="1"/>
    </row>
    <row r="201" spans="1:15" ht="15" x14ac:dyDescent="0.4">
      <c r="A201" s="2" t="s">
        <v>966</v>
      </c>
      <c r="C201" s="2" t="s">
        <v>727</v>
      </c>
      <c r="D201" s="6"/>
      <c r="E201" s="6"/>
      <c r="F201" s="6"/>
      <c r="G201" s="6"/>
      <c r="H201" s="6"/>
      <c r="I201" s="6"/>
      <c r="J201" s="6"/>
      <c r="K201" s="6"/>
      <c r="L201" s="6"/>
      <c r="M201" s="6"/>
      <c r="N201" s="1"/>
      <c r="O201" s="1"/>
    </row>
    <row r="202" spans="1:15" x14ac:dyDescent="0.25">
      <c r="A202" t="str">
        <f t="array" ref="A202:A209">R_CODE&amp;" "&amp;I_1_NAME</f>
        <v>EU Economic</v>
      </c>
      <c r="C202" s="29">
        <f ca="1">'Impacts A'!C202-'Impacts B'!C202</f>
        <v>2.9793639025870594E-6</v>
      </c>
      <c r="D202" s="29">
        <f ca="1">'Impacts A'!D202-'Impacts B'!D202</f>
        <v>1.4380244686157222E-5</v>
      </c>
      <c r="E202" s="29">
        <f ca="1">'Impacts A'!E202-'Impacts B'!E202</f>
        <v>2.2865479747219766E-5</v>
      </c>
      <c r="F202" s="29">
        <f ca="1">'Impacts A'!F202-'Impacts B'!F202</f>
        <v>2.8700782070914532E-5</v>
      </c>
      <c r="G202" s="29">
        <f ca="1">'Impacts A'!G202-'Impacts B'!G202</f>
        <v>4.275176342304933E-5</v>
      </c>
      <c r="H202" s="29">
        <f ca="1">'Impacts A'!H202-'Impacts B'!H202</f>
        <v>6.4795110130470152E-5</v>
      </c>
      <c r="I202" s="29">
        <f ca="1">'Impacts A'!I202-'Impacts B'!I202</f>
        <v>1.4679434695061798E-4</v>
      </c>
      <c r="J202" s="29">
        <f ca="1">'Impacts A'!J202-'Impacts B'!J202</f>
        <v>1.9704518823149015E-4</v>
      </c>
      <c r="K202" s="29">
        <f ca="1">'Impacts A'!K202-'Impacts B'!K202</f>
        <v>2.2374443773391477E-4</v>
      </c>
      <c r="L202" s="29">
        <f ca="1">'Impacts A'!L202-'Impacts B'!L202</f>
        <v>2.5405408140989801E-4</v>
      </c>
      <c r="M202" s="6"/>
      <c r="N202" s="59" t="s">
        <v>716</v>
      </c>
      <c r="O202" s="1"/>
    </row>
    <row r="203" spans="1:15" x14ac:dyDescent="0.25">
      <c r="A203" t="str">
        <v>US Economic</v>
      </c>
      <c r="C203" s="26">
        <f ca="1">'Impacts A'!C203-'Impacts B'!C203</f>
        <v>-2.3973660019888186E-6</v>
      </c>
      <c r="D203" s="26">
        <f ca="1">'Impacts A'!D203-'Impacts B'!D203</f>
        <v>-2.2383437255611878E-5</v>
      </c>
      <c r="E203" s="26">
        <f ca="1">'Impacts A'!E203-'Impacts B'!E203</f>
        <v>-5.6319878391892196E-5</v>
      </c>
      <c r="F203" s="26">
        <f ca="1">'Impacts A'!F203-'Impacts B'!F203</f>
        <v>-9.8728083710126688E-5</v>
      </c>
      <c r="G203" s="26">
        <f ca="1">'Impacts A'!G203-'Impacts B'!G203</f>
        <v>-2.1618783687611491E-4</v>
      </c>
      <c r="H203" s="26">
        <f ca="1">'Impacts A'!H203-'Impacts B'!H203</f>
        <v>-3.1098843721864312E-4</v>
      </c>
      <c r="I203" s="26">
        <f ca="1">'Impacts A'!I203-'Impacts B'!I203</f>
        <v>-4.0127246497894536E-4</v>
      </c>
      <c r="J203" s="26">
        <f ca="1">'Impacts A'!J203-'Impacts B'!J203</f>
        <v>-4.0307956875420322E-4</v>
      </c>
      <c r="K203" s="26">
        <f ca="1">'Impacts A'!K203-'Impacts B'!K203</f>
        <v>-3.8810558990949508E-4</v>
      </c>
      <c r="L203" s="26">
        <f ca="1">'Impacts A'!L203-'Impacts B'!L203</f>
        <v>-3.7541469097096287E-4</v>
      </c>
      <c r="M203" s="6"/>
      <c r="N203" s="59" t="s">
        <v>716</v>
      </c>
      <c r="O203" s="1"/>
    </row>
    <row r="204" spans="1:15" x14ac:dyDescent="0.25">
      <c r="A204" t="str">
        <v>OT Economic</v>
      </c>
      <c r="C204" s="26">
        <f ca="1">'Impacts A'!C204-'Impacts B'!C204</f>
        <v>-2.5961739175779305E-8</v>
      </c>
      <c r="D204" s="26">
        <f ca="1">'Impacts A'!D204-'Impacts B'!D204</f>
        <v>-5.3767408807157968E-6</v>
      </c>
      <c r="E204" s="26">
        <f ca="1">'Impacts A'!E204-'Impacts B'!E204</f>
        <v>-1.8617174711776582E-5</v>
      </c>
      <c r="F204" s="26">
        <f ca="1">'Impacts A'!F204-'Impacts B'!F204</f>
        <v>-3.6984819362852195E-5</v>
      </c>
      <c r="G204" s="26">
        <f ca="1">'Impacts A'!G204-'Impacts B'!G204</f>
        <v>-8.8665170778455538E-5</v>
      </c>
      <c r="H204" s="26">
        <f ca="1">'Impacts A'!H204-'Impacts B'!H204</f>
        <v>-1.2628625955872497E-4</v>
      </c>
      <c r="I204" s="26">
        <f ca="1">'Impacts A'!I204-'Impacts B'!I204</f>
        <v>-1.3880444709862133E-4</v>
      </c>
      <c r="J204" s="26">
        <f ca="1">'Impacts A'!J204-'Impacts B'!J204</f>
        <v>-1.2048121855798895E-4</v>
      </c>
      <c r="K204" s="26">
        <f ca="1">'Impacts A'!K204-'Impacts B'!K204</f>
        <v>-1.0300665344282773E-4</v>
      </c>
      <c r="L204" s="26">
        <f ca="1">'Impacts A'!L204-'Impacts B'!L204</f>
        <v>-8.5261424590015594E-5</v>
      </c>
      <c r="M204" s="6"/>
      <c r="N204" s="59" t="s">
        <v>716</v>
      </c>
      <c r="O204" s="1"/>
    </row>
    <row r="205" spans="1:15" x14ac:dyDescent="0.25">
      <c r="A205" t="str">
        <v>EE Economic</v>
      </c>
      <c r="C205" s="26">
        <f ca="1">'Impacts A'!C205-'Impacts B'!C205</f>
        <v>9.5945769688935909E-6</v>
      </c>
      <c r="D205" s="26">
        <f ca="1">'Impacts A'!D205-'Impacts B'!D205</f>
        <v>5.4948137357198508E-5</v>
      </c>
      <c r="E205" s="26">
        <f ca="1">'Impacts A'!E205-'Impacts B'!E205</f>
        <v>1.0393288185443425E-4</v>
      </c>
      <c r="F205" s="26">
        <f ca="1">'Impacts A'!F205-'Impacts B'!F205</f>
        <v>1.5285636710592708E-4</v>
      </c>
      <c r="G205" s="26">
        <f ca="1">'Impacts A'!G205-'Impacts B'!G205</f>
        <v>2.8292002444800513E-4</v>
      </c>
      <c r="H205" s="26">
        <f ca="1">'Impacts A'!H205-'Impacts B'!H205</f>
        <v>4.1547927716172224E-4</v>
      </c>
      <c r="I205" s="26">
        <f ca="1">'Impacts A'!I205-'Impacts B'!I205</f>
        <v>6.9896248744184299E-4</v>
      </c>
      <c r="J205" s="26">
        <f ca="1">'Impacts A'!J205-'Impacts B'!J205</f>
        <v>8.2992477712546045E-4</v>
      </c>
      <c r="K205" s="26">
        <f ca="1">'Impacts A'!K205-'Impacts B'!K205</f>
        <v>8.8677652253107281E-4</v>
      </c>
      <c r="L205" s="26">
        <f ca="1">'Impacts A'!L205-'Impacts B'!L205</f>
        <v>9.5475797413177924E-4</v>
      </c>
      <c r="M205" s="6"/>
      <c r="N205" s="59" t="s">
        <v>716</v>
      </c>
      <c r="O205" s="1"/>
    </row>
    <row r="206" spans="1:15" x14ac:dyDescent="0.25">
      <c r="A206" t="str">
        <v>CA Economic</v>
      </c>
      <c r="C206" s="26">
        <f ca="1">'Impacts A'!C206-'Impacts B'!C206</f>
        <v>-4.2535806620459674E-6</v>
      </c>
      <c r="D206" s="26">
        <f ca="1">'Impacts A'!D206-'Impacts B'!D206</f>
        <v>-3.3363530679142786E-5</v>
      </c>
      <c r="E206" s="26">
        <f ca="1">'Impacts A'!E206-'Impacts B'!E206</f>
        <v>-7.7653210555275048E-5</v>
      </c>
      <c r="F206" s="26">
        <f ca="1">'Impacts A'!F206-'Impacts B'!F206</f>
        <v>-1.3074562445811351E-4</v>
      </c>
      <c r="G206" s="26">
        <f ca="1">'Impacts A'!G206-'Impacts B'!G206</f>
        <v>-2.7680000829419758E-4</v>
      </c>
      <c r="H206" s="26">
        <f ca="1">'Impacts A'!H206-'Impacts B'!H206</f>
        <v>-3.9973758220822418E-4</v>
      </c>
      <c r="I206" s="26">
        <f ca="1">'Impacts A'!I206-'Impacts B'!I206</f>
        <v>-5.4565137519096973E-4</v>
      </c>
      <c r="J206" s="26">
        <f ca="1">'Impacts A'!J206-'Impacts B'!J206</f>
        <v>-5.7154629379833118E-4</v>
      </c>
      <c r="K206" s="26">
        <f ca="1">'Impacts A'!K206-'Impacts B'!K206</f>
        <v>-5.6639248502907613E-4</v>
      </c>
      <c r="L206" s="26">
        <f ca="1">'Impacts A'!L206-'Impacts B'!L206</f>
        <v>-5.6565485417565346E-4</v>
      </c>
      <c r="M206" s="6"/>
      <c r="N206" s="59" t="s">
        <v>716</v>
      </c>
      <c r="O206" s="1"/>
    </row>
    <row r="207" spans="1:15" x14ac:dyDescent="0.25">
      <c r="A207" t="str">
        <v>IA Economic</v>
      </c>
      <c r="C207" s="26">
        <f ca="1">'Impacts A'!C207-'Impacts B'!C207</f>
        <v>-1.5975513874908658E-5</v>
      </c>
      <c r="D207" s="26">
        <f ca="1">'Impacts A'!D207-'Impacts B'!D207</f>
        <v>-1.1090156329376325E-4</v>
      </c>
      <c r="E207" s="26">
        <f ca="1">'Impacts A'!E207-'Impacts B'!E207</f>
        <v>-2.4112856746611247E-4</v>
      </c>
      <c r="F207" s="26">
        <f ca="1">'Impacts A'!F207-'Impacts B'!F207</f>
        <v>-3.9028958297623526E-4</v>
      </c>
      <c r="G207" s="26">
        <f ca="1">'Impacts A'!G207-'Impacts B'!G207</f>
        <v>-7.9741594355251313E-4</v>
      </c>
      <c r="H207" s="26">
        <f ca="1">'Impacts A'!H207-'Impacts B'!H207</f>
        <v>-1.1564758124812564E-3</v>
      </c>
      <c r="I207" s="26">
        <f ca="1">'Impacts A'!I207-'Impacts B'!I207</f>
        <v>-1.6721188641128492E-3</v>
      </c>
      <c r="J207" s="26">
        <f ca="1">'Impacts A'!J207-'Impacts B'!J207</f>
        <v>-1.8208356349465674E-3</v>
      </c>
      <c r="K207" s="26">
        <f ca="1">'Impacts A'!K207-'Impacts B'!K207</f>
        <v>-1.8500494270081089E-3</v>
      </c>
      <c r="L207" s="26">
        <f ca="1">'Impacts A'!L207-'Impacts B'!L207</f>
        <v>-1.8966781299807204E-3</v>
      </c>
      <c r="M207" s="6"/>
      <c r="N207" s="59" t="s">
        <v>716</v>
      </c>
      <c r="O207" s="1"/>
    </row>
    <row r="208" spans="1:15" x14ac:dyDescent="0.25">
      <c r="A208" t="str">
        <v>AF Economic</v>
      </c>
      <c r="C208" s="26">
        <f ca="1">'Impacts A'!C208-'Impacts B'!C208</f>
        <v>-1.4724261256743917E-5</v>
      </c>
      <c r="D208" s="26">
        <f ca="1">'Impacts A'!D208-'Impacts B'!D208</f>
        <v>-1.0404654848082326E-4</v>
      </c>
      <c r="E208" s="26">
        <f ca="1">'Impacts A'!E208-'Impacts B'!E208</f>
        <v>-2.2866484564109182E-4</v>
      </c>
      <c r="F208" s="26">
        <f ca="1">'Impacts A'!F208-'Impacts B'!F208</f>
        <v>-3.7253006395449213E-4</v>
      </c>
      <c r="G208" s="26">
        <f ca="1">'Impacts A'!G208-'Impacts B'!G208</f>
        <v>-7.6574695826775452E-4</v>
      </c>
      <c r="H208" s="26">
        <f ca="1">'Impacts A'!H208-'Impacts B'!H208</f>
        <v>-1.1097354098375482E-3</v>
      </c>
      <c r="I208" s="26">
        <f ca="1">'Impacts A'!I208-'Impacts B'!I208</f>
        <v>-1.5891075409750592E-3</v>
      </c>
      <c r="J208" s="26">
        <f ca="1">'Impacts A'!J208-'Impacts B'!J208</f>
        <v>-1.7196344530576949E-3</v>
      </c>
      <c r="K208" s="26">
        <f ca="1">'Impacts A'!K208-'Impacts B'!K208</f>
        <v>-1.740385721460451E-3</v>
      </c>
      <c r="L208" s="26">
        <f ca="1">'Impacts A'!L208-'Impacts B'!L208</f>
        <v>-1.7770825610410558E-3</v>
      </c>
      <c r="M208" s="6"/>
      <c r="N208" s="59" t="s">
        <v>716</v>
      </c>
      <c r="O208" s="1"/>
    </row>
    <row r="209" spans="1:15" x14ac:dyDescent="0.25">
      <c r="A209" t="str">
        <v>LA Economic</v>
      </c>
      <c r="C209" s="26">
        <f ca="1">'Impacts A'!C209-'Impacts B'!C209</f>
        <v>-1.1545734368403286E-5</v>
      </c>
      <c r="D209" s="26">
        <f ca="1">'Impacts A'!D209-'Impacts B'!D209</f>
        <v>-8.1353775923022169E-5</v>
      </c>
      <c r="E209" s="26">
        <f ca="1">'Impacts A'!E209-'Impacts B'!E209</f>
        <v>-1.7848843997963354E-4</v>
      </c>
      <c r="F209" s="26">
        <f ca="1">'Impacts A'!F209-'Impacts B'!F209</f>
        <v>-2.9048742415290624E-4</v>
      </c>
      <c r="G209" s="26">
        <f ca="1">'Impacts A'!G209-'Impacts B'!G209</f>
        <v>-5.9654046986338562E-4</v>
      </c>
      <c r="H209" s="26">
        <f ca="1">'Impacts A'!H209-'Impacts B'!H209</f>
        <v>-8.6461685672767873E-4</v>
      </c>
      <c r="I209" s="26">
        <f ca="1">'Impacts A'!I209-'Impacts B'!I209</f>
        <v>-1.2399849000940388E-3</v>
      </c>
      <c r="J209" s="26">
        <f ca="1">'Impacts A'!J209-'Impacts B'!J209</f>
        <v>-1.3431646549588077E-3</v>
      </c>
      <c r="K209" s="26">
        <f ca="1">'Impacts A'!K209-'Impacts B'!K209</f>
        <v>-1.360219431647729E-3</v>
      </c>
      <c r="L209" s="26">
        <f ca="1">'Impacts A'!L209-'Impacts B'!L209</f>
        <v>-1.3897909695669078E-3</v>
      </c>
      <c r="M209" s="6"/>
      <c r="N209" s="59" t="s">
        <v>716</v>
      </c>
      <c r="O209" s="1"/>
    </row>
    <row r="210" spans="1:15" ht="15" x14ac:dyDescent="0.4">
      <c r="A210" s="2" t="s">
        <v>717</v>
      </c>
      <c r="C210" s="2" t="s">
        <v>715</v>
      </c>
      <c r="D210" s="6"/>
      <c r="E210" s="6"/>
      <c r="F210" s="6"/>
      <c r="G210" s="6"/>
      <c r="H210" s="6"/>
      <c r="I210" s="6"/>
      <c r="J210" s="6"/>
      <c r="K210" s="6"/>
      <c r="L210" s="6"/>
      <c r="M210" s="6"/>
      <c r="N210" s="1"/>
      <c r="O210" s="1"/>
    </row>
    <row r="211" spans="1:15" x14ac:dyDescent="0.25">
      <c r="A211" t="str">
        <f t="array" ref="A211:A218">R_CODE&amp;" "&amp;I_1_NAME</f>
        <v>EU Economic</v>
      </c>
      <c r="C211" s="29">
        <f ca="1">'Impacts A'!C211-'Impacts B'!C211</f>
        <v>-2.9805143639816123E-4</v>
      </c>
      <c r="D211" s="29">
        <f ca="1">'Impacts A'!D211-'Impacts B'!D211</f>
        <v>-1.4398331136700193E-3</v>
      </c>
      <c r="E211" s="29">
        <f ca="1">'Impacts A'!E211-'Impacts B'!E211</f>
        <v>-2.2903652098671401E-3</v>
      </c>
      <c r="F211" s="29">
        <f ca="1">'Impacts A'!F211-'Impacts B'!F211</f>
        <v>-2.8754393075702822E-3</v>
      </c>
      <c r="G211" s="29">
        <f ca="1">'Impacts A'!G211-'Impacts B'!G211</f>
        <v>-4.2837828640784892E-3</v>
      </c>
      <c r="H211" s="29">
        <f ca="1">'Impacts A'!H211-'Impacts B'!H211</f>
        <v>-6.4924500639884641E-3</v>
      </c>
      <c r="I211" s="29">
        <f ca="1">'Impacts A'!I211-'Impacts B'!I211</f>
        <v>-1.470493021857866E-2</v>
      </c>
      <c r="J211" s="29">
        <f ca="1">'Impacts A'!J211-'Impacts B'!J211</f>
        <v>-1.9734465006848723E-2</v>
      </c>
      <c r="K211" s="29">
        <f ca="1">'Impacts A'!K211-'Impacts B'!K211</f>
        <v>-2.2405019597071529E-2</v>
      </c>
      <c r="L211" s="29">
        <f ca="1">'Impacts A'!L211-'Impacts B'!L211</f>
        <v>-2.543579802358753E-2</v>
      </c>
      <c r="M211" s="6"/>
      <c r="N211" s="59" t="s">
        <v>134</v>
      </c>
      <c r="O211" s="1"/>
    </row>
    <row r="212" spans="1:15" x14ac:dyDescent="0.25">
      <c r="A212" t="str">
        <v>US Economic</v>
      </c>
      <c r="C212" s="26">
        <f ca="1">'Impacts A'!C212-'Impacts B'!C212</f>
        <v>2.3967075279962557E-4</v>
      </c>
      <c r="D212" s="26">
        <f ca="1">'Impacts A'!D212-'Impacts B'!D212</f>
        <v>2.2355492766634733E-3</v>
      </c>
      <c r="E212" s="26">
        <f ca="1">'Impacts A'!E212-'Impacts B'!E212</f>
        <v>5.6204621390221199E-3</v>
      </c>
      <c r="F212" s="26">
        <f ca="1">'Impacts A'!F212-'Impacts B'!F212</f>
        <v>9.8469541781720515E-3</v>
      </c>
      <c r="G212" s="26">
        <f ca="1">'Impacts A'!G212-'Impacts B'!G212</f>
        <v>2.1549222801731105E-2</v>
      </c>
      <c r="H212" s="26">
        <f ca="1">'Impacts A'!H212-'Impacts B'!H212</f>
        <v>3.1001115047069039E-2</v>
      </c>
      <c r="I212" s="26">
        <f ca="1">'Impacts A'!I212-'Impacts B'!I212</f>
        <v>4.0037704238327088E-2</v>
      </c>
      <c r="J212" s="26">
        <f ca="1">'Impacts A'!J212-'Impacts B'!J212</f>
        <v>4.023845822727079E-2</v>
      </c>
      <c r="K212" s="26">
        <f ca="1">'Impacts A'!K212-'Impacts B'!K212</f>
        <v>3.875477908749092E-2</v>
      </c>
      <c r="L212" s="26">
        <f ca="1">'Impacts A'!L212-'Impacts B'!L212</f>
        <v>3.7497693632682072E-2</v>
      </c>
      <c r="M212" s="6"/>
      <c r="N212" s="59" t="s">
        <v>134</v>
      </c>
      <c r="O212" s="1"/>
    </row>
    <row r="213" spans="1:15" x14ac:dyDescent="0.25">
      <c r="A213" t="str">
        <v>OT Economic</v>
      </c>
      <c r="C213" s="26">
        <f ca="1">'Impacts A'!C213-'Impacts B'!C213</f>
        <v>2.5962105132393276E-6</v>
      </c>
      <c r="D213" s="26">
        <f ca="1">'Impacts A'!D213-'Impacts B'!D213</f>
        <v>5.3760609798336745E-4</v>
      </c>
      <c r="E213" s="26">
        <f ca="1">'Impacts A'!E213-'Impacts B'!E213</f>
        <v>1.8610518168094003E-3</v>
      </c>
      <c r="F213" s="26">
        <f ca="1">'Impacts A'!F213-'Impacts B'!F213</f>
        <v>3.6964095527780572E-3</v>
      </c>
      <c r="G213" s="26">
        <f ca="1">'Impacts A'!G213-'Impacts B'!G213</f>
        <v>8.8594547057674333E-3</v>
      </c>
      <c r="H213" s="26">
        <f ca="1">'Impacts A'!H213-'Impacts B'!H213</f>
        <v>1.261895063517926E-2</v>
      </c>
      <c r="I213" s="26">
        <f ca="1">'Impacts A'!I213-'Impacts B'!I213</f>
        <v>1.3874589102269574E-2</v>
      </c>
      <c r="J213" s="26">
        <f ca="1">'Impacts A'!J213-'Impacts B'!J213</f>
        <v>1.2045015173389739E-2</v>
      </c>
      <c r="K213" s="26">
        <f ca="1">'Impacts A'!K213-'Impacts B'!K213</f>
        <v>1.0298844819511821E-2</v>
      </c>
      <c r="L213" s="26">
        <f ca="1">'Impacts A'!L213-'Impacts B'!L213</f>
        <v>8.5252056373885665E-3</v>
      </c>
      <c r="M213" s="6"/>
      <c r="N213" s="59" t="s">
        <v>134</v>
      </c>
      <c r="O213" s="1"/>
    </row>
    <row r="214" spans="1:15" x14ac:dyDescent="0.25">
      <c r="A214" t="str">
        <v>EE Economic</v>
      </c>
      <c r="C214" s="26">
        <f ca="1">'Impacts A'!C214-'Impacts B'!C214</f>
        <v>-9.6062371528482515E-4</v>
      </c>
      <c r="D214" s="26">
        <f ca="1">'Impacts A'!D214-'Impacts B'!D214</f>
        <v>-5.5181490083100471E-3</v>
      </c>
      <c r="E214" s="26">
        <f ca="1">'Impacts A'!E214-'Impacts B'!E214</f>
        <v>-1.0455166599165899E-2</v>
      </c>
      <c r="F214" s="26">
        <f ca="1">'Impacts A'!F214-'Impacts B'!F214</f>
        <v>-1.5391549866294874E-2</v>
      </c>
      <c r="G214" s="26">
        <f ca="1">'Impacts A'!G214-'Impacts B'!G214</f>
        <v>-2.851235926430995E-2</v>
      </c>
      <c r="H214" s="26">
        <f ca="1">'Impacts A'!H214-'Impacts B'!H214</f>
        <v>-4.1867263540273925E-2</v>
      </c>
      <c r="I214" s="26">
        <f ca="1">'Impacts A'!I214-'Impacts B'!I214</f>
        <v>-7.0335000714072393E-2</v>
      </c>
      <c r="J214" s="26">
        <f ca="1">'Impacts A'!J214-'Impacts B'!J214</f>
        <v>-8.3432916126979784E-2</v>
      </c>
      <c r="K214" s="26">
        <f ca="1">'Impacts A'!K214-'Impacts B'!K214</f>
        <v>-8.90926544424131E-2</v>
      </c>
      <c r="L214" s="26">
        <f ca="1">'Impacts A'!L214-'Impacts B'!L214</f>
        <v>-9.5859761320649106E-2</v>
      </c>
      <c r="M214" s="6"/>
      <c r="N214" s="59" t="s">
        <v>134</v>
      </c>
      <c r="O214" s="1"/>
    </row>
    <row r="215" spans="1:15" x14ac:dyDescent="0.25">
      <c r="A215" t="str">
        <v>CA Economic</v>
      </c>
      <c r="C215" s="26">
        <f ca="1">'Impacts A'!C215-'Impacts B'!C215</f>
        <v>4.2514182058139838E-4</v>
      </c>
      <c r="D215" s="26">
        <f ca="1">'Impacts A'!D215-'Impacts B'!D215</f>
        <v>3.3294313957155097E-3</v>
      </c>
      <c r="E215" s="26">
        <f ca="1">'Impacts A'!E215-'Impacts B'!E215</f>
        <v>7.7403583338631066E-3</v>
      </c>
      <c r="F215" s="26">
        <f ca="1">'Impacts A'!F215-'Impacts B'!F215</f>
        <v>1.302244326484292E-2</v>
      </c>
      <c r="G215" s="26">
        <f ca="1">'Impacts A'!G215-'Impacts B'!G215</f>
        <v>2.7548125476029028E-2</v>
      </c>
      <c r="H215" s="26">
        <f ca="1">'Impacts A'!H215-'Impacts B'!H215</f>
        <v>3.9787173778782492E-2</v>
      </c>
      <c r="I215" s="26">
        <f ca="1">'Impacts A'!I215-'Impacts B'!I215</f>
        <v>5.4376035327230454E-2</v>
      </c>
      <c r="J215" s="26">
        <f ca="1">'Impacts A'!J215-'Impacts B'!J215</f>
        <v>5.6996760938576863E-2</v>
      </c>
      <c r="K215" s="26">
        <f ca="1">'Impacts A'!K215-'Impacts B'!K215</f>
        <v>5.6506160545666262E-2</v>
      </c>
      <c r="L215" s="26">
        <f ca="1">'Impacts A'!L215-'Impacts B'!L215</f>
        <v>5.6455300477387116E-2</v>
      </c>
      <c r="M215" s="6"/>
      <c r="N215" s="59" t="s">
        <v>134</v>
      </c>
      <c r="O215" s="1"/>
    </row>
    <row r="216" spans="1:15" x14ac:dyDescent="0.25">
      <c r="A216" t="str">
        <v>IA Economic</v>
      </c>
      <c r="C216" s="26">
        <f ca="1">'Impacts A'!C216-'Impacts B'!C216</f>
        <v>1.5944268233147874E-3</v>
      </c>
      <c r="D216" s="26">
        <f ca="1">'Impacts A'!D216-'Impacts B'!D216</f>
        <v>1.1007477479818562E-2</v>
      </c>
      <c r="E216" s="26">
        <f ca="1">'Impacts A'!E216-'Impacts B'!E216</f>
        <v>2.3845446868187015E-2</v>
      </c>
      <c r="F216" s="26">
        <f ca="1">'Impacts A'!F216-'Impacts B'!F216</f>
        <v>3.8505269281263743E-2</v>
      </c>
      <c r="G216" s="26">
        <f ca="1">'Impacts A'!G216-'Impacts B'!G216</f>
        <v>7.8491679647663126E-2</v>
      </c>
      <c r="H216" s="26">
        <f ca="1">'Impacts A'!H216-'Impacts B'!H216</f>
        <v>0.11386691312161856</v>
      </c>
      <c r="I216" s="26">
        <f ca="1">'Impacts A'!I216-'Impacts B'!I216</f>
        <v>0.16523010092639456</v>
      </c>
      <c r="J216" s="26">
        <f ca="1">'Impacts A'!J216-'Impacts B'!J216</f>
        <v>0.18032280289442815</v>
      </c>
      <c r="K216" s="26">
        <f ca="1">'Impacts A'!K216-'Impacts B'!K216</f>
        <v>0.1834604852201327</v>
      </c>
      <c r="L216" s="26">
        <f ca="1">'Impacts A'!L216-'Impacts B'!L216</f>
        <v>0.18833532782284168</v>
      </c>
      <c r="M216" s="6"/>
      <c r="N216" s="59" t="s">
        <v>134</v>
      </c>
      <c r="O216" s="1"/>
    </row>
    <row r="217" spans="1:15" x14ac:dyDescent="0.25">
      <c r="A217" t="str">
        <v>AF Economic</v>
      </c>
      <c r="C217" s="26">
        <f ca="1">'Impacts A'!C217-'Impacts B'!C217</f>
        <v>1.469780590324099E-3</v>
      </c>
      <c r="D217" s="26">
        <f ca="1">'Impacts A'!D217-'Impacts B'!D217</f>
        <v>1.0332724808770344E-2</v>
      </c>
      <c r="E217" s="26">
        <f ca="1">'Impacts A'!E217-'Impacts B'!E217</f>
        <v>2.2629949374108893E-2</v>
      </c>
      <c r="F217" s="26">
        <f ca="1">'Impacts A'!F217-'Impacts B'!F217</f>
        <v>3.6785072976353028E-2</v>
      </c>
      <c r="G217" s="26">
        <f ca="1">'Impacts A'!G217-'Impacts B'!G217</f>
        <v>7.5447242243897872E-2</v>
      </c>
      <c r="H217" s="26">
        <f ca="1">'Impacts A'!H217-'Impacts B'!H217</f>
        <v>0.10936914671563214</v>
      </c>
      <c r="I217" s="26">
        <f ca="1">'Impacts A'!I217-'Impacts B'!I217</f>
        <v>0.15715176260063801</v>
      </c>
      <c r="J217" s="26">
        <f ca="1">'Impacts A'!J217-'Impacts B'!J217</f>
        <v>0.17041566837657784</v>
      </c>
      <c r="K217" s="26">
        <f ca="1">'Impacts A'!K217-'Impacts B'!K217</f>
        <v>0.17268909325998116</v>
      </c>
      <c r="L217" s="26">
        <f ca="1">'Impacts A'!L217-'Impacts B'!L217</f>
        <v>0.17655113288453927</v>
      </c>
      <c r="M217" s="6"/>
      <c r="N217" s="59" t="s">
        <v>134</v>
      </c>
      <c r="O217" s="1"/>
    </row>
    <row r="218" spans="1:15" x14ac:dyDescent="0.25">
      <c r="A218" t="str">
        <v>LA Economic</v>
      </c>
      <c r="C218" s="26">
        <f ca="1">'Impacts A'!C218-'Impacts B'!C218</f>
        <v>1.1529455975711755E-3</v>
      </c>
      <c r="D218" s="26">
        <f ca="1">'Impacts A'!D218-'Impacts B'!D218</f>
        <v>8.0912849292902322E-3</v>
      </c>
      <c r="E218" s="26">
        <f ca="1">'Impacts A'!E218-'Impacts B'!E218</f>
        <v>1.7704174970178954E-2</v>
      </c>
      <c r="F218" s="26">
        <f ca="1">'Impacts A'!F218-'Impacts B'!F218</f>
        <v>2.8762931405601488E-2</v>
      </c>
      <c r="G218" s="26">
        <f ca="1">'Impacts A'!G218-'Impacts B'!G218</f>
        <v>5.896625998230709E-2</v>
      </c>
      <c r="H218" s="26">
        <f ca="1">'Impacts A'!H218-'Impacts B'!H218</f>
        <v>8.5482803496994553E-2</v>
      </c>
      <c r="I218" s="26">
        <f ca="1">'Impacts A'!I218-'Impacts B'!I218</f>
        <v>0.12292315337577575</v>
      </c>
      <c r="J218" s="26">
        <f ca="1">'Impacts A'!J218-'Impacts B'!J218</f>
        <v>0.13336902239061699</v>
      </c>
      <c r="K218" s="26">
        <f ca="1">'Impacts A'!K218-'Impacts B'!K218</f>
        <v>0.13519520848631617</v>
      </c>
      <c r="L218" s="26">
        <f ca="1">'Impacts A'!L218-'Impacts B'!L218</f>
        <v>0.13826960865856996</v>
      </c>
      <c r="M218" s="6"/>
      <c r="N218" s="59" t="s">
        <v>134</v>
      </c>
      <c r="O218" s="1"/>
    </row>
    <row r="219" spans="1:15" s="2" customFormat="1" ht="15" x14ac:dyDescent="0.4">
      <c r="A219" s="2" t="s">
        <v>718</v>
      </c>
      <c r="C219" s="2" t="s">
        <v>714</v>
      </c>
    </row>
    <row r="220" spans="1:15" x14ac:dyDescent="0.25">
      <c r="A220" t="str">
        <f t="array" ref="A220:A227">R_CODE&amp;" "&amp;I_1_NAME</f>
        <v>EU Economic</v>
      </c>
      <c r="C220" s="29">
        <f>'Impacts A'!C220-'Impacts B'!C220</f>
        <v>0</v>
      </c>
      <c r="D220" s="29">
        <f>'Impacts A'!D220-'Impacts B'!D220</f>
        <v>0</v>
      </c>
      <c r="E220" s="29">
        <f>'Impacts A'!E220-'Impacts B'!E220</f>
        <v>0</v>
      </c>
      <c r="F220" s="29">
        <f>'Impacts A'!F220-'Impacts B'!F220</f>
        <v>0</v>
      </c>
      <c r="G220" s="29">
        <f>'Impacts A'!G220-'Impacts B'!G220</f>
        <v>0</v>
      </c>
      <c r="H220" s="29">
        <f>'Impacts A'!H220-'Impacts B'!H220</f>
        <v>0</v>
      </c>
      <c r="I220" s="29">
        <f>'Impacts A'!I220-'Impacts B'!I220</f>
        <v>0</v>
      </c>
      <c r="J220" s="29">
        <f>'Impacts A'!J220-'Impacts B'!J220</f>
        <v>0</v>
      </c>
      <c r="K220" s="29">
        <f>'Impacts A'!K220-'Impacts B'!K220</f>
        <v>0</v>
      </c>
      <c r="L220" s="29">
        <f>'Impacts A'!L220-'Impacts B'!L220</f>
        <v>0</v>
      </c>
      <c r="M220" s="6"/>
      <c r="N220" s="59" t="s">
        <v>134</v>
      </c>
    </row>
    <row r="221" spans="1:15" x14ac:dyDescent="0.25">
      <c r="A221" t="str">
        <v>US Economic</v>
      </c>
      <c r="C221" s="26">
        <f>'Impacts A'!C221-'Impacts B'!C221</f>
        <v>0</v>
      </c>
      <c r="D221" s="26">
        <f>'Impacts A'!D221-'Impacts B'!D221</f>
        <v>0</v>
      </c>
      <c r="E221" s="26">
        <f>'Impacts A'!E221-'Impacts B'!E221</f>
        <v>0</v>
      </c>
      <c r="F221" s="26">
        <f>'Impacts A'!F221-'Impacts B'!F221</f>
        <v>0</v>
      </c>
      <c r="G221" s="26">
        <f>'Impacts A'!G221-'Impacts B'!G221</f>
        <v>0</v>
      </c>
      <c r="H221" s="26">
        <f>'Impacts A'!H221-'Impacts B'!H221</f>
        <v>0</v>
      </c>
      <c r="I221" s="26">
        <f>'Impacts A'!I221-'Impacts B'!I221</f>
        <v>0</v>
      </c>
      <c r="J221" s="26">
        <f>'Impacts A'!J221-'Impacts B'!J221</f>
        <v>0</v>
      </c>
      <c r="K221" s="26">
        <f>'Impacts A'!K221-'Impacts B'!K221</f>
        <v>0</v>
      </c>
      <c r="L221" s="26">
        <f>'Impacts A'!L221-'Impacts B'!L221</f>
        <v>0</v>
      </c>
      <c r="M221" s="6"/>
      <c r="N221" s="59" t="s">
        <v>134</v>
      </c>
    </row>
    <row r="222" spans="1:15" x14ac:dyDescent="0.25">
      <c r="A222" t="str">
        <v>OT Economic</v>
      </c>
      <c r="C222" s="26">
        <f>'Impacts A'!C222-'Impacts B'!C222</f>
        <v>0</v>
      </c>
      <c r="D222" s="26">
        <f>'Impacts A'!D222-'Impacts B'!D222</f>
        <v>0</v>
      </c>
      <c r="E222" s="26">
        <f>'Impacts A'!E222-'Impacts B'!E222</f>
        <v>0</v>
      </c>
      <c r="F222" s="26">
        <f>'Impacts A'!F222-'Impacts B'!F222</f>
        <v>0</v>
      </c>
      <c r="G222" s="26">
        <f>'Impacts A'!G222-'Impacts B'!G222</f>
        <v>0</v>
      </c>
      <c r="H222" s="26">
        <f>'Impacts A'!H222-'Impacts B'!H222</f>
        <v>0</v>
      </c>
      <c r="I222" s="26">
        <f>'Impacts A'!I222-'Impacts B'!I222</f>
        <v>0</v>
      </c>
      <c r="J222" s="26">
        <f>'Impacts A'!J222-'Impacts B'!J222</f>
        <v>0</v>
      </c>
      <c r="K222" s="26">
        <f>'Impacts A'!K222-'Impacts B'!K222</f>
        <v>0</v>
      </c>
      <c r="L222" s="26">
        <f>'Impacts A'!L222-'Impacts B'!L222</f>
        <v>0</v>
      </c>
      <c r="M222" s="6"/>
      <c r="N222" s="59" t="s">
        <v>134</v>
      </c>
    </row>
    <row r="223" spans="1:15" x14ac:dyDescent="0.25">
      <c r="A223" t="str">
        <v>EE Economic</v>
      </c>
      <c r="C223" s="26">
        <f>'Impacts A'!C223-'Impacts B'!C223</f>
        <v>0</v>
      </c>
      <c r="D223" s="26">
        <f>'Impacts A'!D223-'Impacts B'!D223</f>
        <v>0</v>
      </c>
      <c r="E223" s="26">
        <f>'Impacts A'!E223-'Impacts B'!E223</f>
        <v>0</v>
      </c>
      <c r="F223" s="26">
        <f>'Impacts A'!F223-'Impacts B'!F223</f>
        <v>0</v>
      </c>
      <c r="G223" s="26">
        <f>'Impacts A'!G223-'Impacts B'!G223</f>
        <v>0</v>
      </c>
      <c r="H223" s="26">
        <f>'Impacts A'!H223-'Impacts B'!H223</f>
        <v>0</v>
      </c>
      <c r="I223" s="26">
        <f>'Impacts A'!I223-'Impacts B'!I223</f>
        <v>0</v>
      </c>
      <c r="J223" s="26">
        <f>'Impacts A'!J223-'Impacts B'!J223</f>
        <v>0</v>
      </c>
      <c r="K223" s="26">
        <f>'Impacts A'!K223-'Impacts B'!K223</f>
        <v>0</v>
      </c>
      <c r="L223" s="26">
        <f>'Impacts A'!L223-'Impacts B'!L223</f>
        <v>0</v>
      </c>
      <c r="M223" s="6"/>
      <c r="N223" s="59" t="s">
        <v>134</v>
      </c>
    </row>
    <row r="224" spans="1:15" x14ac:dyDescent="0.25">
      <c r="A224" t="str">
        <v>CA Economic</v>
      </c>
      <c r="C224" s="26">
        <f>'Impacts A'!C224-'Impacts B'!C224</f>
        <v>0</v>
      </c>
      <c r="D224" s="26">
        <f>'Impacts A'!D224-'Impacts B'!D224</f>
        <v>0</v>
      </c>
      <c r="E224" s="26">
        <f>'Impacts A'!E224-'Impacts B'!E224</f>
        <v>0</v>
      </c>
      <c r="F224" s="26">
        <f>'Impacts A'!F224-'Impacts B'!F224</f>
        <v>0</v>
      </c>
      <c r="G224" s="26">
        <f>'Impacts A'!G224-'Impacts B'!G224</f>
        <v>0</v>
      </c>
      <c r="H224" s="26">
        <f>'Impacts A'!H224-'Impacts B'!H224</f>
        <v>0</v>
      </c>
      <c r="I224" s="26">
        <f>'Impacts A'!I224-'Impacts B'!I224</f>
        <v>0</v>
      </c>
      <c r="J224" s="26">
        <f>'Impacts A'!J224-'Impacts B'!J224</f>
        <v>0</v>
      </c>
      <c r="K224" s="26">
        <f>'Impacts A'!K224-'Impacts B'!K224</f>
        <v>0</v>
      </c>
      <c r="L224" s="26">
        <f>'Impacts A'!L224-'Impacts B'!L224</f>
        <v>0</v>
      </c>
      <c r="M224" s="6"/>
      <c r="N224" s="59" t="s">
        <v>134</v>
      </c>
    </row>
    <row r="225" spans="1:14" x14ac:dyDescent="0.25">
      <c r="A225" t="str">
        <v>IA Economic</v>
      </c>
      <c r="C225" s="26">
        <f>'Impacts A'!C225-'Impacts B'!C225</f>
        <v>0</v>
      </c>
      <c r="D225" s="26">
        <f>'Impacts A'!D225-'Impacts B'!D225</f>
        <v>0</v>
      </c>
      <c r="E225" s="26">
        <f>'Impacts A'!E225-'Impacts B'!E225</f>
        <v>0</v>
      </c>
      <c r="F225" s="26">
        <f>'Impacts A'!F225-'Impacts B'!F225</f>
        <v>0</v>
      </c>
      <c r="G225" s="26">
        <f>'Impacts A'!G225-'Impacts B'!G225</f>
        <v>0</v>
      </c>
      <c r="H225" s="26">
        <f>'Impacts A'!H225-'Impacts B'!H225</f>
        <v>0</v>
      </c>
      <c r="I225" s="26">
        <f>'Impacts A'!I225-'Impacts B'!I225</f>
        <v>0</v>
      </c>
      <c r="J225" s="26">
        <f>'Impacts A'!J225-'Impacts B'!J225</f>
        <v>0</v>
      </c>
      <c r="K225" s="26">
        <f>'Impacts A'!K225-'Impacts B'!K225</f>
        <v>0</v>
      </c>
      <c r="L225" s="26">
        <f>'Impacts A'!L225-'Impacts B'!L225</f>
        <v>0</v>
      </c>
      <c r="M225" s="6"/>
      <c r="N225" s="59" t="s">
        <v>134</v>
      </c>
    </row>
    <row r="226" spans="1:14" x14ac:dyDescent="0.25">
      <c r="A226" t="str">
        <v>AF Economic</v>
      </c>
      <c r="C226" s="26">
        <f>'Impacts A'!C226-'Impacts B'!C226</f>
        <v>0</v>
      </c>
      <c r="D226" s="26">
        <f>'Impacts A'!D226-'Impacts B'!D226</f>
        <v>0</v>
      </c>
      <c r="E226" s="26">
        <f>'Impacts A'!E226-'Impacts B'!E226</f>
        <v>0</v>
      </c>
      <c r="F226" s="26">
        <f>'Impacts A'!F226-'Impacts B'!F226</f>
        <v>0</v>
      </c>
      <c r="G226" s="26">
        <f>'Impacts A'!G226-'Impacts B'!G226</f>
        <v>0</v>
      </c>
      <c r="H226" s="26">
        <f>'Impacts A'!H226-'Impacts B'!H226</f>
        <v>0</v>
      </c>
      <c r="I226" s="26">
        <f>'Impacts A'!I226-'Impacts B'!I226</f>
        <v>0</v>
      </c>
      <c r="J226" s="26">
        <f>'Impacts A'!J226-'Impacts B'!J226</f>
        <v>0</v>
      </c>
      <c r="K226" s="26">
        <f>'Impacts A'!K226-'Impacts B'!K226</f>
        <v>0</v>
      </c>
      <c r="L226" s="26">
        <f>'Impacts A'!L226-'Impacts B'!L226</f>
        <v>0</v>
      </c>
      <c r="M226" s="6"/>
      <c r="N226" s="59" t="s">
        <v>134</v>
      </c>
    </row>
    <row r="227" spans="1:14" x14ac:dyDescent="0.25">
      <c r="A227" t="str">
        <v>LA Economic</v>
      </c>
      <c r="C227" s="26">
        <f>'Impacts A'!C227-'Impacts B'!C227</f>
        <v>0</v>
      </c>
      <c r="D227" s="26">
        <f>'Impacts A'!D227-'Impacts B'!D227</f>
        <v>0</v>
      </c>
      <c r="E227" s="26">
        <f>'Impacts A'!E227-'Impacts B'!E227</f>
        <v>0</v>
      </c>
      <c r="F227" s="26">
        <f>'Impacts A'!F227-'Impacts B'!F227</f>
        <v>0</v>
      </c>
      <c r="G227" s="26">
        <f>'Impacts A'!G227-'Impacts B'!G227</f>
        <v>0</v>
      </c>
      <c r="H227" s="26">
        <f>'Impacts A'!H227-'Impacts B'!H227</f>
        <v>0</v>
      </c>
      <c r="I227" s="26">
        <f>'Impacts A'!I227-'Impacts B'!I227</f>
        <v>0</v>
      </c>
      <c r="J227" s="26">
        <f>'Impacts A'!J227-'Impacts B'!J227</f>
        <v>0</v>
      </c>
      <c r="K227" s="26">
        <f>'Impacts A'!K227-'Impacts B'!K227</f>
        <v>0</v>
      </c>
      <c r="L227" s="26">
        <f>'Impacts A'!L227-'Impacts B'!L227</f>
        <v>0</v>
      </c>
      <c r="M227" s="6"/>
      <c r="N227" s="59" t="s">
        <v>134</v>
      </c>
    </row>
    <row r="228" spans="1:14" ht="15" x14ac:dyDescent="0.4">
      <c r="A228" s="2" t="s">
        <v>733</v>
      </c>
      <c r="C228" s="2" t="s">
        <v>734</v>
      </c>
      <c r="D228" s="6"/>
      <c r="E228" s="6"/>
      <c r="F228" s="6"/>
      <c r="G228" s="6"/>
      <c r="H228" s="6"/>
      <c r="I228" s="6"/>
      <c r="J228" s="6"/>
      <c r="K228" s="6"/>
      <c r="L228" s="6"/>
      <c r="M228" s="6"/>
      <c r="N228" s="59"/>
    </row>
    <row r="229" spans="1:14" x14ac:dyDescent="0.25">
      <c r="A229" t="str">
        <f t="array" ref="A229:A236">R_CODE&amp;" "&amp;I_1_NAME</f>
        <v>EU Economic</v>
      </c>
      <c r="C229" s="26">
        <f ca="1">'Impacts A'!C229-'Impacts B'!C229</f>
        <v>-2.9805143639816123E-4</v>
      </c>
      <c r="D229" s="26">
        <f ca="1">'Impacts A'!D229-'Impacts B'!D229</f>
        <v>-1.4398331136700193E-3</v>
      </c>
      <c r="E229" s="26">
        <f ca="1">'Impacts A'!E229-'Impacts B'!E229</f>
        <v>-2.2903652098671401E-3</v>
      </c>
      <c r="F229" s="26">
        <f ca="1">'Impacts A'!F229-'Impacts B'!F229</f>
        <v>-2.8754393075702822E-3</v>
      </c>
      <c r="G229" s="26">
        <f ca="1">'Impacts A'!G229-'Impacts B'!G229</f>
        <v>-4.2837828640784892E-3</v>
      </c>
      <c r="H229" s="26">
        <f ca="1">'Impacts A'!H229-'Impacts B'!H229</f>
        <v>-6.4924500639884641E-3</v>
      </c>
      <c r="I229" s="26">
        <f ca="1">'Impacts A'!I229-'Impacts B'!I229</f>
        <v>-1.470493021857866E-2</v>
      </c>
      <c r="J229" s="26">
        <f ca="1">'Impacts A'!J229-'Impacts B'!J229</f>
        <v>-1.9734465006848723E-2</v>
      </c>
      <c r="K229" s="26">
        <f ca="1">'Impacts A'!K229-'Impacts B'!K229</f>
        <v>-2.2405019597071529E-2</v>
      </c>
      <c r="L229" s="26">
        <f ca="1">'Impacts A'!L229-'Impacts B'!L229</f>
        <v>-2.543579802358753E-2</v>
      </c>
      <c r="M229" s="6"/>
      <c r="N229" s="59" t="s">
        <v>134</v>
      </c>
    </row>
    <row r="230" spans="1:14" x14ac:dyDescent="0.25">
      <c r="A230" t="str">
        <v>US Economic</v>
      </c>
      <c r="C230" s="26">
        <f ca="1">'Impacts A'!C230-'Impacts B'!C230</f>
        <v>2.3967075279962557E-4</v>
      </c>
      <c r="D230" s="26">
        <f ca="1">'Impacts A'!D230-'Impacts B'!D230</f>
        <v>2.2355492766634733E-3</v>
      </c>
      <c r="E230" s="26">
        <f ca="1">'Impacts A'!E230-'Impacts B'!E230</f>
        <v>5.6204621390221199E-3</v>
      </c>
      <c r="F230" s="26">
        <f ca="1">'Impacts A'!F230-'Impacts B'!F230</f>
        <v>9.8469541781720515E-3</v>
      </c>
      <c r="G230" s="26">
        <f ca="1">'Impacts A'!G230-'Impacts B'!G230</f>
        <v>2.1549222801731105E-2</v>
      </c>
      <c r="H230" s="26">
        <f ca="1">'Impacts A'!H230-'Impacts B'!H230</f>
        <v>3.1001115047069039E-2</v>
      </c>
      <c r="I230" s="26">
        <f ca="1">'Impacts A'!I230-'Impacts B'!I230</f>
        <v>4.0037704238327088E-2</v>
      </c>
      <c r="J230" s="26">
        <f ca="1">'Impacts A'!J230-'Impacts B'!J230</f>
        <v>4.023845822727079E-2</v>
      </c>
      <c r="K230" s="26">
        <f ca="1">'Impacts A'!K230-'Impacts B'!K230</f>
        <v>3.875477908749092E-2</v>
      </c>
      <c r="L230" s="26">
        <f ca="1">'Impacts A'!L230-'Impacts B'!L230</f>
        <v>3.7497693632682072E-2</v>
      </c>
      <c r="M230" s="6"/>
      <c r="N230" s="59" t="s">
        <v>134</v>
      </c>
    </row>
    <row r="231" spans="1:14" x14ac:dyDescent="0.25">
      <c r="A231" t="str">
        <v>OT Economic</v>
      </c>
      <c r="C231" s="26">
        <f ca="1">'Impacts A'!C231-'Impacts B'!C231</f>
        <v>2.5962105132393276E-6</v>
      </c>
      <c r="D231" s="26">
        <f ca="1">'Impacts A'!D231-'Impacts B'!D231</f>
        <v>5.3760609798336745E-4</v>
      </c>
      <c r="E231" s="26">
        <f ca="1">'Impacts A'!E231-'Impacts B'!E231</f>
        <v>1.8610518168094003E-3</v>
      </c>
      <c r="F231" s="26">
        <f ca="1">'Impacts A'!F231-'Impacts B'!F231</f>
        <v>3.6964095527780572E-3</v>
      </c>
      <c r="G231" s="26">
        <f ca="1">'Impacts A'!G231-'Impacts B'!G231</f>
        <v>8.8594547057674333E-3</v>
      </c>
      <c r="H231" s="26">
        <f ca="1">'Impacts A'!H231-'Impacts B'!H231</f>
        <v>1.261895063517926E-2</v>
      </c>
      <c r="I231" s="26">
        <f ca="1">'Impacts A'!I231-'Impacts B'!I231</f>
        <v>1.3874589102269574E-2</v>
      </c>
      <c r="J231" s="26">
        <f ca="1">'Impacts A'!J231-'Impacts B'!J231</f>
        <v>1.2045015173389739E-2</v>
      </c>
      <c r="K231" s="26">
        <f ca="1">'Impacts A'!K231-'Impacts B'!K231</f>
        <v>1.0298844819511821E-2</v>
      </c>
      <c r="L231" s="26">
        <f ca="1">'Impacts A'!L231-'Impacts B'!L231</f>
        <v>8.5252056373885665E-3</v>
      </c>
      <c r="M231" s="6"/>
      <c r="N231" s="59" t="s">
        <v>134</v>
      </c>
    </row>
    <row r="232" spans="1:14" x14ac:dyDescent="0.25">
      <c r="A232" t="str">
        <v>EE Economic</v>
      </c>
      <c r="C232" s="26">
        <f ca="1">'Impacts A'!C232-'Impacts B'!C232</f>
        <v>-9.6062371528482515E-4</v>
      </c>
      <c r="D232" s="26">
        <f ca="1">'Impacts A'!D232-'Impacts B'!D232</f>
        <v>-5.5181490083100471E-3</v>
      </c>
      <c r="E232" s="26">
        <f ca="1">'Impacts A'!E232-'Impacts B'!E232</f>
        <v>-1.0455166599165899E-2</v>
      </c>
      <c r="F232" s="26">
        <f ca="1">'Impacts A'!F232-'Impacts B'!F232</f>
        <v>-1.5391549866294874E-2</v>
      </c>
      <c r="G232" s="26">
        <f ca="1">'Impacts A'!G232-'Impacts B'!G232</f>
        <v>-2.851235926430995E-2</v>
      </c>
      <c r="H232" s="26">
        <f ca="1">'Impacts A'!H232-'Impacts B'!H232</f>
        <v>-4.1867263540273925E-2</v>
      </c>
      <c r="I232" s="26">
        <f ca="1">'Impacts A'!I232-'Impacts B'!I232</f>
        <v>-7.0335000714072393E-2</v>
      </c>
      <c r="J232" s="26">
        <f ca="1">'Impacts A'!J232-'Impacts B'!J232</f>
        <v>-8.3432916126979784E-2</v>
      </c>
      <c r="K232" s="26">
        <f ca="1">'Impacts A'!K232-'Impacts B'!K232</f>
        <v>-8.90926544424131E-2</v>
      </c>
      <c r="L232" s="26">
        <f ca="1">'Impacts A'!L232-'Impacts B'!L232</f>
        <v>-9.5859761320649106E-2</v>
      </c>
      <c r="M232" s="6"/>
      <c r="N232" s="59" t="s">
        <v>134</v>
      </c>
    </row>
    <row r="233" spans="1:14" x14ac:dyDescent="0.25">
      <c r="A233" t="str">
        <v>CA Economic</v>
      </c>
      <c r="C233" s="26">
        <f ca="1">'Impacts A'!C233-'Impacts B'!C233</f>
        <v>4.2514182058139838E-4</v>
      </c>
      <c r="D233" s="26">
        <f ca="1">'Impacts A'!D233-'Impacts B'!D233</f>
        <v>3.3294313957155097E-3</v>
      </c>
      <c r="E233" s="26">
        <f ca="1">'Impacts A'!E233-'Impacts B'!E233</f>
        <v>7.7403583338631066E-3</v>
      </c>
      <c r="F233" s="26">
        <f ca="1">'Impacts A'!F233-'Impacts B'!F233</f>
        <v>1.302244326484292E-2</v>
      </c>
      <c r="G233" s="26">
        <f ca="1">'Impacts A'!G233-'Impacts B'!G233</f>
        <v>2.7548125476029028E-2</v>
      </c>
      <c r="H233" s="26">
        <f ca="1">'Impacts A'!H233-'Impacts B'!H233</f>
        <v>3.9787173778782492E-2</v>
      </c>
      <c r="I233" s="26">
        <f ca="1">'Impacts A'!I233-'Impacts B'!I233</f>
        <v>5.4376035327230454E-2</v>
      </c>
      <c r="J233" s="26">
        <f ca="1">'Impacts A'!J233-'Impacts B'!J233</f>
        <v>5.6996760938576863E-2</v>
      </c>
      <c r="K233" s="26">
        <f ca="1">'Impacts A'!K233-'Impacts B'!K233</f>
        <v>5.6506160545666262E-2</v>
      </c>
      <c r="L233" s="26">
        <f ca="1">'Impacts A'!L233-'Impacts B'!L233</f>
        <v>5.6455300477387116E-2</v>
      </c>
      <c r="M233" s="6"/>
      <c r="N233" s="59" t="s">
        <v>134</v>
      </c>
    </row>
    <row r="234" spans="1:14" x14ac:dyDescent="0.25">
      <c r="A234" t="str">
        <v>IA Economic</v>
      </c>
      <c r="C234" s="26">
        <f ca="1">'Impacts A'!C234-'Impacts B'!C234</f>
        <v>1.5944268233147874E-3</v>
      </c>
      <c r="D234" s="26">
        <f ca="1">'Impacts A'!D234-'Impacts B'!D234</f>
        <v>1.1007477479818562E-2</v>
      </c>
      <c r="E234" s="26">
        <f ca="1">'Impacts A'!E234-'Impacts B'!E234</f>
        <v>2.3845446868187015E-2</v>
      </c>
      <c r="F234" s="26">
        <f ca="1">'Impacts A'!F234-'Impacts B'!F234</f>
        <v>3.8505269281263743E-2</v>
      </c>
      <c r="G234" s="26">
        <f ca="1">'Impacts A'!G234-'Impacts B'!G234</f>
        <v>7.8491679647663126E-2</v>
      </c>
      <c r="H234" s="26">
        <f ca="1">'Impacts A'!H234-'Impacts B'!H234</f>
        <v>0.11386691312161856</v>
      </c>
      <c r="I234" s="26">
        <f ca="1">'Impacts A'!I234-'Impacts B'!I234</f>
        <v>0.16523010092639456</v>
      </c>
      <c r="J234" s="26">
        <f ca="1">'Impacts A'!J234-'Impacts B'!J234</f>
        <v>0.18032280289442815</v>
      </c>
      <c r="K234" s="26">
        <f ca="1">'Impacts A'!K234-'Impacts B'!K234</f>
        <v>0.1834604852201327</v>
      </c>
      <c r="L234" s="26">
        <f ca="1">'Impacts A'!L234-'Impacts B'!L234</f>
        <v>0.18833532782284168</v>
      </c>
      <c r="M234" s="6"/>
      <c r="N234" s="59" t="s">
        <v>134</v>
      </c>
    </row>
    <row r="235" spans="1:14" x14ac:dyDescent="0.25">
      <c r="A235" t="str">
        <v>AF Economic</v>
      </c>
      <c r="C235" s="26">
        <f ca="1">'Impacts A'!C235-'Impacts B'!C235</f>
        <v>1.469780590324099E-3</v>
      </c>
      <c r="D235" s="26">
        <f ca="1">'Impacts A'!D235-'Impacts B'!D235</f>
        <v>1.0332724808770344E-2</v>
      </c>
      <c r="E235" s="26">
        <f ca="1">'Impacts A'!E235-'Impacts B'!E235</f>
        <v>2.2629949374108893E-2</v>
      </c>
      <c r="F235" s="26">
        <f ca="1">'Impacts A'!F235-'Impacts B'!F235</f>
        <v>3.6785072976353028E-2</v>
      </c>
      <c r="G235" s="26">
        <f ca="1">'Impacts A'!G235-'Impacts B'!G235</f>
        <v>7.5447242243897872E-2</v>
      </c>
      <c r="H235" s="26">
        <f ca="1">'Impacts A'!H235-'Impacts B'!H235</f>
        <v>0.10936914671563214</v>
      </c>
      <c r="I235" s="26">
        <f ca="1">'Impacts A'!I235-'Impacts B'!I235</f>
        <v>0.15715176260063801</v>
      </c>
      <c r="J235" s="26">
        <f ca="1">'Impacts A'!J235-'Impacts B'!J235</f>
        <v>0.17041566837657784</v>
      </c>
      <c r="K235" s="26">
        <f ca="1">'Impacts A'!K235-'Impacts B'!K235</f>
        <v>0.17268909325998116</v>
      </c>
      <c r="L235" s="26">
        <f ca="1">'Impacts A'!L235-'Impacts B'!L235</f>
        <v>0.17655113288453927</v>
      </c>
      <c r="M235" s="6"/>
      <c r="N235" s="59" t="s">
        <v>134</v>
      </c>
    </row>
    <row r="236" spans="1:14" x14ac:dyDescent="0.25">
      <c r="A236" t="str">
        <v>LA Economic</v>
      </c>
      <c r="C236" s="26">
        <f ca="1">'Impacts A'!C236-'Impacts B'!C236</f>
        <v>1.1529455975711755E-3</v>
      </c>
      <c r="D236" s="26">
        <f ca="1">'Impacts A'!D236-'Impacts B'!D236</f>
        <v>8.0912849292902322E-3</v>
      </c>
      <c r="E236" s="26">
        <f ca="1">'Impacts A'!E236-'Impacts B'!E236</f>
        <v>1.7704174970178954E-2</v>
      </c>
      <c r="F236" s="26">
        <f ca="1">'Impacts A'!F236-'Impacts B'!F236</f>
        <v>2.8762931405601488E-2</v>
      </c>
      <c r="G236" s="26">
        <f ca="1">'Impacts A'!G236-'Impacts B'!G236</f>
        <v>5.896625998230709E-2</v>
      </c>
      <c r="H236" s="26">
        <f ca="1">'Impacts A'!H236-'Impacts B'!H236</f>
        <v>8.5482803496994553E-2</v>
      </c>
      <c r="I236" s="26">
        <f ca="1">'Impacts A'!I236-'Impacts B'!I236</f>
        <v>0.12292315337577575</v>
      </c>
      <c r="J236" s="26">
        <f ca="1">'Impacts A'!J236-'Impacts B'!J236</f>
        <v>0.13336902239061699</v>
      </c>
      <c r="K236" s="26">
        <f ca="1">'Impacts A'!K236-'Impacts B'!K236</f>
        <v>0.13519520848631617</v>
      </c>
      <c r="L236" s="26">
        <f ca="1">'Impacts A'!L236-'Impacts B'!L236</f>
        <v>0.13826960865856996</v>
      </c>
      <c r="M236" s="6"/>
      <c r="N236" s="59" t="s">
        <v>134</v>
      </c>
    </row>
    <row r="237" spans="1:14" s="2" customFormat="1" ht="15" x14ac:dyDescent="0.4">
      <c r="A237" s="2" t="s">
        <v>221</v>
      </c>
      <c r="C237" s="2" t="s">
        <v>235</v>
      </c>
    </row>
    <row r="238" spans="1:14" x14ac:dyDescent="0.25">
      <c r="A238" t="str">
        <f t="array" ref="A238:A245">R_CODE&amp;" "&amp;I_1_NAME</f>
        <v>EU Economic</v>
      </c>
      <c r="C238" s="29">
        <f ca="1">'Impacts A'!C238-'Impacts B'!C238</f>
        <v>-2.9805143639816123E-4</v>
      </c>
      <c r="D238" s="29">
        <f ca="1">'Impacts A'!D238-'Impacts B'!D238</f>
        <v>-1.4398331136700193E-3</v>
      </c>
      <c r="E238" s="29">
        <f ca="1">'Impacts A'!E238-'Impacts B'!E238</f>
        <v>-2.2903652098671401E-3</v>
      </c>
      <c r="F238" s="29">
        <f ca="1">'Impacts A'!F238-'Impacts B'!F238</f>
        <v>-2.8754393075702822E-3</v>
      </c>
      <c r="G238" s="29">
        <f ca="1">'Impacts A'!G238-'Impacts B'!G238</f>
        <v>-4.2837828640784892E-3</v>
      </c>
      <c r="H238" s="29">
        <f ca="1">'Impacts A'!H238-'Impacts B'!H238</f>
        <v>-6.4924500639884641E-3</v>
      </c>
      <c r="I238" s="29">
        <f ca="1">'Impacts A'!I238-'Impacts B'!I238</f>
        <v>-1.470493021857866E-2</v>
      </c>
      <c r="J238" s="29">
        <f ca="1">'Impacts A'!J238-'Impacts B'!J238</f>
        <v>-1.9734465006848723E-2</v>
      </c>
      <c r="K238" s="29">
        <f ca="1">'Impacts A'!K238-'Impacts B'!K238</f>
        <v>-2.2405019597071529E-2</v>
      </c>
      <c r="L238" s="29">
        <f ca="1">'Impacts A'!L238-'Impacts B'!L238</f>
        <v>-2.543579802358753E-2</v>
      </c>
      <c r="M238" s="6"/>
      <c r="N238" s="59" t="s">
        <v>134</v>
      </c>
    </row>
    <row r="239" spans="1:14" x14ac:dyDescent="0.25">
      <c r="A239" t="str">
        <v>US Economic</v>
      </c>
      <c r="C239" s="26">
        <f ca="1">'Impacts A'!C239-'Impacts B'!C239</f>
        <v>2.3967075279962557E-4</v>
      </c>
      <c r="D239" s="26">
        <f ca="1">'Impacts A'!D239-'Impacts B'!D239</f>
        <v>2.2355492766634733E-3</v>
      </c>
      <c r="E239" s="26">
        <f ca="1">'Impacts A'!E239-'Impacts B'!E239</f>
        <v>5.6204621390221199E-3</v>
      </c>
      <c r="F239" s="26">
        <f ca="1">'Impacts A'!F239-'Impacts B'!F239</f>
        <v>9.8469541781720515E-3</v>
      </c>
      <c r="G239" s="26">
        <f ca="1">'Impacts A'!G239-'Impacts B'!G239</f>
        <v>2.1549222801731105E-2</v>
      </c>
      <c r="H239" s="26">
        <f ca="1">'Impacts A'!H239-'Impacts B'!H239</f>
        <v>3.1001115047069039E-2</v>
      </c>
      <c r="I239" s="26">
        <f ca="1">'Impacts A'!I239-'Impacts B'!I239</f>
        <v>4.0037704238327088E-2</v>
      </c>
      <c r="J239" s="26">
        <f ca="1">'Impacts A'!J239-'Impacts B'!J239</f>
        <v>4.023845822727079E-2</v>
      </c>
      <c r="K239" s="26">
        <f ca="1">'Impacts A'!K239-'Impacts B'!K239</f>
        <v>3.875477908749092E-2</v>
      </c>
      <c r="L239" s="26">
        <f ca="1">'Impacts A'!L239-'Impacts B'!L239</f>
        <v>3.7497693632682072E-2</v>
      </c>
      <c r="M239" s="6"/>
      <c r="N239" s="59" t="s">
        <v>134</v>
      </c>
    </row>
    <row r="240" spans="1:14" x14ac:dyDescent="0.25">
      <c r="A240" t="str">
        <v>OT Economic</v>
      </c>
      <c r="C240" s="26">
        <f ca="1">'Impacts A'!C240-'Impacts B'!C240</f>
        <v>2.5962105132393276E-6</v>
      </c>
      <c r="D240" s="26">
        <f ca="1">'Impacts A'!D240-'Impacts B'!D240</f>
        <v>5.3760609798336745E-4</v>
      </c>
      <c r="E240" s="26">
        <f ca="1">'Impacts A'!E240-'Impacts B'!E240</f>
        <v>1.8610518168094003E-3</v>
      </c>
      <c r="F240" s="26">
        <f ca="1">'Impacts A'!F240-'Impacts B'!F240</f>
        <v>3.6964095527780572E-3</v>
      </c>
      <c r="G240" s="26">
        <f ca="1">'Impacts A'!G240-'Impacts B'!G240</f>
        <v>8.8594547057674333E-3</v>
      </c>
      <c r="H240" s="26">
        <f ca="1">'Impacts A'!H240-'Impacts B'!H240</f>
        <v>1.261895063517926E-2</v>
      </c>
      <c r="I240" s="26">
        <f ca="1">'Impacts A'!I240-'Impacts B'!I240</f>
        <v>1.3874589102269574E-2</v>
      </c>
      <c r="J240" s="26">
        <f ca="1">'Impacts A'!J240-'Impacts B'!J240</f>
        <v>1.2045015173389739E-2</v>
      </c>
      <c r="K240" s="26">
        <f ca="1">'Impacts A'!K240-'Impacts B'!K240</f>
        <v>1.0298844819511821E-2</v>
      </c>
      <c r="L240" s="26">
        <f ca="1">'Impacts A'!L240-'Impacts B'!L240</f>
        <v>8.5252056373885665E-3</v>
      </c>
      <c r="M240" s="6"/>
      <c r="N240" s="59" t="s">
        <v>134</v>
      </c>
    </row>
    <row r="241" spans="1:14" x14ac:dyDescent="0.25">
      <c r="A241" t="str">
        <v>EE Economic</v>
      </c>
      <c r="C241" s="26">
        <f ca="1">'Impacts A'!C241-'Impacts B'!C241</f>
        <v>-9.6062371528482515E-4</v>
      </c>
      <c r="D241" s="26">
        <f ca="1">'Impacts A'!D241-'Impacts B'!D241</f>
        <v>-5.5181490083100471E-3</v>
      </c>
      <c r="E241" s="26">
        <f ca="1">'Impacts A'!E241-'Impacts B'!E241</f>
        <v>-1.0455166599165899E-2</v>
      </c>
      <c r="F241" s="26">
        <f ca="1">'Impacts A'!F241-'Impacts B'!F241</f>
        <v>-1.5391549866294874E-2</v>
      </c>
      <c r="G241" s="26">
        <f ca="1">'Impacts A'!G241-'Impacts B'!G241</f>
        <v>-2.851235926430995E-2</v>
      </c>
      <c r="H241" s="26">
        <f ca="1">'Impacts A'!H241-'Impacts B'!H241</f>
        <v>-4.1867263540273925E-2</v>
      </c>
      <c r="I241" s="26">
        <f ca="1">'Impacts A'!I241-'Impacts B'!I241</f>
        <v>-7.0335000714072393E-2</v>
      </c>
      <c r="J241" s="26">
        <f ca="1">'Impacts A'!J241-'Impacts B'!J241</f>
        <v>-8.3432916126979784E-2</v>
      </c>
      <c r="K241" s="26">
        <f ca="1">'Impacts A'!K241-'Impacts B'!K241</f>
        <v>-8.90926544424131E-2</v>
      </c>
      <c r="L241" s="26">
        <f ca="1">'Impacts A'!L241-'Impacts B'!L241</f>
        <v>-9.5859761320649106E-2</v>
      </c>
      <c r="M241" s="6"/>
      <c r="N241" s="59" t="s">
        <v>134</v>
      </c>
    </row>
    <row r="242" spans="1:14" x14ac:dyDescent="0.25">
      <c r="A242" t="str">
        <v>CA Economic</v>
      </c>
      <c r="C242" s="26">
        <f ca="1">'Impacts A'!C242-'Impacts B'!C242</f>
        <v>4.2514182058139838E-4</v>
      </c>
      <c r="D242" s="26">
        <f ca="1">'Impacts A'!D242-'Impacts B'!D242</f>
        <v>3.3294313957155097E-3</v>
      </c>
      <c r="E242" s="26">
        <f ca="1">'Impacts A'!E242-'Impacts B'!E242</f>
        <v>7.7403583338631066E-3</v>
      </c>
      <c r="F242" s="26">
        <f ca="1">'Impacts A'!F242-'Impacts B'!F242</f>
        <v>1.302244326484292E-2</v>
      </c>
      <c r="G242" s="26">
        <f ca="1">'Impacts A'!G242-'Impacts B'!G242</f>
        <v>2.7548125476029028E-2</v>
      </c>
      <c r="H242" s="26">
        <f ca="1">'Impacts A'!H242-'Impacts B'!H242</f>
        <v>3.9787173778782492E-2</v>
      </c>
      <c r="I242" s="26">
        <f ca="1">'Impacts A'!I242-'Impacts B'!I242</f>
        <v>5.4376035327230454E-2</v>
      </c>
      <c r="J242" s="26">
        <f ca="1">'Impacts A'!J242-'Impacts B'!J242</f>
        <v>5.6996760938576863E-2</v>
      </c>
      <c r="K242" s="26">
        <f ca="1">'Impacts A'!K242-'Impacts B'!K242</f>
        <v>5.6506160545666262E-2</v>
      </c>
      <c r="L242" s="26">
        <f ca="1">'Impacts A'!L242-'Impacts B'!L242</f>
        <v>5.6455300477387116E-2</v>
      </c>
      <c r="M242" s="6"/>
      <c r="N242" s="59" t="s">
        <v>134</v>
      </c>
    </row>
    <row r="243" spans="1:14" x14ac:dyDescent="0.25">
      <c r="A243" t="str">
        <v>IA Economic</v>
      </c>
      <c r="C243" s="26">
        <f ca="1">'Impacts A'!C243-'Impacts B'!C243</f>
        <v>1.5944268233147874E-3</v>
      </c>
      <c r="D243" s="26">
        <f ca="1">'Impacts A'!D243-'Impacts B'!D243</f>
        <v>1.1007477479818562E-2</v>
      </c>
      <c r="E243" s="26">
        <f ca="1">'Impacts A'!E243-'Impacts B'!E243</f>
        <v>2.3845446868187015E-2</v>
      </c>
      <c r="F243" s="26">
        <f ca="1">'Impacts A'!F243-'Impacts B'!F243</f>
        <v>3.8505269281263743E-2</v>
      </c>
      <c r="G243" s="26">
        <f ca="1">'Impacts A'!G243-'Impacts B'!G243</f>
        <v>7.8491679647663126E-2</v>
      </c>
      <c r="H243" s="26">
        <f ca="1">'Impacts A'!H243-'Impacts B'!H243</f>
        <v>0.11386691312161856</v>
      </c>
      <c r="I243" s="26">
        <f ca="1">'Impacts A'!I243-'Impacts B'!I243</f>
        <v>0.16523010092639456</v>
      </c>
      <c r="J243" s="26">
        <f ca="1">'Impacts A'!J243-'Impacts B'!J243</f>
        <v>0.18032280289442815</v>
      </c>
      <c r="K243" s="26">
        <f ca="1">'Impacts A'!K243-'Impacts B'!K243</f>
        <v>0.1834604852201327</v>
      </c>
      <c r="L243" s="26">
        <f ca="1">'Impacts A'!L243-'Impacts B'!L243</f>
        <v>0.18833532782284168</v>
      </c>
      <c r="M243" s="6"/>
      <c r="N243" s="59" t="s">
        <v>134</v>
      </c>
    </row>
    <row r="244" spans="1:14" x14ac:dyDescent="0.25">
      <c r="A244" t="str">
        <v>AF Economic</v>
      </c>
      <c r="C244" s="26">
        <f ca="1">'Impacts A'!C244-'Impacts B'!C244</f>
        <v>1.469780590324099E-3</v>
      </c>
      <c r="D244" s="26">
        <f ca="1">'Impacts A'!D244-'Impacts B'!D244</f>
        <v>1.0332724808770344E-2</v>
      </c>
      <c r="E244" s="26">
        <f ca="1">'Impacts A'!E244-'Impacts B'!E244</f>
        <v>2.2629949374108893E-2</v>
      </c>
      <c r="F244" s="26">
        <f ca="1">'Impacts A'!F244-'Impacts B'!F244</f>
        <v>3.6785072976353028E-2</v>
      </c>
      <c r="G244" s="26">
        <f ca="1">'Impacts A'!G244-'Impacts B'!G244</f>
        <v>7.5447242243897872E-2</v>
      </c>
      <c r="H244" s="26">
        <f ca="1">'Impacts A'!H244-'Impacts B'!H244</f>
        <v>0.10936914671563214</v>
      </c>
      <c r="I244" s="26">
        <f ca="1">'Impacts A'!I244-'Impacts B'!I244</f>
        <v>0.15715176260063801</v>
      </c>
      <c r="J244" s="26">
        <f ca="1">'Impacts A'!J244-'Impacts B'!J244</f>
        <v>0.17041566837657784</v>
      </c>
      <c r="K244" s="26">
        <f ca="1">'Impacts A'!K244-'Impacts B'!K244</f>
        <v>0.17268909325998116</v>
      </c>
      <c r="L244" s="26">
        <f ca="1">'Impacts A'!L244-'Impacts B'!L244</f>
        <v>0.17655113288453927</v>
      </c>
      <c r="M244" s="6"/>
      <c r="N244" s="59" t="s">
        <v>134</v>
      </c>
    </row>
    <row r="245" spans="1:14" x14ac:dyDescent="0.25">
      <c r="A245" t="str">
        <v>LA Economic</v>
      </c>
      <c r="C245" s="26">
        <f ca="1">'Impacts A'!C245-'Impacts B'!C245</f>
        <v>1.1529455975711755E-3</v>
      </c>
      <c r="D245" s="26">
        <f ca="1">'Impacts A'!D245-'Impacts B'!D245</f>
        <v>8.0912849292902322E-3</v>
      </c>
      <c r="E245" s="26">
        <f ca="1">'Impacts A'!E245-'Impacts B'!E245</f>
        <v>1.7704174970178954E-2</v>
      </c>
      <c r="F245" s="26">
        <f ca="1">'Impacts A'!F245-'Impacts B'!F245</f>
        <v>2.8762931405601488E-2</v>
      </c>
      <c r="G245" s="26">
        <f ca="1">'Impacts A'!G245-'Impacts B'!G245</f>
        <v>5.896625998230709E-2</v>
      </c>
      <c r="H245" s="26">
        <f ca="1">'Impacts A'!H245-'Impacts B'!H245</f>
        <v>8.5482803496994553E-2</v>
      </c>
      <c r="I245" s="26">
        <f ca="1">'Impacts A'!I245-'Impacts B'!I245</f>
        <v>0.12292315337577575</v>
      </c>
      <c r="J245" s="26">
        <f ca="1">'Impacts A'!J245-'Impacts B'!J245</f>
        <v>0.13336902239061699</v>
      </c>
      <c r="K245" s="26">
        <f ca="1">'Impacts A'!K245-'Impacts B'!K245</f>
        <v>0.13519520848631617</v>
      </c>
      <c r="L245" s="26">
        <f ca="1">'Impacts A'!L245-'Impacts B'!L245</f>
        <v>0.13826960865856996</v>
      </c>
      <c r="M245" s="6"/>
      <c r="N245" s="59" t="s">
        <v>134</v>
      </c>
    </row>
    <row r="246" spans="1:14" s="2" customFormat="1" ht="15" x14ac:dyDescent="0.4">
      <c r="A246" s="2" t="s">
        <v>225</v>
      </c>
      <c r="C246" s="2" t="s">
        <v>236</v>
      </c>
    </row>
    <row r="247" spans="1:14" x14ac:dyDescent="0.25">
      <c r="A247" t="str">
        <f t="array" ref="A247:A254">R_CODE&amp;" "&amp;I_1_NAME</f>
        <v>EU Economic</v>
      </c>
      <c r="C247" s="29">
        <f ca="1">'Impacts A'!C247-'Impacts B'!C247</f>
        <v>-2.9805143639816123E-4</v>
      </c>
      <c r="D247" s="29">
        <f ca="1">'Impacts A'!D247-'Impacts B'!D247</f>
        <v>-1.4398331136700193E-3</v>
      </c>
      <c r="E247" s="29">
        <f ca="1">'Impacts A'!E247-'Impacts B'!E247</f>
        <v>-2.2903652098671401E-3</v>
      </c>
      <c r="F247" s="29">
        <f ca="1">'Impacts A'!F247-'Impacts B'!F247</f>
        <v>-2.8754393075702822E-3</v>
      </c>
      <c r="G247" s="29">
        <f ca="1">'Impacts A'!G247-'Impacts B'!G247</f>
        <v>-4.2837828640784892E-3</v>
      </c>
      <c r="H247" s="29">
        <f ca="1">'Impacts A'!H247-'Impacts B'!H247</f>
        <v>-6.4924500639884641E-3</v>
      </c>
      <c r="I247" s="29">
        <f ca="1">'Impacts A'!I247-'Impacts B'!I247</f>
        <v>-1.470493021857866E-2</v>
      </c>
      <c r="J247" s="29">
        <f ca="1">'Impacts A'!J247-'Impacts B'!J247</f>
        <v>-1.9734465006848723E-2</v>
      </c>
      <c r="K247" s="29">
        <f ca="1">'Impacts A'!K247-'Impacts B'!K247</f>
        <v>-2.2405019597071529E-2</v>
      </c>
      <c r="L247" s="29">
        <f ca="1">'Impacts A'!L247-'Impacts B'!L247</f>
        <v>-2.543579802358753E-2</v>
      </c>
      <c r="M247" s="6"/>
      <c r="N247" s="59" t="s">
        <v>134</v>
      </c>
    </row>
    <row r="248" spans="1:14" x14ac:dyDescent="0.25">
      <c r="A248" t="str">
        <v>US Economic</v>
      </c>
      <c r="C248" s="26">
        <f ca="1">'Impacts A'!C248-'Impacts B'!C248</f>
        <v>2.3967075279962557E-4</v>
      </c>
      <c r="D248" s="26">
        <f ca="1">'Impacts A'!D248-'Impacts B'!D248</f>
        <v>2.2355492766634733E-3</v>
      </c>
      <c r="E248" s="26">
        <f ca="1">'Impacts A'!E248-'Impacts B'!E248</f>
        <v>5.6204621390221199E-3</v>
      </c>
      <c r="F248" s="26">
        <f ca="1">'Impacts A'!F248-'Impacts B'!F248</f>
        <v>9.8469541781720515E-3</v>
      </c>
      <c r="G248" s="26">
        <f ca="1">'Impacts A'!G248-'Impacts B'!G248</f>
        <v>2.1549222801731105E-2</v>
      </c>
      <c r="H248" s="26">
        <f ca="1">'Impacts A'!H248-'Impacts B'!H248</f>
        <v>3.1001115047069039E-2</v>
      </c>
      <c r="I248" s="26">
        <f ca="1">'Impacts A'!I248-'Impacts B'!I248</f>
        <v>4.0037704238327088E-2</v>
      </c>
      <c r="J248" s="26">
        <f ca="1">'Impacts A'!J248-'Impacts B'!J248</f>
        <v>4.023845822727079E-2</v>
      </c>
      <c r="K248" s="26">
        <f ca="1">'Impacts A'!K248-'Impacts B'!K248</f>
        <v>3.875477908749092E-2</v>
      </c>
      <c r="L248" s="26">
        <f ca="1">'Impacts A'!L248-'Impacts B'!L248</f>
        <v>3.7497693632682072E-2</v>
      </c>
      <c r="M248" s="6"/>
      <c r="N248" s="59" t="s">
        <v>134</v>
      </c>
    </row>
    <row r="249" spans="1:14" x14ac:dyDescent="0.25">
      <c r="A249" t="str">
        <v>OT Economic</v>
      </c>
      <c r="C249" s="26">
        <f ca="1">'Impacts A'!C249-'Impacts B'!C249</f>
        <v>2.5962105132393276E-6</v>
      </c>
      <c r="D249" s="26">
        <f ca="1">'Impacts A'!D249-'Impacts B'!D249</f>
        <v>5.3760609798336745E-4</v>
      </c>
      <c r="E249" s="26">
        <f ca="1">'Impacts A'!E249-'Impacts B'!E249</f>
        <v>1.8610518168094003E-3</v>
      </c>
      <c r="F249" s="26">
        <f ca="1">'Impacts A'!F249-'Impacts B'!F249</f>
        <v>3.6964095527780572E-3</v>
      </c>
      <c r="G249" s="26">
        <f ca="1">'Impacts A'!G249-'Impacts B'!G249</f>
        <v>8.8594547057674333E-3</v>
      </c>
      <c r="H249" s="26">
        <f ca="1">'Impacts A'!H249-'Impacts B'!H249</f>
        <v>1.261895063517926E-2</v>
      </c>
      <c r="I249" s="26">
        <f ca="1">'Impacts A'!I249-'Impacts B'!I249</f>
        <v>1.3874589102269574E-2</v>
      </c>
      <c r="J249" s="26">
        <f ca="1">'Impacts A'!J249-'Impacts B'!J249</f>
        <v>1.2045015173389739E-2</v>
      </c>
      <c r="K249" s="26">
        <f ca="1">'Impacts A'!K249-'Impacts B'!K249</f>
        <v>1.0298844819511821E-2</v>
      </c>
      <c r="L249" s="26">
        <f ca="1">'Impacts A'!L249-'Impacts B'!L249</f>
        <v>8.5252056373885665E-3</v>
      </c>
      <c r="M249" s="6"/>
      <c r="N249" s="59" t="s">
        <v>134</v>
      </c>
    </row>
    <row r="250" spans="1:14" x14ac:dyDescent="0.25">
      <c r="A250" t="str">
        <v>EE Economic</v>
      </c>
      <c r="C250" s="26">
        <f ca="1">'Impacts A'!C250-'Impacts B'!C250</f>
        <v>-9.6062371528482515E-4</v>
      </c>
      <c r="D250" s="26">
        <f ca="1">'Impacts A'!D250-'Impacts B'!D250</f>
        <v>-5.5181490083100471E-3</v>
      </c>
      <c r="E250" s="26">
        <f ca="1">'Impacts A'!E250-'Impacts B'!E250</f>
        <v>-1.0455166599165899E-2</v>
      </c>
      <c r="F250" s="26">
        <f ca="1">'Impacts A'!F250-'Impacts B'!F250</f>
        <v>-1.5391549866294874E-2</v>
      </c>
      <c r="G250" s="26">
        <f ca="1">'Impacts A'!G250-'Impacts B'!G250</f>
        <v>-2.851235926430995E-2</v>
      </c>
      <c r="H250" s="26">
        <f ca="1">'Impacts A'!H250-'Impacts B'!H250</f>
        <v>-4.1867263540273925E-2</v>
      </c>
      <c r="I250" s="26">
        <f ca="1">'Impacts A'!I250-'Impacts B'!I250</f>
        <v>-7.0335000714072393E-2</v>
      </c>
      <c r="J250" s="26">
        <f ca="1">'Impacts A'!J250-'Impacts B'!J250</f>
        <v>-8.3432916126979784E-2</v>
      </c>
      <c r="K250" s="26">
        <f ca="1">'Impacts A'!K250-'Impacts B'!K250</f>
        <v>-8.90926544424131E-2</v>
      </c>
      <c r="L250" s="26">
        <f ca="1">'Impacts A'!L250-'Impacts B'!L250</f>
        <v>-9.5859761320649106E-2</v>
      </c>
      <c r="M250" s="6"/>
      <c r="N250" s="59" t="s">
        <v>134</v>
      </c>
    </row>
    <row r="251" spans="1:14" x14ac:dyDescent="0.25">
      <c r="A251" t="str">
        <v>CA Economic</v>
      </c>
      <c r="C251" s="26">
        <f ca="1">'Impacts A'!C251-'Impacts B'!C251</f>
        <v>4.2514182058139838E-4</v>
      </c>
      <c r="D251" s="26">
        <f ca="1">'Impacts A'!D251-'Impacts B'!D251</f>
        <v>3.3294313957155097E-3</v>
      </c>
      <c r="E251" s="26">
        <f ca="1">'Impacts A'!E251-'Impacts B'!E251</f>
        <v>7.7403583338631066E-3</v>
      </c>
      <c r="F251" s="26">
        <f ca="1">'Impacts A'!F251-'Impacts B'!F251</f>
        <v>1.302244326484292E-2</v>
      </c>
      <c r="G251" s="26">
        <f ca="1">'Impacts A'!G251-'Impacts B'!G251</f>
        <v>2.7548125476029028E-2</v>
      </c>
      <c r="H251" s="26">
        <f ca="1">'Impacts A'!H251-'Impacts B'!H251</f>
        <v>3.9787173778782492E-2</v>
      </c>
      <c r="I251" s="26">
        <f ca="1">'Impacts A'!I251-'Impacts B'!I251</f>
        <v>5.4376035327230454E-2</v>
      </c>
      <c r="J251" s="26">
        <f ca="1">'Impacts A'!J251-'Impacts B'!J251</f>
        <v>5.6996760938576863E-2</v>
      </c>
      <c r="K251" s="26">
        <f ca="1">'Impacts A'!K251-'Impacts B'!K251</f>
        <v>5.6506160545666262E-2</v>
      </c>
      <c r="L251" s="26">
        <f ca="1">'Impacts A'!L251-'Impacts B'!L251</f>
        <v>5.6455300477387116E-2</v>
      </c>
      <c r="M251" s="6"/>
      <c r="N251" s="59" t="s">
        <v>134</v>
      </c>
    </row>
    <row r="252" spans="1:14" x14ac:dyDescent="0.25">
      <c r="A252" t="str">
        <v>IA Economic</v>
      </c>
      <c r="C252" s="26">
        <f ca="1">'Impacts A'!C252-'Impacts B'!C252</f>
        <v>1.5944268233147874E-3</v>
      </c>
      <c r="D252" s="26">
        <f ca="1">'Impacts A'!D252-'Impacts B'!D252</f>
        <v>1.1007477479818562E-2</v>
      </c>
      <c r="E252" s="26">
        <f ca="1">'Impacts A'!E252-'Impacts B'!E252</f>
        <v>2.3845446868187015E-2</v>
      </c>
      <c r="F252" s="26">
        <f ca="1">'Impacts A'!F252-'Impacts B'!F252</f>
        <v>3.8505269281263743E-2</v>
      </c>
      <c r="G252" s="26">
        <f ca="1">'Impacts A'!G252-'Impacts B'!G252</f>
        <v>7.8491679647663126E-2</v>
      </c>
      <c r="H252" s="26">
        <f ca="1">'Impacts A'!H252-'Impacts B'!H252</f>
        <v>0.11386691312161856</v>
      </c>
      <c r="I252" s="26">
        <f ca="1">'Impacts A'!I252-'Impacts B'!I252</f>
        <v>0.16523010092639456</v>
      </c>
      <c r="J252" s="26">
        <f ca="1">'Impacts A'!J252-'Impacts B'!J252</f>
        <v>0.18032280289442815</v>
      </c>
      <c r="K252" s="26">
        <f ca="1">'Impacts A'!K252-'Impacts B'!K252</f>
        <v>0.1834604852201327</v>
      </c>
      <c r="L252" s="26">
        <f ca="1">'Impacts A'!L252-'Impacts B'!L252</f>
        <v>0.18833532782284168</v>
      </c>
      <c r="M252" s="6"/>
      <c r="N252" s="59" t="s">
        <v>134</v>
      </c>
    </row>
    <row r="253" spans="1:14" x14ac:dyDescent="0.25">
      <c r="A253" t="str">
        <v>AF Economic</v>
      </c>
      <c r="C253" s="26">
        <f ca="1">'Impacts A'!C253-'Impacts B'!C253</f>
        <v>1.469780590324099E-3</v>
      </c>
      <c r="D253" s="26">
        <f ca="1">'Impacts A'!D253-'Impacts B'!D253</f>
        <v>1.0332724808770344E-2</v>
      </c>
      <c r="E253" s="26">
        <f ca="1">'Impacts A'!E253-'Impacts B'!E253</f>
        <v>2.2629949374108893E-2</v>
      </c>
      <c r="F253" s="26">
        <f ca="1">'Impacts A'!F253-'Impacts B'!F253</f>
        <v>3.6785072976353028E-2</v>
      </c>
      <c r="G253" s="26">
        <f ca="1">'Impacts A'!G253-'Impacts B'!G253</f>
        <v>7.5447242243897872E-2</v>
      </c>
      <c r="H253" s="26">
        <f ca="1">'Impacts A'!H253-'Impacts B'!H253</f>
        <v>0.10936914671563214</v>
      </c>
      <c r="I253" s="26">
        <f ca="1">'Impacts A'!I253-'Impacts B'!I253</f>
        <v>0.15715176260063801</v>
      </c>
      <c r="J253" s="26">
        <f ca="1">'Impacts A'!J253-'Impacts B'!J253</f>
        <v>0.17041566837657784</v>
      </c>
      <c r="K253" s="26">
        <f ca="1">'Impacts A'!K253-'Impacts B'!K253</f>
        <v>0.17268909325998116</v>
      </c>
      <c r="L253" s="26">
        <f ca="1">'Impacts A'!L253-'Impacts B'!L253</f>
        <v>0.17655113288453927</v>
      </c>
      <c r="M253" s="6"/>
      <c r="N253" s="59" t="s">
        <v>134</v>
      </c>
    </row>
    <row r="254" spans="1:14" x14ac:dyDescent="0.25">
      <c r="A254" t="str">
        <v>LA Economic</v>
      </c>
      <c r="C254" s="26">
        <f ca="1">'Impacts A'!C254-'Impacts B'!C254</f>
        <v>1.1529455975711755E-3</v>
      </c>
      <c r="D254" s="26">
        <f ca="1">'Impacts A'!D254-'Impacts B'!D254</f>
        <v>8.0912849292902322E-3</v>
      </c>
      <c r="E254" s="26">
        <f ca="1">'Impacts A'!E254-'Impacts B'!E254</f>
        <v>1.7704174970178954E-2</v>
      </c>
      <c r="F254" s="26">
        <f ca="1">'Impacts A'!F254-'Impacts B'!F254</f>
        <v>2.8762931405601488E-2</v>
      </c>
      <c r="G254" s="26">
        <f ca="1">'Impacts A'!G254-'Impacts B'!G254</f>
        <v>5.896625998230709E-2</v>
      </c>
      <c r="H254" s="26">
        <f ca="1">'Impacts A'!H254-'Impacts B'!H254</f>
        <v>8.5482803496994553E-2</v>
      </c>
      <c r="I254" s="26">
        <f ca="1">'Impacts A'!I254-'Impacts B'!I254</f>
        <v>0.12292315337577575</v>
      </c>
      <c r="J254" s="26">
        <f ca="1">'Impacts A'!J254-'Impacts B'!J254</f>
        <v>0.13336902239061699</v>
      </c>
      <c r="K254" s="26">
        <f ca="1">'Impacts A'!K254-'Impacts B'!K254</f>
        <v>0.13519520848631617</v>
      </c>
      <c r="L254" s="26">
        <f ca="1">'Impacts A'!L254-'Impacts B'!L254</f>
        <v>0.13826960865856996</v>
      </c>
      <c r="M254" s="6"/>
      <c r="N254" s="59" t="s">
        <v>134</v>
      </c>
    </row>
    <row r="255" spans="1:14" ht="15" x14ac:dyDescent="0.4">
      <c r="A255" s="2" t="s">
        <v>721</v>
      </c>
      <c r="C255" s="2" t="s">
        <v>723</v>
      </c>
      <c r="D255" s="6"/>
      <c r="E255" s="6"/>
      <c r="F255" s="6"/>
      <c r="G255" s="6"/>
      <c r="H255" s="6"/>
      <c r="I255" s="6"/>
      <c r="J255" s="6"/>
      <c r="K255" s="6"/>
      <c r="L255" s="6"/>
      <c r="M255" s="6"/>
      <c r="N255" s="59"/>
    </row>
    <row r="256" spans="1:14" x14ac:dyDescent="0.25">
      <c r="A256" t="str">
        <f t="array" ref="A256:A263">R_CODE&amp;" "&amp;I_1_NAME</f>
        <v>EU Economic</v>
      </c>
      <c r="C256" s="29">
        <f ca="1">'Impacts A'!C256-'Impacts B'!C256</f>
        <v>-2.9805143639816123E-4</v>
      </c>
      <c r="D256" s="29">
        <f ca="1">'Impacts A'!D256-'Impacts B'!D256</f>
        <v>-1.4398331136700193E-3</v>
      </c>
      <c r="E256" s="29">
        <f ca="1">'Impacts A'!E256-'Impacts B'!E256</f>
        <v>-2.2903652098671401E-3</v>
      </c>
      <c r="F256" s="29">
        <f ca="1">'Impacts A'!F256-'Impacts B'!F256</f>
        <v>-2.8754393075702822E-3</v>
      </c>
      <c r="G256" s="29">
        <f ca="1">'Impacts A'!G256-'Impacts B'!G256</f>
        <v>-4.2837828640784892E-3</v>
      </c>
      <c r="H256" s="29">
        <f ca="1">'Impacts A'!H256-'Impacts B'!H256</f>
        <v>-6.4924500639884641E-3</v>
      </c>
      <c r="I256" s="29">
        <f ca="1">'Impacts A'!I256-'Impacts B'!I256</f>
        <v>-1.470493021857866E-2</v>
      </c>
      <c r="J256" s="29">
        <f ca="1">'Impacts A'!J256-'Impacts B'!J256</f>
        <v>-1.9734465006848723E-2</v>
      </c>
      <c r="K256" s="29">
        <f ca="1">'Impacts A'!K256-'Impacts B'!K256</f>
        <v>-2.2405019597071529E-2</v>
      </c>
      <c r="L256" s="29">
        <f ca="1">'Impacts A'!L256-'Impacts B'!L256</f>
        <v>-2.543579802358753E-2</v>
      </c>
      <c r="M256" s="6"/>
      <c r="N256" s="59" t="s">
        <v>134</v>
      </c>
    </row>
    <row r="257" spans="1:15" x14ac:dyDescent="0.25">
      <c r="A257" t="str">
        <v>US Economic</v>
      </c>
      <c r="C257" s="26">
        <f ca="1">'Impacts A'!C257-'Impacts B'!C257</f>
        <v>2.3967075279962557E-4</v>
      </c>
      <c r="D257" s="26">
        <f ca="1">'Impacts A'!D257-'Impacts B'!D257</f>
        <v>2.2355492766634733E-3</v>
      </c>
      <c r="E257" s="26">
        <f ca="1">'Impacts A'!E257-'Impacts B'!E257</f>
        <v>5.6204621390221199E-3</v>
      </c>
      <c r="F257" s="26">
        <f ca="1">'Impacts A'!F257-'Impacts B'!F257</f>
        <v>9.8469541781720515E-3</v>
      </c>
      <c r="G257" s="26">
        <f ca="1">'Impacts A'!G257-'Impacts B'!G257</f>
        <v>2.1549222801731105E-2</v>
      </c>
      <c r="H257" s="26">
        <f ca="1">'Impacts A'!H257-'Impacts B'!H257</f>
        <v>3.1001115047069039E-2</v>
      </c>
      <c r="I257" s="26">
        <f ca="1">'Impacts A'!I257-'Impacts B'!I257</f>
        <v>4.0037704238327088E-2</v>
      </c>
      <c r="J257" s="26">
        <f ca="1">'Impacts A'!J257-'Impacts B'!J257</f>
        <v>4.023845822727079E-2</v>
      </c>
      <c r="K257" s="26">
        <f ca="1">'Impacts A'!K257-'Impacts B'!K257</f>
        <v>3.875477908749092E-2</v>
      </c>
      <c r="L257" s="26">
        <f ca="1">'Impacts A'!L257-'Impacts B'!L257</f>
        <v>3.7497693632682072E-2</v>
      </c>
      <c r="M257" s="6"/>
      <c r="N257" s="59" t="s">
        <v>134</v>
      </c>
    </row>
    <row r="258" spans="1:15" x14ac:dyDescent="0.25">
      <c r="A258" t="str">
        <v>OT Economic</v>
      </c>
      <c r="C258" s="26">
        <f ca="1">'Impacts A'!C258-'Impacts B'!C258</f>
        <v>2.5962105132393276E-6</v>
      </c>
      <c r="D258" s="26">
        <f ca="1">'Impacts A'!D258-'Impacts B'!D258</f>
        <v>5.3760609798336745E-4</v>
      </c>
      <c r="E258" s="26">
        <f ca="1">'Impacts A'!E258-'Impacts B'!E258</f>
        <v>1.8610518168094003E-3</v>
      </c>
      <c r="F258" s="26">
        <f ca="1">'Impacts A'!F258-'Impacts B'!F258</f>
        <v>3.6964095527780572E-3</v>
      </c>
      <c r="G258" s="26">
        <f ca="1">'Impacts A'!G258-'Impacts B'!G258</f>
        <v>8.8594547057674333E-3</v>
      </c>
      <c r="H258" s="26">
        <f ca="1">'Impacts A'!H258-'Impacts B'!H258</f>
        <v>1.261895063517926E-2</v>
      </c>
      <c r="I258" s="26">
        <f ca="1">'Impacts A'!I258-'Impacts B'!I258</f>
        <v>1.3874589102269574E-2</v>
      </c>
      <c r="J258" s="26">
        <f ca="1">'Impacts A'!J258-'Impacts B'!J258</f>
        <v>1.2045015173389739E-2</v>
      </c>
      <c r="K258" s="26">
        <f ca="1">'Impacts A'!K258-'Impacts B'!K258</f>
        <v>1.0298844819511821E-2</v>
      </c>
      <c r="L258" s="26">
        <f ca="1">'Impacts A'!L258-'Impacts B'!L258</f>
        <v>8.5252056373885665E-3</v>
      </c>
      <c r="M258" s="6"/>
      <c r="N258" s="59" t="s">
        <v>134</v>
      </c>
    </row>
    <row r="259" spans="1:15" x14ac:dyDescent="0.25">
      <c r="A259" t="str">
        <v>EE Economic</v>
      </c>
      <c r="C259" s="26">
        <f ca="1">'Impacts A'!C259-'Impacts B'!C259</f>
        <v>-9.6062371528482515E-4</v>
      </c>
      <c r="D259" s="26">
        <f ca="1">'Impacts A'!D259-'Impacts B'!D259</f>
        <v>-5.5181490083100471E-3</v>
      </c>
      <c r="E259" s="26">
        <f ca="1">'Impacts A'!E259-'Impacts B'!E259</f>
        <v>-1.0455166599165899E-2</v>
      </c>
      <c r="F259" s="26">
        <f ca="1">'Impacts A'!F259-'Impacts B'!F259</f>
        <v>-1.5391549866294874E-2</v>
      </c>
      <c r="G259" s="26">
        <f ca="1">'Impacts A'!G259-'Impacts B'!G259</f>
        <v>-2.851235926430995E-2</v>
      </c>
      <c r="H259" s="26">
        <f ca="1">'Impacts A'!H259-'Impacts B'!H259</f>
        <v>-4.1867263540273925E-2</v>
      </c>
      <c r="I259" s="26">
        <f ca="1">'Impacts A'!I259-'Impacts B'!I259</f>
        <v>-7.0335000714072393E-2</v>
      </c>
      <c r="J259" s="26">
        <f ca="1">'Impacts A'!J259-'Impacts B'!J259</f>
        <v>-8.3432916126979784E-2</v>
      </c>
      <c r="K259" s="26">
        <f ca="1">'Impacts A'!K259-'Impacts B'!K259</f>
        <v>-8.90926544424131E-2</v>
      </c>
      <c r="L259" s="26">
        <f ca="1">'Impacts A'!L259-'Impacts B'!L259</f>
        <v>-9.5859761320649106E-2</v>
      </c>
      <c r="M259" s="6"/>
      <c r="N259" s="59" t="s">
        <v>134</v>
      </c>
    </row>
    <row r="260" spans="1:15" x14ac:dyDescent="0.25">
      <c r="A260" t="str">
        <v>CA Economic</v>
      </c>
      <c r="C260" s="26">
        <f ca="1">'Impacts A'!C260-'Impacts B'!C260</f>
        <v>4.2514182058139838E-4</v>
      </c>
      <c r="D260" s="26">
        <f ca="1">'Impacts A'!D260-'Impacts B'!D260</f>
        <v>3.3294313957155097E-3</v>
      </c>
      <c r="E260" s="26">
        <f ca="1">'Impacts A'!E260-'Impacts B'!E260</f>
        <v>7.7403583338631066E-3</v>
      </c>
      <c r="F260" s="26">
        <f ca="1">'Impacts A'!F260-'Impacts B'!F260</f>
        <v>1.302244326484292E-2</v>
      </c>
      <c r="G260" s="26">
        <f ca="1">'Impacts A'!G260-'Impacts B'!G260</f>
        <v>2.7548125476029028E-2</v>
      </c>
      <c r="H260" s="26">
        <f ca="1">'Impacts A'!H260-'Impacts B'!H260</f>
        <v>3.9787173778782492E-2</v>
      </c>
      <c r="I260" s="26">
        <f ca="1">'Impacts A'!I260-'Impacts B'!I260</f>
        <v>5.4376035327230454E-2</v>
      </c>
      <c r="J260" s="26">
        <f ca="1">'Impacts A'!J260-'Impacts B'!J260</f>
        <v>5.6996760938576863E-2</v>
      </c>
      <c r="K260" s="26">
        <f ca="1">'Impacts A'!K260-'Impacts B'!K260</f>
        <v>5.6506160545666262E-2</v>
      </c>
      <c r="L260" s="26">
        <f ca="1">'Impacts A'!L260-'Impacts B'!L260</f>
        <v>5.6455300477387116E-2</v>
      </c>
      <c r="M260" s="6"/>
      <c r="N260" s="59" t="s">
        <v>134</v>
      </c>
    </row>
    <row r="261" spans="1:15" x14ac:dyDescent="0.25">
      <c r="A261" t="str">
        <v>IA Economic</v>
      </c>
      <c r="C261" s="26">
        <f ca="1">'Impacts A'!C261-'Impacts B'!C261</f>
        <v>1.5944268233147874E-3</v>
      </c>
      <c r="D261" s="26">
        <f ca="1">'Impacts A'!D261-'Impacts B'!D261</f>
        <v>1.1007477479818562E-2</v>
      </c>
      <c r="E261" s="26">
        <f ca="1">'Impacts A'!E261-'Impacts B'!E261</f>
        <v>2.3845446868187015E-2</v>
      </c>
      <c r="F261" s="26">
        <f ca="1">'Impacts A'!F261-'Impacts B'!F261</f>
        <v>3.8505269281263743E-2</v>
      </c>
      <c r="G261" s="26">
        <f ca="1">'Impacts A'!G261-'Impacts B'!G261</f>
        <v>7.8491679647663126E-2</v>
      </c>
      <c r="H261" s="26">
        <f ca="1">'Impacts A'!H261-'Impacts B'!H261</f>
        <v>0.11386691312161856</v>
      </c>
      <c r="I261" s="26">
        <f ca="1">'Impacts A'!I261-'Impacts B'!I261</f>
        <v>0.16523010092639456</v>
      </c>
      <c r="J261" s="26">
        <f ca="1">'Impacts A'!J261-'Impacts B'!J261</f>
        <v>0.18032280289442815</v>
      </c>
      <c r="K261" s="26">
        <f ca="1">'Impacts A'!K261-'Impacts B'!K261</f>
        <v>0.1834604852201327</v>
      </c>
      <c r="L261" s="26">
        <f ca="1">'Impacts A'!L261-'Impacts B'!L261</f>
        <v>0.18833532782284168</v>
      </c>
      <c r="M261" s="6"/>
      <c r="N261" s="59" t="s">
        <v>134</v>
      </c>
    </row>
    <row r="262" spans="1:15" x14ac:dyDescent="0.25">
      <c r="A262" t="str">
        <v>AF Economic</v>
      </c>
      <c r="C262" s="26">
        <f ca="1">'Impacts A'!C262-'Impacts B'!C262</f>
        <v>1.469780590324099E-3</v>
      </c>
      <c r="D262" s="26">
        <f ca="1">'Impacts A'!D262-'Impacts B'!D262</f>
        <v>1.0332724808770344E-2</v>
      </c>
      <c r="E262" s="26">
        <f ca="1">'Impacts A'!E262-'Impacts B'!E262</f>
        <v>2.2629949374108893E-2</v>
      </c>
      <c r="F262" s="26">
        <f ca="1">'Impacts A'!F262-'Impacts B'!F262</f>
        <v>3.6785072976353028E-2</v>
      </c>
      <c r="G262" s="26">
        <f ca="1">'Impacts A'!G262-'Impacts B'!G262</f>
        <v>7.5447242243897872E-2</v>
      </c>
      <c r="H262" s="26">
        <f ca="1">'Impacts A'!H262-'Impacts B'!H262</f>
        <v>0.10936914671563214</v>
      </c>
      <c r="I262" s="26">
        <f ca="1">'Impacts A'!I262-'Impacts B'!I262</f>
        <v>0.15715176260063801</v>
      </c>
      <c r="J262" s="26">
        <f ca="1">'Impacts A'!J262-'Impacts B'!J262</f>
        <v>0.17041566837657784</v>
      </c>
      <c r="K262" s="26">
        <f ca="1">'Impacts A'!K262-'Impacts B'!K262</f>
        <v>0.17268909325998116</v>
      </c>
      <c r="L262" s="26">
        <f ca="1">'Impacts A'!L262-'Impacts B'!L262</f>
        <v>0.17655113288453927</v>
      </c>
      <c r="M262" s="6"/>
      <c r="N262" s="59" t="s">
        <v>134</v>
      </c>
    </row>
    <row r="263" spans="1:15" x14ac:dyDescent="0.25">
      <c r="A263" t="str">
        <v>LA Economic</v>
      </c>
      <c r="C263" s="26">
        <f ca="1">'Impacts A'!C263-'Impacts B'!C263</f>
        <v>1.1529455975711755E-3</v>
      </c>
      <c r="D263" s="26">
        <f ca="1">'Impacts A'!D263-'Impacts B'!D263</f>
        <v>8.0912849292902322E-3</v>
      </c>
      <c r="E263" s="26">
        <f ca="1">'Impacts A'!E263-'Impacts B'!E263</f>
        <v>1.7704174970178954E-2</v>
      </c>
      <c r="F263" s="26">
        <f ca="1">'Impacts A'!F263-'Impacts B'!F263</f>
        <v>2.8762931405601488E-2</v>
      </c>
      <c r="G263" s="26">
        <f ca="1">'Impacts A'!G263-'Impacts B'!G263</f>
        <v>5.896625998230709E-2</v>
      </c>
      <c r="H263" s="26">
        <f ca="1">'Impacts A'!H263-'Impacts B'!H263</f>
        <v>8.5482803496994553E-2</v>
      </c>
      <c r="I263" s="26">
        <f ca="1">'Impacts A'!I263-'Impacts B'!I263</f>
        <v>0.12292315337577575</v>
      </c>
      <c r="J263" s="26">
        <f ca="1">'Impacts A'!J263-'Impacts B'!J263</f>
        <v>0.13336902239061699</v>
      </c>
      <c r="K263" s="26">
        <f ca="1">'Impacts A'!K263-'Impacts B'!K263</f>
        <v>0.13519520848631617</v>
      </c>
      <c r="L263" s="26">
        <f ca="1">'Impacts A'!L263-'Impacts B'!L263</f>
        <v>0.13826960865856996</v>
      </c>
      <c r="M263" s="6"/>
      <c r="N263" s="59" t="s">
        <v>134</v>
      </c>
    </row>
    <row r="264" spans="1:15" s="2" customFormat="1" ht="15" x14ac:dyDescent="0.4">
      <c r="A264" s="2" t="s">
        <v>722</v>
      </c>
      <c r="C264" s="2" t="s">
        <v>729</v>
      </c>
    </row>
    <row r="265" spans="1:15" x14ac:dyDescent="0.25">
      <c r="A265" t="str">
        <f t="array" ref="A265:A272">R_CODE&amp;" "&amp;I_1_NAME</f>
        <v>EU Economic</v>
      </c>
      <c r="C265" s="29">
        <f ca="1">'Impacts A'!C265-'Impacts B'!C265</f>
        <v>-0.10937007129754406</v>
      </c>
      <c r="D265" s="29">
        <f ca="1">'Impacts A'!D265-'Impacts B'!D265</f>
        <v>-0.60655022111659207</v>
      </c>
      <c r="E265" s="29">
        <f ca="1">'Impacts A'!E265-'Impacts B'!E265</f>
        <v>-1.1280177694808202</v>
      </c>
      <c r="F265" s="29">
        <f ca="1">'Impacts A'!F265-'Impacts B'!F265</f>
        <v>-1.6645790832409801</v>
      </c>
      <c r="G265" s="29">
        <f ca="1">'Impacts A'!G265-'Impacts B'!G265</f>
        <v>-3.7940948591777612</v>
      </c>
      <c r="H265" s="29">
        <f ca="1">'Impacts A'!H265-'Impacts B'!H265</f>
        <v>-8.7972998778275837</v>
      </c>
      <c r="I265" s="29">
        <f ca="1">'Impacts A'!I265-'Impacts B'!I265</f>
        <v>-38.150191129096584</v>
      </c>
      <c r="J265" s="29">
        <f ca="1">'Impacts A'!J265-'Impacts B'!J265</f>
        <v>-87.423441232474261</v>
      </c>
      <c r="K265" s="29">
        <f ca="1">'Impacts A'!K265-'Impacts B'!K265</f>
        <v>-154.1941237044357</v>
      </c>
      <c r="L265" s="29">
        <f ca="1">'Impacts A'!L265-'Impacts B'!L265</f>
        <v>-251.71177657195858</v>
      </c>
      <c r="M265" s="6"/>
      <c r="N265" s="1" t="str">
        <f t="shared" ref="N265:N272" si="5">CURRENCY_NAME&amp;"/"&amp;POP_UNIT_NAME</f>
        <v>$M(2015)/million</v>
      </c>
      <c r="O265" s="1"/>
    </row>
    <row r="266" spans="1:15" x14ac:dyDescent="0.25">
      <c r="A266" t="str">
        <v>US Economic</v>
      </c>
      <c r="C266" s="26">
        <f ca="1">'Impacts A'!C266-'Impacts B'!C266</f>
        <v>0.13875581325111064</v>
      </c>
      <c r="D266" s="26">
        <f ca="1">'Impacts A'!D266-'Impacts B'!D266</f>
        <v>1.4778596461147373</v>
      </c>
      <c r="E266" s="26">
        <f ca="1">'Impacts A'!E266-'Impacts B'!E266</f>
        <v>4.1198198678841607</v>
      </c>
      <c r="F266" s="26">
        <f ca="1">'Impacts A'!F266-'Impacts B'!F266</f>
        <v>8.0139217248992338</v>
      </c>
      <c r="G266" s="26">
        <f ca="1">'Impacts A'!G266-'Impacts B'!G266</f>
        <v>23.469428410664477</v>
      </c>
      <c r="H266" s="26">
        <f ca="1">'Impacts A'!H266-'Impacts B'!H266</f>
        <v>47.855867533068363</v>
      </c>
      <c r="I266" s="26">
        <f ca="1">'Impacts A'!I266-'Impacts B'!I266</f>
        <v>124.96455932374613</v>
      </c>
      <c r="J266" s="26">
        <f ca="1">'Impacts A'!J266-'Impacts B'!J266</f>
        <v>235.96108593803694</v>
      </c>
      <c r="K266" s="26">
        <f ca="1">'Impacts A'!K266-'Impacts B'!K266</f>
        <v>400.46715232511519</v>
      </c>
      <c r="L266" s="26">
        <f ca="1">'Impacts A'!L266-'Impacts B'!L266</f>
        <v>644.79977328397376</v>
      </c>
      <c r="M266" s="6"/>
      <c r="N266" s="1" t="str">
        <f t="shared" si="5"/>
        <v>$M(2015)/million</v>
      </c>
      <c r="O266" s="1"/>
    </row>
    <row r="267" spans="1:15" x14ac:dyDescent="0.25">
      <c r="A267" t="str">
        <v>OT Economic</v>
      </c>
      <c r="C267" s="26">
        <f ca="1">'Impacts A'!C267-'Impacts B'!C267</f>
        <v>9.6162332712557141E-4</v>
      </c>
      <c r="D267" s="26">
        <f ca="1">'Impacts A'!D267-'Impacts B'!D267</f>
        <v>0.23494360318187013</v>
      </c>
      <c r="E267" s="26">
        <f ca="1">'Impacts A'!E267-'Impacts B'!E267</f>
        <v>0.94906230211572407</v>
      </c>
      <c r="F267" s="26">
        <f ca="1">'Impacts A'!F267-'Impacts B'!F267</f>
        <v>2.2105488522773555</v>
      </c>
      <c r="G267" s="26">
        <f ca="1">'Impacts A'!G267-'Impacts B'!G267</f>
        <v>8.0774129225653297</v>
      </c>
      <c r="H267" s="26">
        <f ca="1">'Impacts A'!H267-'Impacts B'!H267</f>
        <v>17.565605331980365</v>
      </c>
      <c r="I267" s="26">
        <f ca="1">'Impacts A'!I267-'Impacts B'!I267</f>
        <v>31.060871990261958</v>
      </c>
      <c r="J267" s="26">
        <f ca="1">'Impacts A'!J267-'Impacts B'!J267</f>
        <v>36.402370209111005</v>
      </c>
      <c r="K267" s="26">
        <f ca="1">'Impacts A'!K267-'Impacts B'!K267</f>
        <v>37.64888041637095</v>
      </c>
      <c r="L267" s="26">
        <f ca="1">'Impacts A'!L267-'Impacts B'!L267</f>
        <v>35.167680262985208</v>
      </c>
      <c r="M267" s="6"/>
      <c r="N267" s="1" t="str">
        <f t="shared" si="5"/>
        <v>$M(2015)/million</v>
      </c>
      <c r="O267" s="1"/>
    </row>
    <row r="268" spans="1:15" x14ac:dyDescent="0.25">
      <c r="A268" t="str">
        <v>EE Economic</v>
      </c>
      <c r="C268" s="26">
        <f ca="1">'Impacts A'!C268-'Impacts B'!C268</f>
        <v>-0.15890904485840096</v>
      </c>
      <c r="D268" s="26">
        <f ca="1">'Impacts A'!D268-'Impacts B'!D268</f>
        <v>-1.3493581843157614</v>
      </c>
      <c r="E268" s="26">
        <f ca="1">'Impacts A'!E268-'Impacts B'!E268</f>
        <v>-3.4929422131727108</v>
      </c>
      <c r="F268" s="26">
        <f ca="1">'Impacts A'!F268-'Impacts B'!F268</f>
        <v>-6.3711088766147554</v>
      </c>
      <c r="G268" s="26">
        <f ca="1">'Impacts A'!G268-'Impacts B'!G268</f>
        <v>-18.750807536417597</v>
      </c>
      <c r="H268" s="26">
        <f ca="1">'Impacts A'!H268-'Impacts B'!H268</f>
        <v>-41.343247154212463</v>
      </c>
      <c r="I268" s="26">
        <f ca="1">'Impacts A'!I268-'Impacts B'!I268</f>
        <v>-96.568880249103017</v>
      </c>
      <c r="J268" s="26">
        <f ca="1">'Impacts A'!J268-'Impacts B'!J268</f>
        <v>-132.06100084117759</v>
      </c>
      <c r="K268" s="26">
        <f ca="1">'Impacts A'!K268-'Impacts B'!K268</f>
        <v>-149.99747315829768</v>
      </c>
      <c r="L268" s="26">
        <f ca="1">'Impacts A'!L268-'Impacts B'!L268</f>
        <v>-165.79894327720058</v>
      </c>
      <c r="M268" s="6"/>
      <c r="N268" s="1" t="str">
        <f t="shared" si="5"/>
        <v>$M(2015)/million</v>
      </c>
      <c r="O268" s="1"/>
    </row>
    <row r="269" spans="1:15" x14ac:dyDescent="0.25">
      <c r="A269" t="str">
        <v>CA Economic</v>
      </c>
      <c r="C269" s="26">
        <f ca="1">'Impacts A'!C269-'Impacts B'!C269</f>
        <v>6.2070616289080505E-2</v>
      </c>
      <c r="D269" s="26">
        <f ca="1">'Impacts A'!D269-'Impacts B'!D269</f>
        <v>0.90653643673147144</v>
      </c>
      <c r="E269" s="26">
        <f ca="1">'Impacts A'!E269-'Impacts B'!E269</f>
        <v>3.1925251017651419</v>
      </c>
      <c r="F269" s="26">
        <f ca="1">'Impacts A'!F269-'Impacts B'!F269</f>
        <v>7.1805271268048614</v>
      </c>
      <c r="G269" s="26">
        <f ca="1">'Impacts A'!G269-'Impacts B'!G269</f>
        <v>23.36191636355602</v>
      </c>
      <c r="H269" s="26">
        <f ca="1">'Impacts A'!H269-'Impacts B'!H269</f>
        <v>47.716588913639839</v>
      </c>
      <c r="I269" s="26">
        <f ca="1">'Impacts A'!I269-'Impacts B'!I269</f>
        <v>63.065760659148339</v>
      </c>
      <c r="J269" s="26">
        <f ca="1">'Impacts A'!J269-'Impacts B'!J269</f>
        <v>63.828522262069555</v>
      </c>
      <c r="K269" s="26">
        <f ca="1">'Impacts A'!K269-'Impacts B'!K269</f>
        <v>61.054796115237821</v>
      </c>
      <c r="L269" s="26">
        <f ca="1">'Impacts A'!L269-'Impacts B'!L269</f>
        <v>58.85739495145512</v>
      </c>
      <c r="M269" s="6"/>
      <c r="N269" s="1" t="str">
        <f t="shared" si="5"/>
        <v>$M(2015)/million</v>
      </c>
      <c r="O269" s="1"/>
    </row>
    <row r="270" spans="1:15" x14ac:dyDescent="0.25">
      <c r="A270" t="str">
        <v>IA Economic</v>
      </c>
      <c r="C270" s="26">
        <f ca="1">'Impacts A'!C270-'Impacts B'!C270</f>
        <v>0.11073187552575448</v>
      </c>
      <c r="D270" s="26">
        <f ca="1">'Impacts A'!D270-'Impacts B'!D270</f>
        <v>1.3094767189279821</v>
      </c>
      <c r="E270" s="26">
        <f ca="1">'Impacts A'!E270-'Impacts B'!E270</f>
        <v>4.6325222635564671</v>
      </c>
      <c r="F270" s="26">
        <f ca="1">'Impacts A'!F270-'Impacts B'!F270</f>
        <v>11.396762362863569</v>
      </c>
      <c r="G270" s="26">
        <f ca="1">'Impacts A'!G270-'Impacts B'!G270</f>
        <v>51.038168312411131</v>
      </c>
      <c r="H270" s="26">
        <f ca="1">'Impacts A'!H270-'Impacts B'!H270</f>
        <v>130.26405613430916</v>
      </c>
      <c r="I270" s="26">
        <f ca="1">'Impacts A'!I270-'Impacts B'!I270</f>
        <v>313.44290247855679</v>
      </c>
      <c r="J270" s="26">
        <f ca="1">'Impacts A'!J270-'Impacts B'!J270</f>
        <v>388.56371946687409</v>
      </c>
      <c r="K270" s="26">
        <f ca="1">'Impacts A'!K270-'Impacts B'!K270</f>
        <v>407.92160703803029</v>
      </c>
      <c r="L270" s="26">
        <f ca="1">'Impacts A'!L270-'Impacts B'!L270</f>
        <v>421.86364248400923</v>
      </c>
      <c r="M270" s="6"/>
      <c r="N270" s="1" t="str">
        <f t="shared" si="5"/>
        <v>$M(2015)/million</v>
      </c>
      <c r="O270" s="1"/>
    </row>
    <row r="271" spans="1:15" x14ac:dyDescent="0.25">
      <c r="A271" t="str">
        <v>AF Economic</v>
      </c>
      <c r="C271" s="26">
        <f ca="1">'Impacts A'!C271-'Impacts B'!C271</f>
        <v>8.9654609232223237E-2</v>
      </c>
      <c r="D271" s="26">
        <f ca="1">'Impacts A'!D271-'Impacts B'!D271</f>
        <v>0.85893264767432242</v>
      </c>
      <c r="E271" s="26">
        <f ca="1">'Impacts A'!E271-'Impacts B'!E271</f>
        <v>2.705932952636303</v>
      </c>
      <c r="F271" s="26">
        <f ca="1">'Impacts A'!F271-'Impacts B'!F271</f>
        <v>6.5484528015084891</v>
      </c>
      <c r="G271" s="26">
        <f ca="1">'Impacts A'!G271-'Impacts B'!G271</f>
        <v>35.984646584218808</v>
      </c>
      <c r="H271" s="26">
        <f ca="1">'Impacts A'!H271-'Impacts B'!H271</f>
        <v>112.94718280682469</v>
      </c>
      <c r="I271" s="26">
        <f ca="1">'Impacts A'!I271-'Impacts B'!I271</f>
        <v>612.21897672103341</v>
      </c>
      <c r="J271" s="26">
        <f ca="1">'Impacts A'!J271-'Impacts B'!J271</f>
        <v>1270.6882848997911</v>
      </c>
      <c r="K271" s="26">
        <f ca="1">'Impacts A'!K271-'Impacts B'!K271</f>
        <v>1767.6659537139358</v>
      </c>
      <c r="L271" s="26">
        <f ca="1">'Impacts A'!L271-'Impacts B'!L271</f>
        <v>2109.0109150644403</v>
      </c>
      <c r="M271" s="6"/>
      <c r="N271" s="1" t="str">
        <f t="shared" si="5"/>
        <v>$M(2015)/million</v>
      </c>
      <c r="O271" s="1"/>
    </row>
    <row r="272" spans="1:15" x14ac:dyDescent="0.25">
      <c r="A272" t="str">
        <v>LA Economic</v>
      </c>
      <c r="C272" s="26">
        <f ca="1">'Impacts A'!C272-'Impacts B'!C272</f>
        <v>0.16829082625187652</v>
      </c>
      <c r="D272" s="26">
        <f ca="1">'Impacts A'!D272-'Impacts B'!D272</f>
        <v>1.5862261123973553</v>
      </c>
      <c r="E272" s="26">
        <f ca="1">'Impacts A'!E272-'Impacts B'!E272</f>
        <v>4.7287447806224918</v>
      </c>
      <c r="F272" s="26">
        <f ca="1">'Impacts A'!F272-'Impacts B'!F272</f>
        <v>10.39079877029252</v>
      </c>
      <c r="G272" s="26">
        <f ca="1">'Impacts A'!G272-'Impacts B'!G272</f>
        <v>41.518523266299212</v>
      </c>
      <c r="H272" s="26">
        <f ca="1">'Impacts A'!H272-'Impacts B'!H272</f>
        <v>104.32417629415818</v>
      </c>
      <c r="I272" s="26">
        <f ca="1">'Impacts A'!I272-'Impacts B'!I272</f>
        <v>273.70039298573693</v>
      </c>
      <c r="J272" s="26">
        <f ca="1">'Impacts A'!J272-'Impacts B'!J272</f>
        <v>377.19231951742154</v>
      </c>
      <c r="K272" s="26">
        <f ca="1">'Impacts A'!K272-'Impacts B'!K272</f>
        <v>420.36081884837654</v>
      </c>
      <c r="L272" s="26">
        <f ca="1">'Impacts A'!L272-'Impacts B'!L272</f>
        <v>446.33227236883113</v>
      </c>
      <c r="M272" s="6"/>
      <c r="N272" s="1" t="str">
        <f t="shared" si="5"/>
        <v>$M(2015)/million</v>
      </c>
      <c r="O272" s="1"/>
    </row>
    <row r="273" spans="1:15" s="2" customFormat="1" ht="15" x14ac:dyDescent="0.4">
      <c r="A273" s="2" t="s">
        <v>228</v>
      </c>
      <c r="C273" s="2" t="s">
        <v>238</v>
      </c>
    </row>
    <row r="274" spans="1:15" x14ac:dyDescent="0.25">
      <c r="A274" t="str">
        <f t="array" ref="A274:A281">R_CODE&amp;" "&amp;I_1_NAME</f>
        <v>EU Economic</v>
      </c>
      <c r="C274" s="29">
        <f ca="1">'Impacts A'!C274-'Impacts B'!C274</f>
        <v>8.8248788670171052E-2</v>
      </c>
      <c r="D274" s="29">
        <f ca="1">'Impacts A'!D274-'Impacts B'!D274</f>
        <v>0.32658076168445405</v>
      </c>
      <c r="E274" s="29">
        <f ca="1">'Impacts A'!E274-'Impacts B'!E274</f>
        <v>0.35990846784261521</v>
      </c>
      <c r="F274" s="29">
        <f ca="1">'Impacts A'!F274-'Impacts B'!F274</f>
        <v>0.21279061492532492</v>
      </c>
      <c r="G274" s="29">
        <f ca="1">'Impacts A'!G274-'Impacts B'!G274</f>
        <v>-0.30474156471609604</v>
      </c>
      <c r="H274" s="29">
        <f ca="1">'Impacts A'!H274-'Impacts B'!H274</f>
        <v>-1.1996798057516571</v>
      </c>
      <c r="I274" s="29">
        <f ca="1">'Impacts A'!I274-'Impacts B'!I274</f>
        <v>-40.44841392460512</v>
      </c>
      <c r="J274" s="29">
        <f ca="1">'Impacts A'!J274-'Impacts B'!J274</f>
        <v>-77.093783600721508</v>
      </c>
      <c r="K274" s="29">
        <f ca="1">'Impacts A'!K274-'Impacts B'!K274</f>
        <v>-127.27200764347799</v>
      </c>
      <c r="L274" s="29">
        <f ca="1">'Impacts A'!L274-'Impacts B'!L274</f>
        <v>-177.5439907470718</v>
      </c>
      <c r="M274" s="6"/>
      <c r="N274" s="1" t="str">
        <f t="shared" ref="N274:N281" si="6">CURRENCY_NAME&amp;"/"&amp;POP_UNIT_NAME</f>
        <v>$M(2015)/million</v>
      </c>
      <c r="O274" s="1"/>
    </row>
    <row r="275" spans="1:15" x14ac:dyDescent="0.25">
      <c r="A275" t="str">
        <v>US Economic</v>
      </c>
      <c r="C275" s="26">
        <f ca="1">'Impacts A'!C275-'Impacts B'!C275</f>
        <v>-0.16198513701237971</v>
      </c>
      <c r="D275" s="26">
        <f ca="1">'Impacts A'!D275-'Impacts B'!D275</f>
        <v>-1.7845303926224005</v>
      </c>
      <c r="E275" s="26">
        <f ca="1">'Impacts A'!E275-'Impacts B'!E275</f>
        <v>-4.9303034694239614</v>
      </c>
      <c r="F275" s="26">
        <f ca="1">'Impacts A'!F275-'Impacts B'!F275</f>
        <v>-9.4854685948666884</v>
      </c>
      <c r="G275" s="26">
        <f ca="1">'Impacts A'!G275-'Impacts B'!G275</f>
        <v>-27.250957434764132</v>
      </c>
      <c r="H275" s="26">
        <f ca="1">'Impacts A'!H275-'Impacts B'!H275</f>
        <v>-56.597893870173721</v>
      </c>
      <c r="I275" s="26">
        <f ca="1">'Impacts A'!I275-'Impacts B'!I275</f>
        <v>-196.3133798292256</v>
      </c>
      <c r="J275" s="26">
        <f ca="1">'Impacts A'!J275-'Impacts B'!J275</f>
        <v>-395.66717749775853</v>
      </c>
      <c r="K275" s="26">
        <f ca="1">'Impacts A'!K275-'Impacts B'!K275</f>
        <v>-698.89009283436462</v>
      </c>
      <c r="L275" s="26">
        <f ca="1">'Impacts A'!L275-'Impacts B'!L275</f>
        <v>-1148.937951897271</v>
      </c>
      <c r="M275" s="6"/>
      <c r="N275" s="1" t="str">
        <f t="shared" si="6"/>
        <v>$M(2015)/million</v>
      </c>
      <c r="O275" s="1"/>
    </row>
    <row r="276" spans="1:15" x14ac:dyDescent="0.25">
      <c r="A276" t="str">
        <v>OT Economic</v>
      </c>
      <c r="C276" s="26">
        <f ca="1">'Impacts A'!C276-'Impacts B'!C276</f>
        <v>-1.7954947616090067E-2</v>
      </c>
      <c r="D276" s="26">
        <f ca="1">'Impacts A'!D276-'Impacts B'!D276</f>
        <v>-0.46451715506555047</v>
      </c>
      <c r="E276" s="26">
        <f ca="1">'Impacts A'!E276-'Impacts B'!E276</f>
        <v>-1.5778395361558069</v>
      </c>
      <c r="F276" s="26">
        <f ca="1">'Impacts A'!F276-'Impacts B'!F276</f>
        <v>-3.3966634120079107</v>
      </c>
      <c r="G276" s="26">
        <f ca="1">'Impacts A'!G276-'Impacts B'!G276</f>
        <v>-11.41638907000015</v>
      </c>
      <c r="H276" s="26">
        <f ca="1">'Impacts A'!H276-'Impacts B'!H276</f>
        <v>-25.696353508988977</v>
      </c>
      <c r="I276" s="26">
        <f ca="1">'Impacts A'!I276-'Impacts B'!I276</f>
        <v>-87.598995576292509</v>
      </c>
      <c r="J276" s="26">
        <f ca="1">'Impacts A'!J276-'Impacts B'!J276</f>
        <v>-136.87172964576166</v>
      </c>
      <c r="K276" s="26">
        <f ca="1">'Impacts A'!K276-'Impacts B'!K276</f>
        <v>-182.01146250771126</v>
      </c>
      <c r="L276" s="26">
        <f ca="1">'Impacts A'!L276-'Impacts B'!L276</f>
        <v>-221.10912512877258</v>
      </c>
      <c r="M276" s="6"/>
      <c r="N276" s="1" t="str">
        <f t="shared" si="6"/>
        <v>$M(2015)/million</v>
      </c>
      <c r="O276" s="1"/>
    </row>
    <row r="277" spans="1:15" x14ac:dyDescent="0.25">
      <c r="A277" t="str">
        <v>EE Economic</v>
      </c>
      <c r="C277" s="26">
        <f ca="1">'Impacts A'!C277-'Impacts B'!C277</f>
        <v>0.15407919058634434</v>
      </c>
      <c r="D277" s="26">
        <f ca="1">'Impacts A'!D277-'Impacts B'!D277</f>
        <v>1.2729758716377546</v>
      </c>
      <c r="E277" s="26">
        <f ca="1">'Impacts A'!E277-'Impacts B'!E277</f>
        <v>3.2593344449414872</v>
      </c>
      <c r="F277" s="26">
        <f ca="1">'Impacts A'!F277-'Impacts B'!F277</f>
        <v>5.9131247019686271</v>
      </c>
      <c r="G277" s="26">
        <f ca="1">'Impacts A'!G277-'Impacts B'!G277</f>
        <v>17.423864044038055</v>
      </c>
      <c r="H277" s="26">
        <f ca="1">'Impacts A'!H277-'Impacts B'!H277</f>
        <v>38.149980130823678</v>
      </c>
      <c r="I277" s="26">
        <f ca="1">'Impacts A'!I277-'Impacts B'!I277</f>
        <v>76.517039364480297</v>
      </c>
      <c r="J277" s="26">
        <f ca="1">'Impacts A'!J277-'Impacts B'!J277</f>
        <v>100.16459720119019</v>
      </c>
      <c r="K277" s="26">
        <f ca="1">'Impacts A'!K277-'Impacts B'!K277</f>
        <v>108.11442697726307</v>
      </c>
      <c r="L277" s="26">
        <f ca="1">'Impacts A'!L277-'Impacts B'!L277</f>
        <v>115.28726293914951</v>
      </c>
      <c r="M277" s="6"/>
      <c r="N277" s="1" t="str">
        <f t="shared" si="6"/>
        <v>$M(2015)/million</v>
      </c>
      <c r="O277" s="1"/>
    </row>
    <row r="278" spans="1:15" x14ac:dyDescent="0.25">
      <c r="A278" t="str">
        <v>CA Economic</v>
      </c>
      <c r="C278" s="26">
        <f ca="1">'Impacts A'!C278-'Impacts B'!C278</f>
        <v>-7.0223144395640702E-2</v>
      </c>
      <c r="D278" s="26">
        <f ca="1">'Impacts A'!D278-'Impacts B'!D278</f>
        <v>-1.0677031185987289</v>
      </c>
      <c r="E278" s="26">
        <f ca="1">'Impacts A'!E278-'Impacts B'!E278</f>
        <v>-3.7666254669820773</v>
      </c>
      <c r="F278" s="26">
        <f ca="1">'Impacts A'!F278-'Impacts B'!F278</f>
        <v>-8.4889605940479669</v>
      </c>
      <c r="G278" s="26">
        <f ca="1">'Impacts A'!G278-'Impacts B'!G278</f>
        <v>-28.43442360656627</v>
      </c>
      <c r="H278" s="26">
        <f ca="1">'Impacts A'!H278-'Impacts B'!H278</f>
        <v>-58.547973953638575</v>
      </c>
      <c r="I278" s="26">
        <f ca="1">'Impacts A'!I278-'Impacts B'!I278</f>
        <v>-95.968004330658005</v>
      </c>
      <c r="J278" s="26">
        <f ca="1">'Impacts A'!J278-'Impacts B'!J278</f>
        <v>-110.90676787712437</v>
      </c>
      <c r="K278" s="26">
        <f ca="1">'Impacts A'!K278-'Impacts B'!K278</f>
        <v>-119.40131632052362</v>
      </c>
      <c r="L278" s="26">
        <f ca="1">'Impacts A'!L278-'Impacts B'!L278</f>
        <v>-126.64656122705492</v>
      </c>
      <c r="M278" s="6"/>
      <c r="N278" s="1" t="str">
        <f t="shared" si="6"/>
        <v>$M(2015)/million</v>
      </c>
      <c r="O278" s="1"/>
    </row>
    <row r="279" spans="1:15" x14ac:dyDescent="0.25">
      <c r="A279" t="str">
        <v>IA Economic</v>
      </c>
      <c r="C279" s="26">
        <f ca="1">'Impacts A'!C279-'Impacts B'!C279</f>
        <v>-0.11558300131036958</v>
      </c>
      <c r="D279" s="26">
        <f ca="1">'Impacts A'!D279-'Impacts B'!D279</f>
        <v>-1.3998584929140634</v>
      </c>
      <c r="E279" s="26">
        <f ca="1">'Impacts A'!E279-'Impacts B'!E279</f>
        <v>-4.9718680212026811</v>
      </c>
      <c r="F279" s="26">
        <f ca="1">'Impacts A'!F279-'Impacts B'!F279</f>
        <v>-12.244147226243513</v>
      </c>
      <c r="G279" s="26">
        <f ca="1">'Impacts A'!G279-'Impacts B'!G279</f>
        <v>-55.252585090092907</v>
      </c>
      <c r="H279" s="26">
        <f ca="1">'Impacts A'!H279-'Impacts B'!H279</f>
        <v>-140.74568206696131</v>
      </c>
      <c r="I279" s="26">
        <f ca="1">'Impacts A'!I279-'Impacts B'!I279</f>
        <v>-359.82732023100834</v>
      </c>
      <c r="J279" s="26">
        <f ca="1">'Impacts A'!J279-'Impacts B'!J279</f>
        <v>-462.87465539464029</v>
      </c>
      <c r="K279" s="26">
        <f ca="1">'Impacts A'!K279-'Impacts B'!K279</f>
        <v>-504.40462096556439</v>
      </c>
      <c r="L279" s="26">
        <f ca="1">'Impacts A'!L279-'Impacts B'!L279</f>
        <v>-537.35423058376182</v>
      </c>
      <c r="M279" s="6"/>
      <c r="N279" s="1" t="str">
        <f t="shared" si="6"/>
        <v>$M(2015)/million</v>
      </c>
      <c r="O279" s="1"/>
    </row>
    <row r="280" spans="1:15" x14ac:dyDescent="0.25">
      <c r="A280" t="str">
        <v>AF Economic</v>
      </c>
      <c r="C280" s="26">
        <f ca="1">'Impacts A'!C280-'Impacts B'!C280</f>
        <v>-9.2973460797111329E-2</v>
      </c>
      <c r="D280" s="26">
        <f ca="1">'Impacts A'!D280-'Impacts B'!D280</f>
        <v>-0.91162967677610141</v>
      </c>
      <c r="E280" s="26">
        <f ca="1">'Impacts A'!E280-'Impacts B'!E280</f>
        <v>-2.8869939747546596</v>
      </c>
      <c r="F280" s="26">
        <f ca="1">'Impacts A'!F280-'Impacts B'!F280</f>
        <v>-6.9933470213909459</v>
      </c>
      <c r="G280" s="26">
        <f ca="1">'Impacts A'!G280-'Impacts B'!G280</f>
        <v>-38.526273213399691</v>
      </c>
      <c r="H280" s="26">
        <f ca="1">'Impacts A'!H280-'Impacts B'!H280</f>
        <v>-120.25491555836925</v>
      </c>
      <c r="I280" s="26">
        <f ca="1">'Impacts A'!I280-'Impacts B'!I280</f>
        <v>-669.61954653612338</v>
      </c>
      <c r="J280" s="26">
        <f ca="1">'Impacts A'!J280-'Impacts B'!J280</f>
        <v>-1403.0228475395124</v>
      </c>
      <c r="K280" s="26">
        <f ca="1">'Impacts A'!K280-'Impacts B'!K280</f>
        <v>-1977.2948025109945</v>
      </c>
      <c r="L280" s="26">
        <f ca="1">'Impacts A'!L280-'Impacts B'!L280</f>
        <v>-2386.9764755731449</v>
      </c>
      <c r="M280" s="6"/>
      <c r="N280" s="1" t="str">
        <f t="shared" si="6"/>
        <v>$M(2015)/million</v>
      </c>
      <c r="O280" s="1"/>
    </row>
    <row r="281" spans="1:15" x14ac:dyDescent="0.25">
      <c r="A281" t="str">
        <v>LA Economic</v>
      </c>
      <c r="C281" s="26">
        <f ca="1">'Impacts A'!C281-'Impacts B'!C281</f>
        <v>-0.17439820688014152</v>
      </c>
      <c r="D281" s="26">
        <f ca="1">'Impacts A'!D281-'Impacts B'!D281</f>
        <v>-1.6822022117194138</v>
      </c>
      <c r="E281" s="26">
        <f ca="1">'Impacts A'!E281-'Impacts B'!E281</f>
        <v>-5.0462054417112086</v>
      </c>
      <c r="F281" s="26">
        <f ca="1">'Impacts A'!F281-'Impacts B'!F281</f>
        <v>-11.120215641763934</v>
      </c>
      <c r="G281" s="26">
        <f ca="1">'Impacts A'!G281-'Impacts B'!G281</f>
        <v>-44.855034071231785</v>
      </c>
      <c r="H281" s="26">
        <f ca="1">'Impacts A'!H281-'Impacts B'!H281</f>
        <v>-112.53626670887752</v>
      </c>
      <c r="I281" s="26">
        <f ca="1">'Impacts A'!I281-'Impacts B'!I281</f>
        <v>-312.53409329600981</v>
      </c>
      <c r="J281" s="26">
        <f ca="1">'Impacts A'!J281-'Impacts B'!J281</f>
        <v>-444.43002744752448</v>
      </c>
      <c r="K281" s="26">
        <f ca="1">'Impacts A'!K281-'Impacts B'!K281</f>
        <v>-511.57886026072083</v>
      </c>
      <c r="L281" s="26">
        <f ca="1">'Impacts A'!L281-'Impacts B'!L281</f>
        <v>-557.8106122793979</v>
      </c>
      <c r="M281" s="6"/>
      <c r="N281" s="1" t="str">
        <f t="shared" si="6"/>
        <v>$M(2015)/million</v>
      </c>
      <c r="O281" s="1"/>
    </row>
    <row r="282" spans="1:15" s="2" customFormat="1" ht="15" x14ac:dyDescent="0.4">
      <c r="A282" s="2" t="s">
        <v>230</v>
      </c>
      <c r="C282" s="2" t="s">
        <v>237</v>
      </c>
    </row>
    <row r="283" spans="1:15" x14ac:dyDescent="0.25">
      <c r="A283" t="str">
        <f t="array" ref="A283:A290">R_CODE&amp;" "&amp;I_1_NAME</f>
        <v>EU Economic</v>
      </c>
      <c r="C283" s="29">
        <f ca="1">'Impacts A'!C283-'Impacts B'!C283</f>
        <v>0.10382210431271233</v>
      </c>
      <c r="D283" s="29">
        <f ca="1">'Impacts A'!D283-'Impacts B'!D283</f>
        <v>0.38421266080695204</v>
      </c>
      <c r="E283" s="29">
        <f ca="1">'Impacts A'!E283-'Impacts B'!E283</f>
        <v>0.42342172686767299</v>
      </c>
      <c r="F283" s="29">
        <f ca="1">'Impacts A'!F283-'Impacts B'!F283</f>
        <v>0.25034189991129097</v>
      </c>
      <c r="G283" s="29">
        <f ca="1">'Impacts A'!G283-'Impacts B'!G283</f>
        <v>-0.35851948789786547</v>
      </c>
      <c r="H283" s="29">
        <f ca="1">'Impacts A'!H283-'Impacts B'!H283</f>
        <v>-1.4113880067598075</v>
      </c>
      <c r="I283" s="29">
        <f ca="1">'Impacts A'!I283-'Impacts B'!I283</f>
        <v>-47.586369323049439</v>
      </c>
      <c r="J283" s="29">
        <f ca="1">'Impacts A'!J283-'Impacts B'!J283</f>
        <v>-90.698568942025304</v>
      </c>
      <c r="K283" s="29">
        <f ca="1">'Impacts A'!K283-'Impacts B'!K283</f>
        <v>-149.73177369823679</v>
      </c>
      <c r="L283" s="29">
        <f ca="1">'Impacts A'!L283-'Impacts B'!L283</f>
        <v>-208.87528323184233</v>
      </c>
      <c r="M283" s="6"/>
      <c r="N283" s="1" t="str">
        <f t="shared" ref="N283:N290" si="7">CURRENCY_NAME&amp;"/"&amp;POP_UNIT_NAME</f>
        <v>$M(2015)/million</v>
      </c>
      <c r="O283" s="1"/>
    </row>
    <row r="284" spans="1:15" x14ac:dyDescent="0.25">
      <c r="A284" t="str">
        <v>US Economic</v>
      </c>
      <c r="C284" s="26">
        <f ca="1">'Impacts A'!C284-'Impacts B'!C284</f>
        <v>-0.19057074942247709</v>
      </c>
      <c r="D284" s="26">
        <f ca="1">'Impacts A'!D284-'Impacts B'!D284</f>
        <v>-2.0994475207407959</v>
      </c>
      <c r="E284" s="26">
        <f ca="1">'Impacts A'!E284-'Impacts B'!E284</f>
        <v>-5.8003570228465833</v>
      </c>
      <c r="F284" s="26">
        <f ca="1">'Impacts A'!F284-'Impacts B'!F284</f>
        <v>-11.15937481749279</v>
      </c>
      <c r="G284" s="26">
        <f ca="1">'Impacts A'!G284-'Impacts B'!G284</f>
        <v>-32.059949923248496</v>
      </c>
      <c r="H284" s="26">
        <f ca="1">'Impacts A'!H284-'Impacts B'!H284</f>
        <v>-66.585757494322024</v>
      </c>
      <c r="I284" s="26">
        <f ca="1">'Impacts A'!I284-'Impacts B'!I284</f>
        <v>-230.95691744616488</v>
      </c>
      <c r="J284" s="26">
        <f ca="1">'Impacts A'!J284-'Impacts B'!J284</f>
        <v>-465.49079705623444</v>
      </c>
      <c r="K284" s="26">
        <f ca="1">'Impacts A'!K284-'Impacts B'!K284</f>
        <v>-822.22363862872589</v>
      </c>
      <c r="L284" s="26">
        <f ca="1">'Impacts A'!L284-'Impacts B'!L284</f>
        <v>-1351.6917081144638</v>
      </c>
      <c r="M284" s="6"/>
      <c r="N284" s="1" t="str">
        <f t="shared" si="7"/>
        <v>$M(2015)/million</v>
      </c>
      <c r="O284" s="1"/>
    </row>
    <row r="285" spans="1:15" x14ac:dyDescent="0.25">
      <c r="A285" t="str">
        <v>OT Economic</v>
      </c>
      <c r="C285" s="26">
        <f ca="1">'Impacts A'!C285-'Impacts B'!C285</f>
        <v>-2.1123467784491368E-2</v>
      </c>
      <c r="D285" s="26">
        <f ca="1">'Impacts A'!D285-'Impacts B'!D285</f>
        <v>-0.54649077066278551</v>
      </c>
      <c r="E285" s="26">
        <f ca="1">'Impacts A'!E285-'Impacts B'!E285</f>
        <v>-1.8562818072387017</v>
      </c>
      <c r="F285" s="26">
        <f ca="1">'Impacts A'!F285-'Impacts B'!F285</f>
        <v>-3.9960746023643878</v>
      </c>
      <c r="G285" s="26">
        <f ca="1">'Impacts A'!G285-'Impacts B'!G285</f>
        <v>-13.431045964709483</v>
      </c>
      <c r="H285" s="26">
        <f ca="1">'Impacts A'!H285-'Impacts B'!H285</f>
        <v>-30.231004128232598</v>
      </c>
      <c r="I285" s="26">
        <f ca="1">'Impacts A'!I285-'Impacts B'!I285</f>
        <v>-103.0576418544515</v>
      </c>
      <c r="J285" s="26">
        <f ca="1">'Impacts A'!J285-'Impacts B'!J285</f>
        <v>-161.02556428912794</v>
      </c>
      <c r="K285" s="26">
        <f ca="1">'Impacts A'!K285-'Impacts B'!K285</f>
        <v>-214.13113236200297</v>
      </c>
      <c r="L285" s="26">
        <f ca="1">'Impacts A'!L285-'Impacts B'!L285</f>
        <v>-260.12838250445202</v>
      </c>
      <c r="M285" s="6"/>
      <c r="N285" s="1" t="str">
        <f t="shared" si="7"/>
        <v>$M(2015)/million</v>
      </c>
      <c r="O285" s="1"/>
    </row>
    <row r="286" spans="1:15" x14ac:dyDescent="0.25">
      <c r="A286" t="str">
        <v>EE Economic</v>
      </c>
      <c r="C286" s="26">
        <f ca="1">'Impacts A'!C286-'Impacts B'!C286</f>
        <v>0.18126963598115253</v>
      </c>
      <c r="D286" s="26">
        <f ca="1">'Impacts A'!D286-'Impacts B'!D286</f>
        <v>1.4976186725143634</v>
      </c>
      <c r="E286" s="26">
        <f ca="1">'Impacts A'!E286-'Impacts B'!E286</f>
        <v>3.8345111116941553</v>
      </c>
      <c r="F286" s="26">
        <f ca="1">'Impacts A'!F286-'Impacts B'!F286</f>
        <v>6.9566172964332509</v>
      </c>
      <c r="G286" s="26">
        <f ca="1">'Impacts A'!G286-'Impacts B'!G286</f>
        <v>20.498663581223809</v>
      </c>
      <c r="H286" s="26">
        <f ca="1">'Impacts A'!H286-'Impacts B'!H286</f>
        <v>44.882329565676628</v>
      </c>
      <c r="I286" s="26">
        <f ca="1">'Impacts A'!I286-'Impacts B'!I286</f>
        <v>90.020046311168699</v>
      </c>
      <c r="J286" s="26">
        <f ca="1">'Impacts A'!J286-'Impacts B'!J286</f>
        <v>117.84070258965949</v>
      </c>
      <c r="K286" s="26">
        <f ca="1">'Impacts A'!K286-'Impacts B'!K286</f>
        <v>127.19344350267784</v>
      </c>
      <c r="L286" s="26">
        <f ca="1">'Impacts A'!L286-'Impacts B'!L286</f>
        <v>135.6320740460651</v>
      </c>
      <c r="M286" s="6"/>
      <c r="N286" s="1" t="str">
        <f t="shared" si="7"/>
        <v>$M(2015)/million</v>
      </c>
      <c r="O286" s="1"/>
    </row>
    <row r="287" spans="1:15" x14ac:dyDescent="0.25">
      <c r="A287" t="str">
        <v>CA Economic</v>
      </c>
      <c r="C287" s="26">
        <f ca="1">'Impacts A'!C287-'Impacts B'!C287</f>
        <v>-8.2615463994443417E-2</v>
      </c>
      <c r="D287" s="26">
        <f ca="1">'Impacts A'!D287-'Impacts B'!D287</f>
        <v>-1.2561213159970066</v>
      </c>
      <c r="E287" s="26">
        <f ca="1">'Impacts A'!E287-'Impacts B'!E287</f>
        <v>-4.4313240788032999</v>
      </c>
      <c r="F287" s="26">
        <f ca="1">'Impacts A'!F287-'Impacts B'!F287</f>
        <v>-9.9870124635854154</v>
      </c>
      <c r="G287" s="26">
        <f ca="1">'Impacts A'!G287-'Impacts B'!G287</f>
        <v>-33.452263066545129</v>
      </c>
      <c r="H287" s="26">
        <f ca="1">'Impacts A'!H287-'Impacts B'!H287</f>
        <v>-68.879969357221853</v>
      </c>
      <c r="I287" s="26">
        <f ca="1">'Impacts A'!I287-'Impacts B'!I287</f>
        <v>-112.90353450665134</v>
      </c>
      <c r="J287" s="26">
        <f ca="1">'Impacts A'!J287-'Impacts B'!J287</f>
        <v>-130.47855044367316</v>
      </c>
      <c r="K287" s="26">
        <f ca="1">'Impacts A'!K287-'Impacts B'!K287</f>
        <v>-140.47213684767485</v>
      </c>
      <c r="L287" s="26">
        <f ca="1">'Impacts A'!L287-'Impacts B'!L287</f>
        <v>-148.99595438476535</v>
      </c>
      <c r="M287" s="6"/>
      <c r="N287" s="1" t="str">
        <f t="shared" si="7"/>
        <v>$M(2015)/million</v>
      </c>
      <c r="O287" s="1"/>
    </row>
    <row r="288" spans="1:15" x14ac:dyDescent="0.25">
      <c r="A288" t="str">
        <v>IA Economic</v>
      </c>
      <c r="C288" s="26">
        <f ca="1">'Impacts A'!C288-'Impacts B'!C288</f>
        <v>-0.13598000154161127</v>
      </c>
      <c r="D288" s="26">
        <f ca="1">'Impacts A'!D288-'Impacts B'!D288</f>
        <v>-1.6468923446045665</v>
      </c>
      <c r="E288" s="26">
        <f ca="1">'Impacts A'!E288-'Impacts B'!E288</f>
        <v>-5.849256495534064</v>
      </c>
      <c r="F288" s="26">
        <f ca="1">'Impacts A'!F288-'Impacts B'!F288</f>
        <v>-14.404879089695896</v>
      </c>
      <c r="G288" s="26">
        <f ca="1">'Impacts A'!G288-'Impacts B'!G288</f>
        <v>-65.003041282463528</v>
      </c>
      <c r="H288" s="26">
        <f ca="1">'Impacts A'!H288-'Impacts B'!H288</f>
        <v>-165.58315537290764</v>
      </c>
      <c r="I288" s="26">
        <f ca="1">'Impacts A'!I288-'Impacts B'!I288</f>
        <v>-423.32625909527997</v>
      </c>
      <c r="J288" s="26">
        <f ca="1">'Impacts A'!J288-'Impacts B'!J288</f>
        <v>-544.55841811135178</v>
      </c>
      <c r="K288" s="26">
        <f ca="1">'Impacts A'!K288-'Impacts B'!K288</f>
        <v>-593.41720113597694</v>
      </c>
      <c r="L288" s="26">
        <f ca="1">'Impacts A'!L288-'Impacts B'!L288</f>
        <v>-632.18144774559187</v>
      </c>
      <c r="M288" s="6"/>
      <c r="N288" s="1" t="str">
        <f t="shared" si="7"/>
        <v>$M(2015)/million</v>
      </c>
      <c r="O288" s="1"/>
    </row>
    <row r="289" spans="1:15" x14ac:dyDescent="0.25">
      <c r="A289" t="str">
        <v>AF Economic</v>
      </c>
      <c r="C289" s="26">
        <f ca="1">'Impacts A'!C289-'Impacts B'!C289</f>
        <v>-0.10938054211419512</v>
      </c>
      <c r="D289" s="26">
        <f ca="1">'Impacts A'!D289-'Impacts B'!D289</f>
        <v>-1.0725055020902801</v>
      </c>
      <c r="E289" s="26">
        <f ca="1">'Impacts A'!E289-'Impacts B'!E289</f>
        <v>-3.3964634997118992</v>
      </c>
      <c r="F289" s="26">
        <f ca="1">'Impacts A'!F289-'Impacts B'!F289</f>
        <v>-8.2274670839869941</v>
      </c>
      <c r="G289" s="26">
        <f ca="1">'Impacts A'!G289-'Impacts B'!G289</f>
        <v>-45.325027309881989</v>
      </c>
      <c r="H289" s="26">
        <f ca="1">'Impacts A'!H289-'Impacts B'!H289</f>
        <v>-141.47637124513858</v>
      </c>
      <c r="I289" s="26">
        <f ca="1">'Impacts A'!I289-'Impacts B'!I289</f>
        <v>-787.78770180721767</v>
      </c>
      <c r="J289" s="26">
        <f ca="1">'Impacts A'!J289-'Impacts B'!J289</f>
        <v>-1650.6151147523196</v>
      </c>
      <c r="K289" s="26">
        <f ca="1">'Impacts A'!K289-'Impacts B'!K289</f>
        <v>-2326.2291794246994</v>
      </c>
      <c r="L289" s="26">
        <f ca="1">'Impacts A'!L289-'Impacts B'!L289</f>
        <v>-2808.2076183215249</v>
      </c>
      <c r="M289" s="6"/>
      <c r="N289" s="1" t="str">
        <f t="shared" si="7"/>
        <v>$M(2015)/million</v>
      </c>
      <c r="O289" s="1"/>
    </row>
    <row r="290" spans="1:15" x14ac:dyDescent="0.25">
      <c r="A290" t="str">
        <v>LA Economic</v>
      </c>
      <c r="C290" s="26">
        <f ca="1">'Impacts A'!C290-'Impacts B'!C290</f>
        <v>-0.20517436103546061</v>
      </c>
      <c r="D290" s="26">
        <f ca="1">'Impacts A'!D290-'Impacts B'!D290</f>
        <v>-1.9790614255507535</v>
      </c>
      <c r="E290" s="26">
        <f ca="1">'Impacts A'!E290-'Impacts B'!E290</f>
        <v>-5.9367122843650577</v>
      </c>
      <c r="F290" s="26">
        <f ca="1">'Impacts A'!F290-'Impacts B'!F290</f>
        <v>-13.082606637370191</v>
      </c>
      <c r="G290" s="26">
        <f ca="1">'Impacts A'!G290-'Impacts B'!G290</f>
        <v>-52.770628319092793</v>
      </c>
      <c r="H290" s="26">
        <f ca="1">'Impacts A'!H290-'Impacts B'!H290</f>
        <v>-132.39560789280222</v>
      </c>
      <c r="I290" s="26">
        <f ca="1">'Impacts A'!I290-'Impacts B'!I290</f>
        <v>-367.68716858356493</v>
      </c>
      <c r="J290" s="26">
        <f ca="1">'Impacts A'!J290-'Impacts B'!J290</f>
        <v>-522.85885582061019</v>
      </c>
      <c r="K290" s="26">
        <f ca="1">'Impacts A'!K290-'Impacts B'!K290</f>
        <v>-601.85748265968869</v>
      </c>
      <c r="L290" s="26">
        <f ca="1">'Impacts A'!L290-'Impacts B'!L290</f>
        <v>-656.24777915223967</v>
      </c>
      <c r="M290" s="6"/>
      <c r="N290" s="1" t="str">
        <f t="shared" si="7"/>
        <v>$M(2015)/million</v>
      </c>
      <c r="O290" s="1"/>
    </row>
    <row r="291" spans="1:15" s="2" customFormat="1" ht="15" x14ac:dyDescent="0.4">
      <c r="A291" s="2" t="s">
        <v>222</v>
      </c>
      <c r="C291" s="2" t="s">
        <v>239</v>
      </c>
    </row>
    <row r="292" spans="1:15" x14ac:dyDescent="0.25">
      <c r="A292" t="str">
        <f t="array" ref="A292:A299">R_CODE&amp;" "&amp;I_2_NAME</f>
        <v>EU Non-econ</v>
      </c>
      <c r="C292" s="29">
        <f ca="1">'Impacts A'!C292-'Impacts B'!C292</f>
        <v>2.7927360326604478E-4</v>
      </c>
      <c r="D292" s="29">
        <f ca="1">'Impacts A'!D292-'Impacts B'!D292</f>
        <v>3.1431841252547166E-3</v>
      </c>
      <c r="E292" s="29">
        <f ca="1">'Impacts A'!E292-'Impacts B'!E292</f>
        <v>8.5100399814985739E-3</v>
      </c>
      <c r="F292" s="29">
        <f ca="1">'Impacts A'!F292-'Impacts B'!F292</f>
        <v>1.5471015224513773E-2</v>
      </c>
      <c r="G292" s="29">
        <f ca="1">'Impacts A'!G292-'Impacts B'!G292</f>
        <v>3.490614341815379E-2</v>
      </c>
      <c r="H292" s="29">
        <f ca="1">'Impacts A'!H292-'Impacts B'!H292</f>
        <v>5.0040688239322673E-2</v>
      </c>
      <c r="I292" s="29">
        <f ca="1">'Impacts A'!I292-'Impacts B'!I292</f>
        <v>6.1405106379958163E-2</v>
      </c>
      <c r="J292" s="29">
        <f ca="1">'Impacts A'!J292-'Impacts B'!J292</f>
        <v>5.9356963667491131E-2</v>
      </c>
      <c r="K292" s="29">
        <f ca="1">'Impacts A'!K292-'Impacts B'!K292</f>
        <v>5.5623086732466881E-2</v>
      </c>
      <c r="L292" s="29">
        <f ca="1">'Impacts A'!L292-'Impacts B'!L292</f>
        <v>5.2169064167687684E-2</v>
      </c>
      <c r="M292" s="6"/>
      <c r="N292" s="59" t="s">
        <v>134</v>
      </c>
    </row>
    <row r="293" spans="1:15" x14ac:dyDescent="0.25">
      <c r="A293" t="str">
        <v>US Non-econ</v>
      </c>
      <c r="C293" s="26">
        <f ca="1">'Impacts A'!C293-'Impacts B'!C293</f>
        <v>3.2262028855215008E-4</v>
      </c>
      <c r="D293" s="26">
        <f ca="1">'Impacts A'!D293-'Impacts B'!D293</f>
        <v>3.5905851720811899E-3</v>
      </c>
      <c r="E293" s="26">
        <f ca="1">'Impacts A'!E293-'Impacts B'!E293</f>
        <v>9.6867522218149205E-3</v>
      </c>
      <c r="F293" s="26">
        <f ca="1">'Impacts A'!F293-'Impacts B'!F293</f>
        <v>1.7582170947742837E-2</v>
      </c>
      <c r="G293" s="26">
        <f ca="1">'Impacts A'!G293-'Impacts B'!G293</f>
        <v>3.9620907783742942E-2</v>
      </c>
      <c r="H293" s="26">
        <f ca="1">'Impacts A'!H293-'Impacts B'!H293</f>
        <v>5.6807430772023881E-2</v>
      </c>
      <c r="I293" s="26">
        <f ca="1">'Impacts A'!I293-'Impacts B'!I293</f>
        <v>6.9856207283795213E-2</v>
      </c>
      <c r="J293" s="26">
        <f ca="1">'Impacts A'!J293-'Impacts B'!J293</f>
        <v>6.7645726349416235E-2</v>
      </c>
      <c r="K293" s="26">
        <f ca="1">'Impacts A'!K293-'Impacts B'!K293</f>
        <v>6.3474583076630842E-2</v>
      </c>
      <c r="L293" s="26">
        <f ca="1">'Impacts A'!L293-'Impacts B'!L293</f>
        <v>5.9627630633808132E-2</v>
      </c>
      <c r="M293" s="6"/>
      <c r="N293" s="59" t="s">
        <v>134</v>
      </c>
    </row>
    <row r="294" spans="1:15" x14ac:dyDescent="0.25">
      <c r="A294" t="str">
        <v>OT Non-econ</v>
      </c>
      <c r="C294" s="26">
        <f ca="1">'Impacts A'!C294-'Impacts B'!C294</f>
        <v>2.5024168065480856E-4</v>
      </c>
      <c r="D294" s="26">
        <f ca="1">'Impacts A'!D294-'Impacts B'!D294</f>
        <v>2.8425403265371352E-3</v>
      </c>
      <c r="E294" s="26">
        <f ca="1">'Impacts A'!E294-'Impacts B'!E294</f>
        <v>7.7183896405785823E-3</v>
      </c>
      <c r="F294" s="26">
        <f ca="1">'Impacts A'!F294-'Impacts B'!F294</f>
        <v>1.4049931737613153E-2</v>
      </c>
      <c r="G294" s="26">
        <f ca="1">'Impacts A'!G294-'Impacts B'!G294</f>
        <v>3.1731139192450797E-2</v>
      </c>
      <c r="H294" s="26">
        <f ca="1">'Impacts A'!H294-'Impacts B'!H294</f>
        <v>4.5484064870819796E-2</v>
      </c>
      <c r="I294" s="26">
        <f ca="1">'Impacts A'!I294-'Impacts B'!I294</f>
        <v>5.5718415203800831E-2</v>
      </c>
      <c r="J294" s="26">
        <f ca="1">'Impacts A'!J294-'Impacts B'!J294</f>
        <v>5.3782814308802329E-2</v>
      </c>
      <c r="K294" s="26">
        <f ca="1">'Impacts A'!K294-'Impacts B'!K294</f>
        <v>5.034528970537086E-2</v>
      </c>
      <c r="L294" s="26">
        <f ca="1">'Impacts A'!L294-'Impacts B'!L294</f>
        <v>4.715794669442025E-2</v>
      </c>
      <c r="M294" s="6"/>
      <c r="N294" s="59" t="s">
        <v>134</v>
      </c>
    </row>
    <row r="295" spans="1:15" x14ac:dyDescent="0.25">
      <c r="A295" t="str">
        <v>EE Non-econ</v>
      </c>
      <c r="C295" s="26">
        <f ca="1">'Impacts A'!C295-'Impacts B'!C295</f>
        <v>5.5314646765819431E-4</v>
      </c>
      <c r="D295" s="26">
        <f ca="1">'Impacts A'!D295-'Impacts B'!D295</f>
        <v>5.9501312413504648E-3</v>
      </c>
      <c r="E295" s="26">
        <f ca="1">'Impacts A'!E295-'Impacts B'!E295</f>
        <v>1.5874122063229579E-2</v>
      </c>
      <c r="F295" s="26">
        <f ca="1">'Impacts A'!F295-'Impacts B'!F295</f>
        <v>2.8667578932929372E-2</v>
      </c>
      <c r="G295" s="26">
        <f ca="1">'Impacts A'!G295-'Impacts B'!G295</f>
        <v>6.4350514633979117E-2</v>
      </c>
      <c r="H295" s="26">
        <f ca="1">'Impacts A'!H295-'Impacts B'!H295</f>
        <v>9.2304321481584073E-2</v>
      </c>
      <c r="I295" s="26">
        <f ca="1">'Impacts A'!I295-'Impacts B'!I295</f>
        <v>0.11427188175250236</v>
      </c>
      <c r="J295" s="26">
        <f ca="1">'Impacts A'!J295-'Impacts B'!J295</f>
        <v>0.11127425985130968</v>
      </c>
      <c r="K295" s="26">
        <f ca="1">'Impacts A'!K295-'Impacts B'!K295</f>
        <v>0.10484734754934266</v>
      </c>
      <c r="L295" s="26">
        <f ca="1">'Impacts A'!L295-'Impacts B'!L295</f>
        <v>9.898085678584928E-2</v>
      </c>
      <c r="M295" s="6"/>
      <c r="N295" s="59" t="s">
        <v>134</v>
      </c>
    </row>
    <row r="296" spans="1:15" x14ac:dyDescent="0.25">
      <c r="A296" t="str">
        <v>CA Non-econ</v>
      </c>
      <c r="C296" s="26">
        <f ca="1">'Impacts A'!C296-'Impacts B'!C296</f>
        <v>2.228059734594029E-4</v>
      </c>
      <c r="D296" s="26">
        <f ca="1">'Impacts A'!D296-'Impacts B'!D296</f>
        <v>2.5575513668491257E-3</v>
      </c>
      <c r="E296" s="26">
        <f ca="1">'Impacts A'!E296-'Impacts B'!E296</f>
        <v>6.9671479621318533E-3</v>
      </c>
      <c r="F296" s="26">
        <f ca="1">'Impacts A'!F296-'Impacts B'!F296</f>
        <v>1.2700706967140651E-2</v>
      </c>
      <c r="G296" s="26">
        <f ca="1">'Impacts A'!G296-'Impacts B'!G296</f>
        <v>2.8715496036652022E-2</v>
      </c>
      <c r="H296" s="26">
        <f ca="1">'Impacts A'!H296-'Impacts B'!H296</f>
        <v>4.115634111473282E-2</v>
      </c>
      <c r="I296" s="26">
        <f ca="1">'Impacts A'!I296-'Impacts B'!I296</f>
        <v>5.0321036247343021E-2</v>
      </c>
      <c r="J296" s="26">
        <f ca="1">'Impacts A'!J296-'Impacts B'!J296</f>
        <v>4.8495153552927495E-2</v>
      </c>
      <c r="K296" s="26">
        <f ca="1">'Impacts A'!K296-'Impacts B'!K296</f>
        <v>4.5340764282918805E-2</v>
      </c>
      <c r="L296" s="26">
        <f ca="1">'Impacts A'!L296-'Impacts B'!L296</f>
        <v>4.2408534733466702E-2</v>
      </c>
      <c r="M296" s="6"/>
      <c r="N296" s="59" t="s">
        <v>134</v>
      </c>
    </row>
    <row r="297" spans="1:15" x14ac:dyDescent="0.25">
      <c r="A297" t="str">
        <v>IA Non-econ</v>
      </c>
      <c r="C297" s="26">
        <f ca="1">'Impacts A'!C297-'Impacts B'!C297</f>
        <v>1.4560639071237169E-4</v>
      </c>
      <c r="D297" s="26">
        <f ca="1">'Impacts A'!D297-'Impacts B'!D297</f>
        <v>1.7494937328794702E-3</v>
      </c>
      <c r="E297" s="26">
        <f ca="1">'Impacts A'!E297-'Impacts B'!E297</f>
        <v>4.8313820367500149E-3</v>
      </c>
      <c r="F297" s="26">
        <f ca="1">'Impacts A'!F297-'Impacts B'!F297</f>
        <v>8.8601409488009708E-3</v>
      </c>
      <c r="G297" s="26">
        <f ca="1">'Impacts A'!G297-'Impacts B'!G297</f>
        <v>2.0123177117718299E-2</v>
      </c>
      <c r="H297" s="26">
        <f ca="1">'Impacts A'!H297-'Impacts B'!H297</f>
        <v>2.8826917657724882E-2</v>
      </c>
      <c r="I297" s="26">
        <f ca="1">'Impacts A'!I297-'Impacts B'!I297</f>
        <v>3.4969697277758893E-2</v>
      </c>
      <c r="J297" s="26">
        <f ca="1">'Impacts A'!J297-'Impacts B'!J297</f>
        <v>3.3476171421117473E-2</v>
      </c>
      <c r="K297" s="26">
        <f ca="1">'Impacts A'!K297-'Impacts B'!K297</f>
        <v>3.1140089044973174E-2</v>
      </c>
      <c r="L297" s="26">
        <f ca="1">'Impacts A'!L297-'Impacts B'!L297</f>
        <v>2.8947454080365476E-2</v>
      </c>
      <c r="M297" s="6"/>
      <c r="N297" s="59" t="s">
        <v>134</v>
      </c>
    </row>
    <row r="298" spans="1:15" x14ac:dyDescent="0.25">
      <c r="A298" t="str">
        <v>AF Non-econ</v>
      </c>
      <c r="C298" s="26">
        <f ca="1">'Impacts A'!C298-'Impacts B'!C298</f>
        <v>2.4462719153135748E-4</v>
      </c>
      <c r="D298" s="26">
        <f ca="1">'Impacts A'!D298-'Impacts B'!D298</f>
        <v>2.7842935756685061E-3</v>
      </c>
      <c r="E298" s="26">
        <f ca="1">'Impacts A'!E298-'Impacts B'!E298</f>
        <v>7.564917460824383E-3</v>
      </c>
      <c r="F298" s="26">
        <f ca="1">'Impacts A'!F298-'Impacts B'!F298</f>
        <v>1.3774353822260166E-2</v>
      </c>
      <c r="G298" s="26">
        <f ca="1">'Impacts A'!G298-'Impacts B'!G298</f>
        <v>3.1115296573548834E-2</v>
      </c>
      <c r="H298" s="26">
        <f ca="1">'Impacts A'!H298-'Impacts B'!H298</f>
        <v>4.4600258276429494E-2</v>
      </c>
      <c r="I298" s="26">
        <f ca="1">'Impacts A'!I298-'Impacts B'!I298</f>
        <v>5.4615857790271727E-2</v>
      </c>
      <c r="J298" s="26">
        <f ca="1">'Impacts A'!J298-'Impacts B'!J298</f>
        <v>5.270242580640791E-2</v>
      </c>
      <c r="K298" s="26">
        <f ca="1">'Impacts A'!K298-'Impacts B'!K298</f>
        <v>4.9322582735176368E-2</v>
      </c>
      <c r="L298" s="26">
        <f ca="1">'Impacts A'!L298-'Impacts B'!L298</f>
        <v>4.6187185171099071E-2</v>
      </c>
      <c r="M298" s="6"/>
      <c r="N298" s="59" t="s">
        <v>134</v>
      </c>
    </row>
    <row r="299" spans="1:15" x14ac:dyDescent="0.25">
      <c r="A299" t="str">
        <v>LA Non-econ</v>
      </c>
      <c r="C299" s="26">
        <f ca="1">'Impacts A'!C299-'Impacts B'!C299</f>
        <v>1.5886262488545855E-4</v>
      </c>
      <c r="D299" s="26">
        <f ca="1">'Impacts A'!D299-'Impacts B'!D299</f>
        <v>1.8890522940251397E-3</v>
      </c>
      <c r="E299" s="26">
        <f ca="1">'Impacts A'!E299-'Impacts B'!E299</f>
        <v>5.2009867131235232E-3</v>
      </c>
      <c r="F299" s="26">
        <f ca="1">'Impacts A'!F299-'Impacts B'!F299</f>
        <v>9.5253839771723969E-3</v>
      </c>
      <c r="G299" s="26">
        <f ca="1">'Impacts A'!G299-'Impacts B'!G299</f>
        <v>2.1612567022212648E-2</v>
      </c>
      <c r="H299" s="26">
        <f ca="1">'Impacts A'!H299-'Impacts B'!H299</f>
        <v>3.0963922982572001E-2</v>
      </c>
      <c r="I299" s="26">
        <f ca="1">'Impacts A'!I299-'Impacts B'!I299</f>
        <v>3.7627187601425638E-2</v>
      </c>
      <c r="J299" s="26">
        <f ca="1">'Impacts A'!J299-'Impacts B'!J299</f>
        <v>3.6073500628723609E-2</v>
      </c>
      <c r="K299" s="26">
        <f ca="1">'Impacts A'!K299-'Impacts B'!K299</f>
        <v>3.3594076698648279E-2</v>
      </c>
      <c r="L299" s="26">
        <f ca="1">'Impacts A'!L299-'Impacts B'!L299</f>
        <v>3.1271598295103176E-2</v>
      </c>
      <c r="M299" s="6"/>
      <c r="N299" s="59" t="s">
        <v>134</v>
      </c>
    </row>
    <row r="300" spans="1:15" s="2" customFormat="1" ht="15" x14ac:dyDescent="0.4">
      <c r="A300" s="2" t="s">
        <v>221</v>
      </c>
      <c r="C300" s="2" t="s">
        <v>240</v>
      </c>
    </row>
    <row r="301" spans="1:15" x14ac:dyDescent="0.25">
      <c r="A301" t="str">
        <f t="array" ref="A301:A308">R_CODE&amp;" "&amp;I_2_NAME</f>
        <v>EU Non-econ</v>
      </c>
      <c r="C301" s="29">
        <f ca="1">'Impacts A'!C301-'Impacts B'!C301</f>
        <v>2.7927360326604478E-4</v>
      </c>
      <c r="D301" s="29">
        <f ca="1">'Impacts A'!D301-'Impacts B'!D301</f>
        <v>3.1431841252547166E-3</v>
      </c>
      <c r="E301" s="29">
        <f ca="1">'Impacts A'!E301-'Impacts B'!E301</f>
        <v>8.5100399814985739E-3</v>
      </c>
      <c r="F301" s="29">
        <f ca="1">'Impacts A'!F301-'Impacts B'!F301</f>
        <v>1.5471015224513773E-2</v>
      </c>
      <c r="G301" s="29">
        <f ca="1">'Impacts A'!G301-'Impacts B'!G301</f>
        <v>3.490614341815379E-2</v>
      </c>
      <c r="H301" s="29">
        <f ca="1">'Impacts A'!H301-'Impacts B'!H301</f>
        <v>5.0040688239322673E-2</v>
      </c>
      <c r="I301" s="29">
        <f ca="1">'Impacts A'!I301-'Impacts B'!I301</f>
        <v>6.1405106379958163E-2</v>
      </c>
      <c r="J301" s="29">
        <f ca="1">'Impacts A'!J301-'Impacts B'!J301</f>
        <v>5.9356963667491131E-2</v>
      </c>
      <c r="K301" s="29">
        <f ca="1">'Impacts A'!K301-'Impacts B'!K301</f>
        <v>5.5623086732466881E-2</v>
      </c>
      <c r="L301" s="29">
        <f ca="1">'Impacts A'!L301-'Impacts B'!L301</f>
        <v>5.2169064167687684E-2</v>
      </c>
      <c r="M301" s="6"/>
      <c r="N301" s="59" t="s">
        <v>134</v>
      </c>
    </row>
    <row r="302" spans="1:15" x14ac:dyDescent="0.25">
      <c r="A302" t="str">
        <v>US Non-econ</v>
      </c>
      <c r="C302" s="26">
        <f ca="1">'Impacts A'!C302-'Impacts B'!C302</f>
        <v>3.2262028855215008E-4</v>
      </c>
      <c r="D302" s="26">
        <f ca="1">'Impacts A'!D302-'Impacts B'!D302</f>
        <v>3.5905851720811899E-3</v>
      </c>
      <c r="E302" s="26">
        <f ca="1">'Impacts A'!E302-'Impacts B'!E302</f>
        <v>9.6867522218149205E-3</v>
      </c>
      <c r="F302" s="26">
        <f ca="1">'Impacts A'!F302-'Impacts B'!F302</f>
        <v>1.7582170947742837E-2</v>
      </c>
      <c r="G302" s="26">
        <f ca="1">'Impacts A'!G302-'Impacts B'!G302</f>
        <v>3.9620907783742942E-2</v>
      </c>
      <c r="H302" s="26">
        <f ca="1">'Impacts A'!H302-'Impacts B'!H302</f>
        <v>5.6807430772023881E-2</v>
      </c>
      <c r="I302" s="26">
        <f ca="1">'Impacts A'!I302-'Impacts B'!I302</f>
        <v>6.9856207283795213E-2</v>
      </c>
      <c r="J302" s="26">
        <f ca="1">'Impacts A'!J302-'Impacts B'!J302</f>
        <v>6.7645726349416235E-2</v>
      </c>
      <c r="K302" s="26">
        <f ca="1">'Impacts A'!K302-'Impacts B'!K302</f>
        <v>6.3474583076630842E-2</v>
      </c>
      <c r="L302" s="26">
        <f ca="1">'Impacts A'!L302-'Impacts B'!L302</f>
        <v>5.9627630633808132E-2</v>
      </c>
      <c r="M302" s="6"/>
      <c r="N302" s="59" t="s">
        <v>134</v>
      </c>
    </row>
    <row r="303" spans="1:15" x14ac:dyDescent="0.25">
      <c r="A303" t="str">
        <v>OT Non-econ</v>
      </c>
      <c r="C303" s="26">
        <f ca="1">'Impacts A'!C303-'Impacts B'!C303</f>
        <v>2.5024168065480856E-4</v>
      </c>
      <c r="D303" s="26">
        <f ca="1">'Impacts A'!D303-'Impacts B'!D303</f>
        <v>2.8425403265371352E-3</v>
      </c>
      <c r="E303" s="26">
        <f ca="1">'Impacts A'!E303-'Impacts B'!E303</f>
        <v>7.7183896405785823E-3</v>
      </c>
      <c r="F303" s="26">
        <f ca="1">'Impacts A'!F303-'Impacts B'!F303</f>
        <v>1.4049931737613153E-2</v>
      </c>
      <c r="G303" s="26">
        <f ca="1">'Impacts A'!G303-'Impacts B'!G303</f>
        <v>3.1731139192450797E-2</v>
      </c>
      <c r="H303" s="26">
        <f ca="1">'Impacts A'!H303-'Impacts B'!H303</f>
        <v>4.5484064870819796E-2</v>
      </c>
      <c r="I303" s="26">
        <f ca="1">'Impacts A'!I303-'Impacts B'!I303</f>
        <v>5.5718415203800831E-2</v>
      </c>
      <c r="J303" s="26">
        <f ca="1">'Impacts A'!J303-'Impacts B'!J303</f>
        <v>5.3782814308802329E-2</v>
      </c>
      <c r="K303" s="26">
        <f ca="1">'Impacts A'!K303-'Impacts B'!K303</f>
        <v>5.034528970537086E-2</v>
      </c>
      <c r="L303" s="26">
        <f ca="1">'Impacts A'!L303-'Impacts B'!L303</f>
        <v>4.715794669442025E-2</v>
      </c>
      <c r="M303" s="6"/>
      <c r="N303" s="59" t="s">
        <v>134</v>
      </c>
    </row>
    <row r="304" spans="1:15" x14ac:dyDescent="0.25">
      <c r="A304" t="str">
        <v>EE Non-econ</v>
      </c>
      <c r="C304" s="26">
        <f ca="1">'Impacts A'!C304-'Impacts B'!C304</f>
        <v>5.5314646765819431E-4</v>
      </c>
      <c r="D304" s="26">
        <f ca="1">'Impacts A'!D304-'Impacts B'!D304</f>
        <v>5.9501312413504648E-3</v>
      </c>
      <c r="E304" s="26">
        <f ca="1">'Impacts A'!E304-'Impacts B'!E304</f>
        <v>1.5874122063229579E-2</v>
      </c>
      <c r="F304" s="26">
        <f ca="1">'Impacts A'!F304-'Impacts B'!F304</f>
        <v>2.8667578932929372E-2</v>
      </c>
      <c r="G304" s="26">
        <f ca="1">'Impacts A'!G304-'Impacts B'!G304</f>
        <v>6.4350514633979117E-2</v>
      </c>
      <c r="H304" s="26">
        <f ca="1">'Impacts A'!H304-'Impacts B'!H304</f>
        <v>9.2304321481584073E-2</v>
      </c>
      <c r="I304" s="26">
        <f ca="1">'Impacts A'!I304-'Impacts B'!I304</f>
        <v>0.11427188175250236</v>
      </c>
      <c r="J304" s="26">
        <f ca="1">'Impacts A'!J304-'Impacts B'!J304</f>
        <v>0.11127425985130968</v>
      </c>
      <c r="K304" s="26">
        <f ca="1">'Impacts A'!K304-'Impacts B'!K304</f>
        <v>0.10484734754934266</v>
      </c>
      <c r="L304" s="26">
        <f ca="1">'Impacts A'!L304-'Impacts B'!L304</f>
        <v>9.898085678584928E-2</v>
      </c>
      <c r="M304" s="6"/>
      <c r="N304" s="59" t="s">
        <v>134</v>
      </c>
    </row>
    <row r="305" spans="1:15" x14ac:dyDescent="0.25">
      <c r="A305" t="str">
        <v>CA Non-econ</v>
      </c>
      <c r="C305" s="26">
        <f ca="1">'Impacts A'!C305-'Impacts B'!C305</f>
        <v>2.228059734594029E-4</v>
      </c>
      <c r="D305" s="26">
        <f ca="1">'Impacts A'!D305-'Impacts B'!D305</f>
        <v>2.5575513668491257E-3</v>
      </c>
      <c r="E305" s="26">
        <f ca="1">'Impacts A'!E305-'Impacts B'!E305</f>
        <v>6.9671479621318533E-3</v>
      </c>
      <c r="F305" s="26">
        <f ca="1">'Impacts A'!F305-'Impacts B'!F305</f>
        <v>1.2700706967140651E-2</v>
      </c>
      <c r="G305" s="26">
        <f ca="1">'Impacts A'!G305-'Impacts B'!G305</f>
        <v>2.8715496036652022E-2</v>
      </c>
      <c r="H305" s="26">
        <f ca="1">'Impacts A'!H305-'Impacts B'!H305</f>
        <v>4.115634111473282E-2</v>
      </c>
      <c r="I305" s="26">
        <f ca="1">'Impacts A'!I305-'Impacts B'!I305</f>
        <v>5.0321036247343021E-2</v>
      </c>
      <c r="J305" s="26">
        <f ca="1">'Impacts A'!J305-'Impacts B'!J305</f>
        <v>4.8495153552927495E-2</v>
      </c>
      <c r="K305" s="26">
        <f ca="1">'Impacts A'!K305-'Impacts B'!K305</f>
        <v>4.5340764282918805E-2</v>
      </c>
      <c r="L305" s="26">
        <f ca="1">'Impacts A'!L305-'Impacts B'!L305</f>
        <v>4.2408534733466702E-2</v>
      </c>
      <c r="M305" s="6"/>
      <c r="N305" s="59" t="s">
        <v>134</v>
      </c>
    </row>
    <row r="306" spans="1:15" x14ac:dyDescent="0.25">
      <c r="A306" t="str">
        <v>IA Non-econ</v>
      </c>
      <c r="C306" s="26">
        <f ca="1">'Impacts A'!C306-'Impacts B'!C306</f>
        <v>1.4560639071237169E-4</v>
      </c>
      <c r="D306" s="26">
        <f ca="1">'Impacts A'!D306-'Impacts B'!D306</f>
        <v>1.7494937328794702E-3</v>
      </c>
      <c r="E306" s="26">
        <f ca="1">'Impacts A'!E306-'Impacts B'!E306</f>
        <v>4.8313820367500149E-3</v>
      </c>
      <c r="F306" s="26">
        <f ca="1">'Impacts A'!F306-'Impacts B'!F306</f>
        <v>8.8601409488009708E-3</v>
      </c>
      <c r="G306" s="26">
        <f ca="1">'Impacts A'!G306-'Impacts B'!G306</f>
        <v>2.0123177117718299E-2</v>
      </c>
      <c r="H306" s="26">
        <f ca="1">'Impacts A'!H306-'Impacts B'!H306</f>
        <v>2.8826917657724882E-2</v>
      </c>
      <c r="I306" s="26">
        <f ca="1">'Impacts A'!I306-'Impacts B'!I306</f>
        <v>3.4969697277758893E-2</v>
      </c>
      <c r="J306" s="26">
        <f ca="1">'Impacts A'!J306-'Impacts B'!J306</f>
        <v>3.3476171421117473E-2</v>
      </c>
      <c r="K306" s="26">
        <f ca="1">'Impacts A'!K306-'Impacts B'!K306</f>
        <v>3.1140089044973174E-2</v>
      </c>
      <c r="L306" s="26">
        <f ca="1">'Impacts A'!L306-'Impacts B'!L306</f>
        <v>2.8947454080365476E-2</v>
      </c>
      <c r="M306" s="6"/>
      <c r="N306" s="59" t="s">
        <v>134</v>
      </c>
    </row>
    <row r="307" spans="1:15" x14ac:dyDescent="0.25">
      <c r="A307" t="str">
        <v>AF Non-econ</v>
      </c>
      <c r="C307" s="26">
        <f ca="1">'Impacts A'!C307-'Impacts B'!C307</f>
        <v>2.4462719153135748E-4</v>
      </c>
      <c r="D307" s="26">
        <f ca="1">'Impacts A'!D307-'Impacts B'!D307</f>
        <v>2.7842935756685061E-3</v>
      </c>
      <c r="E307" s="26">
        <f ca="1">'Impacts A'!E307-'Impacts B'!E307</f>
        <v>7.564917460824383E-3</v>
      </c>
      <c r="F307" s="26">
        <f ca="1">'Impacts A'!F307-'Impacts B'!F307</f>
        <v>1.3774353822260166E-2</v>
      </c>
      <c r="G307" s="26">
        <f ca="1">'Impacts A'!G307-'Impacts B'!G307</f>
        <v>3.1115296573548834E-2</v>
      </c>
      <c r="H307" s="26">
        <f ca="1">'Impacts A'!H307-'Impacts B'!H307</f>
        <v>4.4600258276429494E-2</v>
      </c>
      <c r="I307" s="26">
        <f ca="1">'Impacts A'!I307-'Impacts B'!I307</f>
        <v>5.4615857790271727E-2</v>
      </c>
      <c r="J307" s="26">
        <f ca="1">'Impacts A'!J307-'Impacts B'!J307</f>
        <v>5.270242580640791E-2</v>
      </c>
      <c r="K307" s="26">
        <f ca="1">'Impacts A'!K307-'Impacts B'!K307</f>
        <v>4.9322582735176368E-2</v>
      </c>
      <c r="L307" s="26">
        <f ca="1">'Impacts A'!L307-'Impacts B'!L307</f>
        <v>4.6187185171099071E-2</v>
      </c>
      <c r="M307" s="6"/>
      <c r="N307" s="59" t="s">
        <v>134</v>
      </c>
    </row>
    <row r="308" spans="1:15" x14ac:dyDescent="0.25">
      <c r="A308" t="str">
        <v>LA Non-econ</v>
      </c>
      <c r="C308" s="26">
        <f ca="1">'Impacts A'!C308-'Impacts B'!C308</f>
        <v>1.5886262488545855E-4</v>
      </c>
      <c r="D308" s="26">
        <f ca="1">'Impacts A'!D308-'Impacts B'!D308</f>
        <v>1.8890522940251397E-3</v>
      </c>
      <c r="E308" s="26">
        <f ca="1">'Impacts A'!E308-'Impacts B'!E308</f>
        <v>5.2009867131235232E-3</v>
      </c>
      <c r="F308" s="26">
        <f ca="1">'Impacts A'!F308-'Impacts B'!F308</f>
        <v>9.5253839771723969E-3</v>
      </c>
      <c r="G308" s="26">
        <f ca="1">'Impacts A'!G308-'Impacts B'!G308</f>
        <v>2.1612567022212648E-2</v>
      </c>
      <c r="H308" s="26">
        <f ca="1">'Impacts A'!H308-'Impacts B'!H308</f>
        <v>3.0963922982572001E-2</v>
      </c>
      <c r="I308" s="26">
        <f ca="1">'Impacts A'!I308-'Impacts B'!I308</f>
        <v>3.7627187601425638E-2</v>
      </c>
      <c r="J308" s="26">
        <f ca="1">'Impacts A'!J308-'Impacts B'!J308</f>
        <v>3.6073500628723609E-2</v>
      </c>
      <c r="K308" s="26">
        <f ca="1">'Impacts A'!K308-'Impacts B'!K308</f>
        <v>3.3594076698648279E-2</v>
      </c>
      <c r="L308" s="26">
        <f ca="1">'Impacts A'!L308-'Impacts B'!L308</f>
        <v>3.1271598295103176E-2</v>
      </c>
      <c r="M308" s="6"/>
      <c r="N308" s="59" t="s">
        <v>134</v>
      </c>
    </row>
    <row r="309" spans="1:15" s="2" customFormat="1" ht="15" x14ac:dyDescent="0.4">
      <c r="A309" s="2" t="s">
        <v>225</v>
      </c>
      <c r="C309" s="2" t="s">
        <v>241</v>
      </c>
    </row>
    <row r="310" spans="1:15" x14ac:dyDescent="0.25">
      <c r="A310" t="str">
        <f t="array" ref="A310:A317">R_CODE&amp;" "&amp;I_2_NAME</f>
        <v>EU Non-econ</v>
      </c>
      <c r="C310" s="29">
        <f ca="1">'Impacts A'!C310-'Impacts B'!C310</f>
        <v>2.7927360326604478E-4</v>
      </c>
      <c r="D310" s="29">
        <f ca="1">'Impacts A'!D310-'Impacts B'!D310</f>
        <v>3.1431841252547166E-3</v>
      </c>
      <c r="E310" s="29">
        <f ca="1">'Impacts A'!E310-'Impacts B'!E310</f>
        <v>8.5100399814985739E-3</v>
      </c>
      <c r="F310" s="29">
        <f ca="1">'Impacts A'!F310-'Impacts B'!F310</f>
        <v>1.5471015224513773E-2</v>
      </c>
      <c r="G310" s="29">
        <f ca="1">'Impacts A'!G310-'Impacts B'!G310</f>
        <v>3.490614341815379E-2</v>
      </c>
      <c r="H310" s="29">
        <f ca="1">'Impacts A'!H310-'Impacts B'!H310</f>
        <v>5.0040688239322673E-2</v>
      </c>
      <c r="I310" s="29">
        <f ca="1">'Impacts A'!I310-'Impacts B'!I310</f>
        <v>6.1405106379958163E-2</v>
      </c>
      <c r="J310" s="29">
        <f ca="1">'Impacts A'!J310-'Impacts B'!J310</f>
        <v>5.9356963667491131E-2</v>
      </c>
      <c r="K310" s="29">
        <f ca="1">'Impacts A'!K310-'Impacts B'!K310</f>
        <v>5.5623086732466881E-2</v>
      </c>
      <c r="L310" s="29">
        <f ca="1">'Impacts A'!L310-'Impacts B'!L310</f>
        <v>5.2169064167687684E-2</v>
      </c>
      <c r="M310" s="6"/>
      <c r="N310" s="59" t="s">
        <v>134</v>
      </c>
    </row>
    <row r="311" spans="1:15" x14ac:dyDescent="0.25">
      <c r="A311" t="str">
        <v>US Non-econ</v>
      </c>
      <c r="C311" s="26">
        <f ca="1">'Impacts A'!C311-'Impacts B'!C311</f>
        <v>3.2262028855215008E-4</v>
      </c>
      <c r="D311" s="26">
        <f ca="1">'Impacts A'!D311-'Impacts B'!D311</f>
        <v>3.5905851720811899E-3</v>
      </c>
      <c r="E311" s="26">
        <f ca="1">'Impacts A'!E311-'Impacts B'!E311</f>
        <v>9.6867522218149205E-3</v>
      </c>
      <c r="F311" s="26">
        <f ca="1">'Impacts A'!F311-'Impacts B'!F311</f>
        <v>1.7582170947742837E-2</v>
      </c>
      <c r="G311" s="26">
        <f ca="1">'Impacts A'!G311-'Impacts B'!G311</f>
        <v>3.9620907783742942E-2</v>
      </c>
      <c r="H311" s="26">
        <f ca="1">'Impacts A'!H311-'Impacts B'!H311</f>
        <v>5.6807430772023881E-2</v>
      </c>
      <c r="I311" s="26">
        <f ca="1">'Impacts A'!I311-'Impacts B'!I311</f>
        <v>6.9856207283795213E-2</v>
      </c>
      <c r="J311" s="26">
        <f ca="1">'Impacts A'!J311-'Impacts B'!J311</f>
        <v>6.7645726349416235E-2</v>
      </c>
      <c r="K311" s="26">
        <f ca="1">'Impacts A'!K311-'Impacts B'!K311</f>
        <v>6.3474583076630842E-2</v>
      </c>
      <c r="L311" s="26">
        <f ca="1">'Impacts A'!L311-'Impacts B'!L311</f>
        <v>5.9627630633808132E-2</v>
      </c>
      <c r="M311" s="6"/>
      <c r="N311" s="59" t="s">
        <v>134</v>
      </c>
    </row>
    <row r="312" spans="1:15" x14ac:dyDescent="0.25">
      <c r="A312" t="str">
        <v>OT Non-econ</v>
      </c>
      <c r="C312" s="26">
        <f ca="1">'Impacts A'!C312-'Impacts B'!C312</f>
        <v>2.5024168065480856E-4</v>
      </c>
      <c r="D312" s="26">
        <f ca="1">'Impacts A'!D312-'Impacts B'!D312</f>
        <v>2.8425403265371352E-3</v>
      </c>
      <c r="E312" s="26">
        <f ca="1">'Impacts A'!E312-'Impacts B'!E312</f>
        <v>7.7183896405785823E-3</v>
      </c>
      <c r="F312" s="26">
        <f ca="1">'Impacts A'!F312-'Impacts B'!F312</f>
        <v>1.4049931737613153E-2</v>
      </c>
      <c r="G312" s="26">
        <f ca="1">'Impacts A'!G312-'Impacts B'!G312</f>
        <v>3.1731139192450797E-2</v>
      </c>
      <c r="H312" s="26">
        <f ca="1">'Impacts A'!H312-'Impacts B'!H312</f>
        <v>4.5484064870819796E-2</v>
      </c>
      <c r="I312" s="26">
        <f ca="1">'Impacts A'!I312-'Impacts B'!I312</f>
        <v>5.5718415203800831E-2</v>
      </c>
      <c r="J312" s="26">
        <f ca="1">'Impacts A'!J312-'Impacts B'!J312</f>
        <v>5.3782814308802329E-2</v>
      </c>
      <c r="K312" s="26">
        <f ca="1">'Impacts A'!K312-'Impacts B'!K312</f>
        <v>5.034528970537086E-2</v>
      </c>
      <c r="L312" s="26">
        <f ca="1">'Impacts A'!L312-'Impacts B'!L312</f>
        <v>4.715794669442025E-2</v>
      </c>
      <c r="M312" s="6"/>
      <c r="N312" s="59" t="s">
        <v>134</v>
      </c>
    </row>
    <row r="313" spans="1:15" x14ac:dyDescent="0.25">
      <c r="A313" t="str">
        <v>EE Non-econ</v>
      </c>
      <c r="C313" s="26">
        <f ca="1">'Impacts A'!C313-'Impacts B'!C313</f>
        <v>5.5314646765819431E-4</v>
      </c>
      <c r="D313" s="26">
        <f ca="1">'Impacts A'!D313-'Impacts B'!D313</f>
        <v>5.9501312413504648E-3</v>
      </c>
      <c r="E313" s="26">
        <f ca="1">'Impacts A'!E313-'Impacts B'!E313</f>
        <v>1.5874122063229579E-2</v>
      </c>
      <c r="F313" s="26">
        <f ca="1">'Impacts A'!F313-'Impacts B'!F313</f>
        <v>2.8667578932929372E-2</v>
      </c>
      <c r="G313" s="26">
        <f ca="1">'Impacts A'!G313-'Impacts B'!G313</f>
        <v>6.4350514633979117E-2</v>
      </c>
      <c r="H313" s="26">
        <f ca="1">'Impacts A'!H313-'Impacts B'!H313</f>
        <v>9.2304321481584073E-2</v>
      </c>
      <c r="I313" s="26">
        <f ca="1">'Impacts A'!I313-'Impacts B'!I313</f>
        <v>0.11427188175250236</v>
      </c>
      <c r="J313" s="26">
        <f ca="1">'Impacts A'!J313-'Impacts B'!J313</f>
        <v>0.11127425985130968</v>
      </c>
      <c r="K313" s="26">
        <f ca="1">'Impacts A'!K313-'Impacts B'!K313</f>
        <v>0.10484734754934266</v>
      </c>
      <c r="L313" s="26">
        <f ca="1">'Impacts A'!L313-'Impacts B'!L313</f>
        <v>9.898085678584928E-2</v>
      </c>
      <c r="M313" s="6"/>
      <c r="N313" s="59" t="s">
        <v>134</v>
      </c>
    </row>
    <row r="314" spans="1:15" x14ac:dyDescent="0.25">
      <c r="A314" t="str">
        <v>CA Non-econ</v>
      </c>
      <c r="C314" s="26">
        <f ca="1">'Impacts A'!C314-'Impacts B'!C314</f>
        <v>2.228059734594029E-4</v>
      </c>
      <c r="D314" s="26">
        <f ca="1">'Impacts A'!D314-'Impacts B'!D314</f>
        <v>2.5575513668491257E-3</v>
      </c>
      <c r="E314" s="26">
        <f ca="1">'Impacts A'!E314-'Impacts B'!E314</f>
        <v>6.9671479621318533E-3</v>
      </c>
      <c r="F314" s="26">
        <f ca="1">'Impacts A'!F314-'Impacts B'!F314</f>
        <v>1.2700706967140651E-2</v>
      </c>
      <c r="G314" s="26">
        <f ca="1">'Impacts A'!G314-'Impacts B'!G314</f>
        <v>2.8715496036652022E-2</v>
      </c>
      <c r="H314" s="26">
        <f ca="1">'Impacts A'!H314-'Impacts B'!H314</f>
        <v>4.115634111473282E-2</v>
      </c>
      <c r="I314" s="26">
        <f ca="1">'Impacts A'!I314-'Impacts B'!I314</f>
        <v>5.0321036247343021E-2</v>
      </c>
      <c r="J314" s="26">
        <f ca="1">'Impacts A'!J314-'Impacts B'!J314</f>
        <v>4.8495153552927495E-2</v>
      </c>
      <c r="K314" s="26">
        <f ca="1">'Impacts A'!K314-'Impacts B'!K314</f>
        <v>4.5340764282918805E-2</v>
      </c>
      <c r="L314" s="26">
        <f ca="1">'Impacts A'!L314-'Impacts B'!L314</f>
        <v>4.2408534733466702E-2</v>
      </c>
      <c r="M314" s="6"/>
      <c r="N314" s="59" t="s">
        <v>134</v>
      </c>
    </row>
    <row r="315" spans="1:15" x14ac:dyDescent="0.25">
      <c r="A315" t="str">
        <v>IA Non-econ</v>
      </c>
      <c r="C315" s="26">
        <f ca="1">'Impacts A'!C315-'Impacts B'!C315</f>
        <v>1.4560639071237169E-4</v>
      </c>
      <c r="D315" s="26">
        <f ca="1">'Impacts A'!D315-'Impacts B'!D315</f>
        <v>1.7494937328794702E-3</v>
      </c>
      <c r="E315" s="26">
        <f ca="1">'Impacts A'!E315-'Impacts B'!E315</f>
        <v>4.8313820367500149E-3</v>
      </c>
      <c r="F315" s="26">
        <f ca="1">'Impacts A'!F315-'Impacts B'!F315</f>
        <v>8.8601409488009708E-3</v>
      </c>
      <c r="G315" s="26">
        <f ca="1">'Impacts A'!G315-'Impacts B'!G315</f>
        <v>2.0123177117718299E-2</v>
      </c>
      <c r="H315" s="26">
        <f ca="1">'Impacts A'!H315-'Impacts B'!H315</f>
        <v>2.8826917657724882E-2</v>
      </c>
      <c r="I315" s="26">
        <f ca="1">'Impacts A'!I315-'Impacts B'!I315</f>
        <v>3.4969697277758893E-2</v>
      </c>
      <c r="J315" s="26">
        <f ca="1">'Impacts A'!J315-'Impacts B'!J315</f>
        <v>3.3476171421117473E-2</v>
      </c>
      <c r="K315" s="26">
        <f ca="1">'Impacts A'!K315-'Impacts B'!K315</f>
        <v>3.1140089044973174E-2</v>
      </c>
      <c r="L315" s="26">
        <f ca="1">'Impacts A'!L315-'Impacts B'!L315</f>
        <v>2.8947454080365476E-2</v>
      </c>
      <c r="M315" s="6"/>
      <c r="N315" s="59" t="s">
        <v>134</v>
      </c>
    </row>
    <row r="316" spans="1:15" x14ac:dyDescent="0.25">
      <c r="A316" t="str">
        <v>AF Non-econ</v>
      </c>
      <c r="C316" s="26">
        <f ca="1">'Impacts A'!C316-'Impacts B'!C316</f>
        <v>2.4462719153135748E-4</v>
      </c>
      <c r="D316" s="26">
        <f ca="1">'Impacts A'!D316-'Impacts B'!D316</f>
        <v>2.7842935756685061E-3</v>
      </c>
      <c r="E316" s="26">
        <f ca="1">'Impacts A'!E316-'Impacts B'!E316</f>
        <v>7.564917460824383E-3</v>
      </c>
      <c r="F316" s="26">
        <f ca="1">'Impacts A'!F316-'Impacts B'!F316</f>
        <v>1.3774353822260166E-2</v>
      </c>
      <c r="G316" s="26">
        <f ca="1">'Impacts A'!G316-'Impacts B'!G316</f>
        <v>3.1115296573548834E-2</v>
      </c>
      <c r="H316" s="26">
        <f ca="1">'Impacts A'!H316-'Impacts B'!H316</f>
        <v>4.4600258276429494E-2</v>
      </c>
      <c r="I316" s="26">
        <f ca="1">'Impacts A'!I316-'Impacts B'!I316</f>
        <v>5.4615857790271727E-2</v>
      </c>
      <c r="J316" s="26">
        <f ca="1">'Impacts A'!J316-'Impacts B'!J316</f>
        <v>5.270242580640791E-2</v>
      </c>
      <c r="K316" s="26">
        <f ca="1">'Impacts A'!K316-'Impacts B'!K316</f>
        <v>4.9322582735176368E-2</v>
      </c>
      <c r="L316" s="26">
        <f ca="1">'Impacts A'!L316-'Impacts B'!L316</f>
        <v>4.6187185171099071E-2</v>
      </c>
      <c r="M316" s="6"/>
      <c r="N316" s="59" t="s">
        <v>134</v>
      </c>
    </row>
    <row r="317" spans="1:15" x14ac:dyDescent="0.25">
      <c r="A317" t="str">
        <v>LA Non-econ</v>
      </c>
      <c r="C317" s="26">
        <f ca="1">'Impacts A'!C317-'Impacts B'!C317</f>
        <v>1.5886262488545855E-4</v>
      </c>
      <c r="D317" s="26">
        <f ca="1">'Impacts A'!D317-'Impacts B'!D317</f>
        <v>1.8890522940251397E-3</v>
      </c>
      <c r="E317" s="26">
        <f ca="1">'Impacts A'!E317-'Impacts B'!E317</f>
        <v>5.2009867131235232E-3</v>
      </c>
      <c r="F317" s="26">
        <f ca="1">'Impacts A'!F317-'Impacts B'!F317</f>
        <v>9.5253839771723969E-3</v>
      </c>
      <c r="G317" s="26">
        <f ca="1">'Impacts A'!G317-'Impacts B'!G317</f>
        <v>2.1612567022212648E-2</v>
      </c>
      <c r="H317" s="26">
        <f ca="1">'Impacts A'!H317-'Impacts B'!H317</f>
        <v>3.0963922982572001E-2</v>
      </c>
      <c r="I317" s="26">
        <f ca="1">'Impacts A'!I317-'Impacts B'!I317</f>
        <v>3.7627187601425638E-2</v>
      </c>
      <c r="J317" s="26">
        <f ca="1">'Impacts A'!J317-'Impacts B'!J317</f>
        <v>3.6073500628723609E-2</v>
      </c>
      <c r="K317" s="26">
        <f ca="1">'Impacts A'!K317-'Impacts B'!K317</f>
        <v>3.3594076698648279E-2</v>
      </c>
      <c r="L317" s="26">
        <f ca="1">'Impacts A'!L317-'Impacts B'!L317</f>
        <v>3.1271598295103176E-2</v>
      </c>
      <c r="M317" s="6"/>
      <c r="N317" s="59" t="s">
        <v>134</v>
      </c>
    </row>
    <row r="318" spans="1:15" s="2" customFormat="1" ht="15" x14ac:dyDescent="0.4">
      <c r="A318" s="2" t="s">
        <v>226</v>
      </c>
      <c r="C318" s="2" t="s">
        <v>242</v>
      </c>
    </row>
    <row r="319" spans="1:15" x14ac:dyDescent="0.25">
      <c r="A319" t="str">
        <f t="array" ref="A319:A326">R_CODE&amp;" "&amp;I_2_NAME</f>
        <v>EU Non-econ</v>
      </c>
      <c r="C319" s="29">
        <f ca="1">'Impacts A'!C319-'Impacts B'!C319</f>
        <v>0.10258898252510917</v>
      </c>
      <c r="D319" s="29">
        <f ca="1">'Impacts A'!D319-'Impacts B'!D319</f>
        <v>1.3276626880333566</v>
      </c>
      <c r="E319" s="29">
        <f ca="1">'Impacts A'!E319-'Impacts B'!E319</f>
        <v>4.2063420009202446</v>
      </c>
      <c r="F319" s="29">
        <f ca="1">'Impacts A'!F319-'Impacts B'!F319</f>
        <v>8.9939481101609147</v>
      </c>
      <c r="G319" s="29">
        <f ca="1">'Impacts A'!G319-'Impacts B'!G319</f>
        <v>31.06674252106302</v>
      </c>
      <c r="H319" s="29">
        <f ca="1">'Impacts A'!H319-'Impacts B'!H319</f>
        <v>68.139507925181874</v>
      </c>
      <c r="I319" s="29">
        <f ca="1">'Impacts A'!I319-'Impacts B'!I319</f>
        <v>160.15163026025027</v>
      </c>
      <c r="J319" s="29">
        <f ca="1">'Impacts A'!J319-'Impacts B'!J319</f>
        <v>264.08253612925057</v>
      </c>
      <c r="K319" s="29">
        <f ca="1">'Impacts A'!K319-'Impacts B'!K319</f>
        <v>384.23746648253882</v>
      </c>
      <c r="L319" s="29">
        <f ca="1">'Impacts A'!L319-'Impacts B'!L319</f>
        <v>517.88066358768492</v>
      </c>
      <c r="M319" s="6"/>
      <c r="N319" s="1" t="str">
        <f t="shared" ref="N319:N326" si="8">CURRENCY_NAME&amp;"/"&amp;POP_UNIT_NAME</f>
        <v>$M(2015)/million</v>
      </c>
      <c r="O319" s="1"/>
    </row>
    <row r="320" spans="1:15" x14ac:dyDescent="0.25">
      <c r="A320" t="str">
        <v>US Non-econ</v>
      </c>
      <c r="C320" s="26">
        <f ca="1">'Impacts A'!C320-'Impacts B'!C320</f>
        <v>0.18660242897887969</v>
      </c>
      <c r="D320" s="26">
        <f ca="1">'Impacts A'!D320-'Impacts B'!D320</f>
        <v>2.3664278804222079</v>
      </c>
      <c r="E320" s="26">
        <f ca="1">'Impacts A'!E320-'Impacts B'!E320</f>
        <v>7.0666819923617936</v>
      </c>
      <c r="F320" s="26">
        <f ca="1">'Impacts A'!F320-'Impacts B'!F320</f>
        <v>14.223498438502418</v>
      </c>
      <c r="G320" s="26">
        <f ca="1">'Impacts A'!G320-'Impacts B'!G320</f>
        <v>42.836719044363576</v>
      </c>
      <c r="H320" s="26">
        <f ca="1">'Impacts A'!H320-'Impacts B'!H320</f>
        <v>87.06770588226675</v>
      </c>
      <c r="I320" s="26">
        <f ca="1">'Impacts A'!I320-'Impacts B'!I320</f>
        <v>216.91569621289568</v>
      </c>
      <c r="J320" s="26">
        <f ca="1">'Impacts A'!J320-'Impacts B'!J320</f>
        <v>395.0669274183374</v>
      </c>
      <c r="K320" s="26">
        <f ca="1">'Impacts A'!K320-'Impacts B'!K320</f>
        <v>653.62687518908706</v>
      </c>
      <c r="L320" s="26">
        <f ca="1">'Impacts A'!L320-'Impacts B'!L320</f>
        <v>1022.3436453979607</v>
      </c>
      <c r="M320" s="6"/>
      <c r="N320" s="1" t="str">
        <f t="shared" si="8"/>
        <v>$M(2015)/million</v>
      </c>
      <c r="O320" s="1"/>
    </row>
    <row r="321" spans="1:15" x14ac:dyDescent="0.25">
      <c r="A321" t="str">
        <v>OT Non-econ</v>
      </c>
      <c r="C321" s="26">
        <f ca="1">'Impacts A'!C321-'Impacts B'!C321</f>
        <v>9.2653663001748043E-2</v>
      </c>
      <c r="D321" s="26">
        <f ca="1">'Impacts A'!D321-'Impacts B'!D321</f>
        <v>1.2413807738876841</v>
      </c>
      <c r="E321" s="26">
        <f ca="1">'Impacts A'!E321-'Impacts B'!E321</f>
        <v>3.9306383942244452</v>
      </c>
      <c r="F321" s="26">
        <f ca="1">'Impacts A'!F321-'Impacts B'!F321</f>
        <v>8.3859591640912186</v>
      </c>
      <c r="G321" s="26">
        <f ca="1">'Impacts A'!G321-'Impacts B'!G321</f>
        <v>28.856550987076616</v>
      </c>
      <c r="H321" s="26">
        <f ca="1">'Impacts A'!H321-'Impacts B'!H321</f>
        <v>63.15667995926583</v>
      </c>
      <c r="I321" s="26">
        <f ca="1">'Impacts A'!I321-'Impacts B'!I321</f>
        <v>124.48972116411096</v>
      </c>
      <c r="J321" s="26">
        <f ca="1">'Impacts A'!J321-'Impacts B'!J321</f>
        <v>162.27601817600055</v>
      </c>
      <c r="K321" s="26">
        <f ca="1">'Impacts A'!K321-'Impacts B'!K321</f>
        <v>183.76457309759758</v>
      </c>
      <c r="L321" s="26">
        <f ca="1">'Impacts A'!L321-'Impacts B'!L321</f>
        <v>194.25962644847021</v>
      </c>
      <c r="M321" s="6"/>
      <c r="N321" s="1" t="str">
        <f t="shared" si="8"/>
        <v>$M(2015)/million</v>
      </c>
      <c r="O321" s="1"/>
    </row>
    <row r="322" spans="1:15" x14ac:dyDescent="0.25">
      <c r="A322" t="str">
        <v>EE Non-econ</v>
      </c>
      <c r="C322" s="26">
        <f ca="1">'Impacts A'!C322-'Impacts B'!C322</f>
        <v>9.1901543453172252E-2</v>
      </c>
      <c r="D322" s="26">
        <f ca="1">'Impacts A'!D322-'Impacts B'!D322</f>
        <v>1.4685106528192335</v>
      </c>
      <c r="E322" s="26">
        <f ca="1">'Impacts A'!E322-'Impacts B'!E322</f>
        <v>5.3663501075598958</v>
      </c>
      <c r="F322" s="26">
        <f ca="1">'Impacts A'!F322-'Impacts B'!F322</f>
        <v>12.024062756218314</v>
      </c>
      <c r="G322" s="26">
        <f ca="1">'Impacts A'!G322-'Impacts B'!G322</f>
        <v>42.929536708407568</v>
      </c>
      <c r="H322" s="26">
        <f ca="1">'Impacts A'!H322-'Impacts B'!H322</f>
        <v>92.453808665681322</v>
      </c>
      <c r="I322" s="26">
        <f ca="1">'Impacts A'!I322-'Impacts B'!I322</f>
        <v>158.89037291038892</v>
      </c>
      <c r="J322" s="26">
        <f ca="1">'Impacts A'!J322-'Impacts B'!J322</f>
        <v>178.10829517381023</v>
      </c>
      <c r="K322" s="26">
        <f ca="1">'Impacts A'!K322-'Impacts B'!K322</f>
        <v>178.32770713622051</v>
      </c>
      <c r="L322" s="26">
        <f ca="1">'Impacts A'!L322-'Impacts B'!L322</f>
        <v>172.75467530502294</v>
      </c>
      <c r="M322" s="6"/>
      <c r="N322" s="1" t="str">
        <f t="shared" si="8"/>
        <v>$M(2015)/million</v>
      </c>
      <c r="O322" s="1"/>
    </row>
    <row r="323" spans="1:15" x14ac:dyDescent="0.25">
      <c r="A323" t="str">
        <v>CA Non-econ</v>
      </c>
      <c r="C323" s="26">
        <f ca="1">'Impacts A'!C323-'Impacts B'!C323</f>
        <v>3.248489454394754E-2</v>
      </c>
      <c r="D323" s="26">
        <f ca="1">'Impacts A'!D323-'Impacts B'!D323</f>
        <v>0.69326142527999934</v>
      </c>
      <c r="E323" s="26">
        <f ca="1">'Impacts A'!E323-'Impacts B'!E323</f>
        <v>2.8544349443995856</v>
      </c>
      <c r="F323" s="26">
        <f ca="1">'Impacts A'!F323-'Impacts B'!F323</f>
        <v>6.9458855769557317</v>
      </c>
      <c r="G323" s="26">
        <f ca="1">'Impacts A'!G323-'Impacts B'!G323</f>
        <v>24.116916269299281</v>
      </c>
      <c r="H323" s="26">
        <f ca="1">'Impacts A'!H323-'Impacts B'!H323</f>
        <v>48.892154515610628</v>
      </c>
      <c r="I323" s="26">
        <f ca="1">'Impacts A'!I323-'Impacts B'!I323</f>
        <v>57.960812843989686</v>
      </c>
      <c r="J323" s="26">
        <f ca="1">'Impacts A'!J323-'Impacts B'!J323</f>
        <v>54.010276979730946</v>
      </c>
      <c r="K323" s="26">
        <f ca="1">'Impacts A'!K323-'Impacts B'!K323</f>
        <v>48.762025101926582</v>
      </c>
      <c r="L323" s="26">
        <f ca="1">'Impacts A'!L323-'Impacts B'!L323</f>
        <v>44.038854213340002</v>
      </c>
      <c r="M323" s="6"/>
      <c r="N323" s="1" t="str">
        <f t="shared" si="8"/>
        <v>$M(2015)/million</v>
      </c>
      <c r="O323" s="1"/>
    </row>
    <row r="324" spans="1:15" x14ac:dyDescent="0.25">
      <c r="A324" t="str">
        <v>IA Non-econ</v>
      </c>
      <c r="C324" s="26">
        <f ca="1">'Impacts A'!C324-'Impacts B'!C324</f>
        <v>1.0076531160335134E-2</v>
      </c>
      <c r="D324" s="26">
        <f ca="1">'Impacts A'!D324-'Impacts B'!D324</f>
        <v>0.20512574448582477</v>
      </c>
      <c r="E324" s="26">
        <f ca="1">'Impacts A'!E324-'Impacts B'!E324</f>
        <v>0.91879074043297493</v>
      </c>
      <c r="F324" s="26">
        <f ca="1">'Impacts A'!F324-'Impacts B'!F324</f>
        <v>2.555970445276138</v>
      </c>
      <c r="G324" s="26">
        <f ca="1">'Impacts A'!G324-'Impacts B'!G324</f>
        <v>12.700651482865823</v>
      </c>
      <c r="H324" s="26">
        <f ca="1">'Impacts A'!H324-'Impacts B'!H324</f>
        <v>32.025635168727945</v>
      </c>
      <c r="I324" s="26">
        <f ca="1">'Impacts A'!I324-'Impacts B'!I324</f>
        <v>64.867458093306368</v>
      </c>
      <c r="J324" s="26">
        <f ca="1">'Impacts A'!J324-'Impacts B'!J324</f>
        <v>70.830163539739374</v>
      </c>
      <c r="K324" s="26">
        <f ca="1">'Impacts A'!K324-'Impacts B'!K324</f>
        <v>68.161073173541809</v>
      </c>
      <c r="L324" s="26">
        <f ca="1">'Impacts A'!L324-'Impacts B'!L324</f>
        <v>63.991682303213111</v>
      </c>
      <c r="M324" s="6"/>
      <c r="N324" s="1" t="str">
        <f t="shared" si="8"/>
        <v>$M(2015)/million</v>
      </c>
      <c r="O324" s="1"/>
    </row>
    <row r="325" spans="1:15" x14ac:dyDescent="0.25">
      <c r="A325" t="str">
        <v>AF Non-econ</v>
      </c>
      <c r="C325" s="26">
        <f ca="1">'Impacts A'!C325-'Impacts B'!C325</f>
        <v>1.4847073480577677E-2</v>
      </c>
      <c r="D325" s="26">
        <f ca="1">'Impacts A'!D325-'Impacts B'!D325</f>
        <v>0.2280475489359155</v>
      </c>
      <c r="E325" s="26">
        <f ca="1">'Impacts A'!E325-'Impacts B'!E325</f>
        <v>0.88557879476522317</v>
      </c>
      <c r="F325" s="26">
        <f ca="1">'Impacts A'!F325-'Impacts B'!F325</f>
        <v>2.3907459617481521</v>
      </c>
      <c r="G325" s="26">
        <f ca="1">'Impacts A'!G325-'Impacts B'!G325</f>
        <v>14.410897553035369</v>
      </c>
      <c r="H325" s="26">
        <f ca="1">'Impacts A'!H325-'Impacts B'!H325</f>
        <v>44.746861644757018</v>
      </c>
      <c r="I325" s="26">
        <f ca="1">'Impacts A'!I325-'Impacts B'!I325</f>
        <v>208.03653590287468</v>
      </c>
      <c r="J325" s="26">
        <f ca="1">'Impacts A'!J325-'Impacts B'!J325</f>
        <v>385.71258332343587</v>
      </c>
      <c r="K325" s="26">
        <f ca="1">'Impacts A'!K325-'Impacts B'!K325</f>
        <v>496.70071103190708</v>
      </c>
      <c r="L325" s="26">
        <f ca="1">'Impacts A'!L325-'Impacts B'!L325</f>
        <v>544.05644336846626</v>
      </c>
      <c r="M325" s="6"/>
      <c r="N325" s="1" t="str">
        <f t="shared" si="8"/>
        <v>$M(2015)/million</v>
      </c>
      <c r="O325" s="1"/>
    </row>
    <row r="326" spans="1:15" x14ac:dyDescent="0.25">
      <c r="A326" t="str">
        <v>LA Non-econ</v>
      </c>
      <c r="C326" s="26">
        <f ca="1">'Impacts A'!C326-'Impacts B'!C326</f>
        <v>2.3123004305849015E-2</v>
      </c>
      <c r="D326" s="26">
        <f ca="1">'Impacts A'!D326-'Impacts B'!D326</f>
        <v>0.36636066639652043</v>
      </c>
      <c r="E326" s="26">
        <f ca="1">'Impacts A'!E326-'Impacts B'!E326</f>
        <v>1.3673426771251158</v>
      </c>
      <c r="F326" s="26">
        <f ca="1">'Impacts A'!F326-'Impacts B'!F326</f>
        <v>3.37609410328389</v>
      </c>
      <c r="G326" s="26">
        <f ca="1">'Impacts A'!G326-'Impacts B'!G326</f>
        <v>14.883608856481686</v>
      </c>
      <c r="H326" s="26">
        <f ca="1">'Impacts A'!H326-'Impacts B'!H326</f>
        <v>36.973396617145283</v>
      </c>
      <c r="I326" s="26">
        <f ca="1">'Impacts A'!I326-'Impacts B'!I326</f>
        <v>82.395791690453734</v>
      </c>
      <c r="J326" s="26">
        <f ca="1">'Impacts A'!J326-'Impacts B'!J326</f>
        <v>100.64474035308274</v>
      </c>
      <c r="K326" s="26">
        <f ca="1">'Impacts A'!K326-'Impacts B'!K326</f>
        <v>103.23627627662052</v>
      </c>
      <c r="L326" s="26">
        <f ca="1">'Impacts A'!L326-'Impacts B'!L326</f>
        <v>99.951411293427867</v>
      </c>
      <c r="M326" s="6"/>
      <c r="N326" s="1" t="str">
        <f t="shared" si="8"/>
        <v>$M(2015)/million</v>
      </c>
      <c r="O326" s="1"/>
    </row>
    <row r="327" spans="1:15" s="2" customFormat="1" ht="15" x14ac:dyDescent="0.4">
      <c r="A327" s="2" t="s">
        <v>228</v>
      </c>
      <c r="C327" s="2" t="s">
        <v>244</v>
      </c>
    </row>
    <row r="328" spans="1:15" x14ac:dyDescent="0.25">
      <c r="A328" t="str">
        <f t="array" ref="A328:A335">R_CODE&amp;" "&amp;I_2_NAME</f>
        <v>EU Non-econ</v>
      </c>
      <c r="C328" s="29">
        <f ca="1">'Impacts A'!C328-'Impacts B'!C328</f>
        <v>-1.4340193854877725E-2</v>
      </c>
      <c r="D328" s="29">
        <f ca="1">'Impacts A'!D328-'Impacts B'!D328</f>
        <v>-1.0010819263479789</v>
      </c>
      <c r="E328" s="29">
        <f ca="1">'Impacts A'!E328-'Impacts B'!E328</f>
        <v>-3.8464335330791073</v>
      </c>
      <c r="F328" s="29">
        <f ca="1">'Impacts A'!F328-'Impacts B'!F328</f>
        <v>-8.781157495235675</v>
      </c>
      <c r="G328" s="29">
        <f ca="1">'Impacts A'!G328-'Impacts B'!G328</f>
        <v>-31.371484085786506</v>
      </c>
      <c r="H328" s="29">
        <f ca="1">'Impacts A'!H328-'Impacts B'!H328</f>
        <v>-69.33918773093319</v>
      </c>
      <c r="I328" s="29">
        <f ca="1">'Impacts A'!I328-'Impacts B'!I328</f>
        <v>-200.60004418483004</v>
      </c>
      <c r="J328" s="29">
        <f ca="1">'Impacts A'!J328-'Impacts B'!J328</f>
        <v>-341.17631972994423</v>
      </c>
      <c r="K328" s="29">
        <f ca="1">'Impacts A'!K328-'Impacts B'!K328</f>
        <v>-511.50947412604</v>
      </c>
      <c r="L328" s="29">
        <f ca="1">'Impacts A'!L328-'Impacts B'!L328</f>
        <v>-695.42465433478355</v>
      </c>
      <c r="M328" s="6"/>
      <c r="N328" s="1" t="str">
        <f t="shared" ref="N328:N335" si="9">CURRENCY_NAME&amp;"/"&amp;POP_UNIT_NAME</f>
        <v>$M(2015)/million</v>
      </c>
      <c r="O328" s="1"/>
    </row>
    <row r="329" spans="1:15" x14ac:dyDescent="0.25">
      <c r="A329" t="str">
        <v>US Non-econ</v>
      </c>
      <c r="C329" s="26">
        <f ca="1">'Impacts A'!C329-'Impacts B'!C329</f>
        <v>-0.3485875659971498</v>
      </c>
      <c r="D329" s="26">
        <f ca="1">'Impacts A'!D329-'Impacts B'!D329</f>
        <v>-4.1509582730432157</v>
      </c>
      <c r="E329" s="26">
        <f ca="1">'Impacts A'!E329-'Impacts B'!E329</f>
        <v>-11.996985461781151</v>
      </c>
      <c r="F329" s="26">
        <f ca="1">'Impacts A'!F329-'Impacts B'!F329</f>
        <v>-23.708967033380759</v>
      </c>
      <c r="G329" s="26">
        <f ca="1">'Impacts A'!G329-'Impacts B'!G329</f>
        <v>-70.087676479131915</v>
      </c>
      <c r="H329" s="26">
        <f ca="1">'Impacts A'!H329-'Impacts B'!H329</f>
        <v>-143.66559975245036</v>
      </c>
      <c r="I329" s="26">
        <f ca="1">'Impacts A'!I329-'Impacts B'!I329</f>
        <v>-413.22907604213106</v>
      </c>
      <c r="J329" s="26">
        <f ca="1">'Impacts A'!J329-'Impacts B'!J329</f>
        <v>-790.73410491610412</v>
      </c>
      <c r="K329" s="26">
        <f ca="1">'Impacts A'!K329-'Impacts B'!K329</f>
        <v>-1352.5169680234976</v>
      </c>
      <c r="L329" s="26">
        <f ca="1">'Impacts A'!L329-'Impacts B'!L329</f>
        <v>-2171.2815972950775</v>
      </c>
      <c r="M329" s="6"/>
      <c r="N329" s="1" t="str">
        <f t="shared" si="9"/>
        <v>$M(2015)/million</v>
      </c>
      <c r="O329" s="1"/>
    </row>
    <row r="330" spans="1:15" x14ac:dyDescent="0.25">
      <c r="A330" t="str">
        <v>OT Non-econ</v>
      </c>
      <c r="C330" s="26">
        <f ca="1">'Impacts A'!C330-'Impacts B'!C330</f>
        <v>-0.11060861061923788</v>
      </c>
      <c r="D330" s="26">
        <f ca="1">'Impacts A'!D330-'Impacts B'!D330</f>
        <v>-1.705897928957711</v>
      </c>
      <c r="E330" s="26">
        <f ca="1">'Impacts A'!E330-'Impacts B'!E330</f>
        <v>-5.5084779303797404</v>
      </c>
      <c r="F330" s="26">
        <f ca="1">'Impacts A'!F330-'Impacts B'!F330</f>
        <v>-11.782622576094582</v>
      </c>
      <c r="G330" s="26">
        <f ca="1">'Impacts A'!G330-'Impacts B'!G330</f>
        <v>-40.272940057082451</v>
      </c>
      <c r="H330" s="26">
        <f ca="1">'Impacts A'!H330-'Impacts B'!H330</f>
        <v>-88.853033468258218</v>
      </c>
      <c r="I330" s="26">
        <f ca="1">'Impacts A'!I330-'Impacts B'!I330</f>
        <v>-212.08871674039983</v>
      </c>
      <c r="J330" s="26">
        <f ca="1">'Impacts A'!J330-'Impacts B'!J330</f>
        <v>-299.14774782175664</v>
      </c>
      <c r="K330" s="26">
        <f ca="1">'Impacts A'!K330-'Impacts B'!K330</f>
        <v>-365.77603560528951</v>
      </c>
      <c r="L330" s="26">
        <f ca="1">'Impacts A'!L330-'Impacts B'!L330</f>
        <v>-415.36875157727627</v>
      </c>
      <c r="M330" s="6"/>
      <c r="N330" s="1" t="str">
        <f t="shared" si="9"/>
        <v>$M(2015)/million</v>
      </c>
      <c r="O330" s="1"/>
    </row>
    <row r="331" spans="1:15" x14ac:dyDescent="0.25">
      <c r="A331" t="str">
        <v>EE Non-econ</v>
      </c>
      <c r="C331" s="26">
        <f ca="1">'Impacts A'!C331-'Impacts B'!C331</f>
        <v>6.2177647134376457E-2</v>
      </c>
      <c r="D331" s="26">
        <f ca="1">'Impacts A'!D331-'Impacts B'!D331</f>
        <v>-0.19553478118177736</v>
      </c>
      <c r="E331" s="26">
        <f ca="1">'Impacts A'!E331-'Impacts B'!E331</f>
        <v>-2.1070156626155949</v>
      </c>
      <c r="F331" s="26">
        <f ca="1">'Impacts A'!F331-'Impacts B'!F331</f>
        <v>-6.1109380542548024</v>
      </c>
      <c r="G331" s="26">
        <f ca="1">'Impacts A'!G331-'Impacts B'!G331</f>
        <v>-25.505672664367012</v>
      </c>
      <c r="H331" s="26">
        <f ca="1">'Impacts A'!H331-'Impacts B'!H331</f>
        <v>-54.303828534859349</v>
      </c>
      <c r="I331" s="26">
        <f ca="1">'Impacts A'!I331-'Impacts B'!I331</f>
        <v>-82.373333545896458</v>
      </c>
      <c r="J331" s="26">
        <f ca="1">'Impacts A'!J331-'Impacts B'!J331</f>
        <v>-77.943697972601512</v>
      </c>
      <c r="K331" s="26">
        <f ca="1">'Impacts A'!K331-'Impacts B'!K331</f>
        <v>-70.213280158961425</v>
      </c>
      <c r="L331" s="26">
        <f ca="1">'Impacts A'!L331-'Impacts B'!L331</f>
        <v>-57.467412365891505</v>
      </c>
      <c r="M331" s="6"/>
      <c r="N331" s="1" t="str">
        <f t="shared" si="9"/>
        <v>$M(2015)/million</v>
      </c>
      <c r="O331" s="1"/>
    </row>
    <row r="332" spans="1:15" x14ac:dyDescent="0.25">
      <c r="A332" t="str">
        <v>CA Non-econ</v>
      </c>
      <c r="C332" s="26">
        <f ca="1">'Impacts A'!C332-'Impacts B'!C332</f>
        <v>-0.10270803893945413</v>
      </c>
      <c r="D332" s="26">
        <f ca="1">'Impacts A'!D332-'Impacts B'!D332</f>
        <v>-1.7609645438787993</v>
      </c>
      <c r="E332" s="26">
        <f ca="1">'Impacts A'!E332-'Impacts B'!E332</f>
        <v>-6.6210604113803129</v>
      </c>
      <c r="F332" s="26">
        <f ca="1">'Impacts A'!F332-'Impacts B'!F332</f>
        <v>-15.434846171010577</v>
      </c>
      <c r="G332" s="26">
        <f ca="1">'Impacts A'!G332-'Impacts B'!G332</f>
        <v>-52.55133987586305</v>
      </c>
      <c r="H332" s="26">
        <f ca="1">'Impacts A'!H332-'Impacts B'!H332</f>
        <v>-107.44012846925762</v>
      </c>
      <c r="I332" s="26">
        <f ca="1">'Impacts A'!I332-'Impacts B'!I332</f>
        <v>-153.92881717464479</v>
      </c>
      <c r="J332" s="26">
        <f ca="1">'Impacts A'!J332-'Impacts B'!J332</f>
        <v>-164.9170448568475</v>
      </c>
      <c r="K332" s="26">
        <f ca="1">'Impacts A'!K332-'Impacts B'!K332</f>
        <v>-168.16334142246342</v>
      </c>
      <c r="L332" s="26">
        <f ca="1">'Impacts A'!L332-'Impacts B'!L332</f>
        <v>-170.68541544038453</v>
      </c>
      <c r="M332" s="6"/>
      <c r="N332" s="1" t="str">
        <f t="shared" si="9"/>
        <v>$M(2015)/million</v>
      </c>
      <c r="O332" s="1"/>
    </row>
    <row r="333" spans="1:15" x14ac:dyDescent="0.25">
      <c r="A333" t="str">
        <v>IA Non-econ</v>
      </c>
      <c r="C333" s="26">
        <f ca="1">'Impacts A'!C333-'Impacts B'!C333</f>
        <v>-0.12565953247121797</v>
      </c>
      <c r="D333" s="26">
        <f ca="1">'Impacts A'!D333-'Impacts B'!D333</f>
        <v>-1.6049842373995489</v>
      </c>
      <c r="E333" s="26">
        <f ca="1">'Impacts A'!E333-'Impacts B'!E333</f>
        <v>-5.8906587616347679</v>
      </c>
      <c r="F333" s="26">
        <f ca="1">'Impacts A'!F333-'Impacts B'!F333</f>
        <v>-14.800117671518819</v>
      </c>
      <c r="G333" s="26">
        <f ca="1">'Impacts A'!G333-'Impacts B'!G333</f>
        <v>-67.953236572953756</v>
      </c>
      <c r="H333" s="26">
        <f ca="1">'Impacts A'!H333-'Impacts B'!H333</f>
        <v>-172.77131723568891</v>
      </c>
      <c r="I333" s="26">
        <f ca="1">'Impacts A'!I333-'Impacts B'!I333</f>
        <v>-424.69477832430857</v>
      </c>
      <c r="J333" s="26">
        <f ca="1">'Impacts A'!J333-'Impacts B'!J333</f>
        <v>-533.70481893437682</v>
      </c>
      <c r="K333" s="26">
        <f ca="1">'Impacts A'!K333-'Impacts B'!K333</f>
        <v>-572.5656941391062</v>
      </c>
      <c r="L333" s="26">
        <f ca="1">'Impacts A'!L333-'Impacts B'!L333</f>
        <v>-601.34591288698721</v>
      </c>
      <c r="M333" s="6"/>
      <c r="N333" s="1" t="str">
        <f t="shared" si="9"/>
        <v>$M(2015)/million</v>
      </c>
      <c r="O333" s="1"/>
    </row>
    <row r="334" spans="1:15" x14ac:dyDescent="0.25">
      <c r="A334" t="str">
        <v>AF Non-econ</v>
      </c>
      <c r="C334" s="26">
        <f ca="1">'Impacts A'!C334-'Impacts B'!C334</f>
        <v>-0.10782053427828941</v>
      </c>
      <c r="D334" s="26">
        <f ca="1">'Impacts A'!D334-'Impacts B'!D334</f>
        <v>-1.1396772257121484</v>
      </c>
      <c r="E334" s="26">
        <f ca="1">'Impacts A'!E334-'Impacts B'!E334</f>
        <v>-3.7725727695196838</v>
      </c>
      <c r="F334" s="26">
        <f ca="1">'Impacts A'!F334-'Impacts B'!F334</f>
        <v>-9.3840929831385438</v>
      </c>
      <c r="G334" s="26">
        <f ca="1">'Impacts A'!G334-'Impacts B'!G334</f>
        <v>-52.937170766432246</v>
      </c>
      <c r="H334" s="26">
        <f ca="1">'Impacts A'!H334-'Impacts B'!H334</f>
        <v>-165.00177720312786</v>
      </c>
      <c r="I334" s="26">
        <f ca="1">'Impacts A'!I334-'Impacts B'!I334</f>
        <v>-877.65608243900351</v>
      </c>
      <c r="J334" s="26">
        <f ca="1">'Impacts A'!J334-'Impacts B'!J334</f>
        <v>-1788.7354308629874</v>
      </c>
      <c r="K334" s="26">
        <f ca="1">'Impacts A'!K334-'Impacts B'!K334</f>
        <v>-2473.9955135429045</v>
      </c>
      <c r="L334" s="26">
        <f ca="1">'Impacts A'!L334-'Impacts B'!L334</f>
        <v>-2931.0329189415788</v>
      </c>
      <c r="M334" s="6"/>
      <c r="N334" s="1" t="str">
        <f t="shared" si="9"/>
        <v>$M(2015)/million</v>
      </c>
      <c r="O334" s="1"/>
    </row>
    <row r="335" spans="1:15" x14ac:dyDescent="0.25">
      <c r="A335" t="str">
        <v>LA Non-econ</v>
      </c>
      <c r="C335" s="26">
        <f ca="1">'Impacts A'!C335-'Impacts B'!C335</f>
        <v>-0.19752121118654031</v>
      </c>
      <c r="D335" s="26">
        <f ca="1">'Impacts A'!D335-'Impacts B'!D335</f>
        <v>-2.0485628781170817</v>
      </c>
      <c r="E335" s="26">
        <f ca="1">'Impacts A'!E335-'Impacts B'!E335</f>
        <v>-6.4135481188350241</v>
      </c>
      <c r="F335" s="26">
        <f ca="1">'Impacts A'!F335-'Impacts B'!F335</f>
        <v>-14.496309745049075</v>
      </c>
      <c r="G335" s="26">
        <f ca="1">'Impacts A'!G335-'Impacts B'!G335</f>
        <v>-59.738642927710316</v>
      </c>
      <c r="H335" s="26">
        <f ca="1">'Impacts A'!H335-'Impacts B'!H335</f>
        <v>-149.50966332602547</v>
      </c>
      <c r="I335" s="26">
        <f ca="1">'Impacts A'!I335-'Impacts B'!I335</f>
        <v>-394.92988498645718</v>
      </c>
      <c r="J335" s="26">
        <f ca="1">'Impacts A'!J335-'Impacts B'!J335</f>
        <v>-545.07476780060097</v>
      </c>
      <c r="K335" s="26">
        <f ca="1">'Impacts A'!K335-'Impacts B'!K335</f>
        <v>-614.81513653736329</v>
      </c>
      <c r="L335" s="26">
        <f ca="1">'Impacts A'!L335-'Impacts B'!L335</f>
        <v>-657.76202357280999</v>
      </c>
      <c r="M335" s="6"/>
      <c r="N335" s="1" t="str">
        <f t="shared" si="9"/>
        <v>$M(2015)/million</v>
      </c>
      <c r="O335" s="1"/>
    </row>
    <row r="336" spans="1:15" s="2" customFormat="1" ht="15" x14ac:dyDescent="0.4">
      <c r="A336" s="2" t="s">
        <v>230</v>
      </c>
      <c r="C336" s="2" t="s">
        <v>243</v>
      </c>
    </row>
    <row r="337" spans="1:15" x14ac:dyDescent="0.25">
      <c r="A337" t="str">
        <f t="array" ref="A337:A344">R_CODE&amp;" "&amp;I_2_NAME</f>
        <v>EU Non-econ</v>
      </c>
      <c r="C337" s="29">
        <f ca="1">'Impacts A'!C337-'Impacts B'!C337</f>
        <v>-1.6870816296432167E-2</v>
      </c>
      <c r="D337" s="29">
        <f ca="1">'Impacts A'!D337-'Impacts B'!D337</f>
        <v>-1.1777434427567641</v>
      </c>
      <c r="E337" s="29">
        <f ca="1">'Impacts A'!E337-'Impacts B'!E337</f>
        <v>-4.525215921275958</v>
      </c>
      <c r="F337" s="29">
        <f ca="1">'Impacts A'!F337-'Impacts B'!F337</f>
        <v>-10.33077352381224</v>
      </c>
      <c r="G337" s="29">
        <f ca="1">'Impacts A'!G337-'Impacts B'!G337</f>
        <v>-36.907628336222842</v>
      </c>
      <c r="H337" s="29">
        <f ca="1">'Impacts A'!H337-'Impacts B'!H337</f>
        <v>-81.575514977594139</v>
      </c>
      <c r="I337" s="29">
        <f ca="1">'Impacts A'!I337-'Impacts B'!I337</f>
        <v>-236.00005198214785</v>
      </c>
      <c r="J337" s="29">
        <f ca="1">'Impacts A'!J337-'Impacts B'!J337</f>
        <v>-401.38390556460945</v>
      </c>
      <c r="K337" s="29">
        <f ca="1">'Impacts A'!K337-'Impacts B'!K337</f>
        <v>-601.77585191291291</v>
      </c>
      <c r="L337" s="29">
        <f ca="1">'Impacts A'!L337-'Impacts B'!L337</f>
        <v>-818.14665215858258</v>
      </c>
      <c r="M337" s="6"/>
      <c r="N337" s="1" t="str">
        <f t="shared" ref="N337:N344" si="10">CURRENCY_NAME&amp;"/"&amp;POP_UNIT_NAME</f>
        <v>$M(2015)/million</v>
      </c>
      <c r="O337" s="1"/>
    </row>
    <row r="338" spans="1:15" x14ac:dyDescent="0.25">
      <c r="A338" t="str">
        <v>US Non-econ</v>
      </c>
      <c r="C338" s="26">
        <f ca="1">'Impacts A'!C338-'Impacts B'!C338</f>
        <v>-0.41010301881760824</v>
      </c>
      <c r="D338" s="26">
        <f ca="1">'Impacts A'!D338-'Impacts B'!D338</f>
        <v>-4.8834803212375846</v>
      </c>
      <c r="E338" s="26">
        <f ca="1">'Impacts A'!E338-'Impacts B'!E338</f>
        <v>-14.114100543272798</v>
      </c>
      <c r="F338" s="26">
        <f ca="1">'Impacts A'!F338-'Impacts B'!F338</f>
        <v>-27.89290239221009</v>
      </c>
      <c r="G338" s="26">
        <f ca="1">'Impacts A'!G338-'Impacts B'!G338</f>
        <v>-82.456089975457871</v>
      </c>
      <c r="H338" s="26">
        <f ca="1">'Impacts A'!H338-'Impacts B'!H338</f>
        <v>-169.01835264993133</v>
      </c>
      <c r="I338" s="26">
        <f ca="1">'Impacts A'!I338-'Impacts B'!I338</f>
        <v>-486.1518541672267</v>
      </c>
      <c r="J338" s="26">
        <f ca="1">'Impacts A'!J338-'Impacts B'!J338</f>
        <v>-930.27541754837148</v>
      </c>
      <c r="K338" s="26">
        <f ca="1">'Impacts A'!K338-'Impacts B'!K338</f>
        <v>-1591.1964329688344</v>
      </c>
      <c r="L338" s="26">
        <f ca="1">'Impacts A'!L338-'Impacts B'!L338</f>
        <v>-2554.4489379941951</v>
      </c>
      <c r="M338" s="6"/>
      <c r="N338" s="1" t="str">
        <f t="shared" si="10"/>
        <v>$M(2015)/million</v>
      </c>
      <c r="O338" s="1"/>
    </row>
    <row r="339" spans="1:15" x14ac:dyDescent="0.25">
      <c r="A339" t="str">
        <v>OT Non-econ</v>
      </c>
      <c r="C339" s="26">
        <f ca="1">'Impacts A'!C339-'Impacts B'!C339</f>
        <v>-0.13012777719995938</v>
      </c>
      <c r="D339" s="26">
        <f ca="1">'Impacts A'!D339-'Impacts B'!D339</f>
        <v>-2.0069387399489642</v>
      </c>
      <c r="E339" s="26">
        <f ca="1">'Impacts A'!E339-'Impacts B'!E339</f>
        <v>-6.4805622710337047</v>
      </c>
      <c r="F339" s="26">
        <f ca="1">'Impacts A'!F339-'Impacts B'!F339</f>
        <v>-13.861908913051593</v>
      </c>
      <c r="G339" s="26">
        <f ca="1">'Impacts A'!G339-'Impacts B'!G339</f>
        <v>-47.379929478920531</v>
      </c>
      <c r="H339" s="26">
        <f ca="1">'Impacts A'!H339-'Impacts B'!H339</f>
        <v>-104.53298055089545</v>
      </c>
      <c r="I339" s="26">
        <f ca="1">'Impacts A'!I339-'Impacts B'!I339</f>
        <v>-249.51613734161947</v>
      </c>
      <c r="J339" s="26">
        <f ca="1">'Impacts A'!J339-'Impacts B'!J339</f>
        <v>-351.93852684908779</v>
      </c>
      <c r="K339" s="26">
        <f ca="1">'Impacts A'!K339-'Impacts B'!K339</f>
        <v>-430.32474777090829</v>
      </c>
      <c r="L339" s="26">
        <f ca="1">'Impacts A'!L339-'Impacts B'!L339</f>
        <v>-488.66911950270878</v>
      </c>
      <c r="M339" s="6"/>
      <c r="N339" s="1" t="str">
        <f t="shared" si="10"/>
        <v>$M(2015)/million</v>
      </c>
      <c r="O339" s="1"/>
    </row>
    <row r="340" spans="1:15" x14ac:dyDescent="0.25">
      <c r="A340" t="str">
        <v>EE Non-econ</v>
      </c>
      <c r="C340" s="26">
        <f ca="1">'Impacts A'!C340-'Impacts B'!C340</f>
        <v>7.3150173098838422E-2</v>
      </c>
      <c r="D340" s="26">
        <f ca="1">'Impacts A'!D340-'Impacts B'!D340</f>
        <v>-0.23004091903567314</v>
      </c>
      <c r="E340" s="26">
        <f ca="1">'Impacts A'!E340-'Impacts B'!E340</f>
        <v>-2.4788419560209149</v>
      </c>
      <c r="F340" s="26">
        <f ca="1">'Impacts A'!F340-'Impacts B'!F340</f>
        <v>-7.1893388873577351</v>
      </c>
      <c r="G340" s="26">
        <f ca="1">'Impacts A'!G340-'Impacts B'!G340</f>
        <v>-30.006673722775304</v>
      </c>
      <c r="H340" s="26">
        <f ca="1">'Impacts A'!H340-'Impacts B'!H340</f>
        <v>-63.886857099845656</v>
      </c>
      <c r="I340" s="26">
        <f ca="1">'Impacts A'!I340-'Impacts B'!I340</f>
        <v>-96.909804171620635</v>
      </c>
      <c r="J340" s="26">
        <f ca="1">'Impacts A'!J340-'Impacts B'!J340</f>
        <v>-91.698468203045195</v>
      </c>
      <c r="K340" s="26">
        <f ca="1">'Impacts A'!K340-'Impacts B'!K340</f>
        <v>-82.603859010530869</v>
      </c>
      <c r="L340" s="26">
        <f ca="1">'Impacts A'!L340-'Impacts B'!L340</f>
        <v>-67.608720430464018</v>
      </c>
      <c r="M340" s="6"/>
      <c r="N340" s="1" t="str">
        <f t="shared" si="10"/>
        <v>$M(2015)/million</v>
      </c>
      <c r="O340" s="1"/>
    </row>
    <row r="341" spans="1:15" x14ac:dyDescent="0.25">
      <c r="A341" t="str">
        <v>CA Non-econ</v>
      </c>
      <c r="C341" s="26">
        <f ca="1">'Impacts A'!C341-'Impacts B'!C341</f>
        <v>-0.12083298698780709</v>
      </c>
      <c r="D341" s="26">
        <f ca="1">'Impacts A'!D341-'Impacts B'!D341</f>
        <v>-2.0717229927977314</v>
      </c>
      <c r="E341" s="26">
        <f ca="1">'Impacts A'!E341-'Impacts B'!E341</f>
        <v>-7.7894828369171591</v>
      </c>
      <c r="F341" s="26">
        <f ca="1">'Impacts A'!F341-'Impacts B'!F341</f>
        <v>-18.158642554131802</v>
      </c>
      <c r="G341" s="26">
        <f ca="1">'Impacts A'!G341-'Impacts B'!G341</f>
        <v>-61.825105736308615</v>
      </c>
      <c r="H341" s="26">
        <f ca="1">'Impacts A'!H341-'Impacts B'!H341</f>
        <v>-126.40015114030393</v>
      </c>
      <c r="I341" s="26">
        <f ca="1">'Impacts A'!I341-'Impacts B'!I341</f>
        <v>-181.09272608782339</v>
      </c>
      <c r="J341" s="26">
        <f ca="1">'Impacts A'!J341-'Impacts B'!J341</f>
        <v>-194.02005277275748</v>
      </c>
      <c r="K341" s="26">
        <f ca="1">'Impacts A'!K341-'Impacts B'!K341</f>
        <v>-197.83922520290071</v>
      </c>
      <c r="L341" s="26">
        <f ca="1">'Impacts A'!L341-'Impacts B'!L341</f>
        <v>-200.80637110634416</v>
      </c>
      <c r="M341" s="6"/>
      <c r="N341" s="1" t="str">
        <f t="shared" si="10"/>
        <v>$M(2015)/million</v>
      </c>
      <c r="O341" s="1"/>
    </row>
    <row r="342" spans="1:15" x14ac:dyDescent="0.25">
      <c r="A342" t="str">
        <v>IA Non-econ</v>
      </c>
      <c r="C342" s="26">
        <f ca="1">'Impacts A'!C342-'Impacts B'!C342</f>
        <v>-0.14783474408341135</v>
      </c>
      <c r="D342" s="26">
        <f ca="1">'Impacts A'!D342-'Impacts B'!D342</f>
        <v>-1.8882167498813942</v>
      </c>
      <c r="E342" s="26">
        <f ca="1">'Impacts A'!E342-'Impacts B'!E342</f>
        <v>-6.9301867783942726</v>
      </c>
      <c r="F342" s="26">
        <f ca="1">'Impacts A'!F342-'Impacts B'!F342</f>
        <v>-17.411903142961819</v>
      </c>
      <c r="G342" s="26">
        <f ca="1">'Impacts A'!G342-'Impacts B'!G342</f>
        <v>-79.944984203473723</v>
      </c>
      <c r="H342" s="26">
        <f ca="1">'Impacts A'!H342-'Impacts B'!H342</f>
        <v>-203.26037321846525</v>
      </c>
      <c r="I342" s="26">
        <f ca="1">'Impacts A'!I342-'Impacts B'!I342</f>
        <v>-499.64091567567084</v>
      </c>
      <c r="J342" s="26">
        <f ca="1">'Impacts A'!J342-'Impacts B'!J342</f>
        <v>-627.88802227572887</v>
      </c>
      <c r="K342" s="26">
        <f ca="1">'Impacts A'!K342-'Impacts B'!K342</f>
        <v>-673.60669898716151</v>
      </c>
      <c r="L342" s="26">
        <f ca="1">'Impacts A'!L342-'Impacts B'!L342</f>
        <v>-707.46577986705233</v>
      </c>
      <c r="M342" s="6"/>
      <c r="N342" s="1" t="str">
        <f t="shared" si="10"/>
        <v>$M(2015)/million</v>
      </c>
      <c r="O342" s="1"/>
    </row>
    <row r="343" spans="1:15" x14ac:dyDescent="0.25">
      <c r="A343" t="str">
        <v>AF Non-econ</v>
      </c>
      <c r="C343" s="26">
        <f ca="1">'Impacts A'!C343-'Impacts B'!C343</f>
        <v>-0.12684768738563434</v>
      </c>
      <c r="D343" s="26">
        <f ca="1">'Impacts A'!D343-'Impacts B'!D343</f>
        <v>-1.3407967361308692</v>
      </c>
      <c r="E343" s="26">
        <f ca="1">'Impacts A'!E343-'Impacts B'!E343</f>
        <v>-4.4383209053157771</v>
      </c>
      <c r="F343" s="26">
        <f ca="1">'Impacts A'!F343-'Impacts B'!F343</f>
        <v>-11.040109391928127</v>
      </c>
      <c r="G343" s="26">
        <f ca="1">'Impacts A'!G343-'Impacts B'!G343</f>
        <v>-62.279024431096332</v>
      </c>
      <c r="H343" s="26">
        <f ca="1">'Impacts A'!H343-'Impacts B'!H343</f>
        <v>-194.11973788603791</v>
      </c>
      <c r="I343" s="26">
        <f ca="1">'Impacts A'!I343-'Impacts B'!I343</f>
        <v>-1032.5365675752982</v>
      </c>
      <c r="J343" s="26">
        <f ca="1">'Impacts A'!J343-'Impacts B'!J343</f>
        <v>-2104.3946245447733</v>
      </c>
      <c r="K343" s="26">
        <f ca="1">'Impacts A'!K343-'Impacts B'!K343</f>
        <v>-2910.58295710932</v>
      </c>
      <c r="L343" s="26">
        <f ca="1">'Impacts A'!L343-'Impacts B'!L343</f>
        <v>-3448.2740222841967</v>
      </c>
      <c r="M343" s="6"/>
      <c r="N343" s="1" t="str">
        <f t="shared" si="10"/>
        <v>$M(2015)/million</v>
      </c>
      <c r="O343" s="1"/>
    </row>
    <row r="344" spans="1:15" x14ac:dyDescent="0.25">
      <c r="A344" t="str">
        <v>LA Non-econ</v>
      </c>
      <c r="C344" s="26">
        <f ca="1">'Impacts A'!C344-'Impacts B'!C344</f>
        <v>-0.23237789551421884</v>
      </c>
      <c r="D344" s="26">
        <f ca="1">'Impacts A'!D344-'Impacts B'!D344</f>
        <v>-2.4100739742534643</v>
      </c>
      <c r="E344" s="26">
        <f ca="1">'Impacts A'!E344-'Impacts B'!E344</f>
        <v>-7.5453507280399208</v>
      </c>
      <c r="F344" s="26">
        <f ca="1">'Impacts A'!F344-'Impacts B'!F344</f>
        <v>-17.054482052997628</v>
      </c>
      <c r="G344" s="26">
        <f ca="1">'Impacts A'!G344-'Impacts B'!G344</f>
        <v>-70.280756385545828</v>
      </c>
      <c r="H344" s="26">
        <f ca="1">'Impacts A'!H344-'Impacts B'!H344</f>
        <v>-175.89372156003083</v>
      </c>
      <c r="I344" s="26">
        <f ca="1">'Impacts A'!I344-'Impacts B'!I344</f>
        <v>-464.62339410171262</v>
      </c>
      <c r="J344" s="26">
        <f ca="1">'Impacts A'!J344-'Impacts B'!J344</f>
        <v>-641.2644327065791</v>
      </c>
      <c r="K344" s="26">
        <f ca="1">'Impacts A'!K344-'Impacts B'!K344</f>
        <v>-723.31192533811554</v>
      </c>
      <c r="L344" s="26">
        <f ca="1">'Impacts A'!L344-'Impacts B'!L344</f>
        <v>-773.83767479157541</v>
      </c>
      <c r="M344" s="6"/>
      <c r="N344" s="1" t="str">
        <f t="shared" si="10"/>
        <v>$M(2015)/million</v>
      </c>
      <c r="O344" s="1"/>
    </row>
    <row r="345" spans="1:15" s="2" customFormat="1" ht="15" x14ac:dyDescent="0.4">
      <c r="A345" s="2" t="s">
        <v>245</v>
      </c>
      <c r="C345" s="2" t="s">
        <v>246</v>
      </c>
    </row>
    <row r="346" spans="1:15" x14ac:dyDescent="0.25">
      <c r="A346" t="str">
        <f t="array" ref="A346:A353">R_CODE&amp;" discontinuity"</f>
        <v>EU discontinuity</v>
      </c>
      <c r="C346" s="29">
        <f ca="1">'Impacts A'!C346-'Impacts B'!C346</f>
        <v>0</v>
      </c>
      <c r="D346" s="29">
        <f ca="1">'Impacts A'!D346-'Impacts B'!D346</f>
        <v>0</v>
      </c>
      <c r="E346" s="29">
        <f ca="1">'Impacts A'!E346-'Impacts B'!E346</f>
        <v>0</v>
      </c>
      <c r="F346" s="29">
        <f ca="1">'Impacts A'!F346-'Impacts B'!F346</f>
        <v>0</v>
      </c>
      <c r="G346" s="29">
        <f ca="1">'Impacts A'!G346-'Impacts B'!G346</f>
        <v>0</v>
      </c>
      <c r="H346" s="29">
        <f ca="1">'Impacts A'!H346-'Impacts B'!H346</f>
        <v>0</v>
      </c>
      <c r="I346" s="29">
        <f ca="1">'Impacts A'!I346-'Impacts B'!I346</f>
        <v>0</v>
      </c>
      <c r="J346" s="29">
        <f ca="1">'Impacts A'!J346-'Impacts B'!J346</f>
        <v>0</v>
      </c>
      <c r="K346" s="29">
        <f ca="1">'Impacts A'!K346-'Impacts B'!K346</f>
        <v>0</v>
      </c>
      <c r="L346" s="29">
        <f ca="1">'Impacts A'!L346-'Impacts B'!L346</f>
        <v>0</v>
      </c>
      <c r="M346" s="6"/>
      <c r="N346" s="59" t="s">
        <v>134</v>
      </c>
    </row>
    <row r="347" spans="1:15" x14ac:dyDescent="0.25">
      <c r="A347" t="str">
        <v>US discontinuity</v>
      </c>
      <c r="C347" s="26">
        <f ca="1">'Impacts A'!C347-'Impacts B'!C347</f>
        <v>0</v>
      </c>
      <c r="D347" s="26">
        <f ca="1">'Impacts A'!D347-'Impacts B'!D347</f>
        <v>0</v>
      </c>
      <c r="E347" s="26">
        <f ca="1">'Impacts A'!E347-'Impacts B'!E347</f>
        <v>0</v>
      </c>
      <c r="F347" s="26">
        <f ca="1">'Impacts A'!F347-'Impacts B'!F347</f>
        <v>0</v>
      </c>
      <c r="G347" s="26">
        <f ca="1">'Impacts A'!G347-'Impacts B'!G347</f>
        <v>0</v>
      </c>
      <c r="H347" s="26">
        <f ca="1">'Impacts A'!H347-'Impacts B'!H347</f>
        <v>0</v>
      </c>
      <c r="I347" s="26">
        <f ca="1">'Impacts A'!I347-'Impacts B'!I347</f>
        <v>0</v>
      </c>
      <c r="J347" s="26">
        <f ca="1">'Impacts A'!J347-'Impacts B'!J347</f>
        <v>0</v>
      </c>
      <c r="K347" s="26">
        <f ca="1">'Impacts A'!K347-'Impacts B'!K347</f>
        <v>0</v>
      </c>
      <c r="L347" s="26">
        <f ca="1">'Impacts A'!L347-'Impacts B'!L347</f>
        <v>0</v>
      </c>
      <c r="M347" s="6"/>
      <c r="N347" s="59" t="s">
        <v>134</v>
      </c>
    </row>
    <row r="348" spans="1:15" x14ac:dyDescent="0.25">
      <c r="A348" t="str">
        <v>OT discontinuity</v>
      </c>
      <c r="C348" s="26">
        <f ca="1">'Impacts A'!C348-'Impacts B'!C348</f>
        <v>0</v>
      </c>
      <c r="D348" s="26">
        <f ca="1">'Impacts A'!D348-'Impacts B'!D348</f>
        <v>0</v>
      </c>
      <c r="E348" s="26">
        <f ca="1">'Impacts A'!E348-'Impacts B'!E348</f>
        <v>0</v>
      </c>
      <c r="F348" s="26">
        <f ca="1">'Impacts A'!F348-'Impacts B'!F348</f>
        <v>0</v>
      </c>
      <c r="G348" s="26">
        <f ca="1">'Impacts A'!G348-'Impacts B'!G348</f>
        <v>0</v>
      </c>
      <c r="H348" s="26">
        <f ca="1">'Impacts A'!H348-'Impacts B'!H348</f>
        <v>0</v>
      </c>
      <c r="I348" s="26">
        <f ca="1">'Impacts A'!I348-'Impacts B'!I348</f>
        <v>0</v>
      </c>
      <c r="J348" s="26">
        <f ca="1">'Impacts A'!J348-'Impacts B'!J348</f>
        <v>0</v>
      </c>
      <c r="K348" s="26">
        <f ca="1">'Impacts A'!K348-'Impacts B'!K348</f>
        <v>0</v>
      </c>
      <c r="L348" s="26">
        <f ca="1">'Impacts A'!L348-'Impacts B'!L348</f>
        <v>0</v>
      </c>
      <c r="M348" s="6"/>
      <c r="N348" s="59" t="s">
        <v>134</v>
      </c>
    </row>
    <row r="349" spans="1:15" x14ac:dyDescent="0.25">
      <c r="A349" t="str">
        <v>EE discontinuity</v>
      </c>
      <c r="C349" s="26">
        <f ca="1">'Impacts A'!C349-'Impacts B'!C349</f>
        <v>0</v>
      </c>
      <c r="D349" s="26">
        <f ca="1">'Impacts A'!D349-'Impacts B'!D349</f>
        <v>0</v>
      </c>
      <c r="E349" s="26">
        <f ca="1">'Impacts A'!E349-'Impacts B'!E349</f>
        <v>0</v>
      </c>
      <c r="F349" s="26">
        <f ca="1">'Impacts A'!F349-'Impacts B'!F349</f>
        <v>0</v>
      </c>
      <c r="G349" s="26">
        <f ca="1">'Impacts A'!G349-'Impacts B'!G349</f>
        <v>0</v>
      </c>
      <c r="H349" s="26">
        <f ca="1">'Impacts A'!H349-'Impacts B'!H349</f>
        <v>0</v>
      </c>
      <c r="I349" s="26">
        <f ca="1">'Impacts A'!I349-'Impacts B'!I349</f>
        <v>0</v>
      </c>
      <c r="J349" s="26">
        <f ca="1">'Impacts A'!J349-'Impacts B'!J349</f>
        <v>0</v>
      </c>
      <c r="K349" s="26">
        <f ca="1">'Impacts A'!K349-'Impacts B'!K349</f>
        <v>0</v>
      </c>
      <c r="L349" s="26">
        <f ca="1">'Impacts A'!L349-'Impacts B'!L349</f>
        <v>0</v>
      </c>
      <c r="M349" s="6"/>
      <c r="N349" s="59" t="s">
        <v>134</v>
      </c>
    </row>
    <row r="350" spans="1:15" x14ac:dyDescent="0.25">
      <c r="A350" t="str">
        <v>CA discontinuity</v>
      </c>
      <c r="C350" s="26">
        <f ca="1">'Impacts A'!C350-'Impacts B'!C350</f>
        <v>0</v>
      </c>
      <c r="D350" s="26">
        <f ca="1">'Impacts A'!D350-'Impacts B'!D350</f>
        <v>0</v>
      </c>
      <c r="E350" s="26">
        <f ca="1">'Impacts A'!E350-'Impacts B'!E350</f>
        <v>0</v>
      </c>
      <c r="F350" s="26">
        <f ca="1">'Impacts A'!F350-'Impacts B'!F350</f>
        <v>0</v>
      </c>
      <c r="G350" s="26">
        <f ca="1">'Impacts A'!G350-'Impacts B'!G350</f>
        <v>0</v>
      </c>
      <c r="H350" s="26">
        <f ca="1">'Impacts A'!H350-'Impacts B'!H350</f>
        <v>0</v>
      </c>
      <c r="I350" s="26">
        <f ca="1">'Impacts A'!I350-'Impacts B'!I350</f>
        <v>0</v>
      </c>
      <c r="J350" s="26">
        <f ca="1">'Impacts A'!J350-'Impacts B'!J350</f>
        <v>0</v>
      </c>
      <c r="K350" s="26">
        <f ca="1">'Impacts A'!K350-'Impacts B'!K350</f>
        <v>0</v>
      </c>
      <c r="L350" s="26">
        <f ca="1">'Impacts A'!L350-'Impacts B'!L350</f>
        <v>0</v>
      </c>
      <c r="M350" s="6"/>
      <c r="N350" s="59" t="s">
        <v>134</v>
      </c>
    </row>
    <row r="351" spans="1:15" x14ac:dyDescent="0.25">
      <c r="A351" t="str">
        <v>IA discontinuity</v>
      </c>
      <c r="C351" s="26">
        <f ca="1">'Impacts A'!C351-'Impacts B'!C351</f>
        <v>0</v>
      </c>
      <c r="D351" s="26">
        <f ca="1">'Impacts A'!D351-'Impacts B'!D351</f>
        <v>0</v>
      </c>
      <c r="E351" s="26">
        <f ca="1">'Impacts A'!E351-'Impacts B'!E351</f>
        <v>0</v>
      </c>
      <c r="F351" s="26">
        <f ca="1">'Impacts A'!F351-'Impacts B'!F351</f>
        <v>0</v>
      </c>
      <c r="G351" s="26">
        <f ca="1">'Impacts A'!G351-'Impacts B'!G351</f>
        <v>0</v>
      </c>
      <c r="H351" s="26">
        <f ca="1">'Impacts A'!H351-'Impacts B'!H351</f>
        <v>0</v>
      </c>
      <c r="I351" s="26">
        <f ca="1">'Impacts A'!I351-'Impacts B'!I351</f>
        <v>0</v>
      </c>
      <c r="J351" s="26">
        <f ca="1">'Impacts A'!J351-'Impacts B'!J351</f>
        <v>0</v>
      </c>
      <c r="K351" s="26">
        <f ca="1">'Impacts A'!K351-'Impacts B'!K351</f>
        <v>0</v>
      </c>
      <c r="L351" s="26">
        <f ca="1">'Impacts A'!L351-'Impacts B'!L351</f>
        <v>0</v>
      </c>
      <c r="M351" s="6"/>
      <c r="N351" s="59" t="s">
        <v>134</v>
      </c>
    </row>
    <row r="352" spans="1:15" x14ac:dyDescent="0.25">
      <c r="A352" t="str">
        <v>AF discontinuity</v>
      </c>
      <c r="C352" s="26">
        <f ca="1">'Impacts A'!C352-'Impacts B'!C352</f>
        <v>0</v>
      </c>
      <c r="D352" s="26">
        <f ca="1">'Impacts A'!D352-'Impacts B'!D352</f>
        <v>0</v>
      </c>
      <c r="E352" s="26">
        <f ca="1">'Impacts A'!E352-'Impacts B'!E352</f>
        <v>0</v>
      </c>
      <c r="F352" s="26">
        <f ca="1">'Impacts A'!F352-'Impacts B'!F352</f>
        <v>0</v>
      </c>
      <c r="G352" s="26">
        <f ca="1">'Impacts A'!G352-'Impacts B'!G352</f>
        <v>0</v>
      </c>
      <c r="H352" s="26">
        <f ca="1">'Impacts A'!H352-'Impacts B'!H352</f>
        <v>0</v>
      </c>
      <c r="I352" s="26">
        <f ca="1">'Impacts A'!I352-'Impacts B'!I352</f>
        <v>0</v>
      </c>
      <c r="J352" s="26">
        <f ca="1">'Impacts A'!J352-'Impacts B'!J352</f>
        <v>0</v>
      </c>
      <c r="K352" s="26">
        <f ca="1">'Impacts A'!K352-'Impacts B'!K352</f>
        <v>0</v>
      </c>
      <c r="L352" s="26">
        <f ca="1">'Impacts A'!L352-'Impacts B'!L352</f>
        <v>0</v>
      </c>
      <c r="M352" s="6"/>
      <c r="N352" s="59" t="s">
        <v>134</v>
      </c>
    </row>
    <row r="353" spans="1:14" x14ac:dyDescent="0.25">
      <c r="A353" t="str">
        <v>LA discontinuity</v>
      </c>
      <c r="C353" s="26">
        <f ca="1">'Impacts A'!C353-'Impacts B'!C353</f>
        <v>0</v>
      </c>
      <c r="D353" s="26">
        <f ca="1">'Impacts A'!D353-'Impacts B'!D353</f>
        <v>0</v>
      </c>
      <c r="E353" s="26">
        <f ca="1">'Impacts A'!E353-'Impacts B'!E353</f>
        <v>0</v>
      </c>
      <c r="F353" s="26">
        <f ca="1">'Impacts A'!F353-'Impacts B'!F353</f>
        <v>0</v>
      </c>
      <c r="G353" s="26">
        <f ca="1">'Impacts A'!G353-'Impacts B'!G353</f>
        <v>0</v>
      </c>
      <c r="H353" s="26">
        <f ca="1">'Impacts A'!H353-'Impacts B'!H353</f>
        <v>0</v>
      </c>
      <c r="I353" s="26">
        <f ca="1">'Impacts A'!I353-'Impacts B'!I353</f>
        <v>0</v>
      </c>
      <c r="J353" s="26">
        <f ca="1">'Impacts A'!J353-'Impacts B'!J353</f>
        <v>0</v>
      </c>
      <c r="K353" s="26">
        <f ca="1">'Impacts A'!K353-'Impacts B'!K353</f>
        <v>0</v>
      </c>
      <c r="L353" s="26">
        <f ca="1">'Impacts A'!L353-'Impacts B'!L353</f>
        <v>0</v>
      </c>
      <c r="M353" s="6"/>
      <c r="N353" s="59" t="s">
        <v>134</v>
      </c>
    </row>
    <row r="354" spans="1:14" s="2" customFormat="1" ht="15" x14ac:dyDescent="0.4">
      <c r="A354" s="2" t="s">
        <v>247</v>
      </c>
      <c r="C354" s="2" t="s">
        <v>248</v>
      </c>
    </row>
    <row r="355" spans="1:14" x14ac:dyDescent="0.25">
      <c r="A355" t="str">
        <f t="array" ref="A355:A362">R_CODE&amp;" discontinuity"</f>
        <v>EU discontinuity</v>
      </c>
      <c r="C355" s="29">
        <f ca="1">'Impacts A'!C355-'Impacts B'!C355</f>
        <v>1.8226888842676203E-7</v>
      </c>
      <c r="D355" s="29">
        <f ca="1">'Impacts A'!D355-'Impacts B'!D355</f>
        <v>1.0879902331950575E-5</v>
      </c>
      <c r="E355" s="29">
        <f ca="1">'Impacts A'!E355-'Impacts B'!E355</f>
        <v>3.5029020613475126E-5</v>
      </c>
      <c r="F355" s="29">
        <f ca="1">'Impacts A'!F355-'Impacts B'!F355</f>
        <v>6.6602148573569053E-5</v>
      </c>
      <c r="G355" s="29">
        <f ca="1">'Impacts A'!G355-'Impacts B'!G355</f>
        <v>1.47002384086381E-4</v>
      </c>
      <c r="H355" s="29">
        <f ca="1">'Impacts A'!H355-'Impacts B'!H355</f>
        <v>2.0061855721209554E-4</v>
      </c>
      <c r="I355" s="29">
        <f ca="1">'Impacts A'!I355-'Impacts B'!I355</f>
        <v>2.7706275753480725E-4</v>
      </c>
      <c r="J355" s="29">
        <f ca="1">'Impacts A'!J355-'Impacts B'!J355</f>
        <v>2.5702244008396491E-4</v>
      </c>
      <c r="K355" s="29">
        <f ca="1">'Impacts A'!K355-'Impacts B'!K355</f>
        <v>2.3392335799554687E-4</v>
      </c>
      <c r="L355" s="29">
        <f ca="1">'Impacts A'!L355-'Impacts B'!L355</f>
        <v>2.1078586513034736E-4</v>
      </c>
      <c r="M355" s="6"/>
      <c r="N355" s="59" t="s">
        <v>134</v>
      </c>
    </row>
    <row r="356" spans="1:14" x14ac:dyDescent="0.25">
      <c r="A356" t="str">
        <v>US discontinuity</v>
      </c>
      <c r="C356" s="26">
        <f ca="1">'Impacts A'!C356-'Impacts B'!C356</f>
        <v>2.1164541195162201E-6</v>
      </c>
      <c r="D356" s="26">
        <f ca="1">'Impacts A'!D356-'Impacts B'!D356</f>
        <v>2.1748813113120491E-5</v>
      </c>
      <c r="E356" s="26">
        <f ca="1">'Impacts A'!E356-'Impacts B'!E356</f>
        <v>5.6062788337918334E-5</v>
      </c>
      <c r="F356" s="26">
        <f ca="1">'Impacts A'!F356-'Impacts B'!F356</f>
        <v>9.8603303335664805E-5</v>
      </c>
      <c r="G356" s="26">
        <f ca="1">'Impacts A'!G356-'Impacts B'!G356</f>
        <v>2.0998161932306303E-4</v>
      </c>
      <c r="H356" s="26">
        <f ca="1">'Impacts A'!H356-'Impacts B'!H356</f>
        <v>2.8976858688767315E-4</v>
      </c>
      <c r="I356" s="26">
        <f ca="1">'Impacts A'!I356-'Impacts B'!I356</f>
        <v>3.7366136388650162E-4</v>
      </c>
      <c r="J356" s="26">
        <f ca="1">'Impacts A'!J356-'Impacts B'!J356</f>
        <v>3.4928597998407085E-4</v>
      </c>
      <c r="K356" s="26">
        <f ca="1">'Impacts A'!K356-'Impacts B'!K356</f>
        <v>3.1409246184166406E-4</v>
      </c>
      <c r="L356" s="26">
        <f ca="1">'Impacts A'!L356-'Impacts B'!L356</f>
        <v>2.8290623321391983E-4</v>
      </c>
      <c r="M356" s="6"/>
      <c r="N356" s="59" t="s">
        <v>134</v>
      </c>
    </row>
    <row r="357" spans="1:14" x14ac:dyDescent="0.25">
      <c r="A357" t="str">
        <v>OT discontinuity</v>
      </c>
      <c r="C357" s="26">
        <f ca="1">'Impacts A'!C357-'Impacts B'!C357</f>
        <v>1.1137449251741316E-6</v>
      </c>
      <c r="D357" s="26">
        <f ca="1">'Impacts A'!D357-'Impacts B'!D357</f>
        <v>1.4258230955910278E-5</v>
      </c>
      <c r="E357" s="26">
        <f ca="1">'Impacts A'!E357-'Impacts B'!E357</f>
        <v>3.8712534871088167E-5</v>
      </c>
      <c r="F357" s="26">
        <f ca="1">'Impacts A'!F357-'Impacts B'!F357</f>
        <v>6.92149980543455E-5</v>
      </c>
      <c r="G357" s="26">
        <f ca="1">'Impacts A'!G357-'Impacts B'!G357</f>
        <v>1.469036998917872E-4</v>
      </c>
      <c r="H357" s="26">
        <f ca="1">'Impacts A'!H357-'Impacts B'!H357</f>
        <v>2.0059380829673401E-4</v>
      </c>
      <c r="I357" s="26">
        <f ca="1">'Impacts A'!I357-'Impacts B'!I357</f>
        <v>2.7867563395411743E-4</v>
      </c>
      <c r="J357" s="26">
        <f ca="1">'Impacts A'!J357-'Impacts B'!J357</f>
        <v>2.7944524362566447E-4</v>
      </c>
      <c r="K357" s="26">
        <f ca="1">'Impacts A'!K357-'Impacts B'!K357</f>
        <v>2.7524491264041551E-4</v>
      </c>
      <c r="L357" s="26">
        <f ca="1">'Impacts A'!L357-'Impacts B'!L357</f>
        <v>2.724469631512072E-4</v>
      </c>
      <c r="M357" s="6"/>
      <c r="N357" s="59" t="s">
        <v>134</v>
      </c>
    </row>
    <row r="358" spans="1:14" x14ac:dyDescent="0.25">
      <c r="A358" t="str">
        <v>EE discontinuity</v>
      </c>
      <c r="C358" s="26">
        <f ca="1">'Impacts A'!C358-'Impacts B'!C358</f>
        <v>-7.7997962888431971E-7</v>
      </c>
      <c r="D358" s="26">
        <f ca="1">'Impacts A'!D358-'Impacts B'!D358</f>
        <v>1.5734532232691834E-6</v>
      </c>
      <c r="E358" s="26">
        <f ca="1">'Impacts A'!E358-'Impacts B'!E358</f>
        <v>1.1909798172560215E-5</v>
      </c>
      <c r="F358" s="26">
        <f ca="1">'Impacts A'!F358-'Impacts B'!F358</f>
        <v>2.7114589957966118E-5</v>
      </c>
      <c r="G358" s="26">
        <f ca="1">'Impacts A'!G358-'Impacts B'!G358</f>
        <v>6.7047112964457867E-5</v>
      </c>
      <c r="H358" s="26">
        <f ca="1">'Impacts A'!H358-'Impacts B'!H358</f>
        <v>9.0031643316335064E-5</v>
      </c>
      <c r="I358" s="26">
        <f ca="1">'Impacts A'!I358-'Impacts B'!I358</f>
        <v>9.3751027909649842E-5</v>
      </c>
      <c r="J358" s="26">
        <f ca="1">'Impacts A'!J358-'Impacts B'!J358</f>
        <v>7.5457431434555744E-5</v>
      </c>
      <c r="K358" s="26">
        <f ca="1">'Impacts A'!K358-'Impacts B'!K358</f>
        <v>6.3365195395403973E-5</v>
      </c>
      <c r="L358" s="26">
        <f ca="1">'Impacts A'!L358-'Impacts B'!L358</f>
        <v>5.0303017099739833E-5</v>
      </c>
      <c r="M358" s="6"/>
      <c r="N358" s="59" t="s">
        <v>134</v>
      </c>
    </row>
    <row r="359" spans="1:14" x14ac:dyDescent="0.25">
      <c r="A359" t="str">
        <v>CA discontinuity</v>
      </c>
      <c r="C359" s="26">
        <f ca="1">'Impacts A'!C359-'Impacts B'!C359</f>
        <v>2.9709222428841997E-6</v>
      </c>
      <c r="D359" s="26">
        <f ca="1">'Impacts A'!D359-'Impacts B'!D359</f>
        <v>2.5212342051883496E-5</v>
      </c>
      <c r="E359" s="26">
        <f ca="1">'Impacts A'!E359-'Impacts B'!E359</f>
        <v>5.9357949389937659E-5</v>
      </c>
      <c r="F359" s="26">
        <f ca="1">'Impacts A'!F359-'Impacts B'!F359</f>
        <v>9.9754993864387131E-5</v>
      </c>
      <c r="G359" s="26">
        <f ca="1">'Impacts A'!G359-'Impacts B'!G359</f>
        <v>2.0886618956073022E-4</v>
      </c>
      <c r="H359" s="26">
        <f ca="1">'Impacts A'!H359-'Impacts B'!H359</f>
        <v>2.8823345206641093E-4</v>
      </c>
      <c r="I359" s="26">
        <f ca="1">'Impacts A'!I359-'Impacts B'!I359</f>
        <v>4.2712979220072E-4</v>
      </c>
      <c r="J359" s="26">
        <f ca="1">'Impacts A'!J359-'Impacts B'!J359</f>
        <v>4.7517388095696944E-4</v>
      </c>
      <c r="K359" s="26">
        <f ca="1">'Impacts A'!K359-'Impacts B'!K359</f>
        <v>5.0393379829527518E-4</v>
      </c>
      <c r="L359" s="26">
        <f ca="1">'Impacts A'!L359-'Impacts B'!L359</f>
        <v>5.3213706827737184E-4</v>
      </c>
      <c r="M359" s="6"/>
      <c r="N359" s="59" t="s">
        <v>134</v>
      </c>
    </row>
    <row r="360" spans="1:14" x14ac:dyDescent="0.25">
      <c r="A360" t="str">
        <v>IA discontinuity</v>
      </c>
      <c r="C360" s="26">
        <f ca="1">'Impacts A'!C360-'Impacts B'!C360</f>
        <v>8.4504876802782292E-6</v>
      </c>
      <c r="D360" s="26">
        <f ca="1">'Impacts A'!D360-'Impacts B'!D360</f>
        <v>5.910206096215731E-5</v>
      </c>
      <c r="E360" s="26">
        <f ca="1">'Impacts A'!E360-'Impacts B'!E360</f>
        <v>1.2509219245027126E-4</v>
      </c>
      <c r="F360" s="26">
        <f ca="1">'Impacts A'!F360-'Impacts B'!F360</f>
        <v>1.9572905390274897E-4</v>
      </c>
      <c r="G360" s="26">
        <f ca="1">'Impacts A'!G360-'Impacts B'!G360</f>
        <v>3.6956640271945673E-4</v>
      </c>
      <c r="H360" s="26">
        <f ca="1">'Impacts A'!H360-'Impacts B'!H360</f>
        <v>4.9512217029867855E-4</v>
      </c>
      <c r="I360" s="26">
        <f ca="1">'Impacts A'!I360-'Impacts B'!I360</f>
        <v>6.8159829226122071E-4</v>
      </c>
      <c r="J360" s="26">
        <f ca="1">'Impacts A'!J360-'Impacts B'!J360</f>
        <v>7.3866182074566744E-4</v>
      </c>
      <c r="K360" s="26">
        <f ca="1">'Impacts A'!K360-'Impacts B'!K360</f>
        <v>7.6304278488437127E-4</v>
      </c>
      <c r="L360" s="26">
        <f ca="1">'Impacts A'!L360-'Impacts B'!L360</f>
        <v>7.9313499204314297E-4</v>
      </c>
      <c r="M360" s="6"/>
      <c r="N360" s="59" t="s">
        <v>134</v>
      </c>
    </row>
    <row r="361" spans="1:14" x14ac:dyDescent="0.25">
      <c r="A361" t="str">
        <v>AF discontinuity</v>
      </c>
      <c r="C361" s="26">
        <f ca="1">'Impacts A'!C361-'Impacts B'!C361</f>
        <v>6.3009628705756882E-6</v>
      </c>
      <c r="D361" s="26">
        <f ca="1">'Impacts A'!D361-'Impacts B'!D361</f>
        <v>4.7267146340956856E-5</v>
      </c>
      <c r="E361" s="26">
        <f ca="1">'Impacts A'!E361-'Impacts B'!E361</f>
        <v>1.0421442292418703E-4</v>
      </c>
      <c r="F361" s="26">
        <f ca="1">'Impacts A'!F361-'Impacts B'!F361</f>
        <v>1.6575590612633029E-4</v>
      </c>
      <c r="G361" s="26">
        <f ca="1">'Impacts A'!G361-'Impacts B'!G361</f>
        <v>3.0720156476227167E-4</v>
      </c>
      <c r="H361" s="26">
        <f ca="1">'Impacts A'!H361-'Impacts B'!H361</f>
        <v>3.9879648400131806E-4</v>
      </c>
      <c r="I361" s="26">
        <f ca="1">'Impacts A'!I361-'Impacts B'!I361</f>
        <v>4.6806389262088466E-4</v>
      </c>
      <c r="J361" s="26">
        <f ca="1">'Impacts A'!J361-'Impacts B'!J361</f>
        <v>4.5545423082349323E-4</v>
      </c>
      <c r="K361" s="26">
        <f ca="1">'Impacts A'!K361-'Impacts B'!K361</f>
        <v>4.3894532852695178E-4</v>
      </c>
      <c r="L361" s="26">
        <f ca="1">'Impacts A'!L361-'Impacts B'!L361</f>
        <v>4.3564124659356551E-4</v>
      </c>
      <c r="M361" s="6"/>
      <c r="N361" s="59" t="s">
        <v>134</v>
      </c>
    </row>
    <row r="362" spans="1:14" x14ac:dyDescent="0.25">
      <c r="A362" t="str">
        <v>LA discontinuity</v>
      </c>
      <c r="C362" s="26">
        <f ca="1">'Impacts A'!C362-'Impacts B'!C362</f>
        <v>4.2903505157454447E-6</v>
      </c>
      <c r="D362" s="26">
        <f ca="1">'Impacts A'!D362-'Impacts B'!D362</f>
        <v>3.2044733475844467E-5</v>
      </c>
      <c r="E362" s="26">
        <f ca="1">'Impacts A'!E362-'Impacts B'!E362</f>
        <v>7.0962145314545921E-5</v>
      </c>
      <c r="F362" s="26">
        <f ca="1">'Impacts A'!F362-'Impacts B'!F362</f>
        <v>1.1423484680284091E-4</v>
      </c>
      <c r="G362" s="26">
        <f ca="1">'Impacts A'!G362-'Impacts B'!G362</f>
        <v>2.2157914825138292E-4</v>
      </c>
      <c r="H362" s="26">
        <f ca="1">'Impacts A'!H362-'Impacts B'!H362</f>
        <v>2.9722185261471523E-4</v>
      </c>
      <c r="I362" s="26">
        <f ca="1">'Impacts A'!I362-'Impacts B'!I362</f>
        <v>3.9510831838729388E-4</v>
      </c>
      <c r="J362" s="26">
        <f ca="1">'Impacts A'!J362-'Impacts B'!J362</f>
        <v>4.1467281298990244E-4</v>
      </c>
      <c r="K362" s="26">
        <f ca="1">'Impacts A'!K362-'Impacts B'!K362</f>
        <v>4.1937460312180264E-4</v>
      </c>
      <c r="L362" s="26">
        <f ca="1">'Impacts A'!L362-'Impacts B'!L362</f>
        <v>4.2934940312222558E-4</v>
      </c>
      <c r="M362" s="6"/>
      <c r="N362" s="59" t="s">
        <v>134</v>
      </c>
    </row>
    <row r="363" spans="1:14" s="2" customFormat="1" ht="15" x14ac:dyDescent="0.4">
      <c r="A363" s="2" t="s">
        <v>221</v>
      </c>
      <c r="C363" s="2" t="s">
        <v>249</v>
      </c>
    </row>
    <row r="364" spans="1:14" x14ac:dyDescent="0.25">
      <c r="A364" t="str">
        <f t="array" ref="A364:A371">R_CODE&amp;" discontinuity"</f>
        <v>EU discontinuity</v>
      </c>
      <c r="C364" s="29">
        <f ca="1">'Impacts A'!C364-'Impacts B'!C364</f>
        <v>0</v>
      </c>
      <c r="D364" s="29">
        <f ca="1">'Impacts A'!D364-'Impacts B'!D364</f>
        <v>0</v>
      </c>
      <c r="E364" s="29">
        <f ca="1">'Impacts A'!E364-'Impacts B'!E364</f>
        <v>0</v>
      </c>
      <c r="F364" s="29">
        <f ca="1">'Impacts A'!F364-'Impacts B'!F364</f>
        <v>0</v>
      </c>
      <c r="G364" s="29">
        <f ca="1">'Impacts A'!G364-'Impacts B'!G364</f>
        <v>0</v>
      </c>
      <c r="H364" s="29">
        <f ca="1">'Impacts A'!H364-'Impacts B'!H364</f>
        <v>0</v>
      </c>
      <c r="I364" s="29">
        <f ca="1">'Impacts A'!I364-'Impacts B'!I364</f>
        <v>0</v>
      </c>
      <c r="J364" s="29">
        <f ca="1">'Impacts A'!J364-'Impacts B'!J364</f>
        <v>0</v>
      </c>
      <c r="K364" s="29">
        <f ca="1">'Impacts A'!K364-'Impacts B'!K364</f>
        <v>0</v>
      </c>
      <c r="L364" s="29">
        <f ca="1">'Impacts A'!L364-'Impacts B'!L364</f>
        <v>0</v>
      </c>
      <c r="M364" s="6"/>
      <c r="N364" s="59" t="s">
        <v>134</v>
      </c>
    </row>
    <row r="365" spans="1:14" x14ac:dyDescent="0.25">
      <c r="A365" t="str">
        <v>US discontinuity</v>
      </c>
      <c r="C365" s="26">
        <f ca="1">'Impacts A'!C365-'Impacts B'!C365</f>
        <v>0</v>
      </c>
      <c r="D365" s="26">
        <f ca="1">'Impacts A'!D365-'Impacts B'!D365</f>
        <v>0</v>
      </c>
      <c r="E365" s="26">
        <f ca="1">'Impacts A'!E365-'Impacts B'!E365</f>
        <v>0</v>
      </c>
      <c r="F365" s="26">
        <f ca="1">'Impacts A'!F365-'Impacts B'!F365</f>
        <v>0</v>
      </c>
      <c r="G365" s="26">
        <f ca="1">'Impacts A'!G365-'Impacts B'!G365</f>
        <v>0</v>
      </c>
      <c r="H365" s="26">
        <f ca="1">'Impacts A'!H365-'Impacts B'!H365</f>
        <v>0</v>
      </c>
      <c r="I365" s="26">
        <f ca="1">'Impacts A'!I365-'Impacts B'!I365</f>
        <v>0</v>
      </c>
      <c r="J365" s="26">
        <f ca="1">'Impacts A'!J365-'Impacts B'!J365</f>
        <v>0</v>
      </c>
      <c r="K365" s="26">
        <f ca="1">'Impacts A'!K365-'Impacts B'!K365</f>
        <v>0</v>
      </c>
      <c r="L365" s="26">
        <f ca="1">'Impacts A'!L365-'Impacts B'!L365</f>
        <v>0</v>
      </c>
      <c r="M365" s="6"/>
      <c r="N365" s="59" t="s">
        <v>134</v>
      </c>
    </row>
    <row r="366" spans="1:14" x14ac:dyDescent="0.25">
      <c r="A366" t="str">
        <v>OT discontinuity</v>
      </c>
      <c r="C366" s="26">
        <f ca="1">'Impacts A'!C366-'Impacts B'!C366</f>
        <v>0</v>
      </c>
      <c r="D366" s="26">
        <f ca="1">'Impacts A'!D366-'Impacts B'!D366</f>
        <v>0</v>
      </c>
      <c r="E366" s="26">
        <f ca="1">'Impacts A'!E366-'Impacts B'!E366</f>
        <v>0</v>
      </c>
      <c r="F366" s="26">
        <f ca="1">'Impacts A'!F366-'Impacts B'!F366</f>
        <v>0</v>
      </c>
      <c r="G366" s="26">
        <f ca="1">'Impacts A'!G366-'Impacts B'!G366</f>
        <v>0</v>
      </c>
      <c r="H366" s="26">
        <f ca="1">'Impacts A'!H366-'Impacts B'!H366</f>
        <v>0</v>
      </c>
      <c r="I366" s="26">
        <f ca="1">'Impacts A'!I366-'Impacts B'!I366</f>
        <v>0</v>
      </c>
      <c r="J366" s="26">
        <f ca="1">'Impacts A'!J366-'Impacts B'!J366</f>
        <v>0</v>
      </c>
      <c r="K366" s="26">
        <f ca="1">'Impacts A'!K366-'Impacts B'!K366</f>
        <v>0</v>
      </c>
      <c r="L366" s="26">
        <f ca="1">'Impacts A'!L366-'Impacts B'!L366</f>
        <v>0</v>
      </c>
      <c r="M366" s="6"/>
      <c r="N366" s="59" t="s">
        <v>134</v>
      </c>
    </row>
    <row r="367" spans="1:14" x14ac:dyDescent="0.25">
      <c r="A367" t="str">
        <v>EE discontinuity</v>
      </c>
      <c r="C367" s="26">
        <f ca="1">'Impacts A'!C367-'Impacts B'!C367</f>
        <v>0</v>
      </c>
      <c r="D367" s="26">
        <f ca="1">'Impacts A'!D367-'Impacts B'!D367</f>
        <v>0</v>
      </c>
      <c r="E367" s="26">
        <f ca="1">'Impacts A'!E367-'Impacts B'!E367</f>
        <v>0</v>
      </c>
      <c r="F367" s="26">
        <f ca="1">'Impacts A'!F367-'Impacts B'!F367</f>
        <v>0</v>
      </c>
      <c r="G367" s="26">
        <f ca="1">'Impacts A'!G367-'Impacts B'!G367</f>
        <v>0</v>
      </c>
      <c r="H367" s="26">
        <f ca="1">'Impacts A'!H367-'Impacts B'!H367</f>
        <v>0</v>
      </c>
      <c r="I367" s="26">
        <f ca="1">'Impacts A'!I367-'Impacts B'!I367</f>
        <v>0</v>
      </c>
      <c r="J367" s="26">
        <f ca="1">'Impacts A'!J367-'Impacts B'!J367</f>
        <v>0</v>
      </c>
      <c r="K367" s="26">
        <f ca="1">'Impacts A'!K367-'Impacts B'!K367</f>
        <v>0</v>
      </c>
      <c r="L367" s="26">
        <f ca="1">'Impacts A'!L367-'Impacts B'!L367</f>
        <v>0</v>
      </c>
      <c r="M367" s="6"/>
      <c r="N367" s="59" t="s">
        <v>134</v>
      </c>
    </row>
    <row r="368" spans="1:14" x14ac:dyDescent="0.25">
      <c r="A368" t="str">
        <v>CA discontinuity</v>
      </c>
      <c r="C368" s="26">
        <f ca="1">'Impacts A'!C368-'Impacts B'!C368</f>
        <v>0</v>
      </c>
      <c r="D368" s="26">
        <f ca="1">'Impacts A'!D368-'Impacts B'!D368</f>
        <v>0</v>
      </c>
      <c r="E368" s="26">
        <f ca="1">'Impacts A'!E368-'Impacts B'!E368</f>
        <v>0</v>
      </c>
      <c r="F368" s="26">
        <f ca="1">'Impacts A'!F368-'Impacts B'!F368</f>
        <v>0</v>
      </c>
      <c r="G368" s="26">
        <f ca="1">'Impacts A'!G368-'Impacts B'!G368</f>
        <v>0</v>
      </c>
      <c r="H368" s="26">
        <f ca="1">'Impacts A'!H368-'Impacts B'!H368</f>
        <v>0</v>
      </c>
      <c r="I368" s="26">
        <f ca="1">'Impacts A'!I368-'Impacts B'!I368</f>
        <v>0</v>
      </c>
      <c r="J368" s="26">
        <f ca="1">'Impacts A'!J368-'Impacts B'!J368</f>
        <v>0</v>
      </c>
      <c r="K368" s="26">
        <f ca="1">'Impacts A'!K368-'Impacts B'!K368</f>
        <v>0</v>
      </c>
      <c r="L368" s="26">
        <f ca="1">'Impacts A'!L368-'Impacts B'!L368</f>
        <v>0</v>
      </c>
      <c r="M368" s="6"/>
      <c r="N368" s="59" t="s">
        <v>134</v>
      </c>
    </row>
    <row r="369" spans="1:15" x14ac:dyDescent="0.25">
      <c r="A369" t="str">
        <v>IA discontinuity</v>
      </c>
      <c r="C369" s="26">
        <f ca="1">'Impacts A'!C369-'Impacts B'!C369</f>
        <v>0</v>
      </c>
      <c r="D369" s="26">
        <f ca="1">'Impacts A'!D369-'Impacts B'!D369</f>
        <v>0</v>
      </c>
      <c r="E369" s="26">
        <f ca="1">'Impacts A'!E369-'Impacts B'!E369</f>
        <v>0</v>
      </c>
      <c r="F369" s="26">
        <f ca="1">'Impacts A'!F369-'Impacts B'!F369</f>
        <v>0</v>
      </c>
      <c r="G369" s="26">
        <f ca="1">'Impacts A'!G369-'Impacts B'!G369</f>
        <v>0</v>
      </c>
      <c r="H369" s="26">
        <f ca="1">'Impacts A'!H369-'Impacts B'!H369</f>
        <v>0</v>
      </c>
      <c r="I369" s="26">
        <f ca="1">'Impacts A'!I369-'Impacts B'!I369</f>
        <v>0</v>
      </c>
      <c r="J369" s="26">
        <f ca="1">'Impacts A'!J369-'Impacts B'!J369</f>
        <v>0</v>
      </c>
      <c r="K369" s="26">
        <f ca="1">'Impacts A'!K369-'Impacts B'!K369</f>
        <v>0</v>
      </c>
      <c r="L369" s="26">
        <f ca="1">'Impacts A'!L369-'Impacts B'!L369</f>
        <v>0</v>
      </c>
      <c r="M369" s="6"/>
      <c r="N369" s="59" t="s">
        <v>134</v>
      </c>
    </row>
    <row r="370" spans="1:15" x14ac:dyDescent="0.25">
      <c r="A370" t="str">
        <v>AF discontinuity</v>
      </c>
      <c r="C370" s="26">
        <f ca="1">'Impacts A'!C370-'Impacts B'!C370</f>
        <v>0</v>
      </c>
      <c r="D370" s="26">
        <f ca="1">'Impacts A'!D370-'Impacts B'!D370</f>
        <v>0</v>
      </c>
      <c r="E370" s="26">
        <f ca="1">'Impacts A'!E370-'Impacts B'!E370</f>
        <v>0</v>
      </c>
      <c r="F370" s="26">
        <f ca="1">'Impacts A'!F370-'Impacts B'!F370</f>
        <v>0</v>
      </c>
      <c r="G370" s="26">
        <f ca="1">'Impacts A'!G370-'Impacts B'!G370</f>
        <v>0</v>
      </c>
      <c r="H370" s="26">
        <f ca="1">'Impacts A'!H370-'Impacts B'!H370</f>
        <v>0</v>
      </c>
      <c r="I370" s="26">
        <f ca="1">'Impacts A'!I370-'Impacts B'!I370</f>
        <v>0</v>
      </c>
      <c r="J370" s="26">
        <f ca="1">'Impacts A'!J370-'Impacts B'!J370</f>
        <v>0</v>
      </c>
      <c r="K370" s="26">
        <f ca="1">'Impacts A'!K370-'Impacts B'!K370</f>
        <v>0</v>
      </c>
      <c r="L370" s="26">
        <f ca="1">'Impacts A'!L370-'Impacts B'!L370</f>
        <v>0</v>
      </c>
      <c r="M370" s="6"/>
      <c r="N370" s="59" t="s">
        <v>134</v>
      </c>
    </row>
    <row r="371" spans="1:15" x14ac:dyDescent="0.25">
      <c r="A371" t="str">
        <v>LA discontinuity</v>
      </c>
      <c r="C371" s="26">
        <f ca="1">'Impacts A'!C371-'Impacts B'!C371</f>
        <v>0</v>
      </c>
      <c r="D371" s="26">
        <f ca="1">'Impacts A'!D371-'Impacts B'!D371</f>
        <v>0</v>
      </c>
      <c r="E371" s="26">
        <f ca="1">'Impacts A'!E371-'Impacts B'!E371</f>
        <v>0</v>
      </c>
      <c r="F371" s="26">
        <f ca="1">'Impacts A'!F371-'Impacts B'!F371</f>
        <v>0</v>
      </c>
      <c r="G371" s="26">
        <f ca="1">'Impacts A'!G371-'Impacts B'!G371</f>
        <v>0</v>
      </c>
      <c r="H371" s="26">
        <f ca="1">'Impacts A'!H371-'Impacts B'!H371</f>
        <v>0</v>
      </c>
      <c r="I371" s="26">
        <f ca="1">'Impacts A'!I371-'Impacts B'!I371</f>
        <v>0</v>
      </c>
      <c r="J371" s="26">
        <f ca="1">'Impacts A'!J371-'Impacts B'!J371</f>
        <v>0</v>
      </c>
      <c r="K371" s="26">
        <f ca="1">'Impacts A'!K371-'Impacts B'!K371</f>
        <v>0</v>
      </c>
      <c r="L371" s="26">
        <f ca="1">'Impacts A'!L371-'Impacts B'!L371</f>
        <v>0</v>
      </c>
      <c r="M371" s="6"/>
      <c r="N371" s="59" t="s">
        <v>134</v>
      </c>
    </row>
    <row r="372" spans="1:15" s="2" customFormat="1" ht="15" x14ac:dyDescent="0.4">
      <c r="A372" s="2" t="s">
        <v>225</v>
      </c>
      <c r="C372" s="2" t="s">
        <v>251</v>
      </c>
    </row>
    <row r="373" spans="1:15" x14ac:dyDescent="0.25">
      <c r="A373" t="str">
        <f t="array" ref="A373:A380">R_CODE&amp;" discontinuity"</f>
        <v>EU discontinuity</v>
      </c>
      <c r="C373" s="29">
        <f ca="1">'Impacts A'!C373-'Impacts B'!C373</f>
        <v>0</v>
      </c>
      <c r="D373" s="29">
        <f ca="1">'Impacts A'!D373-'Impacts B'!D373</f>
        <v>0</v>
      </c>
      <c r="E373" s="29">
        <f ca="1">'Impacts A'!E373-'Impacts B'!E373</f>
        <v>0</v>
      </c>
      <c r="F373" s="29">
        <f ca="1">'Impacts A'!F373-'Impacts B'!F373</f>
        <v>0</v>
      </c>
      <c r="G373" s="29">
        <f ca="1">'Impacts A'!G373-'Impacts B'!G373</f>
        <v>0</v>
      </c>
      <c r="H373" s="29">
        <f ca="1">'Impacts A'!H373-'Impacts B'!H373</f>
        <v>0</v>
      </c>
      <c r="I373" s="29">
        <f ca="1">'Impacts A'!I373-'Impacts B'!I373</f>
        <v>0</v>
      </c>
      <c r="J373" s="29">
        <f ca="1">'Impacts A'!J373-'Impacts B'!J373</f>
        <v>0</v>
      </c>
      <c r="K373" s="29">
        <f ca="1">'Impacts A'!K373-'Impacts B'!K373</f>
        <v>0</v>
      </c>
      <c r="L373" s="29">
        <f ca="1">'Impacts A'!L373-'Impacts B'!L373</f>
        <v>0</v>
      </c>
      <c r="M373" s="6"/>
      <c r="N373" s="59" t="s">
        <v>134</v>
      </c>
    </row>
    <row r="374" spans="1:15" x14ac:dyDescent="0.25">
      <c r="A374" t="str">
        <v>US discontinuity</v>
      </c>
      <c r="C374" s="26">
        <f ca="1">'Impacts A'!C374-'Impacts B'!C374</f>
        <v>0</v>
      </c>
      <c r="D374" s="26">
        <f ca="1">'Impacts A'!D374-'Impacts B'!D374</f>
        <v>0</v>
      </c>
      <c r="E374" s="26">
        <f ca="1">'Impacts A'!E374-'Impacts B'!E374</f>
        <v>0</v>
      </c>
      <c r="F374" s="26">
        <f ca="1">'Impacts A'!F374-'Impacts B'!F374</f>
        <v>0</v>
      </c>
      <c r="G374" s="26">
        <f ca="1">'Impacts A'!G374-'Impacts B'!G374</f>
        <v>0</v>
      </c>
      <c r="H374" s="26">
        <f ca="1">'Impacts A'!H374-'Impacts B'!H374</f>
        <v>0</v>
      </c>
      <c r="I374" s="26">
        <f ca="1">'Impacts A'!I374-'Impacts B'!I374</f>
        <v>0</v>
      </c>
      <c r="J374" s="26">
        <f ca="1">'Impacts A'!J374-'Impacts B'!J374</f>
        <v>0</v>
      </c>
      <c r="K374" s="26">
        <f ca="1">'Impacts A'!K374-'Impacts B'!K374</f>
        <v>0</v>
      </c>
      <c r="L374" s="26">
        <f ca="1">'Impacts A'!L374-'Impacts B'!L374</f>
        <v>0</v>
      </c>
      <c r="M374" s="6"/>
      <c r="N374" s="59" t="s">
        <v>134</v>
      </c>
    </row>
    <row r="375" spans="1:15" x14ac:dyDescent="0.25">
      <c r="A375" t="str">
        <v>OT discontinuity</v>
      </c>
      <c r="C375" s="26">
        <f ca="1">'Impacts A'!C375-'Impacts B'!C375</f>
        <v>0</v>
      </c>
      <c r="D375" s="26">
        <f ca="1">'Impacts A'!D375-'Impacts B'!D375</f>
        <v>0</v>
      </c>
      <c r="E375" s="26">
        <f ca="1">'Impacts A'!E375-'Impacts B'!E375</f>
        <v>0</v>
      </c>
      <c r="F375" s="26">
        <f ca="1">'Impacts A'!F375-'Impacts B'!F375</f>
        <v>0</v>
      </c>
      <c r="G375" s="26">
        <f ca="1">'Impacts A'!G375-'Impacts B'!G375</f>
        <v>0</v>
      </c>
      <c r="H375" s="26">
        <f ca="1">'Impacts A'!H375-'Impacts B'!H375</f>
        <v>0</v>
      </c>
      <c r="I375" s="26">
        <f ca="1">'Impacts A'!I375-'Impacts B'!I375</f>
        <v>0</v>
      </c>
      <c r="J375" s="26">
        <f ca="1">'Impacts A'!J375-'Impacts B'!J375</f>
        <v>0</v>
      </c>
      <c r="K375" s="26">
        <f ca="1">'Impacts A'!K375-'Impacts B'!K375</f>
        <v>0</v>
      </c>
      <c r="L375" s="26">
        <f ca="1">'Impacts A'!L375-'Impacts B'!L375</f>
        <v>0</v>
      </c>
      <c r="M375" s="6"/>
      <c r="N375" s="59" t="s">
        <v>134</v>
      </c>
    </row>
    <row r="376" spans="1:15" x14ac:dyDescent="0.25">
      <c r="A376" t="str">
        <v>EE discontinuity</v>
      </c>
      <c r="C376" s="26">
        <f ca="1">'Impacts A'!C376-'Impacts B'!C376</f>
        <v>0</v>
      </c>
      <c r="D376" s="26">
        <f ca="1">'Impacts A'!D376-'Impacts B'!D376</f>
        <v>0</v>
      </c>
      <c r="E376" s="26">
        <f ca="1">'Impacts A'!E376-'Impacts B'!E376</f>
        <v>0</v>
      </c>
      <c r="F376" s="26">
        <f ca="1">'Impacts A'!F376-'Impacts B'!F376</f>
        <v>0</v>
      </c>
      <c r="G376" s="26">
        <f ca="1">'Impacts A'!G376-'Impacts B'!G376</f>
        <v>0</v>
      </c>
      <c r="H376" s="26">
        <f ca="1">'Impacts A'!H376-'Impacts B'!H376</f>
        <v>0</v>
      </c>
      <c r="I376" s="26">
        <f ca="1">'Impacts A'!I376-'Impacts B'!I376</f>
        <v>0</v>
      </c>
      <c r="J376" s="26">
        <f ca="1">'Impacts A'!J376-'Impacts B'!J376</f>
        <v>0</v>
      </c>
      <c r="K376" s="26">
        <f ca="1">'Impacts A'!K376-'Impacts B'!K376</f>
        <v>0</v>
      </c>
      <c r="L376" s="26">
        <f ca="1">'Impacts A'!L376-'Impacts B'!L376</f>
        <v>0</v>
      </c>
      <c r="M376" s="6"/>
      <c r="N376" s="59" t="s">
        <v>134</v>
      </c>
    </row>
    <row r="377" spans="1:15" x14ac:dyDescent="0.25">
      <c r="A377" t="str">
        <v>CA discontinuity</v>
      </c>
      <c r="C377" s="26">
        <f ca="1">'Impacts A'!C377-'Impacts B'!C377</f>
        <v>0</v>
      </c>
      <c r="D377" s="26">
        <f ca="1">'Impacts A'!D377-'Impacts B'!D377</f>
        <v>0</v>
      </c>
      <c r="E377" s="26">
        <f ca="1">'Impacts A'!E377-'Impacts B'!E377</f>
        <v>0</v>
      </c>
      <c r="F377" s="26">
        <f ca="1">'Impacts A'!F377-'Impacts B'!F377</f>
        <v>0</v>
      </c>
      <c r="G377" s="26">
        <f ca="1">'Impacts A'!G377-'Impacts B'!G377</f>
        <v>0</v>
      </c>
      <c r="H377" s="26">
        <f ca="1">'Impacts A'!H377-'Impacts B'!H377</f>
        <v>0</v>
      </c>
      <c r="I377" s="26">
        <f ca="1">'Impacts A'!I377-'Impacts B'!I377</f>
        <v>0</v>
      </c>
      <c r="J377" s="26">
        <f ca="1">'Impacts A'!J377-'Impacts B'!J377</f>
        <v>0</v>
      </c>
      <c r="K377" s="26">
        <f ca="1">'Impacts A'!K377-'Impacts B'!K377</f>
        <v>0</v>
      </c>
      <c r="L377" s="26">
        <f ca="1">'Impacts A'!L377-'Impacts B'!L377</f>
        <v>0</v>
      </c>
      <c r="M377" s="6"/>
      <c r="N377" s="59" t="s">
        <v>134</v>
      </c>
    </row>
    <row r="378" spans="1:15" x14ac:dyDescent="0.25">
      <c r="A378" t="str">
        <v>IA discontinuity</v>
      </c>
      <c r="C378" s="26">
        <f ca="1">'Impacts A'!C378-'Impacts B'!C378</f>
        <v>0</v>
      </c>
      <c r="D378" s="26">
        <f ca="1">'Impacts A'!D378-'Impacts B'!D378</f>
        <v>0</v>
      </c>
      <c r="E378" s="26">
        <f ca="1">'Impacts A'!E378-'Impacts B'!E378</f>
        <v>0</v>
      </c>
      <c r="F378" s="26">
        <f ca="1">'Impacts A'!F378-'Impacts B'!F378</f>
        <v>0</v>
      </c>
      <c r="G378" s="26">
        <f ca="1">'Impacts A'!G378-'Impacts B'!G378</f>
        <v>0</v>
      </c>
      <c r="H378" s="26">
        <f ca="1">'Impacts A'!H378-'Impacts B'!H378</f>
        <v>0</v>
      </c>
      <c r="I378" s="26">
        <f ca="1">'Impacts A'!I378-'Impacts B'!I378</f>
        <v>0</v>
      </c>
      <c r="J378" s="26">
        <f ca="1">'Impacts A'!J378-'Impacts B'!J378</f>
        <v>0</v>
      </c>
      <c r="K378" s="26">
        <f ca="1">'Impacts A'!K378-'Impacts B'!K378</f>
        <v>0</v>
      </c>
      <c r="L378" s="26">
        <f ca="1">'Impacts A'!L378-'Impacts B'!L378</f>
        <v>0</v>
      </c>
      <c r="M378" s="6"/>
      <c r="N378" s="59" t="s">
        <v>134</v>
      </c>
    </row>
    <row r="379" spans="1:15" x14ac:dyDescent="0.25">
      <c r="A379" t="str">
        <v>AF discontinuity</v>
      </c>
      <c r="C379" s="26">
        <f ca="1">'Impacts A'!C379-'Impacts B'!C379</f>
        <v>0</v>
      </c>
      <c r="D379" s="26">
        <f ca="1">'Impacts A'!D379-'Impacts B'!D379</f>
        <v>0</v>
      </c>
      <c r="E379" s="26">
        <f ca="1">'Impacts A'!E379-'Impacts B'!E379</f>
        <v>0</v>
      </c>
      <c r="F379" s="26">
        <f ca="1">'Impacts A'!F379-'Impacts B'!F379</f>
        <v>0</v>
      </c>
      <c r="G379" s="26">
        <f ca="1">'Impacts A'!G379-'Impacts B'!G379</f>
        <v>0</v>
      </c>
      <c r="H379" s="26">
        <f ca="1">'Impacts A'!H379-'Impacts B'!H379</f>
        <v>0</v>
      </c>
      <c r="I379" s="26">
        <f ca="1">'Impacts A'!I379-'Impacts B'!I379</f>
        <v>0</v>
      </c>
      <c r="J379" s="26">
        <f ca="1">'Impacts A'!J379-'Impacts B'!J379</f>
        <v>0</v>
      </c>
      <c r="K379" s="26">
        <f ca="1">'Impacts A'!K379-'Impacts B'!K379</f>
        <v>0</v>
      </c>
      <c r="L379" s="26">
        <f ca="1">'Impacts A'!L379-'Impacts B'!L379</f>
        <v>0</v>
      </c>
      <c r="M379" s="6"/>
      <c r="N379" s="59" t="s">
        <v>134</v>
      </c>
    </row>
    <row r="380" spans="1:15" x14ac:dyDescent="0.25">
      <c r="A380" t="str">
        <v>LA discontinuity</v>
      </c>
      <c r="C380" s="26">
        <f ca="1">'Impacts A'!C380-'Impacts B'!C380</f>
        <v>0</v>
      </c>
      <c r="D380" s="26">
        <f ca="1">'Impacts A'!D380-'Impacts B'!D380</f>
        <v>0</v>
      </c>
      <c r="E380" s="26">
        <f ca="1">'Impacts A'!E380-'Impacts B'!E380</f>
        <v>0</v>
      </c>
      <c r="F380" s="26">
        <f ca="1">'Impacts A'!F380-'Impacts B'!F380</f>
        <v>0</v>
      </c>
      <c r="G380" s="26">
        <f ca="1">'Impacts A'!G380-'Impacts B'!G380</f>
        <v>0</v>
      </c>
      <c r="H380" s="26">
        <f ca="1">'Impacts A'!H380-'Impacts B'!H380</f>
        <v>0</v>
      </c>
      <c r="I380" s="26">
        <f ca="1">'Impacts A'!I380-'Impacts B'!I380</f>
        <v>0</v>
      </c>
      <c r="J380" s="26">
        <f ca="1">'Impacts A'!J380-'Impacts B'!J380</f>
        <v>0</v>
      </c>
      <c r="K380" s="26">
        <f ca="1">'Impacts A'!K380-'Impacts B'!K380</f>
        <v>0</v>
      </c>
      <c r="L380" s="26">
        <f ca="1">'Impacts A'!L380-'Impacts B'!L380</f>
        <v>0</v>
      </c>
      <c r="M380" s="6"/>
      <c r="N380" s="59" t="s">
        <v>134</v>
      </c>
    </row>
    <row r="381" spans="1:15" s="2" customFormat="1" ht="15" x14ac:dyDescent="0.4">
      <c r="A381" s="2" t="s">
        <v>226</v>
      </c>
      <c r="C381" s="2" t="s">
        <v>252</v>
      </c>
    </row>
    <row r="382" spans="1:15" x14ac:dyDescent="0.25">
      <c r="A382" t="str">
        <f t="array" ref="A382:A389">R_CODE&amp;" discontinuity"</f>
        <v>EU discontinuity</v>
      </c>
      <c r="C382" s="29">
        <f ca="1">'Impacts A'!C382-'Impacts B'!C382</f>
        <v>0</v>
      </c>
      <c r="D382" s="29">
        <f ca="1">'Impacts A'!D382-'Impacts B'!D382</f>
        <v>0</v>
      </c>
      <c r="E382" s="29">
        <f ca="1">'Impacts A'!E382-'Impacts B'!E382</f>
        <v>0</v>
      </c>
      <c r="F382" s="29">
        <f ca="1">'Impacts A'!F382-'Impacts B'!F382</f>
        <v>0</v>
      </c>
      <c r="G382" s="29">
        <f ca="1">'Impacts A'!G382-'Impacts B'!G382</f>
        <v>0</v>
      </c>
      <c r="H382" s="29">
        <f ca="1">'Impacts A'!H382-'Impacts B'!H382</f>
        <v>0</v>
      </c>
      <c r="I382" s="29">
        <f ca="1">'Impacts A'!I382-'Impacts B'!I382</f>
        <v>0</v>
      </c>
      <c r="J382" s="29">
        <f ca="1">'Impacts A'!J382-'Impacts B'!J382</f>
        <v>0</v>
      </c>
      <c r="K382" s="29">
        <f ca="1">'Impacts A'!K382-'Impacts B'!K382</f>
        <v>0</v>
      </c>
      <c r="L382" s="29">
        <f ca="1">'Impacts A'!L382-'Impacts B'!L382</f>
        <v>0</v>
      </c>
      <c r="M382" s="6"/>
      <c r="N382" s="1" t="str">
        <f t="shared" ref="N382:N389" si="11">CURRENCY_NAME&amp;"/"&amp;POP_UNIT_NAME</f>
        <v>$M(2015)/million</v>
      </c>
      <c r="O382" s="1"/>
    </row>
    <row r="383" spans="1:15" x14ac:dyDescent="0.25">
      <c r="A383" t="str">
        <v>US discontinuity</v>
      </c>
      <c r="C383" s="26">
        <f ca="1">'Impacts A'!C383-'Impacts B'!C383</f>
        <v>0</v>
      </c>
      <c r="D383" s="26">
        <f ca="1">'Impacts A'!D383-'Impacts B'!D383</f>
        <v>0</v>
      </c>
      <c r="E383" s="26">
        <f ca="1">'Impacts A'!E383-'Impacts B'!E383</f>
        <v>0</v>
      </c>
      <c r="F383" s="26">
        <f ca="1">'Impacts A'!F383-'Impacts B'!F383</f>
        <v>0</v>
      </c>
      <c r="G383" s="26">
        <f ca="1">'Impacts A'!G383-'Impacts B'!G383</f>
        <v>0</v>
      </c>
      <c r="H383" s="26">
        <f ca="1">'Impacts A'!H383-'Impacts B'!H383</f>
        <v>0</v>
      </c>
      <c r="I383" s="26">
        <f ca="1">'Impacts A'!I383-'Impacts B'!I383</f>
        <v>0</v>
      </c>
      <c r="J383" s="26">
        <f ca="1">'Impacts A'!J383-'Impacts B'!J383</f>
        <v>0</v>
      </c>
      <c r="K383" s="26">
        <f ca="1">'Impacts A'!K383-'Impacts B'!K383</f>
        <v>0</v>
      </c>
      <c r="L383" s="26">
        <f ca="1">'Impacts A'!L383-'Impacts B'!L383</f>
        <v>0</v>
      </c>
      <c r="M383" s="6"/>
      <c r="N383" s="1" t="str">
        <f t="shared" si="11"/>
        <v>$M(2015)/million</v>
      </c>
      <c r="O383" s="1"/>
    </row>
    <row r="384" spans="1:15" x14ac:dyDescent="0.25">
      <c r="A384" t="str">
        <v>OT discontinuity</v>
      </c>
      <c r="C384" s="26">
        <f ca="1">'Impacts A'!C384-'Impacts B'!C384</f>
        <v>0</v>
      </c>
      <c r="D384" s="26">
        <f ca="1">'Impacts A'!D384-'Impacts B'!D384</f>
        <v>0</v>
      </c>
      <c r="E384" s="26">
        <f ca="1">'Impacts A'!E384-'Impacts B'!E384</f>
        <v>0</v>
      </c>
      <c r="F384" s="26">
        <f ca="1">'Impacts A'!F384-'Impacts B'!F384</f>
        <v>0</v>
      </c>
      <c r="G384" s="26">
        <f ca="1">'Impacts A'!G384-'Impacts B'!G384</f>
        <v>0</v>
      </c>
      <c r="H384" s="26">
        <f ca="1">'Impacts A'!H384-'Impacts B'!H384</f>
        <v>0</v>
      </c>
      <c r="I384" s="26">
        <f ca="1">'Impacts A'!I384-'Impacts B'!I384</f>
        <v>0</v>
      </c>
      <c r="J384" s="26">
        <f ca="1">'Impacts A'!J384-'Impacts B'!J384</f>
        <v>0</v>
      </c>
      <c r="K384" s="26">
        <f ca="1">'Impacts A'!K384-'Impacts B'!K384</f>
        <v>0</v>
      </c>
      <c r="L384" s="26">
        <f ca="1">'Impacts A'!L384-'Impacts B'!L384</f>
        <v>0</v>
      </c>
      <c r="M384" s="6"/>
      <c r="N384" s="1" t="str">
        <f t="shared" si="11"/>
        <v>$M(2015)/million</v>
      </c>
      <c r="O384" s="1"/>
    </row>
    <row r="385" spans="1:15" x14ac:dyDescent="0.25">
      <c r="A385" t="str">
        <v>EE discontinuity</v>
      </c>
      <c r="C385" s="26">
        <f ca="1">'Impacts A'!C385-'Impacts B'!C385</f>
        <v>0</v>
      </c>
      <c r="D385" s="26">
        <f ca="1">'Impacts A'!D385-'Impacts B'!D385</f>
        <v>0</v>
      </c>
      <c r="E385" s="26">
        <f ca="1">'Impacts A'!E385-'Impacts B'!E385</f>
        <v>0</v>
      </c>
      <c r="F385" s="26">
        <f ca="1">'Impacts A'!F385-'Impacts B'!F385</f>
        <v>0</v>
      </c>
      <c r="G385" s="26">
        <f ca="1">'Impacts A'!G385-'Impacts B'!G385</f>
        <v>0</v>
      </c>
      <c r="H385" s="26">
        <f ca="1">'Impacts A'!H385-'Impacts B'!H385</f>
        <v>0</v>
      </c>
      <c r="I385" s="26">
        <f ca="1">'Impacts A'!I385-'Impacts B'!I385</f>
        <v>0</v>
      </c>
      <c r="J385" s="26">
        <f ca="1">'Impacts A'!J385-'Impacts B'!J385</f>
        <v>0</v>
      </c>
      <c r="K385" s="26">
        <f ca="1">'Impacts A'!K385-'Impacts B'!K385</f>
        <v>0</v>
      </c>
      <c r="L385" s="26">
        <f ca="1">'Impacts A'!L385-'Impacts B'!L385</f>
        <v>0</v>
      </c>
      <c r="M385" s="6"/>
      <c r="N385" s="1" t="str">
        <f t="shared" si="11"/>
        <v>$M(2015)/million</v>
      </c>
      <c r="O385" s="1"/>
    </row>
    <row r="386" spans="1:15" x14ac:dyDescent="0.25">
      <c r="A386" t="str">
        <v>CA discontinuity</v>
      </c>
      <c r="C386" s="26">
        <f ca="1">'Impacts A'!C386-'Impacts B'!C386</f>
        <v>0</v>
      </c>
      <c r="D386" s="26">
        <f ca="1">'Impacts A'!D386-'Impacts B'!D386</f>
        <v>0</v>
      </c>
      <c r="E386" s="26">
        <f ca="1">'Impacts A'!E386-'Impacts B'!E386</f>
        <v>0</v>
      </c>
      <c r="F386" s="26">
        <f ca="1">'Impacts A'!F386-'Impacts B'!F386</f>
        <v>0</v>
      </c>
      <c r="G386" s="26">
        <f ca="1">'Impacts A'!G386-'Impacts B'!G386</f>
        <v>0</v>
      </c>
      <c r="H386" s="26">
        <f ca="1">'Impacts A'!H386-'Impacts B'!H386</f>
        <v>0</v>
      </c>
      <c r="I386" s="26">
        <f ca="1">'Impacts A'!I386-'Impacts B'!I386</f>
        <v>0</v>
      </c>
      <c r="J386" s="26">
        <f ca="1">'Impacts A'!J386-'Impacts B'!J386</f>
        <v>0</v>
      </c>
      <c r="K386" s="26">
        <f ca="1">'Impacts A'!K386-'Impacts B'!K386</f>
        <v>0</v>
      </c>
      <c r="L386" s="26">
        <f ca="1">'Impacts A'!L386-'Impacts B'!L386</f>
        <v>0</v>
      </c>
      <c r="M386" s="6"/>
      <c r="N386" s="1" t="str">
        <f t="shared" si="11"/>
        <v>$M(2015)/million</v>
      </c>
      <c r="O386" s="1"/>
    </row>
    <row r="387" spans="1:15" x14ac:dyDescent="0.25">
      <c r="A387" t="str">
        <v>IA discontinuity</v>
      </c>
      <c r="C387" s="26">
        <f ca="1">'Impacts A'!C387-'Impacts B'!C387</f>
        <v>0</v>
      </c>
      <c r="D387" s="26">
        <f ca="1">'Impacts A'!D387-'Impacts B'!D387</f>
        <v>0</v>
      </c>
      <c r="E387" s="26">
        <f ca="1">'Impacts A'!E387-'Impacts B'!E387</f>
        <v>0</v>
      </c>
      <c r="F387" s="26">
        <f ca="1">'Impacts A'!F387-'Impacts B'!F387</f>
        <v>0</v>
      </c>
      <c r="G387" s="26">
        <f ca="1">'Impacts A'!G387-'Impacts B'!G387</f>
        <v>0</v>
      </c>
      <c r="H387" s="26">
        <f ca="1">'Impacts A'!H387-'Impacts B'!H387</f>
        <v>0</v>
      </c>
      <c r="I387" s="26">
        <f ca="1">'Impacts A'!I387-'Impacts B'!I387</f>
        <v>0</v>
      </c>
      <c r="J387" s="26">
        <f ca="1">'Impacts A'!J387-'Impacts B'!J387</f>
        <v>0</v>
      </c>
      <c r="K387" s="26">
        <f ca="1">'Impacts A'!K387-'Impacts B'!K387</f>
        <v>0</v>
      </c>
      <c r="L387" s="26">
        <f ca="1">'Impacts A'!L387-'Impacts B'!L387</f>
        <v>0</v>
      </c>
      <c r="M387" s="6"/>
      <c r="N387" s="1" t="str">
        <f t="shared" si="11"/>
        <v>$M(2015)/million</v>
      </c>
      <c r="O387" s="1"/>
    </row>
    <row r="388" spans="1:15" x14ac:dyDescent="0.25">
      <c r="A388" t="str">
        <v>AF discontinuity</v>
      </c>
      <c r="C388" s="26">
        <f ca="1">'Impacts A'!C388-'Impacts B'!C388</f>
        <v>0</v>
      </c>
      <c r="D388" s="26">
        <f ca="1">'Impacts A'!D388-'Impacts B'!D388</f>
        <v>0</v>
      </c>
      <c r="E388" s="26">
        <f ca="1">'Impacts A'!E388-'Impacts B'!E388</f>
        <v>0</v>
      </c>
      <c r="F388" s="26">
        <f ca="1">'Impacts A'!F388-'Impacts B'!F388</f>
        <v>0</v>
      </c>
      <c r="G388" s="26">
        <f ca="1">'Impacts A'!G388-'Impacts B'!G388</f>
        <v>0</v>
      </c>
      <c r="H388" s="26">
        <f ca="1">'Impacts A'!H388-'Impacts B'!H388</f>
        <v>0</v>
      </c>
      <c r="I388" s="26">
        <f ca="1">'Impacts A'!I388-'Impacts B'!I388</f>
        <v>0</v>
      </c>
      <c r="J388" s="26">
        <f ca="1">'Impacts A'!J388-'Impacts B'!J388</f>
        <v>0</v>
      </c>
      <c r="K388" s="26">
        <f ca="1">'Impacts A'!K388-'Impacts B'!K388</f>
        <v>0</v>
      </c>
      <c r="L388" s="26">
        <f ca="1">'Impacts A'!L388-'Impacts B'!L388</f>
        <v>0</v>
      </c>
      <c r="M388" s="6"/>
      <c r="N388" s="1" t="str">
        <f t="shared" si="11"/>
        <v>$M(2015)/million</v>
      </c>
      <c r="O388" s="1"/>
    </row>
    <row r="389" spans="1:15" x14ac:dyDescent="0.25">
      <c r="A389" t="str">
        <v>LA discontinuity</v>
      </c>
      <c r="C389" s="26">
        <f ca="1">'Impacts A'!C389-'Impacts B'!C389</f>
        <v>0</v>
      </c>
      <c r="D389" s="26">
        <f ca="1">'Impacts A'!D389-'Impacts B'!D389</f>
        <v>0</v>
      </c>
      <c r="E389" s="26">
        <f ca="1">'Impacts A'!E389-'Impacts B'!E389</f>
        <v>0</v>
      </c>
      <c r="F389" s="26">
        <f ca="1">'Impacts A'!F389-'Impacts B'!F389</f>
        <v>0</v>
      </c>
      <c r="G389" s="26">
        <f ca="1">'Impacts A'!G389-'Impacts B'!G389</f>
        <v>0</v>
      </c>
      <c r="H389" s="26">
        <f ca="1">'Impacts A'!H389-'Impacts B'!H389</f>
        <v>0</v>
      </c>
      <c r="I389" s="26">
        <f ca="1">'Impacts A'!I389-'Impacts B'!I389</f>
        <v>0</v>
      </c>
      <c r="J389" s="26">
        <f ca="1">'Impacts A'!J389-'Impacts B'!J389</f>
        <v>0</v>
      </c>
      <c r="K389" s="26">
        <f ca="1">'Impacts A'!K389-'Impacts B'!K389</f>
        <v>0</v>
      </c>
      <c r="L389" s="26">
        <f ca="1">'Impacts A'!L389-'Impacts B'!L389</f>
        <v>0</v>
      </c>
      <c r="M389" s="6"/>
      <c r="N389" s="1" t="str">
        <f t="shared" si="11"/>
        <v>$M(2015)/million</v>
      </c>
      <c r="O389" s="1"/>
    </row>
    <row r="390" spans="1:15" s="2" customFormat="1" ht="15" x14ac:dyDescent="0.4">
      <c r="A390" s="2" t="s">
        <v>228</v>
      </c>
      <c r="C390" s="2" t="s">
        <v>254</v>
      </c>
    </row>
    <row r="391" spans="1:15" x14ac:dyDescent="0.25">
      <c r="A391" t="str">
        <f t="array" ref="A391:A398">R_CODE&amp;" discontinuity"</f>
        <v>EU discontinuity</v>
      </c>
      <c r="C391" s="29">
        <f ca="1">'Impacts A'!C391-'Impacts B'!C391</f>
        <v>-1.4340193854877725E-2</v>
      </c>
      <c r="D391" s="29">
        <f ca="1">'Impacts A'!D391-'Impacts B'!D391</f>
        <v>-1.0010819263479789</v>
      </c>
      <c r="E391" s="29">
        <f ca="1">'Impacts A'!E391-'Impacts B'!E391</f>
        <v>-3.8464335330791073</v>
      </c>
      <c r="F391" s="29">
        <f ca="1">'Impacts A'!F391-'Impacts B'!F391</f>
        <v>-8.781157495235675</v>
      </c>
      <c r="G391" s="29">
        <f ca="1">'Impacts A'!G391-'Impacts B'!G391</f>
        <v>-31.371484085786506</v>
      </c>
      <c r="H391" s="29">
        <f ca="1">'Impacts A'!H391-'Impacts B'!H391</f>
        <v>-69.33918773093319</v>
      </c>
      <c r="I391" s="29">
        <f ca="1">'Impacts A'!I391-'Impacts B'!I391</f>
        <v>-200.60004418483004</v>
      </c>
      <c r="J391" s="29">
        <f ca="1">'Impacts A'!J391-'Impacts B'!J391</f>
        <v>-341.17631972994423</v>
      </c>
      <c r="K391" s="29">
        <f ca="1">'Impacts A'!K391-'Impacts B'!K391</f>
        <v>-511.50947412604</v>
      </c>
      <c r="L391" s="29">
        <f ca="1">'Impacts A'!L391-'Impacts B'!L391</f>
        <v>-695.42465433478355</v>
      </c>
      <c r="M391" s="6"/>
      <c r="N391" s="1" t="str">
        <f t="shared" ref="N391:N398" si="12">CURRENCY_NAME&amp;"/"&amp;POP_UNIT_NAME</f>
        <v>$M(2015)/million</v>
      </c>
      <c r="O391" s="1"/>
    </row>
    <row r="392" spans="1:15" x14ac:dyDescent="0.25">
      <c r="A392" t="str">
        <v>US discontinuity</v>
      </c>
      <c r="C392" s="26">
        <f ca="1">'Impacts A'!C392-'Impacts B'!C392</f>
        <v>-0.3485875659971498</v>
      </c>
      <c r="D392" s="26">
        <f ca="1">'Impacts A'!D392-'Impacts B'!D392</f>
        <v>-4.1509582730432157</v>
      </c>
      <c r="E392" s="26">
        <f ca="1">'Impacts A'!E392-'Impacts B'!E392</f>
        <v>-11.996985461781151</v>
      </c>
      <c r="F392" s="26">
        <f ca="1">'Impacts A'!F392-'Impacts B'!F392</f>
        <v>-23.708967033380759</v>
      </c>
      <c r="G392" s="26">
        <f ca="1">'Impacts A'!G392-'Impacts B'!G392</f>
        <v>-70.087676479131915</v>
      </c>
      <c r="H392" s="26">
        <f ca="1">'Impacts A'!H392-'Impacts B'!H392</f>
        <v>-143.66559975245036</v>
      </c>
      <c r="I392" s="26">
        <f ca="1">'Impacts A'!I392-'Impacts B'!I392</f>
        <v>-413.22907604213106</v>
      </c>
      <c r="J392" s="26">
        <f ca="1">'Impacts A'!J392-'Impacts B'!J392</f>
        <v>-790.73410491610412</v>
      </c>
      <c r="K392" s="26">
        <f ca="1">'Impacts A'!K392-'Impacts B'!K392</f>
        <v>-1352.5169680234976</v>
      </c>
      <c r="L392" s="26">
        <f ca="1">'Impacts A'!L392-'Impacts B'!L392</f>
        <v>-2171.2815972950775</v>
      </c>
      <c r="M392" s="6"/>
      <c r="N392" s="1" t="str">
        <f t="shared" si="12"/>
        <v>$M(2015)/million</v>
      </c>
      <c r="O392" s="1"/>
    </row>
    <row r="393" spans="1:15" x14ac:dyDescent="0.25">
      <c r="A393" t="str">
        <v>OT discontinuity</v>
      </c>
      <c r="C393" s="26">
        <f ca="1">'Impacts A'!C393-'Impacts B'!C393</f>
        <v>-0.11060861061923788</v>
      </c>
      <c r="D393" s="26">
        <f ca="1">'Impacts A'!D393-'Impacts B'!D393</f>
        <v>-1.705897928957711</v>
      </c>
      <c r="E393" s="26">
        <f ca="1">'Impacts A'!E393-'Impacts B'!E393</f>
        <v>-5.5084779303797404</v>
      </c>
      <c r="F393" s="26">
        <f ca="1">'Impacts A'!F393-'Impacts B'!F393</f>
        <v>-11.782622576094582</v>
      </c>
      <c r="G393" s="26">
        <f ca="1">'Impacts A'!G393-'Impacts B'!G393</f>
        <v>-40.272940057082451</v>
      </c>
      <c r="H393" s="26">
        <f ca="1">'Impacts A'!H393-'Impacts B'!H393</f>
        <v>-88.853033468258218</v>
      </c>
      <c r="I393" s="26">
        <f ca="1">'Impacts A'!I393-'Impacts B'!I393</f>
        <v>-212.08871674039983</v>
      </c>
      <c r="J393" s="26">
        <f ca="1">'Impacts A'!J393-'Impacts B'!J393</f>
        <v>-299.14774782175664</v>
      </c>
      <c r="K393" s="26">
        <f ca="1">'Impacts A'!K393-'Impacts B'!K393</f>
        <v>-365.77603560528951</v>
      </c>
      <c r="L393" s="26">
        <f ca="1">'Impacts A'!L393-'Impacts B'!L393</f>
        <v>-415.36875157727627</v>
      </c>
      <c r="M393" s="6"/>
      <c r="N393" s="1" t="str">
        <f t="shared" si="12"/>
        <v>$M(2015)/million</v>
      </c>
      <c r="O393" s="1"/>
    </row>
    <row r="394" spans="1:15" x14ac:dyDescent="0.25">
      <c r="A394" t="str">
        <v>EE discontinuity</v>
      </c>
      <c r="C394" s="26">
        <f ca="1">'Impacts A'!C394-'Impacts B'!C394</f>
        <v>6.2177647134376457E-2</v>
      </c>
      <c r="D394" s="26">
        <f ca="1">'Impacts A'!D394-'Impacts B'!D394</f>
        <v>-0.19553478118177736</v>
      </c>
      <c r="E394" s="26">
        <f ca="1">'Impacts A'!E394-'Impacts B'!E394</f>
        <v>-2.1070156626155949</v>
      </c>
      <c r="F394" s="26">
        <f ca="1">'Impacts A'!F394-'Impacts B'!F394</f>
        <v>-6.1109380542548024</v>
      </c>
      <c r="G394" s="26">
        <f ca="1">'Impacts A'!G394-'Impacts B'!G394</f>
        <v>-25.505672664367012</v>
      </c>
      <c r="H394" s="26">
        <f ca="1">'Impacts A'!H394-'Impacts B'!H394</f>
        <v>-54.303828534859349</v>
      </c>
      <c r="I394" s="26">
        <f ca="1">'Impacts A'!I394-'Impacts B'!I394</f>
        <v>-82.373333545896458</v>
      </c>
      <c r="J394" s="26">
        <f ca="1">'Impacts A'!J394-'Impacts B'!J394</f>
        <v>-77.943697972601512</v>
      </c>
      <c r="K394" s="26">
        <f ca="1">'Impacts A'!K394-'Impacts B'!K394</f>
        <v>-70.213280158961425</v>
      </c>
      <c r="L394" s="26">
        <f ca="1">'Impacts A'!L394-'Impacts B'!L394</f>
        <v>-57.467412365891505</v>
      </c>
      <c r="M394" s="6"/>
      <c r="N394" s="1" t="str">
        <f t="shared" si="12"/>
        <v>$M(2015)/million</v>
      </c>
      <c r="O394" s="1"/>
    </row>
    <row r="395" spans="1:15" x14ac:dyDescent="0.25">
      <c r="A395" t="str">
        <v>CA discontinuity</v>
      </c>
      <c r="C395" s="26">
        <f ca="1">'Impacts A'!C395-'Impacts B'!C395</f>
        <v>-0.10270803893945413</v>
      </c>
      <c r="D395" s="26">
        <f ca="1">'Impacts A'!D395-'Impacts B'!D395</f>
        <v>-1.7609645438787993</v>
      </c>
      <c r="E395" s="26">
        <f ca="1">'Impacts A'!E395-'Impacts B'!E395</f>
        <v>-6.6210604113803129</v>
      </c>
      <c r="F395" s="26">
        <f ca="1">'Impacts A'!F395-'Impacts B'!F395</f>
        <v>-15.434846171010577</v>
      </c>
      <c r="G395" s="26">
        <f ca="1">'Impacts A'!G395-'Impacts B'!G395</f>
        <v>-52.55133987586305</v>
      </c>
      <c r="H395" s="26">
        <f ca="1">'Impacts A'!H395-'Impacts B'!H395</f>
        <v>-107.44012846925762</v>
      </c>
      <c r="I395" s="26">
        <f ca="1">'Impacts A'!I395-'Impacts B'!I395</f>
        <v>-153.92881717464479</v>
      </c>
      <c r="J395" s="26">
        <f ca="1">'Impacts A'!J395-'Impacts B'!J395</f>
        <v>-164.9170448568475</v>
      </c>
      <c r="K395" s="26">
        <f ca="1">'Impacts A'!K395-'Impacts B'!K395</f>
        <v>-168.16334142246342</v>
      </c>
      <c r="L395" s="26">
        <f ca="1">'Impacts A'!L395-'Impacts B'!L395</f>
        <v>-170.68541544038453</v>
      </c>
      <c r="M395" s="6"/>
      <c r="N395" s="1" t="str">
        <f t="shared" si="12"/>
        <v>$M(2015)/million</v>
      </c>
      <c r="O395" s="1"/>
    </row>
    <row r="396" spans="1:15" x14ac:dyDescent="0.25">
      <c r="A396" t="str">
        <v>IA discontinuity</v>
      </c>
      <c r="C396" s="26">
        <f ca="1">'Impacts A'!C396-'Impacts B'!C396</f>
        <v>-0.12565953247121797</v>
      </c>
      <c r="D396" s="26">
        <f ca="1">'Impacts A'!D396-'Impacts B'!D396</f>
        <v>-1.6049842373995489</v>
      </c>
      <c r="E396" s="26">
        <f ca="1">'Impacts A'!E396-'Impacts B'!E396</f>
        <v>-5.8906587616347679</v>
      </c>
      <c r="F396" s="26">
        <f ca="1">'Impacts A'!F396-'Impacts B'!F396</f>
        <v>-14.800117671518819</v>
      </c>
      <c r="G396" s="26">
        <f ca="1">'Impacts A'!G396-'Impacts B'!G396</f>
        <v>-67.953236572953756</v>
      </c>
      <c r="H396" s="26">
        <f ca="1">'Impacts A'!H396-'Impacts B'!H396</f>
        <v>-172.77131723568891</v>
      </c>
      <c r="I396" s="26">
        <f ca="1">'Impacts A'!I396-'Impacts B'!I396</f>
        <v>-424.69477832430857</v>
      </c>
      <c r="J396" s="26">
        <f ca="1">'Impacts A'!J396-'Impacts B'!J396</f>
        <v>-533.70481893437682</v>
      </c>
      <c r="K396" s="26">
        <f ca="1">'Impacts A'!K396-'Impacts B'!K396</f>
        <v>-572.5656941391062</v>
      </c>
      <c r="L396" s="26">
        <f ca="1">'Impacts A'!L396-'Impacts B'!L396</f>
        <v>-601.34591288698721</v>
      </c>
      <c r="M396" s="6"/>
      <c r="N396" s="1" t="str">
        <f t="shared" si="12"/>
        <v>$M(2015)/million</v>
      </c>
      <c r="O396" s="1"/>
    </row>
    <row r="397" spans="1:15" x14ac:dyDescent="0.25">
      <c r="A397" t="str">
        <v>AF discontinuity</v>
      </c>
      <c r="C397" s="26">
        <f ca="1">'Impacts A'!C397-'Impacts B'!C397</f>
        <v>-0.10782053427828941</v>
      </c>
      <c r="D397" s="26">
        <f ca="1">'Impacts A'!D397-'Impacts B'!D397</f>
        <v>-1.1396772257121484</v>
      </c>
      <c r="E397" s="26">
        <f ca="1">'Impacts A'!E397-'Impacts B'!E397</f>
        <v>-3.7725727695196838</v>
      </c>
      <c r="F397" s="26">
        <f ca="1">'Impacts A'!F397-'Impacts B'!F397</f>
        <v>-9.3840929831385438</v>
      </c>
      <c r="G397" s="26">
        <f ca="1">'Impacts A'!G397-'Impacts B'!G397</f>
        <v>-52.937170766432246</v>
      </c>
      <c r="H397" s="26">
        <f ca="1">'Impacts A'!H397-'Impacts B'!H397</f>
        <v>-165.00177720312786</v>
      </c>
      <c r="I397" s="26">
        <f ca="1">'Impacts A'!I397-'Impacts B'!I397</f>
        <v>-877.65608243900351</v>
      </c>
      <c r="J397" s="26">
        <f ca="1">'Impacts A'!J397-'Impacts B'!J397</f>
        <v>-1788.7354308629874</v>
      </c>
      <c r="K397" s="26">
        <f ca="1">'Impacts A'!K397-'Impacts B'!K397</f>
        <v>-2473.9955135429045</v>
      </c>
      <c r="L397" s="26">
        <f ca="1">'Impacts A'!L397-'Impacts B'!L397</f>
        <v>-2931.0329189415788</v>
      </c>
      <c r="M397" s="6"/>
      <c r="N397" s="1" t="str">
        <f t="shared" si="12"/>
        <v>$M(2015)/million</v>
      </c>
      <c r="O397" s="1"/>
    </row>
    <row r="398" spans="1:15" x14ac:dyDescent="0.25">
      <c r="A398" t="str">
        <v>LA discontinuity</v>
      </c>
      <c r="C398" s="26">
        <f ca="1">'Impacts A'!C398-'Impacts B'!C398</f>
        <v>-0.19752121118654031</v>
      </c>
      <c r="D398" s="26">
        <f ca="1">'Impacts A'!D398-'Impacts B'!D398</f>
        <v>-2.0485628781170817</v>
      </c>
      <c r="E398" s="26">
        <f ca="1">'Impacts A'!E398-'Impacts B'!E398</f>
        <v>-6.4135481188350241</v>
      </c>
      <c r="F398" s="26">
        <f ca="1">'Impacts A'!F398-'Impacts B'!F398</f>
        <v>-14.496309745049075</v>
      </c>
      <c r="G398" s="26">
        <f ca="1">'Impacts A'!G398-'Impacts B'!G398</f>
        <v>-59.738642927710316</v>
      </c>
      <c r="H398" s="26">
        <f ca="1">'Impacts A'!H398-'Impacts B'!H398</f>
        <v>-149.50966332602547</v>
      </c>
      <c r="I398" s="26">
        <f ca="1">'Impacts A'!I398-'Impacts B'!I398</f>
        <v>-394.92988498645718</v>
      </c>
      <c r="J398" s="26">
        <f ca="1">'Impacts A'!J398-'Impacts B'!J398</f>
        <v>-545.07476780060097</v>
      </c>
      <c r="K398" s="26">
        <f ca="1">'Impacts A'!K398-'Impacts B'!K398</f>
        <v>-614.81513653736329</v>
      </c>
      <c r="L398" s="26">
        <f ca="1">'Impacts A'!L398-'Impacts B'!L398</f>
        <v>-657.76202357280999</v>
      </c>
      <c r="M398" s="6"/>
      <c r="N398" s="1" t="str">
        <f t="shared" si="12"/>
        <v>$M(2015)/million</v>
      </c>
      <c r="O398" s="1"/>
    </row>
    <row r="399" spans="1:15" s="2" customFormat="1" ht="15" x14ac:dyDescent="0.4">
      <c r="A399" s="2" t="s">
        <v>230</v>
      </c>
      <c r="C399" s="2" t="s">
        <v>253</v>
      </c>
    </row>
    <row r="400" spans="1:15" x14ac:dyDescent="0.25">
      <c r="A400" t="str">
        <f t="array" ref="A400:A407">R_CODE&amp;" discontinuity"</f>
        <v>EU discontinuity</v>
      </c>
      <c r="C400" s="29">
        <f ca="1">'Impacts A'!C400-'Impacts B'!C400</f>
        <v>-1.6870816296432167E-2</v>
      </c>
      <c r="D400" s="29">
        <f ca="1">'Impacts A'!D400-'Impacts B'!D400</f>
        <v>-1.1777434427567641</v>
      </c>
      <c r="E400" s="29">
        <f ca="1">'Impacts A'!E400-'Impacts B'!E400</f>
        <v>-4.525215921275958</v>
      </c>
      <c r="F400" s="29">
        <f ca="1">'Impacts A'!F400-'Impacts B'!F400</f>
        <v>-10.33077352381224</v>
      </c>
      <c r="G400" s="29">
        <f ca="1">'Impacts A'!G400-'Impacts B'!G400</f>
        <v>-36.907628336222842</v>
      </c>
      <c r="H400" s="29">
        <f ca="1">'Impacts A'!H400-'Impacts B'!H400</f>
        <v>-81.575514977594139</v>
      </c>
      <c r="I400" s="29">
        <f ca="1">'Impacts A'!I400-'Impacts B'!I400</f>
        <v>-236.00005198214785</v>
      </c>
      <c r="J400" s="29">
        <f ca="1">'Impacts A'!J400-'Impacts B'!J400</f>
        <v>-401.38390556460945</v>
      </c>
      <c r="K400" s="29">
        <f ca="1">'Impacts A'!K400-'Impacts B'!K400</f>
        <v>-601.77585191291291</v>
      </c>
      <c r="L400" s="29">
        <f ca="1">'Impacts A'!L400-'Impacts B'!L400</f>
        <v>-818.14665215858258</v>
      </c>
      <c r="M400" s="6"/>
      <c r="N400" s="1" t="str">
        <f t="shared" ref="N400:N407" si="13">CURRENCY_NAME&amp;"/"&amp;POP_UNIT_NAME</f>
        <v>$M(2015)/million</v>
      </c>
      <c r="O400" s="1"/>
    </row>
    <row r="401" spans="1:15" x14ac:dyDescent="0.25">
      <c r="A401" t="str">
        <v>US discontinuity</v>
      </c>
      <c r="C401" s="26">
        <f ca="1">'Impacts A'!C401-'Impacts B'!C401</f>
        <v>-0.41010301881760824</v>
      </c>
      <c r="D401" s="26">
        <f ca="1">'Impacts A'!D401-'Impacts B'!D401</f>
        <v>-4.8834803212375846</v>
      </c>
      <c r="E401" s="26">
        <f ca="1">'Impacts A'!E401-'Impacts B'!E401</f>
        <v>-14.114100543272798</v>
      </c>
      <c r="F401" s="26">
        <f ca="1">'Impacts A'!F401-'Impacts B'!F401</f>
        <v>-27.89290239221009</v>
      </c>
      <c r="G401" s="26">
        <f ca="1">'Impacts A'!G401-'Impacts B'!G401</f>
        <v>-82.456089975457871</v>
      </c>
      <c r="H401" s="26">
        <f ca="1">'Impacts A'!H401-'Impacts B'!H401</f>
        <v>-169.01835264993133</v>
      </c>
      <c r="I401" s="26">
        <f ca="1">'Impacts A'!I401-'Impacts B'!I401</f>
        <v>-486.1518541672267</v>
      </c>
      <c r="J401" s="26">
        <f ca="1">'Impacts A'!J401-'Impacts B'!J401</f>
        <v>-930.27541754837148</v>
      </c>
      <c r="K401" s="26">
        <f ca="1">'Impacts A'!K401-'Impacts B'!K401</f>
        <v>-1591.1964329688344</v>
      </c>
      <c r="L401" s="26">
        <f ca="1">'Impacts A'!L401-'Impacts B'!L401</f>
        <v>-2554.4489379941951</v>
      </c>
      <c r="M401" s="6"/>
      <c r="N401" s="1" t="str">
        <f t="shared" si="13"/>
        <v>$M(2015)/million</v>
      </c>
      <c r="O401" s="1"/>
    </row>
    <row r="402" spans="1:15" x14ac:dyDescent="0.25">
      <c r="A402" t="str">
        <v>OT discontinuity</v>
      </c>
      <c r="C402" s="26">
        <f ca="1">'Impacts A'!C402-'Impacts B'!C402</f>
        <v>-0.13012777719995938</v>
      </c>
      <c r="D402" s="26">
        <f ca="1">'Impacts A'!D402-'Impacts B'!D402</f>
        <v>-2.0069387399489642</v>
      </c>
      <c r="E402" s="26">
        <f ca="1">'Impacts A'!E402-'Impacts B'!E402</f>
        <v>-6.4805622710337047</v>
      </c>
      <c r="F402" s="26">
        <f ca="1">'Impacts A'!F402-'Impacts B'!F402</f>
        <v>-13.861908913051593</v>
      </c>
      <c r="G402" s="26">
        <f ca="1">'Impacts A'!G402-'Impacts B'!G402</f>
        <v>-47.379929478920531</v>
      </c>
      <c r="H402" s="26">
        <f ca="1">'Impacts A'!H402-'Impacts B'!H402</f>
        <v>-104.53298055089545</v>
      </c>
      <c r="I402" s="26">
        <f ca="1">'Impacts A'!I402-'Impacts B'!I402</f>
        <v>-249.51613734161947</v>
      </c>
      <c r="J402" s="26">
        <f ca="1">'Impacts A'!J402-'Impacts B'!J402</f>
        <v>-351.93852684908779</v>
      </c>
      <c r="K402" s="26">
        <f ca="1">'Impacts A'!K402-'Impacts B'!K402</f>
        <v>-430.32474777090829</v>
      </c>
      <c r="L402" s="26">
        <f ca="1">'Impacts A'!L402-'Impacts B'!L402</f>
        <v>-488.66911950270878</v>
      </c>
      <c r="M402" s="6"/>
      <c r="N402" s="1" t="str">
        <f t="shared" si="13"/>
        <v>$M(2015)/million</v>
      </c>
      <c r="O402" s="1"/>
    </row>
    <row r="403" spans="1:15" x14ac:dyDescent="0.25">
      <c r="A403" t="str">
        <v>EE discontinuity</v>
      </c>
      <c r="C403" s="26">
        <f ca="1">'Impacts A'!C403-'Impacts B'!C403</f>
        <v>7.3150173098838422E-2</v>
      </c>
      <c r="D403" s="26">
        <f ca="1">'Impacts A'!D403-'Impacts B'!D403</f>
        <v>-0.23004091903567314</v>
      </c>
      <c r="E403" s="26">
        <f ca="1">'Impacts A'!E403-'Impacts B'!E403</f>
        <v>-2.4788419560209149</v>
      </c>
      <c r="F403" s="26">
        <f ca="1">'Impacts A'!F403-'Impacts B'!F403</f>
        <v>-7.1893388873577351</v>
      </c>
      <c r="G403" s="26">
        <f ca="1">'Impacts A'!G403-'Impacts B'!G403</f>
        <v>-30.006673722775304</v>
      </c>
      <c r="H403" s="26">
        <f ca="1">'Impacts A'!H403-'Impacts B'!H403</f>
        <v>-63.886857099845656</v>
      </c>
      <c r="I403" s="26">
        <f ca="1">'Impacts A'!I403-'Impacts B'!I403</f>
        <v>-96.909804171620635</v>
      </c>
      <c r="J403" s="26">
        <f ca="1">'Impacts A'!J403-'Impacts B'!J403</f>
        <v>-91.698468203045195</v>
      </c>
      <c r="K403" s="26">
        <f ca="1">'Impacts A'!K403-'Impacts B'!K403</f>
        <v>-82.603859010530869</v>
      </c>
      <c r="L403" s="26">
        <f ca="1">'Impacts A'!L403-'Impacts B'!L403</f>
        <v>-67.608720430464018</v>
      </c>
      <c r="M403" s="6"/>
      <c r="N403" s="1" t="str">
        <f t="shared" si="13"/>
        <v>$M(2015)/million</v>
      </c>
      <c r="O403" s="1"/>
    </row>
    <row r="404" spans="1:15" x14ac:dyDescent="0.25">
      <c r="A404" t="str">
        <v>CA discontinuity</v>
      </c>
      <c r="C404" s="26">
        <f ca="1">'Impacts A'!C404-'Impacts B'!C404</f>
        <v>-0.12083298698780709</v>
      </c>
      <c r="D404" s="26">
        <f ca="1">'Impacts A'!D404-'Impacts B'!D404</f>
        <v>-2.0717229927977314</v>
      </c>
      <c r="E404" s="26">
        <f ca="1">'Impacts A'!E404-'Impacts B'!E404</f>
        <v>-7.7894828369171591</v>
      </c>
      <c r="F404" s="26">
        <f ca="1">'Impacts A'!F404-'Impacts B'!F404</f>
        <v>-18.158642554131802</v>
      </c>
      <c r="G404" s="26">
        <f ca="1">'Impacts A'!G404-'Impacts B'!G404</f>
        <v>-61.825105736308615</v>
      </c>
      <c r="H404" s="26">
        <f ca="1">'Impacts A'!H404-'Impacts B'!H404</f>
        <v>-126.40015114030393</v>
      </c>
      <c r="I404" s="26">
        <f ca="1">'Impacts A'!I404-'Impacts B'!I404</f>
        <v>-181.09272608782339</v>
      </c>
      <c r="J404" s="26">
        <f ca="1">'Impacts A'!J404-'Impacts B'!J404</f>
        <v>-194.02005277275748</v>
      </c>
      <c r="K404" s="26">
        <f ca="1">'Impacts A'!K404-'Impacts B'!K404</f>
        <v>-197.83922520290071</v>
      </c>
      <c r="L404" s="26">
        <f ca="1">'Impacts A'!L404-'Impacts B'!L404</f>
        <v>-200.80637110634416</v>
      </c>
      <c r="M404" s="6"/>
      <c r="N404" s="1" t="str">
        <f t="shared" si="13"/>
        <v>$M(2015)/million</v>
      </c>
      <c r="O404" s="1"/>
    </row>
    <row r="405" spans="1:15" x14ac:dyDescent="0.25">
      <c r="A405" t="str">
        <v>IA discontinuity</v>
      </c>
      <c r="C405" s="26">
        <f ca="1">'Impacts A'!C405-'Impacts B'!C405</f>
        <v>-0.14783474408341135</v>
      </c>
      <c r="D405" s="26">
        <f ca="1">'Impacts A'!D405-'Impacts B'!D405</f>
        <v>-1.8882167498813942</v>
      </c>
      <c r="E405" s="26">
        <f ca="1">'Impacts A'!E405-'Impacts B'!E405</f>
        <v>-6.9301867783942726</v>
      </c>
      <c r="F405" s="26">
        <f ca="1">'Impacts A'!F405-'Impacts B'!F405</f>
        <v>-17.411903142961819</v>
      </c>
      <c r="G405" s="26">
        <f ca="1">'Impacts A'!G405-'Impacts B'!G405</f>
        <v>-79.944984203473723</v>
      </c>
      <c r="H405" s="26">
        <f ca="1">'Impacts A'!H405-'Impacts B'!H405</f>
        <v>-203.26037321846525</v>
      </c>
      <c r="I405" s="26">
        <f ca="1">'Impacts A'!I405-'Impacts B'!I405</f>
        <v>-499.64091567567084</v>
      </c>
      <c r="J405" s="26">
        <f ca="1">'Impacts A'!J405-'Impacts B'!J405</f>
        <v>-627.88802227572887</v>
      </c>
      <c r="K405" s="26">
        <f ca="1">'Impacts A'!K405-'Impacts B'!K405</f>
        <v>-673.60669898716151</v>
      </c>
      <c r="L405" s="26">
        <f ca="1">'Impacts A'!L405-'Impacts B'!L405</f>
        <v>-707.46577986705233</v>
      </c>
      <c r="M405" s="6"/>
      <c r="N405" s="1" t="str">
        <f t="shared" si="13"/>
        <v>$M(2015)/million</v>
      </c>
      <c r="O405" s="1"/>
    </row>
    <row r="406" spans="1:15" x14ac:dyDescent="0.25">
      <c r="A406" t="str">
        <v>AF discontinuity</v>
      </c>
      <c r="C406" s="26">
        <f ca="1">'Impacts A'!C406-'Impacts B'!C406</f>
        <v>-0.12684768738563434</v>
      </c>
      <c r="D406" s="26">
        <f ca="1">'Impacts A'!D406-'Impacts B'!D406</f>
        <v>-1.3407967361308692</v>
      </c>
      <c r="E406" s="26">
        <f ca="1">'Impacts A'!E406-'Impacts B'!E406</f>
        <v>-4.4383209053157771</v>
      </c>
      <c r="F406" s="26">
        <f ca="1">'Impacts A'!F406-'Impacts B'!F406</f>
        <v>-11.040109391928127</v>
      </c>
      <c r="G406" s="26">
        <f ca="1">'Impacts A'!G406-'Impacts B'!G406</f>
        <v>-62.279024431096332</v>
      </c>
      <c r="H406" s="26">
        <f ca="1">'Impacts A'!H406-'Impacts B'!H406</f>
        <v>-194.11973788603791</v>
      </c>
      <c r="I406" s="26">
        <f ca="1">'Impacts A'!I406-'Impacts B'!I406</f>
        <v>-1032.5365675752982</v>
      </c>
      <c r="J406" s="26">
        <f ca="1">'Impacts A'!J406-'Impacts B'!J406</f>
        <v>-2104.3946245447733</v>
      </c>
      <c r="K406" s="26">
        <f ca="1">'Impacts A'!K406-'Impacts B'!K406</f>
        <v>-2910.58295710932</v>
      </c>
      <c r="L406" s="26">
        <f ca="1">'Impacts A'!L406-'Impacts B'!L406</f>
        <v>-3448.2740222841967</v>
      </c>
      <c r="M406" s="6"/>
      <c r="N406" s="1" t="str">
        <f t="shared" si="13"/>
        <v>$M(2015)/million</v>
      </c>
      <c r="O406" s="1"/>
    </row>
    <row r="407" spans="1:15" x14ac:dyDescent="0.25">
      <c r="A407" t="str">
        <v>LA discontinuity</v>
      </c>
      <c r="C407" s="26">
        <f ca="1">'Impacts A'!C407-'Impacts B'!C407</f>
        <v>-0.23237789551421884</v>
      </c>
      <c r="D407" s="26">
        <f ca="1">'Impacts A'!D407-'Impacts B'!D407</f>
        <v>-2.4100739742534643</v>
      </c>
      <c r="E407" s="26">
        <f ca="1">'Impacts A'!E407-'Impacts B'!E407</f>
        <v>-7.5453507280399208</v>
      </c>
      <c r="F407" s="26">
        <f ca="1">'Impacts A'!F407-'Impacts B'!F407</f>
        <v>-17.054482052997628</v>
      </c>
      <c r="G407" s="26">
        <f ca="1">'Impacts A'!G407-'Impacts B'!G407</f>
        <v>-70.280756385545828</v>
      </c>
      <c r="H407" s="26">
        <f ca="1">'Impacts A'!H407-'Impacts B'!H407</f>
        <v>-175.89372156003083</v>
      </c>
      <c r="I407" s="26">
        <f ca="1">'Impacts A'!I407-'Impacts B'!I407</f>
        <v>-464.62339410171262</v>
      </c>
      <c r="J407" s="26">
        <f ca="1">'Impacts A'!J407-'Impacts B'!J407</f>
        <v>-641.2644327065791</v>
      </c>
      <c r="K407" s="26">
        <f ca="1">'Impacts A'!K407-'Impacts B'!K407</f>
        <v>-723.31192533811554</v>
      </c>
      <c r="L407" s="26">
        <f ca="1">'Impacts A'!L407-'Impacts B'!L407</f>
        <v>-773.83767479157541</v>
      </c>
      <c r="M407" s="6"/>
      <c r="N407" s="1" t="str">
        <f t="shared" si="13"/>
        <v>$M(2015)/million</v>
      </c>
      <c r="O407" s="1"/>
    </row>
    <row r="408" spans="1:15" ht="15" x14ac:dyDescent="0.4">
      <c r="A408" s="2" t="s">
        <v>117</v>
      </c>
      <c r="B408" s="2"/>
      <c r="C408" s="53" t="s">
        <v>255</v>
      </c>
      <c r="D408" s="1"/>
      <c r="E408" s="1"/>
      <c r="F408" s="1"/>
      <c r="G408" s="1"/>
      <c r="H408" s="1"/>
      <c r="I408" s="1"/>
      <c r="J408" s="1"/>
      <c r="K408" s="1"/>
      <c r="L408" s="1"/>
      <c r="M408" s="1"/>
      <c r="N408" s="1"/>
    </row>
    <row r="409" spans="1:15" x14ac:dyDescent="0.25">
      <c r="A409" s="1" t="str">
        <f t="array" ref="A409:A416">R_CODE&amp;" total"</f>
        <v>EU total</v>
      </c>
      <c r="C409" s="28">
        <f ca="1">'Impacts A'!C409-'Impacts B'!C409</f>
        <v>6.7369173335027881</v>
      </c>
      <c r="D409" s="28">
        <f ca="1">'Impacts A'!D409-'Impacts B'!D409</f>
        <v>405.1184434392635</v>
      </c>
      <c r="E409" s="28">
        <f ca="1">'Impacts A'!E409-'Impacts B'!E409</f>
        <v>1301.4554343034106</v>
      </c>
      <c r="F409" s="28">
        <f ca="1">'Impacts A'!F409-'Impacts B'!F409</f>
        <v>2451.4088364888739</v>
      </c>
      <c r="G409" s="28">
        <f ca="1">'Impacts A'!G409-'Impacts B'!G409</f>
        <v>5074.1585234973318</v>
      </c>
      <c r="H409" s="28">
        <f ca="1">'Impacts A'!H409-'Impacts B'!H409</f>
        <v>6301.6278884191415</v>
      </c>
      <c r="I409" s="28">
        <f ca="1">'Impacts A'!I409-'Impacts B'!I409</f>
        <v>8515.5824168901308</v>
      </c>
      <c r="J409" s="28">
        <f ca="1">'Impacts A'!J409-'Impacts B'!J409</f>
        <v>7760.0488188330201</v>
      </c>
      <c r="K409" s="28">
        <f ca="1">'Impacts A'!K409-'Impacts B'!K409</f>
        <v>6959.713246215033</v>
      </c>
      <c r="L409" s="28">
        <f ca="1">'Impacts A'!L409-'Impacts B'!L409</f>
        <v>6195.9151473289676</v>
      </c>
      <c r="M409" s="1"/>
      <c r="N409" s="1" t="str">
        <f t="array" ref="N409:N417">CURRENCY_NAME</f>
        <v>$M(2015)</v>
      </c>
    </row>
    <row r="410" spans="1:15" x14ac:dyDescent="0.25">
      <c r="A410" s="1" t="str">
        <v>US total</v>
      </c>
      <c r="C410" s="28">
        <f ca="1">'Impacts A'!C410-'Impacts B'!C410</f>
        <v>62.491667468428204</v>
      </c>
      <c r="D410" s="28">
        <f ca="1">'Impacts A'!D410-'Impacts B'!D410</f>
        <v>685.58432815126434</v>
      </c>
      <c r="E410" s="28">
        <f ca="1">'Impacts A'!E410-'Impacts B'!E410</f>
        <v>1868.0426298023231</v>
      </c>
      <c r="F410" s="28">
        <f ca="1">'Impacts A'!F410-'Impacts B'!F410</f>
        <v>3434.874581682976</v>
      </c>
      <c r="G410" s="28">
        <f ca="1">'Impacts A'!G410-'Impacts B'!G410</f>
        <v>7925.5174753302417</v>
      </c>
      <c r="H410" s="28">
        <f ca="1">'Impacts A'!H410-'Impacts B'!H410</f>
        <v>11001.223684049357</v>
      </c>
      <c r="I410" s="28">
        <f ca="1">'Impacts A'!I410-'Impacts B'!I410</f>
        <v>13855.44567383411</v>
      </c>
      <c r="J410" s="28">
        <f ca="1">'Impacts A'!J410-'Impacts B'!J410</f>
        <v>12681.551257642466</v>
      </c>
      <c r="K410" s="28">
        <f ca="1">'Impacts A'!K410-'Impacts B'!K410</f>
        <v>11190.150323675582</v>
      </c>
      <c r="L410" s="28">
        <f ca="1">'Impacts A'!L410-'Impacts B'!L410</f>
        <v>9909.2072281860383</v>
      </c>
      <c r="M410" s="1"/>
      <c r="N410" s="1" t="str">
        <v>$M(2015)</v>
      </c>
    </row>
    <row r="411" spans="1:15" x14ac:dyDescent="0.25">
      <c r="A411" s="1" t="str">
        <v>OT total</v>
      </c>
      <c r="C411" s="28">
        <f ca="1">'Impacts A'!C411-'Impacts B'!C411</f>
        <v>28.543481549608259</v>
      </c>
      <c r="D411" s="28">
        <f ca="1">'Impacts A'!D411-'Impacts B'!D411</f>
        <v>370.75338090613513</v>
      </c>
      <c r="E411" s="28">
        <f ca="1">'Impacts A'!E411-'Impacts B'!E411</f>
        <v>1005.5262822156074</v>
      </c>
      <c r="F411" s="28">
        <f ca="1">'Impacts A'!F411-'Impacts B'!F411</f>
        <v>1770.5445498843183</v>
      </c>
      <c r="G411" s="28">
        <f ca="1">'Impacts A'!G411-'Impacts B'!G411</f>
        <v>3386.0698821661717</v>
      </c>
      <c r="H411" s="28">
        <f ca="1">'Impacts A'!H411-'Impacts B'!H411</f>
        <v>3912.1844337160801</v>
      </c>
      <c r="I411" s="28">
        <f ca="1">'Impacts A'!I411-'Impacts B'!I411</f>
        <v>5349.1792751390603</v>
      </c>
      <c r="J411" s="28">
        <f ca="1">'Impacts A'!J411-'Impacts B'!J411</f>
        <v>5310.3961868989281</v>
      </c>
      <c r="K411" s="28">
        <f ca="1">'Impacts A'!K411-'Impacts B'!K411</f>
        <v>5197.4166492440272</v>
      </c>
      <c r="L411" s="28">
        <f ca="1">'Impacts A'!L411-'Impacts B'!L411</f>
        <v>5123.8406953544181</v>
      </c>
      <c r="M411" s="1"/>
      <c r="N411" s="1" t="str">
        <v>$M(2015)</v>
      </c>
    </row>
    <row r="412" spans="1:15" x14ac:dyDescent="0.25">
      <c r="A412" s="1" t="str">
        <v>EE total</v>
      </c>
      <c r="C412" s="28">
        <f ca="1">'Impacts A'!C412-'Impacts B'!C412</f>
        <v>-44.661059133930394</v>
      </c>
      <c r="D412" s="28">
        <f ca="1">'Impacts A'!D412-'Impacts B'!D412</f>
        <v>86.988819818412594</v>
      </c>
      <c r="E412" s="28">
        <f ca="1">'Impacts A'!E412-'Impacts B'!E412</f>
        <v>632.34490439916772</v>
      </c>
      <c r="F412" s="28">
        <f ca="1">'Impacts A'!F412-'Impacts B'!F412</f>
        <v>1370.5077178761021</v>
      </c>
      <c r="G412" s="28">
        <f ca="1">'Impacts A'!G412-'Impacts B'!G412</f>
        <v>2820.8668936042995</v>
      </c>
      <c r="H412" s="28">
        <f ca="1">'Impacts A'!H412-'Impacts B'!H412</f>
        <v>3041.6741235477893</v>
      </c>
      <c r="I412" s="28">
        <f ca="1">'Impacts A'!I412-'Impacts B'!I412</f>
        <v>3132.4805801212478</v>
      </c>
      <c r="J412" s="28">
        <f ca="1">'Impacts A'!J412-'Impacts B'!J412</f>
        <v>2509.2714744641235</v>
      </c>
      <c r="K412" s="28">
        <f ca="1">'Impacts A'!K412-'Impacts B'!K412</f>
        <v>2102.8081921459852</v>
      </c>
      <c r="L412" s="28">
        <f ca="1">'Impacts A'!L412-'Impacts B'!L412</f>
        <v>1667.834456010205</v>
      </c>
      <c r="M412" s="1"/>
      <c r="N412" s="1" t="str">
        <v>$M(2015)</v>
      </c>
    </row>
    <row r="413" spans="1:15" x14ac:dyDescent="0.25">
      <c r="A413" s="1" t="str">
        <v>CA total</v>
      </c>
      <c r="C413" s="28">
        <f ca="1">'Impacts A'!C413-'Impacts B'!C413</f>
        <v>436.07207731879316</v>
      </c>
      <c r="D413" s="28">
        <f ca="1">'Impacts A'!D413-'Impacts B'!D413</f>
        <v>3599.6144892570446</v>
      </c>
      <c r="E413" s="28">
        <f ca="1">'Impacts A'!E413-'Impacts B'!E413</f>
        <v>8062.6746690917062</v>
      </c>
      <c r="F413" s="28">
        <f ca="1">'Impacts A'!F413-'Impacts B'!F413</f>
        <v>12547.559899205924</v>
      </c>
      <c r="G413" s="28">
        <f ca="1">'Impacts A'!G413-'Impacts B'!G413</f>
        <v>19691.898427448585</v>
      </c>
      <c r="H413" s="28">
        <f ca="1">'Impacts A'!H413-'Impacts B'!H413</f>
        <v>18739.670983901364</v>
      </c>
      <c r="I413" s="28">
        <f ca="1">'Impacts A'!I413-'Impacts B'!I413</f>
        <v>27797.688320570509</v>
      </c>
      <c r="J413" s="28">
        <f ca="1">'Impacts A'!J413-'Impacts B'!J413</f>
        <v>30958.661403406586</v>
      </c>
      <c r="K413" s="28">
        <f ca="1">'Impacts A'!K413-'Impacts B'!K413</f>
        <v>32870.379845518211</v>
      </c>
      <c r="L413" s="28">
        <f ca="1">'Impacts A'!L413-'Impacts B'!L413</f>
        <v>34750.430412083864</v>
      </c>
      <c r="M413" s="1"/>
      <c r="N413" s="1" t="str">
        <v>$M(2015)</v>
      </c>
    </row>
    <row r="414" spans="1:15" x14ac:dyDescent="0.25">
      <c r="A414" s="1" t="str">
        <v>IA total</v>
      </c>
      <c r="C414" s="28">
        <f ca="1">'Impacts A'!C414-'Impacts B'!C414</f>
        <v>1883.0702110676793</v>
      </c>
      <c r="D414" s="28">
        <f ca="1">'Impacts A'!D414-'Impacts B'!D414</f>
        <v>13832.327823154861</v>
      </c>
      <c r="E414" s="28">
        <f ca="1">'Impacts A'!E414-'Impacts B'!E414</f>
        <v>29949.94682063465</v>
      </c>
      <c r="F414" s="28">
        <f ca="1">'Impacts A'!F414-'Impacts B'!F414</f>
        <v>46678.041174480459</v>
      </c>
      <c r="G414" s="28">
        <f ca="1">'Impacts A'!G414-'Impacts B'!G414</f>
        <v>78853.62280125916</v>
      </c>
      <c r="H414" s="28">
        <f ca="1">'Impacts A'!H414-'Impacts B'!H414</f>
        <v>84384.088814211311</v>
      </c>
      <c r="I414" s="28">
        <f ca="1">'Impacts A'!I414-'Impacts B'!I414</f>
        <v>114201.32026814786</v>
      </c>
      <c r="J414" s="28">
        <f ca="1">'Impacts A'!J414-'Impacts B'!J414</f>
        <v>123224.4535053958</v>
      </c>
      <c r="K414" s="28">
        <f ca="1">'Impacts A'!K414-'Impacts B'!K414</f>
        <v>127150.23574426328</v>
      </c>
      <c r="L414" s="28">
        <f ca="1">'Impacts A'!L414-'Impacts B'!L414</f>
        <v>132124.39566423453</v>
      </c>
      <c r="M414" s="1"/>
      <c r="N414" s="1" t="str">
        <v>$M(2015)</v>
      </c>
    </row>
    <row r="415" spans="1:15" x14ac:dyDescent="0.25">
      <c r="A415" s="1" t="str">
        <v>AF total</v>
      </c>
      <c r="C415" s="28">
        <f ca="1">'Impacts A'!C415-'Impacts B'!C415</f>
        <v>1170.9740084126242</v>
      </c>
      <c r="D415" s="28">
        <f ca="1">'Impacts A'!D415-'Impacts B'!D415</f>
        <v>10102.009274264914</v>
      </c>
      <c r="E415" s="28">
        <f ca="1">'Impacts A'!E415-'Impacts B'!E415</f>
        <v>25042.625441012904</v>
      </c>
      <c r="F415" s="28">
        <f ca="1">'Impacts A'!F415-'Impacts B'!F415</f>
        <v>43552.431893416448</v>
      </c>
      <c r="G415" s="28">
        <f ca="1">'Impacts A'!G415-'Impacts B'!G415</f>
        <v>91170.972718709381</v>
      </c>
      <c r="H415" s="28">
        <f ca="1">'Impacts A'!H415-'Impacts B'!H415</f>
        <v>118262.80857663904</v>
      </c>
      <c r="I415" s="28">
        <f ca="1">'Impacts A'!I415-'Impacts B'!I415</f>
        <v>132769.89169618848</v>
      </c>
      <c r="J415" s="28">
        <f ca="1">'Impacts A'!J415-'Impacts B'!J415</f>
        <v>126414.12700491969</v>
      </c>
      <c r="K415" s="28">
        <f ca="1">'Impacts A'!K415-'Impacts B'!K415</f>
        <v>120544.38176231633</v>
      </c>
      <c r="L415" s="28">
        <f ca="1">'Impacts A'!L415-'Impacts B'!L415</f>
        <v>119015.54101713386</v>
      </c>
      <c r="M415" s="1"/>
      <c r="N415" s="1" t="str">
        <v>$M(2015)</v>
      </c>
    </row>
    <row r="416" spans="1:15" x14ac:dyDescent="0.25">
      <c r="A416" s="1" t="str">
        <v>LA total</v>
      </c>
      <c r="C416" s="28">
        <f ca="1">'Impacts A'!C416-'Impacts B'!C416</f>
        <v>339.87172251928132</v>
      </c>
      <c r="D416" s="28">
        <f ca="1">'Impacts A'!D416-'Impacts B'!D416</f>
        <v>2674.414800692728</v>
      </c>
      <c r="E416" s="28">
        <f ca="1">'Impacts A'!E416-'Impacts B'!E416</f>
        <v>6089.0261887122178</v>
      </c>
      <c r="F416" s="28">
        <f ca="1">'Impacts A'!F416-'Impacts B'!F416</f>
        <v>9782.6779654572601</v>
      </c>
      <c r="G416" s="28">
        <f ca="1">'Impacts A'!G416-'Impacts B'!G416</f>
        <v>17346.345846940414</v>
      </c>
      <c r="H416" s="28">
        <f ca="1">'Impacts A'!H416-'Impacts B'!H416</f>
        <v>19310.97517533222</v>
      </c>
      <c r="I416" s="28">
        <f ca="1">'Impacts A'!I416-'Impacts B'!I416</f>
        <v>25157.565106105409</v>
      </c>
      <c r="J416" s="28">
        <f ca="1">'Impacts A'!J416-'Impacts B'!J416</f>
        <v>26191.4512743183</v>
      </c>
      <c r="K416" s="28">
        <f ca="1">'Impacts A'!K416-'Impacts B'!K416</f>
        <v>26403.545454673847</v>
      </c>
      <c r="L416" s="28">
        <f ca="1">'Impacts A'!L416-'Impacts B'!L416</f>
        <v>26996.580868852616</v>
      </c>
      <c r="M416" s="1"/>
      <c r="N416" s="1" t="str">
        <v>$M(2015)</v>
      </c>
    </row>
    <row r="417" spans="1:14" ht="13.5" thickBot="1" x14ac:dyDescent="0.35">
      <c r="A417" s="2" t="s">
        <v>257</v>
      </c>
      <c r="B417" s="2"/>
      <c r="C417" s="42">
        <f ca="1">'Impacts A'!C417-'Impacts B'!C417</f>
        <v>3883.0990265361033</v>
      </c>
      <c r="D417" s="42">
        <f ca="1">'Impacts A'!D417-'Impacts B'!D417</f>
        <v>31756.811359684449</v>
      </c>
      <c r="E417" s="42">
        <f ca="1">'Impacts A'!E417-'Impacts B'!E417</f>
        <v>73951.642370172776</v>
      </c>
      <c r="F417" s="42">
        <f ca="1">'Impacts A'!F417-'Impacts B'!F417</f>
        <v>121588.04661849234</v>
      </c>
      <c r="G417" s="42">
        <f ca="1">'Impacts A'!G417-'Impacts B'!G417</f>
        <v>226269.45256895572</v>
      </c>
      <c r="H417" s="42">
        <f ca="1">'Impacts A'!H417-'Impacts B'!H417</f>
        <v>264954.25367981615</v>
      </c>
      <c r="I417" s="42">
        <f ca="1">'Impacts A'!I417-'Impacts B'!I417</f>
        <v>330779.15333699668</v>
      </c>
      <c r="J417" s="42">
        <f ca="1">'Impacts A'!J417-'Impacts B'!J417</f>
        <v>335049.96092587849</v>
      </c>
      <c r="K417" s="42">
        <f ca="1">'Impacts A'!K417-'Impacts B'!K417</f>
        <v>332418.63121805293</v>
      </c>
      <c r="L417" s="42">
        <f ca="1">'Impacts A'!L417-'Impacts B'!L417</f>
        <v>335783.74548918381</v>
      </c>
      <c r="M417" s="1"/>
      <c r="N417" s="1" t="str">
        <v>$M(2015)</v>
      </c>
    </row>
    <row r="418" spans="1:14" ht="15.5" thickTop="1" x14ac:dyDescent="0.4">
      <c r="A418" s="2" t="s">
        <v>87</v>
      </c>
      <c r="B418" s="2"/>
      <c r="C418" s="53" t="s">
        <v>256</v>
      </c>
      <c r="D418" s="1"/>
      <c r="E418" s="1"/>
      <c r="F418" s="1"/>
      <c r="G418" s="1"/>
      <c r="H418" s="1"/>
      <c r="I418" s="1"/>
      <c r="J418" s="1"/>
      <c r="K418" s="1"/>
      <c r="L418" s="1"/>
      <c r="M418" s="1"/>
      <c r="N418" s="1"/>
    </row>
    <row r="419" spans="1:14" x14ac:dyDescent="0.25">
      <c r="A419" s="1" t="str">
        <f t="array" ref="A419:A426">R_CODE&amp;" total"</f>
        <v>EU total</v>
      </c>
      <c r="C419" s="28">
        <f ca="1">'Impacts A'!C419-'Impacts B'!C419</f>
        <v>6.3993786796272616</v>
      </c>
      <c r="D419" s="28">
        <f ca="1">'Impacts A'!D419-'Impacts B'!D419</f>
        <v>347.22564284301188</v>
      </c>
      <c r="E419" s="28">
        <f ca="1">'Impacts A'!E419-'Impacts B'!E419</f>
        <v>1006.4964790520535</v>
      </c>
      <c r="F419" s="28">
        <f ca="1">'Impacts A'!F419-'Impacts B'!F419</f>
        <v>1710.6134781437722</v>
      </c>
      <c r="G419" s="28">
        <f ca="1">'Impacts A'!G419-'Impacts B'!G419</f>
        <v>2738.3132771080418</v>
      </c>
      <c r="H419" s="28">
        <f ca="1">'Impacts A'!H419-'Impacts B'!H419</f>
        <v>2629.9943433348963</v>
      </c>
      <c r="I419" s="28">
        <f ca="1">'Impacts A'!I419-'Impacts B'!I419</f>
        <v>2125.6038796956709</v>
      </c>
      <c r="J419" s="28">
        <f ca="1">'Impacts A'!J419-'Impacts B'!J419</f>
        <v>1158.506163206097</v>
      </c>
      <c r="K419" s="28">
        <f ca="1">'Impacts A'!K419-'Impacts B'!K419</f>
        <v>621.42848841820432</v>
      </c>
      <c r="L419" s="28">
        <f ca="1">'Impacts A'!L419-'Impacts B'!L419</f>
        <v>330.88051407522471</v>
      </c>
      <c r="M419" s="1"/>
      <c r="N419" s="1" t="str">
        <f t="array" ref="N419:N427">CURRENCY_NAME</f>
        <v>$M(2015)</v>
      </c>
    </row>
    <row r="420" spans="1:14" x14ac:dyDescent="0.25">
      <c r="A420" s="1" t="str">
        <v>US total</v>
      </c>
      <c r="C420" s="28">
        <f ca="1">'Impacts A'!C420-'Impacts B'!C420</f>
        <v>59.360657798650209</v>
      </c>
      <c r="D420" s="28">
        <f ca="1">'Impacts A'!D420-'Impacts B'!D420</f>
        <v>587.61200068913604</v>
      </c>
      <c r="E420" s="28">
        <f ca="1">'Impacts A'!E420-'Impacts B'!E420</f>
        <v>1444.6736169813812</v>
      </c>
      <c r="F420" s="28">
        <f ca="1">'Impacts A'!F420-'Impacts B'!F420</f>
        <v>2396.884056098992</v>
      </c>
      <c r="G420" s="28">
        <f ca="1">'Impacts A'!G420-'Impacts B'!G420</f>
        <v>4277.0736527344998</v>
      </c>
      <c r="H420" s="28">
        <f ca="1">'Impacts A'!H420-'Impacts B'!H420</f>
        <v>4591.3780647035383</v>
      </c>
      <c r="I420" s="28">
        <f ca="1">'Impacts A'!I420-'Impacts B'!I420</f>
        <v>3458.5055533958221</v>
      </c>
      <c r="J420" s="28">
        <f ca="1">'Impacts A'!J420-'Impacts B'!J420</f>
        <v>1893.2426372547234</v>
      </c>
      <c r="K420" s="28">
        <f ca="1">'Impacts A'!K420-'Impacts B'!K420</f>
        <v>999.16159686550236</v>
      </c>
      <c r="L420" s="28">
        <f ca="1">'Impacts A'!L420-'Impacts B'!L420</f>
        <v>529.18148550720389</v>
      </c>
      <c r="M420" s="1"/>
      <c r="N420" s="1" t="str">
        <v>$M(2015)</v>
      </c>
    </row>
    <row r="421" spans="1:14" x14ac:dyDescent="0.25">
      <c r="A421" s="1" t="str">
        <v>OT total</v>
      </c>
      <c r="C421" s="28">
        <f ca="1">'Impacts A'!C421-'Impacts B'!C421</f>
        <v>27.113372218856966</v>
      </c>
      <c r="D421" s="28">
        <f ca="1">'Impacts A'!D421-'Impacts B'!D421</f>
        <v>317.77146438570344</v>
      </c>
      <c r="E421" s="28">
        <f ca="1">'Impacts A'!E421-'Impacts B'!E421</f>
        <v>777.63604958628275</v>
      </c>
      <c r="F421" s="28">
        <f ca="1">'Impacts A'!F421-'Impacts B'!F421</f>
        <v>1235.5007151822647</v>
      </c>
      <c r="G421" s="28">
        <f ca="1">'Impacts A'!G421-'Impacts B'!G421</f>
        <v>1827.3217268664557</v>
      </c>
      <c r="H421" s="28">
        <f ca="1">'Impacts A'!H421-'Impacts B'!H421</f>
        <v>1632.7563469218585</v>
      </c>
      <c r="I421" s="28">
        <f ca="1">'Impacts A'!I421-'Impacts B'!I421</f>
        <v>1335.2270771134918</v>
      </c>
      <c r="J421" s="28">
        <f ca="1">'Impacts A'!J421-'Impacts B'!J421</f>
        <v>792.79484642646094</v>
      </c>
      <c r="K421" s="28">
        <f ca="1">'Impacts A'!K421-'Impacts B'!K421</f>
        <v>464.07411595238227</v>
      </c>
      <c r="L421" s="28">
        <f ca="1">'Impacts A'!L421-'Impacts B'!L421</f>
        <v>273.6285121737501</v>
      </c>
      <c r="M421" s="1"/>
      <c r="N421" s="1" t="str">
        <v>$M(2015)</v>
      </c>
    </row>
    <row r="422" spans="1:14" x14ac:dyDescent="0.25">
      <c r="A422" s="1" t="str">
        <v>EE total</v>
      </c>
      <c r="C422" s="28">
        <f ca="1">'Impacts A'!C422-'Impacts B'!C422</f>
        <v>-42.423413481712487</v>
      </c>
      <c r="D422" s="28">
        <f ca="1">'Impacts A'!D422-'Impacts B'!D422</f>
        <v>74.557822214113912</v>
      </c>
      <c r="E422" s="28">
        <f ca="1">'Impacts A'!E422-'Impacts B'!E422</f>
        <v>489.03166643191616</v>
      </c>
      <c r="F422" s="28">
        <f ca="1">'Impacts A'!F422-'Impacts B'!F422</f>
        <v>956.35168610095934</v>
      </c>
      <c r="G422" s="28">
        <f ca="1">'Impacts A'!G422-'Impacts B'!G422</f>
        <v>1522.3050742189171</v>
      </c>
      <c r="H422" s="28">
        <f ca="1">'Impacts A'!H422-'Impacts B'!H422</f>
        <v>1269.4474952892915</v>
      </c>
      <c r="I422" s="28">
        <f ca="1">'Impacts A'!I422-'Impacts B'!I422</f>
        <v>781.90927504506544</v>
      </c>
      <c r="J422" s="28">
        <f ca="1">'Impacts A'!J422-'Impacts B'!J422</f>
        <v>374.61187889293478</v>
      </c>
      <c r="K422" s="28">
        <f ca="1">'Impacts A'!K422-'Impacts B'!K422</f>
        <v>187.75844205784711</v>
      </c>
      <c r="L422" s="28">
        <f ca="1">'Impacts A'!L422-'Impacts B'!L422</f>
        <v>89.067378922213038</v>
      </c>
      <c r="M422" s="1"/>
      <c r="N422" s="1" t="str">
        <v>$M(2015)</v>
      </c>
    </row>
    <row r="423" spans="1:14" x14ac:dyDescent="0.25">
      <c r="A423" s="1" t="str">
        <v>CA total</v>
      </c>
      <c r="C423" s="28">
        <f ca="1">'Impacts A'!C423-'Impacts B'!C423</f>
        <v>414.22363021993078</v>
      </c>
      <c r="D423" s="28">
        <f ca="1">'Impacts A'!D423-'Impacts B'!D423</f>
        <v>3085.2173611460603</v>
      </c>
      <c r="E423" s="28">
        <f ca="1">'Impacts A'!E423-'Impacts B'!E423</f>
        <v>6235.3680750708445</v>
      </c>
      <c r="F423" s="28">
        <f ca="1">'Impacts A'!F423-'Impacts B'!F423</f>
        <v>8755.7916745297844</v>
      </c>
      <c r="G423" s="28">
        <f ca="1">'Impacts A'!G423-'Impacts B'!G423</f>
        <v>10626.902306193515</v>
      </c>
      <c r="H423" s="28">
        <f ca="1">'Impacts A'!H423-'Impacts B'!H423</f>
        <v>7821.0312567315996</v>
      </c>
      <c r="I423" s="28">
        <f ca="1">'Impacts A'!I423-'Impacts B'!I423</f>
        <v>6938.6767983808677</v>
      </c>
      <c r="J423" s="28">
        <f ca="1">'Impacts A'!J423-'Impacts B'!J423</f>
        <v>4621.852372038411</v>
      </c>
      <c r="K423" s="28">
        <f ca="1">'Impacts A'!K423-'Impacts B'!K423</f>
        <v>2934.9758730708309</v>
      </c>
      <c r="L423" s="28">
        <f ca="1">'Impacts A'!L423-'Impacts B'!L423</f>
        <v>1855.7775575804117</v>
      </c>
      <c r="M423" s="1"/>
      <c r="N423" s="1" t="str">
        <v>$M(2015)</v>
      </c>
    </row>
    <row r="424" spans="1:14" x14ac:dyDescent="0.25">
      <c r="A424" s="1" t="str">
        <v>IA total</v>
      </c>
      <c r="C424" s="28">
        <f ca="1">'Impacts A'!C424-'Impacts B'!C424</f>
        <v>1788.723056021845</v>
      </c>
      <c r="D424" s="28">
        <f ca="1">'Impacts A'!D424-'Impacts B'!D424</f>
        <v>11855.64122836641</v>
      </c>
      <c r="E424" s="28">
        <f ca="1">'Impacts A'!E424-'Impacts B'!E424</f>
        <v>23162.157710686093</v>
      </c>
      <c r="F424" s="28">
        <f ca="1">'Impacts A'!F424-'Impacts B'!F424</f>
        <v>32572.32542278897</v>
      </c>
      <c r="G424" s="28">
        <f ca="1">'Impacts A'!G424-'Impacts B'!G424</f>
        <v>42554.035563700134</v>
      </c>
      <c r="H424" s="28">
        <f ca="1">'Impacts A'!H424-'Impacts B'!H424</f>
        <v>35217.832626502495</v>
      </c>
      <c r="I424" s="28">
        <f ca="1">'Impacts A'!I424-'Impacts B'!I424</f>
        <v>28506.185196078819</v>
      </c>
      <c r="J424" s="28">
        <f ca="1">'Impacts A'!J424-'Impacts B'!J424</f>
        <v>18396.31324190204</v>
      </c>
      <c r="K424" s="28">
        <f ca="1">'Impacts A'!K424-'Impacts B'!K424</f>
        <v>11353.165856875959</v>
      </c>
      <c r="L424" s="28">
        <f ca="1">'Impacts A'!L424-'Impacts B'!L424</f>
        <v>7055.8403270107228</v>
      </c>
      <c r="M424" s="1"/>
      <c r="N424" s="1" t="str">
        <v>$M(2015)</v>
      </c>
    </row>
    <row r="425" spans="1:14" x14ac:dyDescent="0.25">
      <c r="A425" s="1" t="str">
        <v>AF total</v>
      </c>
      <c r="C425" s="28">
        <f ca="1">'Impacts A'!C425-'Impacts B'!C425</f>
        <v>1112.3048915219842</v>
      </c>
      <c r="D425" s="28">
        <f ca="1">'Impacts A'!D425-'Impacts B'!D425</f>
        <v>8658.39786133694</v>
      </c>
      <c r="E425" s="28">
        <f ca="1">'Impacts A'!E425-'Impacts B'!E425</f>
        <v>19367.02069717017</v>
      </c>
      <c r="F425" s="28">
        <f ca="1">'Impacts A'!F425-'Impacts B'!F425</f>
        <v>30391.249266085215</v>
      </c>
      <c r="G425" s="28">
        <f ca="1">'Impacts A'!G425-'Impacts B'!G425</f>
        <v>49201.199356780038</v>
      </c>
      <c r="H425" s="28">
        <f ca="1">'Impacts A'!H425-'Impacts B'!H425</f>
        <v>49357.169780693715</v>
      </c>
      <c r="I425" s="28">
        <f ca="1">'Impacts A'!I425-'Impacts B'!I425</f>
        <v>33141.150314796309</v>
      </c>
      <c r="J425" s="28">
        <f ca="1">'Impacts A'!J425-'Impacts B'!J425</f>
        <v>18872.503082208917</v>
      </c>
      <c r="K425" s="28">
        <f ca="1">'Impacts A'!K425-'Impacts B'!K425</f>
        <v>10763.333243162306</v>
      </c>
      <c r="L425" s="28">
        <f ca="1">'Impacts A'!L425-'Impacts B'!L425</f>
        <v>6355.7880407169141</v>
      </c>
      <c r="M425" s="1"/>
      <c r="N425" s="1" t="str">
        <v>$M(2015)</v>
      </c>
    </row>
    <row r="426" spans="1:14" x14ac:dyDescent="0.25">
      <c r="A426" s="1" t="str">
        <v>LA total</v>
      </c>
      <c r="C426" s="28">
        <f ca="1">'Impacts A'!C426-'Impacts B'!C426</f>
        <v>322.84318587112648</v>
      </c>
      <c r="D426" s="28">
        <f ca="1">'Impacts A'!D426-'Impacts B'!D426</f>
        <v>2292.23184833501</v>
      </c>
      <c r="E426" s="28">
        <f ca="1">'Impacts A'!E426-'Impacts B'!E426</f>
        <v>4709.0228818129399</v>
      </c>
      <c r="F426" s="28">
        <f ca="1">'Impacts A'!F426-'Impacts B'!F426</f>
        <v>6826.4340614925022</v>
      </c>
      <c r="G426" s="28">
        <f ca="1">'Impacts A'!G426-'Impacts B'!G426</f>
        <v>9361.1046880037175</v>
      </c>
      <c r="H426" s="28">
        <f ca="1">'Impacts A'!H426-'Impacts B'!H426</f>
        <v>8059.4659625554777</v>
      </c>
      <c r="I426" s="28">
        <f ca="1">'Impacts A'!I426-'Impacts B'!I426</f>
        <v>6279.6665424985622</v>
      </c>
      <c r="J426" s="28">
        <f ca="1">'Impacts A'!J426-'Impacts B'!J426</f>
        <v>3910.1503654165135</v>
      </c>
      <c r="K426" s="28">
        <f ca="1">'Impacts A'!K426-'Impacts B'!K426</f>
        <v>2357.5562326080908</v>
      </c>
      <c r="L426" s="28">
        <f ca="1">'Impacts A'!L426-'Impacts B'!L426</f>
        <v>1441.6986585121576</v>
      </c>
      <c r="M426" s="1"/>
      <c r="N426" s="1" t="str">
        <v>$M(2015)</v>
      </c>
    </row>
    <row r="427" spans="1:14" ht="13.5" thickBot="1" x14ac:dyDescent="0.35">
      <c r="A427" s="2" t="s">
        <v>257</v>
      </c>
      <c r="B427" s="2"/>
      <c r="C427" s="42">
        <f ca="1">'Impacts A'!C427-'Impacts B'!C427</f>
        <v>3688.5447588504758</v>
      </c>
      <c r="D427" s="42">
        <f ca="1">'Impacts A'!D427-'Impacts B'!D427</f>
        <v>27218.655229317024</v>
      </c>
      <c r="E427" s="42">
        <f ca="1">'Impacts A'!E427-'Impacts B'!E427</f>
        <v>57191.40717679169</v>
      </c>
      <c r="F427" s="42">
        <f ca="1">'Impacts A'!F427-'Impacts B'!F427</f>
        <v>84845.15036042314</v>
      </c>
      <c r="G427" s="42">
        <f ca="1">'Impacts A'!G427-'Impacts B'!G427</f>
        <v>122108.25564560527</v>
      </c>
      <c r="H427" s="42">
        <f ca="1">'Impacts A'!H427-'Impacts B'!H427</f>
        <v>110579.07587673282</v>
      </c>
      <c r="I427" s="42">
        <f ca="1">'Impacts A'!I427-'Impacts B'!I427</f>
        <v>82566.924637004617</v>
      </c>
      <c r="J427" s="42">
        <f ca="1">'Impacts A'!J427-'Impacts B'!J427</f>
        <v>50019.97458734602</v>
      </c>
      <c r="K427" s="42">
        <f ca="1">'Impacts A'!K427-'Impacts B'!K427</f>
        <v>29681.453849011101</v>
      </c>
      <c r="L427" s="42">
        <f ca="1">'Impacts A'!L427-'Impacts B'!L427</f>
        <v>17931.862474498586</v>
      </c>
      <c r="M427" s="1"/>
      <c r="N427" s="1" t="str">
        <v>$M(2015)</v>
      </c>
    </row>
    <row r="428" spans="1:14" ht="15.5" thickTop="1" x14ac:dyDescent="0.4">
      <c r="A428" s="2" t="s">
        <v>86</v>
      </c>
      <c r="B428" s="2"/>
      <c r="C428" s="2" t="s">
        <v>258</v>
      </c>
      <c r="D428" s="1"/>
      <c r="E428" s="1"/>
      <c r="F428" s="1"/>
      <c r="G428" s="1"/>
      <c r="H428" s="1"/>
      <c r="I428" s="1"/>
      <c r="J428" s="1"/>
      <c r="K428" s="1"/>
      <c r="L428" s="1"/>
      <c r="M428" s="1"/>
      <c r="N428" s="1"/>
    </row>
    <row r="429" spans="1:14" x14ac:dyDescent="0.25">
      <c r="A429" s="1" t="str">
        <f t="array" ref="A429:A436">R_CODE&amp;" total"</f>
        <v>EU total</v>
      </c>
      <c r="B429" s="3"/>
      <c r="C429" s="28">
        <f ca="1">'Impacts A'!C429-'Impacts B'!C429</f>
        <v>63.99378679622896</v>
      </c>
      <c r="D429" s="28">
        <f ca="1">'Impacts A'!D429-'Impacts B'!D429</f>
        <v>3472.2564284300897</v>
      </c>
      <c r="E429" s="28">
        <f ca="1">'Impacts A'!E429-'Impacts B'!E429</f>
        <v>10064.964790520491</v>
      </c>
      <c r="F429" s="28">
        <f ca="1">'Impacts A'!F429-'Impacts B'!F429</f>
        <v>29935.735867516138</v>
      </c>
      <c r="G429" s="28">
        <f ca="1">'Impacts A'!G429-'Impacts B'!G429</f>
        <v>68457.831927701132</v>
      </c>
      <c r="H429" s="28">
        <f ca="1">'Impacts A'!H429-'Impacts B'!H429</f>
        <v>98624.787875058595</v>
      </c>
      <c r="I429" s="28">
        <f ca="1">'Impacts A'!I429-'Impacts B'!I429</f>
        <v>106280.19398478349</v>
      </c>
      <c r="J429" s="28">
        <f ca="1">'Impacts A'!J429-'Impacts B'!J429</f>
        <v>57925.308160304907</v>
      </c>
      <c r="K429" s="28">
        <f ca="1">'Impacts A'!K429-'Impacts B'!K429</f>
        <v>31071.424420910189</v>
      </c>
      <c r="L429" s="28">
        <f ca="1">'Impacts A'!L429-'Impacts B'!L429</f>
        <v>8272.0128518806159</v>
      </c>
      <c r="M429" s="40">
        <f ca="1">_xll.RiskOutput(,"regional and global extra impact",1)+'Impacts A'!M429-'Impacts B'!M429</f>
        <v>414168.51009390224</v>
      </c>
      <c r="N429" s="1" t="str">
        <f t="array" ref="N429:N437">CURRENCY_NAME</f>
        <v>$M(2015)</v>
      </c>
    </row>
    <row r="430" spans="1:14" x14ac:dyDescent="0.25">
      <c r="A430" s="1" t="str">
        <v>US total</v>
      </c>
      <c r="B430" s="3"/>
      <c r="C430" s="28">
        <f ca="1">'Impacts A'!C430-'Impacts B'!C430</f>
        <v>593.60657798650209</v>
      </c>
      <c r="D430" s="28">
        <f ca="1">'Impacts A'!D430-'Impacts B'!D430</f>
        <v>5876.1200068914331</v>
      </c>
      <c r="E430" s="28">
        <f ca="1">'Impacts A'!E430-'Impacts B'!E430</f>
        <v>14446.736169813899</v>
      </c>
      <c r="F430" s="28">
        <f ca="1">'Impacts A'!F430-'Impacts B'!F430</f>
        <v>41945.470981732244</v>
      </c>
      <c r="G430" s="28">
        <f ca="1">'Impacts A'!G430-'Impacts B'!G430</f>
        <v>106926.84131836239</v>
      </c>
      <c r="H430" s="28">
        <f ca="1">'Impacts A'!H430-'Impacts B'!H430</f>
        <v>172176.67742638243</v>
      </c>
      <c r="I430" s="28">
        <f ca="1">'Impacts A'!I430-'Impacts B'!I430</f>
        <v>172925.27766979113</v>
      </c>
      <c r="J430" s="28">
        <f ca="1">'Impacts A'!J430-'Impacts B'!J430</f>
        <v>94662.131862736191</v>
      </c>
      <c r="K430" s="28">
        <f ca="1">'Impacts A'!K430-'Impacts B'!K430</f>
        <v>49958.079843275133</v>
      </c>
      <c r="L430" s="28">
        <f ca="1">'Impacts A'!L430-'Impacts B'!L430</f>
        <v>13229.537137680105</v>
      </c>
      <c r="M430" s="40">
        <f ca="1">_xll.RiskOutput(,"regional and global extra impact",2)+'Impacts A'!M430-'Impacts B'!M430</f>
        <v>672740.47899465077</v>
      </c>
      <c r="N430" s="1" t="str">
        <v>$M(2015)</v>
      </c>
    </row>
    <row r="431" spans="1:14" x14ac:dyDescent="0.25">
      <c r="A431" s="1" t="str">
        <v>OT total</v>
      </c>
      <c r="B431" s="3"/>
      <c r="C431" s="28">
        <f ca="1">'Impacts A'!C431-'Impacts B'!C431</f>
        <v>271.13372218853328</v>
      </c>
      <c r="D431" s="28">
        <f ca="1">'Impacts A'!D431-'Impacts B'!D431</f>
        <v>3177.7146438570344</v>
      </c>
      <c r="E431" s="28">
        <f ca="1">'Impacts A'!E431-'Impacts B'!E431</f>
        <v>7776.3604958628421</v>
      </c>
      <c r="F431" s="28">
        <f ca="1">'Impacts A'!F431-'Impacts B'!F431</f>
        <v>21621.262515689596</v>
      </c>
      <c r="G431" s="28">
        <f ca="1">'Impacts A'!G431-'Impacts B'!G431</f>
        <v>45683.043171661324</v>
      </c>
      <c r="H431" s="28">
        <f ca="1">'Impacts A'!H431-'Impacts B'!H431</f>
        <v>61228.363009569701</v>
      </c>
      <c r="I431" s="28">
        <f ca="1">'Impacts A'!I431-'Impacts B'!I431</f>
        <v>66761.353855674621</v>
      </c>
      <c r="J431" s="28">
        <f ca="1">'Impacts A'!J431-'Impacts B'!J431</f>
        <v>39639.742321323021</v>
      </c>
      <c r="K431" s="28">
        <f ca="1">'Impacts A'!K431-'Impacts B'!K431</f>
        <v>23203.705797619128</v>
      </c>
      <c r="L431" s="28">
        <f ca="1">'Impacts A'!L431-'Impacts B'!L431</f>
        <v>6840.7128043437478</v>
      </c>
      <c r="M431" s="40">
        <f ca="1">_xll.RiskOutput(,"regional and global extra impact",3)+'Impacts A'!M431-'Impacts B'!M431</f>
        <v>276203.39233778883</v>
      </c>
      <c r="N431" s="1" t="str">
        <v>$M(2015)</v>
      </c>
    </row>
    <row r="432" spans="1:14" x14ac:dyDescent="0.25">
      <c r="A432" s="1" t="str">
        <v>EE total</v>
      </c>
      <c r="B432" s="3"/>
      <c r="C432" s="28">
        <f ca="1">'Impacts A'!C432-'Impacts B'!C432</f>
        <v>-424.23413481711759</v>
      </c>
      <c r="D432" s="28">
        <f ca="1">'Impacts A'!D432-'Impacts B'!D432</f>
        <v>745.57822214113548</v>
      </c>
      <c r="E432" s="28">
        <f ca="1">'Impacts A'!E432-'Impacts B'!E432</f>
        <v>4890.3166643191653</v>
      </c>
      <c r="F432" s="28">
        <f ca="1">'Impacts A'!F432-'Impacts B'!F432</f>
        <v>16736.154506766819</v>
      </c>
      <c r="G432" s="28">
        <f ca="1">'Impacts A'!G432-'Impacts B'!G432</f>
        <v>38057.626855472918</v>
      </c>
      <c r="H432" s="28">
        <f ca="1">'Impacts A'!H432-'Impacts B'!H432</f>
        <v>47604.281073348422</v>
      </c>
      <c r="I432" s="28">
        <f ca="1">'Impacts A'!I432-'Impacts B'!I432</f>
        <v>39095.463752253272</v>
      </c>
      <c r="J432" s="28">
        <f ca="1">'Impacts A'!J432-'Impacts B'!J432</f>
        <v>18730.593944646724</v>
      </c>
      <c r="K432" s="28">
        <f ca="1">'Impacts A'!K432-'Impacts B'!K432</f>
        <v>9387.9221028923494</v>
      </c>
      <c r="L432" s="28">
        <f ca="1">'Impacts A'!L432-'Impacts B'!L432</f>
        <v>2226.6844730553239</v>
      </c>
      <c r="M432" s="40">
        <f ca="1">_xll.RiskOutput(,"regional and global extra impact",4)+'Impacts A'!M432-'Impacts B'!M432</f>
        <v>177050.38746007881</v>
      </c>
      <c r="N432" s="1" t="str">
        <v>$M(2015)</v>
      </c>
    </row>
    <row r="433" spans="1:14" x14ac:dyDescent="0.25">
      <c r="A433" s="1" t="str">
        <v>CA total</v>
      </c>
      <c r="B433" s="3"/>
      <c r="C433" s="28">
        <f ca="1">'Impacts A'!C433-'Impacts B'!C433</f>
        <v>4142.2363021993078</v>
      </c>
      <c r="D433" s="28">
        <f ca="1">'Impacts A'!D433-'Impacts B'!D433</f>
        <v>30852.173611460719</v>
      </c>
      <c r="E433" s="28">
        <f ca="1">'Impacts A'!E433-'Impacts B'!E433</f>
        <v>62353.680750708561</v>
      </c>
      <c r="F433" s="28">
        <f ca="1">'Impacts A'!F433-'Impacts B'!F433</f>
        <v>153226.35430427082</v>
      </c>
      <c r="G433" s="28">
        <f ca="1">'Impacts A'!G433-'Impacts B'!G433</f>
        <v>265672.55765483808</v>
      </c>
      <c r="H433" s="28">
        <f ca="1">'Impacts A'!H433-'Impacts B'!H433</f>
        <v>293288.67212743498</v>
      </c>
      <c r="I433" s="28">
        <f ca="1">'Impacts A'!I433-'Impacts B'!I433</f>
        <v>346933.83991904324</v>
      </c>
      <c r="J433" s="28">
        <f ca="1">'Impacts A'!J433-'Impacts B'!J433</f>
        <v>231092.61860192055</v>
      </c>
      <c r="K433" s="28">
        <f ca="1">'Impacts A'!K433-'Impacts B'!K433</f>
        <v>146748.79365354148</v>
      </c>
      <c r="L433" s="28">
        <f ca="1">'Impacts A'!L433-'Impacts B'!L433</f>
        <v>46394.438939510321</v>
      </c>
      <c r="M433" s="40">
        <f ca="1">_xll.RiskOutput(,"regional and global extra impact",5)+'Impacts A'!M433-'Impacts B'!M433</f>
        <v>1580705.36586494</v>
      </c>
      <c r="N433" s="1" t="str">
        <v>$M(2015)</v>
      </c>
    </row>
    <row r="434" spans="1:14" x14ac:dyDescent="0.25">
      <c r="A434" s="1" t="str">
        <v>IA total</v>
      </c>
      <c r="B434" s="3"/>
      <c r="C434" s="28">
        <f ca="1">'Impacts A'!C434-'Impacts B'!C434</f>
        <v>17887.230560217984</v>
      </c>
      <c r="D434" s="28">
        <f ca="1">'Impacts A'!D434-'Impacts B'!D434</f>
        <v>118556.41228366457</v>
      </c>
      <c r="E434" s="28">
        <f ca="1">'Impacts A'!E434-'Impacts B'!E434</f>
        <v>231621.5771068614</v>
      </c>
      <c r="F434" s="28">
        <f ca="1">'Impacts A'!F434-'Impacts B'!F434</f>
        <v>570015.69489880651</v>
      </c>
      <c r="G434" s="28">
        <f ca="1">'Impacts A'!G434-'Impacts B'!G434</f>
        <v>1063850.889092505</v>
      </c>
      <c r="H434" s="28">
        <f ca="1">'Impacts A'!H434-'Impacts B'!H434</f>
        <v>1320668.7234938443</v>
      </c>
      <c r="I434" s="28">
        <f ca="1">'Impacts A'!I434-'Impacts B'!I434</f>
        <v>1425309.2598039415</v>
      </c>
      <c r="J434" s="28">
        <f ca="1">'Impacts A'!J434-'Impacts B'!J434</f>
        <v>919815.66209510248</v>
      </c>
      <c r="K434" s="28">
        <f ca="1">'Impacts A'!K434-'Impacts B'!K434</f>
        <v>567658.29284379771</v>
      </c>
      <c r="L434" s="28">
        <f ca="1">'Impacts A'!L434-'Impacts B'!L434</f>
        <v>176396.00817526807</v>
      </c>
      <c r="M434" s="40">
        <f ca="1">_xll.RiskOutput(,"regional and global extra impact",6)+'Impacts A'!M434-'Impacts B'!M434</f>
        <v>6411779.750353992</v>
      </c>
      <c r="N434" s="1" t="str">
        <v>$M(2015)</v>
      </c>
    </row>
    <row r="435" spans="1:14" x14ac:dyDescent="0.25">
      <c r="A435" s="1" t="str">
        <v>AF total</v>
      </c>
      <c r="B435" s="3"/>
      <c r="C435" s="28">
        <f ca="1">'Impacts A'!C435-'Impacts B'!C435</f>
        <v>11123.048915219493</v>
      </c>
      <c r="D435" s="28">
        <f ca="1">'Impacts A'!D435-'Impacts B'!D435</f>
        <v>86583.978613369167</v>
      </c>
      <c r="E435" s="28">
        <f ca="1">'Impacts A'!E435-'Impacts B'!E435</f>
        <v>193670.20697170123</v>
      </c>
      <c r="F435" s="28">
        <f ca="1">'Impacts A'!F435-'Impacts B'!F435</f>
        <v>531846.86215649173</v>
      </c>
      <c r="G435" s="28">
        <f ca="1">'Impacts A'!G435-'Impacts B'!G435</f>
        <v>1230029.9839195013</v>
      </c>
      <c r="H435" s="28">
        <f ca="1">'Impacts A'!H435-'Impacts B'!H435</f>
        <v>1850893.8667760119</v>
      </c>
      <c r="I435" s="28">
        <f ca="1">'Impacts A'!I435-'Impacts B'!I435</f>
        <v>1657057.5157398153</v>
      </c>
      <c r="J435" s="28">
        <f ca="1">'Impacts A'!J435-'Impacts B'!J435</f>
        <v>943625.15411044657</v>
      </c>
      <c r="K435" s="28">
        <f ca="1">'Impacts A'!K435-'Impacts B'!K435</f>
        <v>538166.6621581153</v>
      </c>
      <c r="L435" s="28">
        <f ca="1">'Impacts A'!L435-'Impacts B'!L435</f>
        <v>158894.70101792284</v>
      </c>
      <c r="M435" s="40">
        <f ca="1">_xll.RiskOutput(,"regional and global extra impact",7)+'Impacts A'!M435-'Impacts B'!M435</f>
        <v>7201891.9803785831</v>
      </c>
      <c r="N435" s="1" t="str">
        <v>$M(2015)</v>
      </c>
    </row>
    <row r="436" spans="1:14" x14ac:dyDescent="0.25">
      <c r="A436" s="1" t="str">
        <v>LA total</v>
      </c>
      <c r="B436" s="3"/>
      <c r="C436" s="28">
        <f ca="1">'Impacts A'!C436-'Impacts B'!C436</f>
        <v>3228.4318587111775</v>
      </c>
      <c r="D436" s="28">
        <f ca="1">'Impacts A'!D436-'Impacts B'!D436</f>
        <v>22922.318483349867</v>
      </c>
      <c r="E436" s="28">
        <f ca="1">'Impacts A'!E436-'Impacts B'!E436</f>
        <v>47090.228818129282</v>
      </c>
      <c r="F436" s="28">
        <f ca="1">'Impacts A'!F436-'Impacts B'!F436</f>
        <v>119462.59607611876</v>
      </c>
      <c r="G436" s="28">
        <f ca="1">'Impacts A'!G436-'Impacts B'!G436</f>
        <v>234027.61720009241</v>
      </c>
      <c r="H436" s="28">
        <f ca="1">'Impacts A'!H436-'Impacts B'!H436</f>
        <v>302229.97359583061</v>
      </c>
      <c r="I436" s="28">
        <f ca="1">'Impacts A'!I436-'Impacts B'!I436</f>
        <v>313983.32712492812</v>
      </c>
      <c r="J436" s="28">
        <f ca="1">'Impacts A'!J436-'Impacts B'!J436</f>
        <v>195507.51827082573</v>
      </c>
      <c r="K436" s="28">
        <f ca="1">'Impacts A'!K436-'Impacts B'!K436</f>
        <v>117877.81163040455</v>
      </c>
      <c r="L436" s="28">
        <f ca="1">'Impacts A'!L436-'Impacts B'!L436</f>
        <v>36042.466462803917</v>
      </c>
      <c r="M436" s="40">
        <f ca="1">_xll.RiskOutput(,"regional and global extra impact",8)+'Impacts A'!M436-'Impacts B'!M436</f>
        <v>1392372.2895211913</v>
      </c>
      <c r="N436" s="1" t="str">
        <v>$M(2015)</v>
      </c>
    </row>
    <row r="437" spans="1:14" ht="13.5" thickBot="1" x14ac:dyDescent="0.35">
      <c r="A437" s="2" t="s">
        <v>257</v>
      </c>
      <c r="B437" s="2"/>
      <c r="C437" s="42">
        <f ca="1">'Impacts A'!C437-'Impacts B'!C437</f>
        <v>36885.447588507086</v>
      </c>
      <c r="D437" s="42">
        <f ca="1">'Impacts A'!D437-'Impacts B'!D437</f>
        <v>272186.55229316652</v>
      </c>
      <c r="E437" s="42">
        <f ca="1">'Impacts A'!E437-'Impacts B'!E437</f>
        <v>571914.07176792249</v>
      </c>
      <c r="F437" s="42">
        <f ca="1">'Impacts A'!F437-'Impacts B'!F437</f>
        <v>1484790.1313073933</v>
      </c>
      <c r="G437" s="42">
        <f ca="1">'Impacts A'!G437-'Impacts B'!G437</f>
        <v>3052706.3911401331</v>
      </c>
      <c r="H437" s="42">
        <f ca="1">'Impacts A'!H437-'Impacts B'!H437</f>
        <v>4146715.3453774899</v>
      </c>
      <c r="I437" s="42">
        <f ca="1">'Impacts A'!I437-'Impacts B'!I437</f>
        <v>4128346.2318502292</v>
      </c>
      <c r="J437" s="42">
        <f ca="1">'Impacts A'!J437-'Impacts B'!J437</f>
        <v>2500998.7293673083</v>
      </c>
      <c r="K437" s="42">
        <f ca="1">'Impacts A'!K437-'Impacts B'!K437</f>
        <v>1484072.6924505532</v>
      </c>
      <c r="L437" s="42">
        <f ca="1">'Impacts A'!L437-'Impacts B'!L437</f>
        <v>448296.56186246499</v>
      </c>
      <c r="M437" s="40">
        <f ca="1">_xll.RiskOutput(,"regional and global extra impact",9)+'Impacts A'!M437-'Impacts B'!M437</f>
        <v>18126912.155005157</v>
      </c>
      <c r="N437" s="1" t="str">
        <v>$M(2015)</v>
      </c>
    </row>
    <row r="438" spans="1:14" ht="14" thickTop="1" thickBot="1" x14ac:dyDescent="0.35">
      <c r="A438" s="2" t="s">
        <v>89</v>
      </c>
      <c r="B438" s="2"/>
      <c r="M438" s="42">
        <f ca="1">'Impacts A'!M438-'Impacts B'!M438</f>
        <v>18126912.155005157</v>
      </c>
      <c r="N438" s="1" t="str">
        <f>CURRENCY_NAME</f>
        <v>$M(2015)</v>
      </c>
    </row>
    <row r="439" spans="1:14" ht="13.5" thickTop="1" x14ac:dyDescent="0.3">
      <c r="A439" s="2"/>
      <c r="B439" s="2"/>
      <c r="N439" s="1"/>
    </row>
    <row r="440" spans="1:14" ht="13" x14ac:dyDescent="0.3">
      <c r="A440" s="2" t="s">
        <v>594</v>
      </c>
      <c r="B440" s="7"/>
      <c r="C440" s="28">
        <f ca="1">'Impacts A'!C440-'Impacts B'!C440</f>
        <v>0</v>
      </c>
      <c r="D440" s="28">
        <f ca="1">'Impacts A'!D440-'Impacts B'!D440</f>
        <v>0</v>
      </c>
      <c r="E440" s="28">
        <f ca="1">'Impacts A'!E440-'Impacts B'!E440</f>
        <v>0</v>
      </c>
      <c r="F440" s="28">
        <f ca="1">'Impacts A'!F440-'Impacts B'!F440</f>
        <v>0</v>
      </c>
      <c r="G440" s="28">
        <f ca="1">'Impacts A'!G440-'Impacts B'!G440</f>
        <v>0</v>
      </c>
      <c r="H440" s="28">
        <f ca="1">'Impacts A'!H440-'Impacts B'!H440</f>
        <v>0</v>
      </c>
      <c r="I440" s="28">
        <f ca="1">'Impacts A'!I440-'Impacts B'!I440</f>
        <v>0</v>
      </c>
      <c r="J440" s="28">
        <f ca="1">'Impacts A'!J440-'Impacts B'!J440</f>
        <v>0</v>
      </c>
      <c r="K440" s="28">
        <f ca="1">'Impacts A'!K440-'Impacts B'!K440</f>
        <v>0</v>
      </c>
      <c r="L440" s="28">
        <f ca="1">'Impacts A'!L440-'Impacts B'!L440</f>
        <v>0</v>
      </c>
      <c r="M440" s="40">
        <f ca="1">'Impacts A'!M440-'Impacts B'!M440</f>
        <v>0</v>
      </c>
    </row>
    <row r="442" spans="1:14" ht="13.5" thickBot="1" x14ac:dyDescent="0.35">
      <c r="A442" s="2" t="s">
        <v>415</v>
      </c>
      <c r="M442" s="42">
        <f ca="1">'Impacts A'!M442-'Impacts B'!M442</f>
        <v>20751642.549150705</v>
      </c>
      <c r="N442" s="1" t="str">
        <f>CURRENCY_NAME</f>
        <v>$M(2015)</v>
      </c>
    </row>
    <row r="443" spans="1:14" ht="14" thickTop="1" thickBot="1" x14ac:dyDescent="0.35">
      <c r="A443" s="2" t="str">
        <f>"SCCO2 in "&amp;Y_SCC</f>
        <v>SCCO2 in 2020</v>
      </c>
      <c r="M443" s="161">
        <f>_xll.RiskOutput("SCCO2")+'Impacts A'!M443-'Impacts B'!M443</f>
        <v>0</v>
      </c>
      <c r="N443" s="59" t="str">
        <f>"$("&amp;Y_0&amp;") per tonCO2"</f>
        <v>$(2015) per tonCO2</v>
      </c>
    </row>
    <row r="444" spans="1:14" ht="13.5" thickTop="1" x14ac:dyDescent="0.3">
      <c r="A444" s="2"/>
      <c r="M444" s="6"/>
      <c r="N444" s="59"/>
    </row>
    <row r="447" spans="1:14" ht="13" x14ac:dyDescent="0.3">
      <c r="A447" s="2"/>
    </row>
    <row r="448" spans="1:14" x14ac:dyDescent="0.25">
      <c r="C448" s="6"/>
      <c r="D448" s="6"/>
      <c r="E448" s="6"/>
      <c r="F448" s="6"/>
      <c r="H448" s="3"/>
    </row>
    <row r="449" spans="3:6" x14ac:dyDescent="0.25">
      <c r="C449" s="6"/>
      <c r="D449" s="6"/>
      <c r="E449" s="6"/>
      <c r="F449" s="6"/>
    </row>
    <row r="450" spans="3:6" x14ac:dyDescent="0.25">
      <c r="C450" s="6"/>
      <c r="D450" s="6"/>
      <c r="E450" s="6"/>
      <c r="F450" s="6"/>
    </row>
    <row r="451" spans="3:6" x14ac:dyDescent="0.25">
      <c r="C451" s="6"/>
      <c r="D451" s="6"/>
      <c r="E451" s="6"/>
      <c r="F451" s="6"/>
    </row>
  </sheetData>
  <pageMargins left="0.75" right="0.75" top="1" bottom="1" header="0.5" footer="0.5"/>
  <pageSetup paperSize="9" orientation="portrait" horizontalDpi="360"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X39"/>
  <sheetViews>
    <sheetView topLeftCell="A19" workbookViewId="0">
      <selection activeCell="L39" sqref="L39"/>
    </sheetView>
  </sheetViews>
  <sheetFormatPr defaultRowHeight="12.5" x14ac:dyDescent="0.25"/>
  <cols>
    <col min="1" max="1" width="22.81640625" bestFit="1" customWidth="1"/>
    <col min="2" max="12" width="11.54296875" customWidth="1"/>
  </cols>
  <sheetData>
    <row r="1" spans="1:13" ht="13" x14ac:dyDescent="0.3">
      <c r="A1" s="2" t="str">
        <f>MODEL_NAME</f>
        <v>PAGE-ICE Nonlinear Arctic Feedbacks</v>
      </c>
      <c r="B1" t="s">
        <v>39</v>
      </c>
      <c r="C1" s="51" t="str">
        <f>VERSION</f>
        <v>6.22</v>
      </c>
    </row>
    <row r="2" spans="1:13" x14ac:dyDescent="0.25">
      <c r="A2" s="3"/>
      <c r="B2" s="3"/>
      <c r="C2" s="3"/>
    </row>
    <row r="3" spans="1:13" ht="13" x14ac:dyDescent="0.3">
      <c r="A3" s="2" t="s">
        <v>392</v>
      </c>
      <c r="B3">
        <f t="array" ref="B3:K3">Y</f>
        <v>2020</v>
      </c>
      <c r="C3">
        <v>2030</v>
      </c>
      <c r="D3">
        <v>2040</v>
      </c>
      <c r="E3">
        <v>2050</v>
      </c>
      <c r="F3">
        <v>2075</v>
      </c>
      <c r="G3">
        <v>2100</v>
      </c>
      <c r="H3">
        <v>2150</v>
      </c>
      <c r="I3">
        <v>2200</v>
      </c>
      <c r="J3">
        <v>2250</v>
      </c>
      <c r="K3">
        <v>2300</v>
      </c>
      <c r="L3" s="2" t="s">
        <v>112</v>
      </c>
    </row>
    <row r="4" spans="1:13" ht="13" x14ac:dyDescent="0.3">
      <c r="A4" s="2" t="s">
        <v>116</v>
      </c>
      <c r="B4" s="28">
        <f t="array" ref="B4:K4" ca="1" xml:space="preserve"> wit_g+pct_g+wact_g</f>
        <v>2425874.5376932751</v>
      </c>
      <c r="C4" s="28">
        <f ca="1"/>
        <v>5487271.9140046425</v>
      </c>
      <c r="D4" s="28">
        <f ca="1"/>
        <v>8250136.5905162143</v>
      </c>
      <c r="E4" s="28">
        <f ca="1"/>
        <v>9157490.6350089181</v>
      </c>
      <c r="F4" s="28">
        <f ca="1"/>
        <v>7520479.6087856209</v>
      </c>
      <c r="G4" s="28">
        <f ca="1"/>
        <v>5091917.793878031</v>
      </c>
      <c r="H4" s="28">
        <f ca="1"/>
        <v>3359477.251147782</v>
      </c>
      <c r="I4" s="28">
        <f ca="1"/>
        <v>2834452.7979766168</v>
      </c>
      <c r="J4" s="28">
        <f ca="1"/>
        <v>2625764.9781827736</v>
      </c>
      <c r="K4" s="28">
        <f ca="1"/>
        <v>2469046.2011401248</v>
      </c>
      <c r="L4" s="1"/>
      <c r="M4" s="4" t="str">
        <f>CURRENCY_NAME</f>
        <v>$M(2015)</v>
      </c>
    </row>
    <row r="5" spans="1:13" ht="13" x14ac:dyDescent="0.3">
      <c r="A5" s="2" t="s">
        <v>119</v>
      </c>
    </row>
    <row r="6" spans="1:13" ht="13.5" thickBot="1" x14ac:dyDescent="0.35">
      <c r="A6" s="2" t="s">
        <v>116</v>
      </c>
      <c r="B6" s="45">
        <f t="array" ref="B6:K6" ca="1" xml:space="preserve"> widt_g+pcdt_g+wacdt_g</f>
        <v>2304331.3473309539</v>
      </c>
      <c r="C6" s="45">
        <f ca="1"/>
        <v>4703122.1329233311</v>
      </c>
      <c r="D6" s="45">
        <f ca="1"/>
        <v>6380344.0449711261</v>
      </c>
      <c r="E6" s="45">
        <f ca="1"/>
        <v>6390173.1416854803</v>
      </c>
      <c r="F6" s="45">
        <f ca="1"/>
        <v>4058491.4853554945</v>
      </c>
      <c r="G6" s="45">
        <f ca="1"/>
        <v>2125119.9264298426</v>
      </c>
      <c r="H6" s="45">
        <f ca="1"/>
        <v>838570.69654161274</v>
      </c>
      <c r="I6" s="45">
        <f ca="1"/>
        <v>423158.55382292491</v>
      </c>
      <c r="J6" s="45">
        <f ca="1"/>
        <v>234452.92982738587</v>
      </c>
      <c r="K6" s="45">
        <f ca="1"/>
        <v>131854.4971780178</v>
      </c>
      <c r="L6" s="1"/>
      <c r="M6" s="4" t="str">
        <f>CURRENCY_NAME</f>
        <v>$M(2015)</v>
      </c>
    </row>
    <row r="7" spans="1:13" ht="13.5" thickTop="1" x14ac:dyDescent="0.3">
      <c r="A7" s="2" t="s">
        <v>393</v>
      </c>
    </row>
    <row r="8" spans="1:13" ht="13.5" thickBot="1" x14ac:dyDescent="0.35">
      <c r="A8" s="2" t="s">
        <v>116</v>
      </c>
      <c r="B8" s="45">
        <f t="array" aca="1" ref="B8:K8" ca="1" xml:space="preserve"> addt_g+pcdat_g+aact_g</f>
        <v>23043313.473309543</v>
      </c>
      <c r="C8" s="45">
        <f ca="1"/>
        <v>47031221.329233304</v>
      </c>
      <c r="D8" s="45">
        <f ca="1"/>
        <v>63803440.449711263</v>
      </c>
      <c r="E8" s="45">
        <f ca="1"/>
        <v>111828029.97949591</v>
      </c>
      <c r="F8" s="45">
        <f ca="1"/>
        <v>101462287.13388737</v>
      </c>
      <c r="G8" s="45">
        <f ca="1"/>
        <v>79691997.241119102</v>
      </c>
      <c r="H8" s="45">
        <f ca="1"/>
        <v>41928534.827080637</v>
      </c>
      <c r="I8" s="45">
        <f ca="1"/>
        <v>21157927.691146251</v>
      </c>
      <c r="J8" s="45">
        <f ca="1"/>
        <v>11722646.491369294</v>
      </c>
      <c r="K8" s="45">
        <f ca="1"/>
        <v>3296362.4294504453</v>
      </c>
      <c r="L8" s="79">
        <f ca="1">SUM(B8:K8)</f>
        <v>504965761.04580307</v>
      </c>
      <c r="M8" s="4" t="str">
        <f>CURRENCY_NAME</f>
        <v>$M(2015)</v>
      </c>
    </row>
    <row r="9" spans="1:13" s="4" customFormat="1" ht="13.5" thickTop="1" x14ac:dyDescent="0.3">
      <c r="A9" s="5" t="s">
        <v>603</v>
      </c>
      <c r="B9" s="5"/>
      <c r="L9" s="40">
        <f ca="1">_xll.RiskOutput(,A9,1)+td</f>
        <v>344509614.07403761</v>
      </c>
      <c r="M9" s="4" t="str">
        <f>CURRENCY_NAME</f>
        <v>$M(2015)</v>
      </c>
    </row>
    <row r="10" spans="1:13" s="4" customFormat="1" ht="13" x14ac:dyDescent="0.3">
      <c r="A10" s="5" t="s">
        <v>601</v>
      </c>
      <c r="B10" s="5"/>
      <c r="L10" s="40">
        <f ca="1">_xll.RiskOutput(,A10,3)+tpc</f>
        <v>158000406.88645166</v>
      </c>
      <c r="M10" s="4" t="str">
        <f>CURRENCY_NAME</f>
        <v>$M(2015)</v>
      </c>
    </row>
    <row r="11" spans="1:13" s="4" customFormat="1" ht="13.5" thickBot="1" x14ac:dyDescent="0.35">
      <c r="A11" s="5" t="s">
        <v>109</v>
      </c>
      <c r="B11" s="5"/>
      <c r="L11" s="40">
        <f ca="1">_xll.RiskOutput(,A11,2)+tac</f>
        <v>2455740.0853138035</v>
      </c>
      <c r="M11" s="4" t="str">
        <f>CURRENCY_NAME</f>
        <v>$M(2015)</v>
      </c>
    </row>
    <row r="12" spans="1:13" s="4" customFormat="1" ht="14" thickTop="1" thickBot="1" x14ac:dyDescent="0.35">
      <c r="A12" s="5" t="s">
        <v>602</v>
      </c>
      <c r="L12" s="78">
        <f ca="1">_xll.RiskOutput(,A12,4)+MIN(SUM(L9:L11), CIV_VALUE)</f>
        <v>504965761.04580307</v>
      </c>
      <c r="M12" s="4" t="str">
        <f>CURRENCY_NAME</f>
        <v>$M(2015)</v>
      </c>
    </row>
    <row r="13" spans="1:13" ht="13" thickTop="1" x14ac:dyDescent="0.25"/>
    <row r="14" spans="1:13" ht="13" x14ac:dyDescent="0.3">
      <c r="A14" s="2" t="s">
        <v>400</v>
      </c>
      <c r="B14">
        <f>'Base data'!C$3</f>
        <v>2020</v>
      </c>
      <c r="C14">
        <f>'Base data'!D$3</f>
        <v>2030</v>
      </c>
      <c r="D14">
        <f>'Base data'!E$3</f>
        <v>2040</v>
      </c>
      <c r="E14">
        <f>'Base data'!F$3</f>
        <v>2050</v>
      </c>
      <c r="F14">
        <f>'Base data'!G$3</f>
        <v>2075</v>
      </c>
      <c r="G14">
        <f>'Base data'!H$3</f>
        <v>2100</v>
      </c>
      <c r="H14">
        <f>'Base data'!I$3</f>
        <v>2150</v>
      </c>
      <c r="I14">
        <f>'Base data'!J$3</f>
        <v>2200</v>
      </c>
      <c r="J14">
        <f>'Base data'!K$3</f>
        <v>2250</v>
      </c>
      <c r="K14">
        <f>'Base data'!L$3</f>
        <v>2300</v>
      </c>
      <c r="L14" s="2" t="s">
        <v>112</v>
      </c>
    </row>
    <row r="15" spans="1:13" ht="13" x14ac:dyDescent="0.3">
      <c r="A15" s="2" t="s">
        <v>116</v>
      </c>
      <c r="B15" s="28">
        <f t="array" aca="1" ref="B15:K15" ca="1" xml:space="preserve"> wit_g_b+pct_g_b+wact_g_b</f>
        <v>2421991.438666739</v>
      </c>
      <c r="C15" s="28">
        <f ca="1"/>
        <v>5455515.1026449576</v>
      </c>
      <c r="D15" s="28">
        <f ca="1"/>
        <v>8176184.9481460415</v>
      </c>
      <c r="E15" s="28">
        <f ca="1"/>
        <v>9035902.5883904267</v>
      </c>
      <c r="F15" s="28">
        <f ca="1"/>
        <v>7294210.1562166652</v>
      </c>
      <c r="G15" s="28">
        <f ca="1"/>
        <v>4826963.5401982144</v>
      </c>
      <c r="H15" s="28">
        <f ca="1"/>
        <v>3028698.0978107853</v>
      </c>
      <c r="I15" s="28">
        <f ca="1"/>
        <v>2499402.8370507383</v>
      </c>
      <c r="J15" s="28">
        <f ca="1"/>
        <v>2293346.3469647206</v>
      </c>
      <c r="K15" s="28">
        <f ca="1"/>
        <v>2133262.455650941</v>
      </c>
      <c r="L15" s="1"/>
      <c r="M15" s="4" t="str">
        <f>CURRENCY_NAME</f>
        <v>$M(2015)</v>
      </c>
    </row>
    <row r="16" spans="1:13" ht="13" x14ac:dyDescent="0.3">
      <c r="A16" s="2" t="s">
        <v>119</v>
      </c>
    </row>
    <row r="17" spans="1:13" ht="13.5" thickBot="1" x14ac:dyDescent="0.35">
      <c r="A17" s="2" t="s">
        <v>116</v>
      </c>
      <c r="B17" s="45">
        <f t="array" aca="1" ref="B17:K17" ca="1" xml:space="preserve"> widt_g_b+pcdt_g_b+wacdt_g_b</f>
        <v>2300642.8025721037</v>
      </c>
      <c r="C17" s="45">
        <f ca="1"/>
        <v>4675903.4776940141</v>
      </c>
      <c r="D17" s="45">
        <f ca="1"/>
        <v>6323152.6377943354</v>
      </c>
      <c r="E17" s="45">
        <f ca="1"/>
        <v>6305327.991325058</v>
      </c>
      <c r="F17" s="45">
        <f ca="1"/>
        <v>3936383.2297098893</v>
      </c>
      <c r="G17" s="45">
        <f ca="1"/>
        <v>2014540.8505531098</v>
      </c>
      <c r="H17" s="45">
        <f ca="1"/>
        <v>756003.77190460812</v>
      </c>
      <c r="I17" s="45">
        <f ca="1"/>
        <v>373138.57923557889</v>
      </c>
      <c r="J17" s="45">
        <f ca="1"/>
        <v>204771.47597837477</v>
      </c>
      <c r="K17" s="45">
        <f ca="1"/>
        <v>113922.63470351923</v>
      </c>
      <c r="L17" s="1"/>
      <c r="M17" s="4" t="str">
        <f>CURRENCY_NAME</f>
        <v>$M(2015)</v>
      </c>
    </row>
    <row r="18" spans="1:13" ht="13.5" thickTop="1" x14ac:dyDescent="0.3">
      <c r="A18" s="2" t="s">
        <v>393</v>
      </c>
    </row>
    <row r="19" spans="1:13" ht="13.5" thickBot="1" x14ac:dyDescent="0.35">
      <c r="A19" s="2" t="s">
        <v>116</v>
      </c>
      <c r="B19" s="45">
        <f t="array" ref="B19:K19" ca="1" xml:space="preserve"> addt_g_b+pcdat_g_b+aact_g_b</f>
        <v>23006428.025721036</v>
      </c>
      <c r="C19" s="45">
        <f ca="1"/>
        <v>46759034.776940137</v>
      </c>
      <c r="D19" s="45">
        <f ca="1"/>
        <v>63231526.377943337</v>
      </c>
      <c r="E19" s="45">
        <f ca="1"/>
        <v>110343239.84818852</v>
      </c>
      <c r="F19" s="45">
        <f ca="1"/>
        <v>98409580.742747232</v>
      </c>
      <c r="G19" s="45">
        <f ca="1"/>
        <v>75545281.895741612</v>
      </c>
      <c r="H19" s="45">
        <f ca="1"/>
        <v>37800188.595230408</v>
      </c>
      <c r="I19" s="45">
        <f ca="1"/>
        <v>18656928.961778942</v>
      </c>
      <c r="J19" s="45">
        <f ca="1"/>
        <v>10238573.798918741</v>
      </c>
      <c r="K19" s="45">
        <f ca="1"/>
        <v>2848065.8675879803</v>
      </c>
      <c r="L19" s="79">
        <f ca="1">SUM(B19:K19)</f>
        <v>486838848.89079791</v>
      </c>
      <c r="M19" s="4" t="str">
        <f>CURRENCY_NAME</f>
        <v>$M(2015)</v>
      </c>
    </row>
    <row r="20" spans="1:13" s="4" customFormat="1" ht="13.5" thickTop="1" x14ac:dyDescent="0.3">
      <c r="A20" s="5" t="s">
        <v>603</v>
      </c>
      <c r="B20" s="5"/>
      <c r="L20" s="40">
        <f ca="1">_xll.RiskOutput(,$L$14,1)+td_b</f>
        <v>326382701.91903245</v>
      </c>
      <c r="M20" s="4" t="str">
        <f>CURRENCY_NAME</f>
        <v>$M(2015)</v>
      </c>
    </row>
    <row r="21" spans="1:13" s="4" customFormat="1" ht="13" x14ac:dyDescent="0.3">
      <c r="A21" s="5" t="s">
        <v>601</v>
      </c>
      <c r="B21" s="5"/>
      <c r="L21" s="40">
        <f ca="1">_xll.RiskOutput(,$L$14,3)+tpc_b</f>
        <v>158000406.88645166</v>
      </c>
      <c r="M21" s="4" t="str">
        <f>CURRENCY_NAME</f>
        <v>$M(2015)</v>
      </c>
    </row>
    <row r="22" spans="1:13" s="4" customFormat="1" ht="13.5" thickBot="1" x14ac:dyDescent="0.35">
      <c r="A22" s="5" t="s">
        <v>109</v>
      </c>
      <c r="B22" s="5"/>
      <c r="L22" s="40">
        <f ca="1">_xll.RiskOutput(,$L$14,2)+tac_b</f>
        <v>2455740.0853138035</v>
      </c>
      <c r="M22" s="4" t="str">
        <f>CURRENCY_NAME</f>
        <v>$M(2015)</v>
      </c>
    </row>
    <row r="23" spans="1:13" s="4" customFormat="1" ht="14" thickTop="1" thickBot="1" x14ac:dyDescent="0.35">
      <c r="A23" s="5" t="s">
        <v>602</v>
      </c>
      <c r="L23" s="78">
        <f ca="1">_xll.RiskOutput(,$L$14,4)+MIN(SUM(L20:L22), CIV_VALUE)</f>
        <v>486838848.89079791</v>
      </c>
      <c r="M23" s="4" t="str">
        <f>CURRENCY_NAME</f>
        <v>$M(2015)</v>
      </c>
    </row>
    <row r="24" spans="1:13" ht="13" thickTop="1" x14ac:dyDescent="0.25">
      <c r="M24" s="4"/>
    </row>
    <row r="25" spans="1:13" ht="13" x14ac:dyDescent="0.3">
      <c r="A25" s="5" t="s">
        <v>129</v>
      </c>
      <c r="B25">
        <f>'Base data'!C$3</f>
        <v>2020</v>
      </c>
      <c r="C25">
        <f>'Base data'!D$3</f>
        <v>2030</v>
      </c>
      <c r="D25">
        <f>'Base data'!E$3</f>
        <v>2040</v>
      </c>
      <c r="E25">
        <f>'Base data'!F$3</f>
        <v>2050</v>
      </c>
      <c r="F25">
        <f>'Base data'!G$3</f>
        <v>2075</v>
      </c>
      <c r="G25">
        <f>'Base data'!H$3</f>
        <v>2100</v>
      </c>
      <c r="H25">
        <f>'Base data'!I$3</f>
        <v>2150</v>
      </c>
      <c r="I25">
        <f>'Base data'!J$3</f>
        <v>2200</v>
      </c>
      <c r="J25">
        <f>'Base data'!K$3</f>
        <v>2250</v>
      </c>
      <c r="K25">
        <f>'Base data'!L$3</f>
        <v>2300</v>
      </c>
      <c r="L25" s="2" t="s">
        <v>112</v>
      </c>
    </row>
    <row r="26" spans="1:13" ht="13" x14ac:dyDescent="0.3">
      <c r="A26" s="2" t="s">
        <v>116</v>
      </c>
      <c r="B26" s="28">
        <f t="array" ref="B26:K26" ca="1" xml:space="preserve"> wit_g_ab+pct_g_ab+wact_g_ab</f>
        <v>3883.0990265361033</v>
      </c>
      <c r="C26" s="28">
        <f ca="1"/>
        <v>31756.811359684449</v>
      </c>
      <c r="D26" s="28">
        <f ca="1"/>
        <v>73951.642370172776</v>
      </c>
      <c r="E26" s="28">
        <f ca="1"/>
        <v>121588.04661849234</v>
      </c>
      <c r="F26" s="28">
        <f ca="1"/>
        <v>226269.45256895572</v>
      </c>
      <c r="G26" s="28">
        <f ca="1"/>
        <v>264954.25367981615</v>
      </c>
      <c r="H26" s="28">
        <f ca="1"/>
        <v>330779.15333699668</v>
      </c>
      <c r="I26" s="28">
        <f ca="1"/>
        <v>335049.96092587849</v>
      </c>
      <c r="J26" s="28">
        <f ca="1"/>
        <v>332418.63121805293</v>
      </c>
      <c r="K26" s="28">
        <f ca="1"/>
        <v>335783.74548918381</v>
      </c>
      <c r="L26" s="1"/>
      <c r="M26" s="4" t="str">
        <f>CURRENCY_NAME</f>
        <v>$M(2015)</v>
      </c>
    </row>
    <row r="27" spans="1:13" ht="13" x14ac:dyDescent="0.3">
      <c r="A27" s="2" t="s">
        <v>119</v>
      </c>
    </row>
    <row r="28" spans="1:13" ht="13.5" thickBot="1" x14ac:dyDescent="0.35">
      <c r="A28" s="2" t="s">
        <v>116</v>
      </c>
      <c r="B28" s="45">
        <f t="array" ref="B28:K28" ca="1" xml:space="preserve"> widt_g_ab+pcdt_g_ab+wacdt_g_ab</f>
        <v>3688.5447588504758</v>
      </c>
      <c r="C28" s="45">
        <f ca="1"/>
        <v>27218.655229317024</v>
      </c>
      <c r="D28" s="45">
        <f ca="1"/>
        <v>57191.40717679169</v>
      </c>
      <c r="E28" s="45">
        <f ca="1"/>
        <v>84845.15036042314</v>
      </c>
      <c r="F28" s="45">
        <f ca="1"/>
        <v>122108.25564560527</v>
      </c>
      <c r="G28" s="45">
        <f ca="1"/>
        <v>110579.07587673282</v>
      </c>
      <c r="H28" s="45">
        <f ca="1"/>
        <v>82566.924637004617</v>
      </c>
      <c r="I28" s="45">
        <f ca="1"/>
        <v>50019.97458734602</v>
      </c>
      <c r="J28" s="45">
        <f ca="1"/>
        <v>29681.453849011101</v>
      </c>
      <c r="K28" s="45">
        <f ca="1"/>
        <v>17931.862474498586</v>
      </c>
      <c r="L28" s="1"/>
      <c r="M28" s="4" t="str">
        <f>CURRENCY_NAME</f>
        <v>$M(2015)</v>
      </c>
    </row>
    <row r="29" spans="1:13" ht="13.5" thickTop="1" x14ac:dyDescent="0.3">
      <c r="A29" s="2" t="s">
        <v>393</v>
      </c>
    </row>
    <row r="30" spans="1:13" ht="13.5" thickBot="1" x14ac:dyDescent="0.35">
      <c r="A30" s="2" t="s">
        <v>116</v>
      </c>
      <c r="B30" s="45">
        <f t="array" aca="1" ref="B30:K30" ca="1" xml:space="preserve"> addt_g_ab+pcdat_g_ab+aact_g_ab</f>
        <v>36885.447588507086</v>
      </c>
      <c r="C30" s="45">
        <f ca="1"/>
        <v>272186.55229316652</v>
      </c>
      <c r="D30" s="45">
        <f ca="1"/>
        <v>571914.07176792249</v>
      </c>
      <c r="E30" s="45">
        <f ca="1"/>
        <v>1484790.1313073933</v>
      </c>
      <c r="F30" s="45">
        <f ca="1"/>
        <v>3052706.3911401331</v>
      </c>
      <c r="G30" s="45">
        <f ca="1"/>
        <v>4146715.3453774899</v>
      </c>
      <c r="H30" s="45">
        <f ca="1"/>
        <v>4128346.2318502292</v>
      </c>
      <c r="I30" s="45">
        <f ca="1"/>
        <v>2500998.7293673083</v>
      </c>
      <c r="J30" s="45">
        <f ca="1"/>
        <v>1484072.6924505532</v>
      </c>
      <c r="K30" s="45">
        <f ca="1"/>
        <v>448296.56186246499</v>
      </c>
      <c r="L30" s="79">
        <f ca="1">SUM(B30:K30)</f>
        <v>18126912.155005168</v>
      </c>
      <c r="M30" s="4" t="str">
        <f>CURRENCY_NAME</f>
        <v>$M(2015)</v>
      </c>
    </row>
    <row r="31" spans="1:13" s="4" customFormat="1" ht="13.5" thickTop="1" x14ac:dyDescent="0.3">
      <c r="A31" s="5" t="s">
        <v>603</v>
      </c>
      <c r="B31" s="5"/>
      <c r="L31" s="40">
        <f ca="1">_xll.RiskOutput(,$L$25,1)+td_ab</f>
        <v>18126912.155005157</v>
      </c>
      <c r="M31" s="4" t="str">
        <f>CURRENCY_NAME</f>
        <v>$M(2015)</v>
      </c>
    </row>
    <row r="32" spans="1:13" s="4" customFormat="1" ht="13" x14ac:dyDescent="0.3">
      <c r="A32" s="5" t="s">
        <v>601</v>
      </c>
      <c r="B32" s="5"/>
      <c r="L32" s="40">
        <f ca="1">_xll.RiskOutput(,$L$25,3)+tpc_ab</f>
        <v>0</v>
      </c>
      <c r="M32" s="4" t="str">
        <f>CURRENCY_NAME</f>
        <v>$M(2015)</v>
      </c>
    </row>
    <row r="33" spans="1:24" s="4" customFormat="1" ht="13.5" thickBot="1" x14ac:dyDescent="0.35">
      <c r="A33" s="5" t="s">
        <v>109</v>
      </c>
      <c r="B33" s="5"/>
      <c r="L33" s="40">
        <f ca="1">_xll.RiskOutput(,$L$25,2)+tac_ab</f>
        <v>0</v>
      </c>
      <c r="M33" s="4" t="str">
        <f>CURRENCY_NAME</f>
        <v>$M(2015)</v>
      </c>
    </row>
    <row r="34" spans="1:24" s="4" customFormat="1" ht="14" thickTop="1" thickBot="1" x14ac:dyDescent="0.35">
      <c r="A34" s="5" t="s">
        <v>602</v>
      </c>
      <c r="L34" s="78">
        <f ca="1">_xll.RiskOutput(,$L$25,4)+te_a-te_b</f>
        <v>18126912.155005157</v>
      </c>
      <c r="M34" s="4" t="str">
        <f>CURRENCY_NAME</f>
        <v>$M(2015)</v>
      </c>
      <c r="O34" s="58"/>
      <c r="T34" s="58"/>
      <c r="X34" s="58"/>
    </row>
    <row r="35" spans="1:24" s="4" customFormat="1" ht="13.5" thickTop="1" x14ac:dyDescent="0.3">
      <c r="A35" s="5"/>
      <c r="O35" s="58"/>
      <c r="P35" s="51"/>
      <c r="Q35" s="51"/>
      <c r="R35" s="51"/>
      <c r="T35" s="58"/>
      <c r="X35" s="58"/>
    </row>
    <row r="36" spans="1:24" x14ac:dyDescent="0.25">
      <c r="J36" s="4" t="s">
        <v>603</v>
      </c>
      <c r="K36" s="4"/>
      <c r="L36" s="224">
        <f ca="1" xml:space="preserve"> _xll.RiskOutput() + L31/10^6</f>
        <v>18.126912155005158</v>
      </c>
      <c r="M36" s="3" t="s">
        <v>498</v>
      </c>
    </row>
    <row r="37" spans="1:24" x14ac:dyDescent="0.25">
      <c r="J37" t="s">
        <v>601</v>
      </c>
      <c r="L37" s="224">
        <f ca="1" xml:space="preserve"> _xll.RiskOutput() + L32/10^6</f>
        <v>0</v>
      </c>
      <c r="M37" s="3" t="s">
        <v>498</v>
      </c>
    </row>
    <row r="38" spans="1:24" x14ac:dyDescent="0.25">
      <c r="J38" s="3" t="s">
        <v>109</v>
      </c>
      <c r="L38" s="224">
        <f ca="1" xml:space="preserve"> _xll.RiskOutput() + L33/10^6</f>
        <v>0</v>
      </c>
      <c r="M38" s="3" t="s">
        <v>498</v>
      </c>
    </row>
    <row r="39" spans="1:24" x14ac:dyDescent="0.25">
      <c r="J39" s="3" t="s">
        <v>602</v>
      </c>
      <c r="L39" s="224">
        <f ca="1" xml:space="preserve"> _xll.RiskOutput() + L34/10^6</f>
        <v>18.126912155005158</v>
      </c>
      <c r="M39" s="3" t="s">
        <v>498</v>
      </c>
    </row>
  </sheetData>
  <phoneticPr fontId="0" type="noConversion"/>
  <pageMargins left="0.75" right="0.75" top="1" bottom="1" header="0.5" footer="0.5"/>
  <pageSetup paperSize="9" orientation="portrait" horizontalDpi="360" verticalDpi="360" r:id="rId1"/>
  <headerFooter alignWithMargins="0"/>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27</vt:i4>
      </vt:variant>
      <vt:variant>
        <vt:lpstr>Named Ranges</vt:lpstr>
      </vt:variant>
      <vt:variant>
        <vt:i4>1348</vt:i4>
      </vt:variant>
    </vt:vector>
  </HeadingPairs>
  <TitlesOfParts>
    <vt:vector size="1375" baseType="lpstr">
      <vt:lpstr>Readme</vt:lpstr>
      <vt:lpstr>Cockpit</vt:lpstr>
      <vt:lpstr>Results</vt:lpstr>
      <vt:lpstr>Base data</vt:lpstr>
      <vt:lpstr>Library data</vt:lpstr>
      <vt:lpstr>Policy A</vt:lpstr>
      <vt:lpstr>Policy B</vt:lpstr>
      <vt:lpstr>Policy A-B</vt:lpstr>
      <vt:lpstr>Emissions A</vt:lpstr>
      <vt:lpstr>Emissions B</vt:lpstr>
      <vt:lpstr>Emissions A-B</vt:lpstr>
      <vt:lpstr>Climate A</vt:lpstr>
      <vt:lpstr>Climate B</vt:lpstr>
      <vt:lpstr>Climate A-B</vt:lpstr>
      <vt:lpstr>Economy A</vt:lpstr>
      <vt:lpstr>Economy B</vt:lpstr>
      <vt:lpstr>Economy A-B</vt:lpstr>
      <vt:lpstr>Preventative costs A</vt:lpstr>
      <vt:lpstr>Preventative costs B</vt:lpstr>
      <vt:lpstr>Preventative costs A-B</vt:lpstr>
      <vt:lpstr>Adaptive costs A</vt:lpstr>
      <vt:lpstr>Adaptive costs B</vt:lpstr>
      <vt:lpstr>Adaptive costs A-B</vt:lpstr>
      <vt:lpstr>Impacts A</vt:lpstr>
      <vt:lpstr>Impacts B</vt:lpstr>
      <vt:lpstr>Impacts A-B</vt:lpstr>
      <vt:lpstr>Totals</vt:lpstr>
      <vt:lpstr>aact</vt:lpstr>
      <vt:lpstr>aact_b</vt:lpstr>
      <vt:lpstr>aact_g</vt:lpstr>
      <vt:lpstr>aact_g_ab</vt:lpstr>
      <vt:lpstr>aact_g_b</vt:lpstr>
      <vt:lpstr>aact_gt</vt:lpstr>
      <vt:lpstr>aact_gt_b</vt:lpstr>
      <vt:lpstr>ac_1</vt:lpstr>
      <vt:lpstr>ac_1_b</vt:lpstr>
      <vt:lpstr>ac_1_g</vt:lpstr>
      <vt:lpstr>ac_1_g_b</vt:lpstr>
      <vt:lpstr>ac_2</vt:lpstr>
      <vt:lpstr>ac_2_b</vt:lpstr>
      <vt:lpstr>ac_2_g</vt:lpstr>
      <vt:lpstr>ac_2_g_b</vt:lpstr>
      <vt:lpstr>ac_s</vt:lpstr>
      <vt:lpstr>ac_s_b</vt:lpstr>
      <vt:lpstr>ac_s_g</vt:lpstr>
      <vt:lpstr>ac_s_g_b</vt:lpstr>
      <vt:lpstr>aci_1</vt:lpstr>
      <vt:lpstr>aci_1_b</vt:lpstr>
      <vt:lpstr>aci_1_g</vt:lpstr>
      <vt:lpstr>aci_1_g_b</vt:lpstr>
      <vt:lpstr>aci_2</vt:lpstr>
      <vt:lpstr>aci_2_b</vt:lpstr>
      <vt:lpstr>aci_2_g</vt:lpstr>
      <vt:lpstr>aci_2_g_b</vt:lpstr>
      <vt:lpstr>aci_s</vt:lpstr>
      <vt:lpstr>aci_s_b</vt:lpstr>
      <vt:lpstr>aci_s_g</vt:lpstr>
      <vt:lpstr>aci_s_g_b</vt:lpstr>
      <vt:lpstr>acp_1</vt:lpstr>
      <vt:lpstr>acp_1_b</vt:lpstr>
      <vt:lpstr>acp_1_g</vt:lpstr>
      <vt:lpstr>acp_1_g_b</vt:lpstr>
      <vt:lpstr>acp_2</vt:lpstr>
      <vt:lpstr>acp_2_b</vt:lpstr>
      <vt:lpstr>acp_2_g</vt:lpstr>
      <vt:lpstr>acp_2_g_b</vt:lpstr>
      <vt:lpstr>acp_s</vt:lpstr>
      <vt:lpstr>acp_s_b</vt:lpstr>
      <vt:lpstr>acp_s_g</vt:lpstr>
      <vt:lpstr>acp_s_g_b</vt:lpstr>
      <vt:lpstr>act</vt:lpstr>
      <vt:lpstr>act_b</vt:lpstr>
      <vt:lpstr>act_g</vt:lpstr>
      <vt:lpstr>act_g_b</vt:lpstr>
      <vt:lpstr>act_per_cap</vt:lpstr>
      <vt:lpstr>act_per_cap_b</vt:lpstr>
      <vt:lpstr>act_per_cap_g</vt:lpstr>
      <vt:lpstr>act_per_cap_g_b</vt:lpstr>
      <vt:lpstr>addt</vt:lpstr>
      <vt:lpstr>addt_b</vt:lpstr>
      <vt:lpstr>addt_g</vt:lpstr>
      <vt:lpstr>addt_g_ab</vt:lpstr>
      <vt:lpstr>addt_g_b</vt:lpstr>
      <vt:lpstr>addt_gt</vt:lpstr>
      <vt:lpstr>addt_gt_b</vt:lpstr>
      <vt:lpstr>addtt</vt:lpstr>
      <vt:lpstr>addtt_b</vt:lpstr>
      <vt:lpstr>ahi_ch4</vt:lpstr>
      <vt:lpstr>ahi_ch4_b</vt:lpstr>
      <vt:lpstr>ahi_co2</vt:lpstr>
      <vt:lpstr>ahi_co2_b</vt:lpstr>
      <vt:lpstr>ahi_glin</vt:lpstr>
      <vt:lpstr>ahi_glin_b</vt:lpstr>
      <vt:lpstr>ahi_n2o</vt:lpstr>
      <vt:lpstr>ahi_n2o_b</vt:lpstr>
      <vt:lpstr>AIR_CH4</vt:lpstr>
      <vt:lpstr>AIR_GLIN</vt:lpstr>
      <vt:lpstr>AIR_N2O</vt:lpstr>
      <vt:lpstr>ALB_EMULATOR_RAND</vt:lpstr>
      <vt:lpstr>alb_fsaf</vt:lpstr>
      <vt:lpstr>alb_fsaf_adjust_1</vt:lpstr>
      <vt:lpstr>alb_fsaf_adjust_1_b</vt:lpstr>
      <vt:lpstr>alb_fsaf_adjust_not_1</vt:lpstr>
      <vt:lpstr>alb_fsaf_adjust_not_1_b</vt:lpstr>
      <vt:lpstr>alb_fsaf_b</vt:lpstr>
      <vt:lpstr>alb_fsaf_diff</vt:lpstr>
      <vt:lpstr>alb_fsaf_diff_b</vt:lpstr>
      <vt:lpstr>ALB_FSAF_ECS</vt:lpstr>
      <vt:lpstr>ALB_FSAF_T_SWITCH</vt:lpstr>
      <vt:lpstr>ALB_FSAF_Y0</vt:lpstr>
      <vt:lpstr>alb_saf</vt:lpstr>
      <vt:lpstr>alb_saf_adjust</vt:lpstr>
      <vt:lpstr>ALB_SAF_ADJUST_0</vt:lpstr>
      <vt:lpstr>alb_saf_adjust_b</vt:lpstr>
      <vt:lpstr>alb_saf_approx</vt:lpstr>
      <vt:lpstr>ALB_SAF_APPROX_0</vt:lpstr>
      <vt:lpstr>alb_saf_approx_1</vt:lpstr>
      <vt:lpstr>alb_saf_approx_1_b</vt:lpstr>
      <vt:lpstr>alb_saf_approx_b</vt:lpstr>
      <vt:lpstr>alb_saf_approx_not_1</vt:lpstr>
      <vt:lpstr>alb_saf_approx_not_1_b</vt:lpstr>
      <vt:lpstr>alb_saf_b</vt:lpstr>
      <vt:lpstr>ALB_SAF_ECS</vt:lpstr>
      <vt:lpstr>ALB_SAF_LIN_MEAN</vt:lpstr>
      <vt:lpstr>ALB_SAF_LIN_STD</vt:lpstr>
      <vt:lpstr>ALB_SAF_QUADR_MEAN_T0_COEFF</vt:lpstr>
      <vt:lpstr>ALB_SAF_QUADR_MEAN_T1_COEFF</vt:lpstr>
      <vt:lpstr>ALB_SAF_QUADR_MEAN_T2_COEFF</vt:lpstr>
      <vt:lpstr>ALB_SAF_QUADR_STD</vt:lpstr>
      <vt:lpstr>ALB_SAF_Y0</vt:lpstr>
      <vt:lpstr>ALB_T_SWITCH</vt:lpstr>
      <vt:lpstr>ALO_CH4</vt:lpstr>
      <vt:lpstr>ALO_CO2</vt:lpstr>
      <vt:lpstr>ALO_GLIN</vt:lpstr>
      <vt:lpstr>ALO_N2O</vt:lpstr>
      <vt:lpstr>AMPF</vt:lpstr>
      <vt:lpstr>anthr_ce_co2</vt:lpstr>
      <vt:lpstr>ANTHR_CE_CO2_0</vt:lpstr>
      <vt:lpstr>anthr_ce_co2_b</vt:lpstr>
      <vt:lpstr>anthr_teay_ch4</vt:lpstr>
      <vt:lpstr>anthr_teay_ch4_b</vt:lpstr>
      <vt:lpstr>AREA</vt:lpstr>
      <vt:lpstr>AREA_E</vt:lpstr>
      <vt:lpstr>AREA_L</vt:lpstr>
      <vt:lpstr>asymp_comp_co2_proj</vt:lpstr>
      <vt:lpstr>asymp_comp_co2_proj_b</vt:lpstr>
      <vt:lpstr>atl_1</vt:lpstr>
      <vt:lpstr>atl_1_b</vt:lpstr>
      <vt:lpstr>atl_2</vt:lpstr>
      <vt:lpstr>atl_2_b</vt:lpstr>
      <vt:lpstr>atl_s</vt:lpstr>
      <vt:lpstr>atl_s_b</vt:lpstr>
      <vt:lpstr>AUTO</vt:lpstr>
      <vt:lpstr>AUTOFAC</vt:lpstr>
      <vt:lpstr>AUTOMULT</vt:lpstr>
      <vt:lpstr>BAU_CH4</vt:lpstr>
      <vt:lpstr>BAU_CO2</vt:lpstr>
      <vt:lpstr>BAU_GLIN</vt:lpstr>
      <vt:lpstr>BAU_N2O</vt:lpstr>
      <vt:lpstr>BHI_CH4</vt:lpstr>
      <vt:lpstr>BHI_CO2</vt:lpstr>
      <vt:lpstr>BHI_GLIN</vt:lpstr>
      <vt:lpstr>BHI_N2O</vt:lpstr>
      <vt:lpstr>BLO_CH4</vt:lpstr>
      <vt:lpstr>BLO_CO2</vt:lpstr>
      <vt:lpstr>BLO_GLIN</vt:lpstr>
      <vt:lpstr>BLO_N2O</vt:lpstr>
      <vt:lpstr>C_0</vt:lpstr>
      <vt:lpstr>c_ch4</vt:lpstr>
      <vt:lpstr>C_CH4_0</vt:lpstr>
      <vt:lpstr>c_ch4_b</vt:lpstr>
      <vt:lpstr>c_co2</vt:lpstr>
      <vt:lpstr>C_CO2_0</vt:lpstr>
      <vt:lpstr>c_co2_b</vt:lpstr>
      <vt:lpstr>c_co2_no_ccff</vt:lpstr>
      <vt:lpstr>C_CO2_NO_CCFF_0</vt:lpstr>
      <vt:lpstr>c_co2_no_ccff_b</vt:lpstr>
      <vt:lpstr>c_glin</vt:lpstr>
      <vt:lpstr>C_GLIN_0</vt:lpstr>
      <vt:lpstr>c_glin_b</vt:lpstr>
      <vt:lpstr>c_n2o</vt:lpstr>
      <vt:lpstr>C_N2O_0</vt:lpstr>
      <vt:lpstr>c_n2o_b</vt:lpstr>
      <vt:lpstr>C0_CH4</vt:lpstr>
      <vt:lpstr>C0_CO2</vt:lpstr>
      <vt:lpstr>C0_GLIN</vt:lpstr>
      <vt:lpstr>C0_INIT_CH4</vt:lpstr>
      <vt:lpstr>C0_INIT_CO2</vt:lpstr>
      <vt:lpstr>C0_INIT_GLIN</vt:lpstr>
      <vt:lpstr>C0_INIT_N2O</vt:lpstr>
      <vt:lpstr>C0_N2O</vt:lpstr>
      <vt:lpstr>C0G</vt:lpstr>
      <vt:lpstr>C0MULT</vt:lpstr>
      <vt:lpstr>cb_ch4</vt:lpstr>
      <vt:lpstr>cb_ch4_b</vt:lpstr>
      <vt:lpstr>cb_co2</vt:lpstr>
      <vt:lpstr>cb_co2_b</vt:lpstr>
      <vt:lpstr>cb_glin</vt:lpstr>
      <vt:lpstr>cb_glin_b</vt:lpstr>
      <vt:lpstr>cb_n2o</vt:lpstr>
      <vt:lpstr>cb_n2o_b</vt:lpstr>
      <vt:lpstr>cbe_ch4</vt:lpstr>
      <vt:lpstr>cbe_ch4_b</vt:lpstr>
      <vt:lpstr>cbe_co2</vt:lpstr>
      <vt:lpstr>cbe_co2_b</vt:lpstr>
      <vt:lpstr>cbe_glin</vt:lpstr>
      <vt:lpstr>cbe_glin_b</vt:lpstr>
      <vt:lpstr>cbe_n2o</vt:lpstr>
      <vt:lpstr>cbe_n2o_b</vt:lpstr>
      <vt:lpstr>CCF</vt:lpstr>
      <vt:lpstr>ccff</vt:lpstr>
      <vt:lpstr>CCFF_0</vt:lpstr>
      <vt:lpstr>ccff_1</vt:lpstr>
      <vt:lpstr>ccff_1_b</vt:lpstr>
      <vt:lpstr>ccff_b</vt:lpstr>
      <vt:lpstr>ccff_not_1</vt:lpstr>
      <vt:lpstr>ccff_not_1_b</vt:lpstr>
      <vt:lpstr>CCFFMAX</vt:lpstr>
      <vt:lpstr>CF</vt:lpstr>
      <vt:lpstr>CI_1</vt:lpstr>
      <vt:lpstr>CI_1_1</vt:lpstr>
      <vt:lpstr>CI_2</vt:lpstr>
      <vt:lpstr>CI_2_1</vt:lpstr>
      <vt:lpstr>CI_S</vt:lpstr>
      <vt:lpstr>CI_S_1</vt:lpstr>
      <vt:lpstr>CIV_VALUE</vt:lpstr>
      <vt:lpstr>cmax_ch4</vt:lpstr>
      <vt:lpstr>cmax_ch4_b</vt:lpstr>
      <vt:lpstr>cmax_co2</vt:lpstr>
      <vt:lpstr>cmax_co2_b</vt:lpstr>
      <vt:lpstr>cmax_glin</vt:lpstr>
      <vt:lpstr>cmax_glin_b</vt:lpstr>
      <vt:lpstr>CMAX_INIT_CH4</vt:lpstr>
      <vt:lpstr>CMAX_INIT_CH4_1</vt:lpstr>
      <vt:lpstr>CMAX_INIT_CO2</vt:lpstr>
      <vt:lpstr>CMAX_INIT_CO2_1</vt:lpstr>
      <vt:lpstr>CMAX_INIT_GLIN</vt:lpstr>
      <vt:lpstr>CMAX_INIT_GLIN_1</vt:lpstr>
      <vt:lpstr>CMAX_INIT_N2O</vt:lpstr>
      <vt:lpstr>CMAX_INIT_N2O_1</vt:lpstr>
      <vt:lpstr>cmax_n2o</vt:lpstr>
      <vt:lpstr>cmax_n2o_b</vt:lpstr>
      <vt:lpstr>CMAXF</vt:lpstr>
      <vt:lpstr>CONS_PER_CAP</vt:lpstr>
      <vt:lpstr>CONS_PER_CAP_0</vt:lpstr>
      <vt:lpstr>cons_per_cap_after_costs</vt:lpstr>
      <vt:lpstr>cons_per_cap_after_costs_b</vt:lpstr>
      <vt:lpstr>CONS_PER_CAP_B</vt:lpstr>
      <vt:lpstr>CONS_PER_CAP_FOCUS</vt:lpstr>
      <vt:lpstr>CONS_PER_CAP_FOCUS_0</vt:lpstr>
      <vt:lpstr>CONS_PER_CAP_FOCUS_B</vt:lpstr>
      <vt:lpstr>CONS_PER_CAP_G</vt:lpstr>
      <vt:lpstr>CONS_PER_CAP_G_0</vt:lpstr>
      <vt:lpstr>CONS_PER_CAP_G_1</vt:lpstr>
      <vt:lpstr>CONS_PER_CAP_G_1_B</vt:lpstr>
      <vt:lpstr>CONS_PER_CAP_G_B</vt:lpstr>
      <vt:lpstr>CONS_PER_CAP_G_NOT_1</vt:lpstr>
      <vt:lpstr>CONS_PER_CAP_G_NOT_1_B</vt:lpstr>
      <vt:lpstr>CORRECT_RE_CO2_0</vt:lpstr>
      <vt:lpstr>CORRECT_RE_CO2_0_b</vt:lpstr>
      <vt:lpstr>CP_1</vt:lpstr>
      <vt:lpstr>CP_1_1</vt:lpstr>
      <vt:lpstr>CP_2</vt:lpstr>
      <vt:lpstr>CP_2_1</vt:lpstr>
      <vt:lpstr>CP_S</vt:lpstr>
      <vt:lpstr>CP_S_1</vt:lpstr>
      <vt:lpstr>CROSS</vt:lpstr>
      <vt:lpstr>cumcbe_ch4</vt:lpstr>
      <vt:lpstr>cumcbe_ch4_b</vt:lpstr>
      <vt:lpstr>cumcbe_ch4_g</vt:lpstr>
      <vt:lpstr>cumcbe_ch4_g_b</vt:lpstr>
      <vt:lpstr>cumcbe_co2</vt:lpstr>
      <vt:lpstr>cumcbe_co2_b</vt:lpstr>
      <vt:lpstr>cumcbe_co2_g</vt:lpstr>
      <vt:lpstr>cumcbe_co2_g_b</vt:lpstr>
      <vt:lpstr>cumcbe_glin</vt:lpstr>
      <vt:lpstr>cumcbe_glin_b</vt:lpstr>
      <vt:lpstr>cumcbe_glin_g</vt:lpstr>
      <vt:lpstr>cumcbe_glin_g_b</vt:lpstr>
      <vt:lpstr>cumcbe_n2o</vt:lpstr>
      <vt:lpstr>cumcbe_n2o_b</vt:lpstr>
      <vt:lpstr>cumcbe_n2o_g</vt:lpstr>
      <vt:lpstr>cumcbe_n2o_g_b</vt:lpstr>
      <vt:lpstr>CURRENCY_NAME</vt:lpstr>
      <vt:lpstr>CURVE_ABOVE</vt:lpstr>
      <vt:lpstr>CURVE_BELOW</vt:lpstr>
      <vt:lpstr>D</vt:lpstr>
      <vt:lpstr>delta_rtg_tpoints</vt:lpstr>
      <vt:lpstr>DEN</vt:lpstr>
      <vt:lpstr>DEN_CH4</vt:lpstr>
      <vt:lpstr>DEN_CO2</vt:lpstr>
      <vt:lpstr>DEN_GLIN</vt:lpstr>
      <vt:lpstr>DEN_N2O</vt:lpstr>
      <vt:lpstr>DF</vt:lpstr>
      <vt:lpstr>DFC</vt:lpstr>
      <vt:lpstr>DFC_B</vt:lpstr>
      <vt:lpstr>DISTAU</vt:lpstr>
      <vt:lpstr>DR</vt:lpstr>
      <vt:lpstr>DR_1</vt:lpstr>
      <vt:lpstr>DR_1_B</vt:lpstr>
      <vt:lpstr>DR_B</vt:lpstr>
      <vt:lpstr>DR_NOT_1</vt:lpstr>
      <vt:lpstr>DR_NOT_1_B</vt:lpstr>
      <vt:lpstr>DROP</vt:lpstr>
      <vt:lpstr>e_ch4</vt:lpstr>
      <vt:lpstr>E_CH4_0</vt:lpstr>
      <vt:lpstr>e_ch4_b</vt:lpstr>
      <vt:lpstr>e_ch4_g</vt:lpstr>
      <vt:lpstr>E_CH4_G_0</vt:lpstr>
      <vt:lpstr>e_ch4_g_b</vt:lpstr>
      <vt:lpstr>e_co2</vt:lpstr>
      <vt:lpstr>E_CO2_0</vt:lpstr>
      <vt:lpstr>e_co2_b</vt:lpstr>
      <vt:lpstr>e_co2_g</vt:lpstr>
      <vt:lpstr>E_CO2_G_0</vt:lpstr>
      <vt:lpstr>e_co2_g_b</vt:lpstr>
      <vt:lpstr>e_co2_g_b_no_scc</vt:lpstr>
      <vt:lpstr>e_co2_g_not_1</vt:lpstr>
      <vt:lpstr>e_co2_g_not_1_b</vt:lpstr>
      <vt:lpstr>E_GLIN_0</vt:lpstr>
      <vt:lpstr>e_glin_g</vt:lpstr>
      <vt:lpstr>E_GLIN_G_0</vt:lpstr>
      <vt:lpstr>e_glin_g_b</vt:lpstr>
      <vt:lpstr>e_n2o</vt:lpstr>
      <vt:lpstr>E_N2O_0</vt:lpstr>
      <vt:lpstr>e_n2o_b</vt:lpstr>
      <vt:lpstr>e_n2o_g</vt:lpstr>
      <vt:lpstr>E_N2O_G_0</vt:lpstr>
      <vt:lpstr>e_n2o_g_b</vt:lpstr>
      <vt:lpstr>eact_per_cap</vt:lpstr>
      <vt:lpstr>eact_per_cap_b</vt:lpstr>
      <vt:lpstr>ECON_IMPF</vt:lpstr>
      <vt:lpstr>ECON_IMPF_BURKE_LAG1_CONSUM</vt:lpstr>
      <vt:lpstr>ECON_IMPF_BURKE_LAG2_CONSUM</vt:lpstr>
      <vt:lpstr>ECON_IMPF_PAGE09_BURKE_MIMIC</vt:lpstr>
      <vt:lpstr>ECON_IMPF_PAGE09_DEFAULT</vt:lpstr>
      <vt:lpstr>ECON_IMPF_PAGE09_DELL_MIMIC</vt:lpstr>
      <vt:lpstr>ECON_IMPF_PAGE09_IPCCAR5_BURKE</vt:lpstr>
      <vt:lpstr>ECON_IMPF_SWITCH</vt:lpstr>
      <vt:lpstr>ECS</vt:lpstr>
      <vt:lpstr>ecs_alb_adj</vt:lpstr>
      <vt:lpstr>ECS_ALB_ADJ_0</vt:lpstr>
      <vt:lpstr>ecs_alb_adj_1</vt:lpstr>
      <vt:lpstr>ecs_alb_adj_1_b</vt:lpstr>
      <vt:lpstr>ecs_alb_adj_b</vt:lpstr>
      <vt:lpstr>ecs_alb_adj_not_1</vt:lpstr>
      <vt:lpstr>ecs_alb_adj_not_1_b</vt:lpstr>
      <vt:lpstr>EMIT_CH4</vt:lpstr>
      <vt:lpstr>EMIT_CH4_1</vt:lpstr>
      <vt:lpstr>EMIT_CO2</vt:lpstr>
      <vt:lpstr>EMIT_CO2_1</vt:lpstr>
      <vt:lpstr>EMIT_GLIN</vt:lpstr>
      <vt:lpstr>EMIT_GLIN_1</vt:lpstr>
      <vt:lpstr>EMIT_N2O</vt:lpstr>
      <vt:lpstr>EMIT_N2O_1</vt:lpstr>
      <vt:lpstr>EMIT_NAME</vt:lpstr>
      <vt:lpstr>EMITF</vt:lpstr>
      <vt:lpstr>EMUC</vt:lpstr>
      <vt:lpstr>EQUITY</vt:lpstr>
      <vt:lpstr>EQUITY_0</vt:lpstr>
      <vt:lpstr>EQUITY_B</vt:lpstr>
      <vt:lpstr>EQUITY_G</vt:lpstr>
      <vt:lpstr>EQUITY_G_0</vt:lpstr>
      <vt:lpstr>EQUITY_PROP</vt:lpstr>
      <vt:lpstr>EQUITY_SWITCH</vt:lpstr>
      <vt:lpstr>er_ch4_1_a</vt:lpstr>
      <vt:lpstr>er_ch4_1_b</vt:lpstr>
      <vt:lpstr>er_ch4_a</vt:lpstr>
      <vt:lpstr>er_ch4_b</vt:lpstr>
      <vt:lpstr>er_ch4_final_a</vt:lpstr>
      <vt:lpstr>er_ch4_final_b</vt:lpstr>
      <vt:lpstr>er_ch4_not_1_a</vt:lpstr>
      <vt:lpstr>er_ch4_not_1_b</vt:lpstr>
      <vt:lpstr>er_co2_1_a</vt:lpstr>
      <vt:lpstr>er_co2_1_b</vt:lpstr>
      <vt:lpstr>er_co2_a</vt:lpstr>
      <vt:lpstr>er_co2_b</vt:lpstr>
      <vt:lpstr>er_co2_final_a</vt:lpstr>
      <vt:lpstr>er_co2_final_b</vt:lpstr>
      <vt:lpstr>er_co2_not_1_a</vt:lpstr>
      <vt:lpstr>er_co2_not_1_b</vt:lpstr>
      <vt:lpstr>er_glin_1_a</vt:lpstr>
      <vt:lpstr>er_glin_1_b</vt:lpstr>
      <vt:lpstr>er_glin_a</vt:lpstr>
      <vt:lpstr>er_glin_b</vt:lpstr>
      <vt:lpstr>er_glin_final_a</vt:lpstr>
      <vt:lpstr>er_glin_final_b</vt:lpstr>
      <vt:lpstr>er_glin_not_1_a</vt:lpstr>
      <vt:lpstr>er_glin_not_1_b</vt:lpstr>
      <vt:lpstr>er_n2o_1_a</vt:lpstr>
      <vt:lpstr>er_n2o_1_b</vt:lpstr>
      <vt:lpstr>er_n2o_a</vt:lpstr>
      <vt:lpstr>er_n2o_b</vt:lpstr>
      <vt:lpstr>er_n2o_final_a</vt:lpstr>
      <vt:lpstr>er_n2o_final_b</vt:lpstr>
      <vt:lpstr>er_n2o_not_1_a</vt:lpstr>
      <vt:lpstr>er_n2o_not_1_b</vt:lpstr>
      <vt:lpstr>er_scc</vt:lpstr>
      <vt:lpstr>es</vt:lpstr>
      <vt:lpstr>ES_0</vt:lpstr>
      <vt:lpstr>es_1</vt:lpstr>
      <vt:lpstr>es_1_b</vt:lpstr>
      <vt:lpstr>es_b</vt:lpstr>
      <vt:lpstr>es_not_1</vt:lpstr>
      <vt:lpstr>es_not_1_b</vt:lpstr>
      <vt:lpstr>EXC</vt:lpstr>
      <vt:lpstr>EXC_CH4</vt:lpstr>
      <vt:lpstr>EXC_CO2</vt:lpstr>
      <vt:lpstr>EXC_GLIN</vt:lpstr>
      <vt:lpstr>EXC_N2O</vt:lpstr>
      <vt:lpstr>EXF_0</vt:lpstr>
      <vt:lpstr>exf_a</vt:lpstr>
      <vt:lpstr>exf_b</vt:lpstr>
      <vt:lpstr>EXPERIMENT</vt:lpstr>
      <vt:lpstr>EXPERIMENT_BOTHFEED</vt:lpstr>
      <vt:lpstr>EXPERIMENT_LANDPERM</vt:lpstr>
      <vt:lpstr>EXPERIMENT_QC</vt:lpstr>
      <vt:lpstr>EXPERIMENT_SAF</vt:lpstr>
      <vt:lpstr>EXPERIMENT_SCC_BOTHFEED</vt:lpstr>
      <vt:lpstr>EXPERIMENT_SCC_LANDPERM</vt:lpstr>
      <vt:lpstr>EXPERIMENT_SCC_LEGFEED</vt:lpstr>
      <vt:lpstr>EXPERIMENT_SCC_SAF</vt:lpstr>
      <vt:lpstr>EXPERIMENT_TWOSCEN_BOTHFEED</vt:lpstr>
      <vt:lpstr>EXPERIMENT_TWOSCEN_LEGFEED</vt:lpstr>
      <vt:lpstr>EXPF_CH4</vt:lpstr>
      <vt:lpstr>EXPF_CH4_NOT_1</vt:lpstr>
      <vt:lpstr>EXPF_GLIN</vt:lpstr>
      <vt:lpstr>EXPF_GLIN_NOT_1</vt:lpstr>
      <vt:lpstr>EXPF_N2O</vt:lpstr>
      <vt:lpstr>EXPF_N2O_NOT_1</vt:lpstr>
      <vt:lpstr>EXPFDIS</vt:lpstr>
      <vt:lpstr>EXPFDIS_1</vt:lpstr>
      <vt:lpstr>EXPFDIS_NOT_1</vt:lpstr>
      <vt:lpstr>EXPFS</vt:lpstr>
      <vt:lpstr>EXPFS_1</vt:lpstr>
      <vt:lpstr>EXPFS_NOT_1</vt:lpstr>
      <vt:lpstr>EXTRA_ABATE_END</vt:lpstr>
      <vt:lpstr>EXTRA_ABATE_FACTOR_COMPOUND</vt:lpstr>
      <vt:lpstr>EXTRA_ABATE_FACTOR_COMPOUND_B</vt:lpstr>
      <vt:lpstr>EXTRA_ABATE_FACTOR_PERIOD</vt:lpstr>
      <vt:lpstr>EXTRA_ABATE_FACTOR_PERIOD_1</vt:lpstr>
      <vt:lpstr>EXTRA_ABATE_FACTOR_PERIOD_1_B</vt:lpstr>
      <vt:lpstr>EXTRA_ABATE_FACTOR_PERIOD_NOT_1</vt:lpstr>
      <vt:lpstr>EXTRA_ABATE_FACTOR_PERIOD_NOT_1_B</vt:lpstr>
      <vt:lpstr>EXTRA_ABATE_RATE</vt:lpstr>
      <vt:lpstr>EXTRA_ABATE_RATE_15C</vt:lpstr>
      <vt:lpstr>EXTRA_ABATE_RATE_2C</vt:lpstr>
      <vt:lpstr>EXTRA_ABATE_RATE_B</vt:lpstr>
      <vt:lpstr>EXTRA_ABATE_START</vt:lpstr>
      <vt:lpstr>f_ch4</vt:lpstr>
      <vt:lpstr>F_CH4_0</vt:lpstr>
      <vt:lpstr>f_ch4_b</vt:lpstr>
      <vt:lpstr>f_ch4_no_over</vt:lpstr>
      <vt:lpstr>f_ch4_no_over_b</vt:lpstr>
      <vt:lpstr>f_co2</vt:lpstr>
      <vt:lpstr>F_CO2_0</vt:lpstr>
      <vt:lpstr>f_co2_b</vt:lpstr>
      <vt:lpstr>f_glin</vt:lpstr>
      <vt:lpstr>F_GLIN_0</vt:lpstr>
      <vt:lpstr>f_glin_b</vt:lpstr>
      <vt:lpstr>f_n2o</vt:lpstr>
      <vt:lpstr>F_N2O_0</vt:lpstr>
      <vt:lpstr>f_n2o_b</vt:lpstr>
      <vt:lpstr>f_n2o_no_over</vt:lpstr>
      <vt:lpstr>f_n2o_no_over_b</vt:lpstr>
      <vt:lpstr>fgt</vt:lpstr>
      <vt:lpstr>FGT_0</vt:lpstr>
      <vt:lpstr>fgt_1</vt:lpstr>
      <vt:lpstr>fgt_1_b</vt:lpstr>
      <vt:lpstr>fgt_b</vt:lpstr>
      <vt:lpstr>fgt_not_1</vt:lpstr>
      <vt:lpstr>fgt_not_1_b</vt:lpstr>
      <vt:lpstr>FRT</vt:lpstr>
      <vt:lpstr>frt_alb_adj</vt:lpstr>
      <vt:lpstr>FRT_ALB_ADJ_0</vt:lpstr>
      <vt:lpstr>frt_alb_adj_1</vt:lpstr>
      <vt:lpstr>frt_alb_adj_1_b</vt:lpstr>
      <vt:lpstr>frt_alb_adj_b</vt:lpstr>
      <vt:lpstr>frt_alb_adj_not_1</vt:lpstr>
      <vt:lpstr>frt_alb_adj_not_1_b</vt:lpstr>
      <vt:lpstr>fs</vt:lpstr>
      <vt:lpstr>fs_1</vt:lpstr>
      <vt:lpstr>fs_1_b</vt:lpstr>
      <vt:lpstr>fs_b</vt:lpstr>
      <vt:lpstr>fs_g</vt:lpstr>
      <vt:lpstr>fs_g_1</vt:lpstr>
      <vt:lpstr>fs_g_1_b</vt:lpstr>
      <vt:lpstr>fs_g_b</vt:lpstr>
      <vt:lpstr>fs_g_not_1</vt:lpstr>
      <vt:lpstr>fs_g_not_1_b</vt:lpstr>
      <vt:lpstr>fs_not_1</vt:lpstr>
      <vt:lpstr>fs_not_1_b</vt:lpstr>
      <vt:lpstr>'Climate A-B'!fsd</vt:lpstr>
      <vt:lpstr>fsd</vt:lpstr>
      <vt:lpstr>'Climate A-B'!FSD_0</vt:lpstr>
      <vt:lpstr>FSD_0</vt:lpstr>
      <vt:lpstr>fsd_b</vt:lpstr>
      <vt:lpstr>fsd_g</vt:lpstr>
      <vt:lpstr>FSD_G_0</vt:lpstr>
      <vt:lpstr>fsd_g_b</vt:lpstr>
      <vt:lpstr>fsi</vt:lpstr>
      <vt:lpstr>FSI_0</vt:lpstr>
      <vt:lpstr>fsi_b</vt:lpstr>
      <vt:lpstr>fsi_g</vt:lpstr>
      <vt:lpstr>FSI_G_0</vt:lpstr>
      <vt:lpstr>fsi_g_b</vt:lpstr>
      <vt:lpstr>FSLOPE_CH4</vt:lpstr>
      <vt:lpstr>FSLOPE_CO2</vt:lpstr>
      <vt:lpstr>FSLOPE_GLIN</vt:lpstr>
      <vt:lpstr>FSLOPE_N2O</vt:lpstr>
      <vt:lpstr>ft</vt:lpstr>
      <vt:lpstr>FT_0</vt:lpstr>
      <vt:lpstr>ft_1</vt:lpstr>
      <vt:lpstr>ft_1_b</vt:lpstr>
      <vt:lpstr>ft_b</vt:lpstr>
      <vt:lpstr>ft_not_1</vt:lpstr>
      <vt:lpstr>ft_not_1_b</vt:lpstr>
      <vt:lpstr>gain</vt:lpstr>
      <vt:lpstr>GAIN_0</vt:lpstr>
      <vt:lpstr>gain_b</vt:lpstr>
      <vt:lpstr>GDP</vt:lpstr>
      <vt:lpstr>GDP_0</vt:lpstr>
      <vt:lpstr>GDP_B</vt:lpstr>
      <vt:lpstr>GDP_G</vt:lpstr>
      <vt:lpstr>GDP_G_0</vt:lpstr>
      <vt:lpstr>GDP_G_1</vt:lpstr>
      <vt:lpstr>GDP_G_1_B</vt:lpstr>
      <vt:lpstr>GDP_G_B</vt:lpstr>
      <vt:lpstr>GDP_G_NOT_1</vt:lpstr>
      <vt:lpstr>GDP_G_NOT_1_B</vt:lpstr>
      <vt:lpstr>GDP_NOT_1</vt:lpstr>
      <vt:lpstr>GDP_NOT_1_B</vt:lpstr>
      <vt:lpstr>GDP_PER_CAP</vt:lpstr>
      <vt:lpstr>GDP_PER_CAP_0</vt:lpstr>
      <vt:lpstr>gdp_per_cap_after_costs</vt:lpstr>
      <vt:lpstr>gdp_per_cap_after_costs_b</vt:lpstr>
      <vt:lpstr>GDP_PER_CAP_B</vt:lpstr>
      <vt:lpstr>GDP_PER_CAP_FOCUS_0</vt:lpstr>
      <vt:lpstr>GDP_PER_CAP_G</vt:lpstr>
      <vt:lpstr>GDP_PER_CAP_G_0</vt:lpstr>
      <vt:lpstr>GDP_PER_CAP_G_B</vt:lpstr>
      <vt:lpstr>GLIN_NAME</vt:lpstr>
      <vt:lpstr>GRW</vt:lpstr>
      <vt:lpstr>GRW_1</vt:lpstr>
      <vt:lpstr>GRW_1_B</vt:lpstr>
      <vt:lpstr>GRW_B</vt:lpstr>
      <vt:lpstr>GRW_G</vt:lpstr>
      <vt:lpstr>GRW_G_B</vt:lpstr>
      <vt:lpstr>GRW_NOT_1</vt:lpstr>
      <vt:lpstr>GRW_NOT_1_B</vt:lpstr>
      <vt:lpstr>i_1</vt:lpstr>
      <vt:lpstr>i_1_b</vt:lpstr>
      <vt:lpstr>i_1_burke</vt:lpstr>
      <vt:lpstr>i_1_burke_1</vt:lpstr>
      <vt:lpstr>i_1_burke_1_b</vt:lpstr>
      <vt:lpstr>i_1_burke_b</vt:lpstr>
      <vt:lpstr>i_1_burke_not_1</vt:lpstr>
      <vt:lpstr>i_1_burke_not_1_b</vt:lpstr>
      <vt:lpstr>i_1_log</vt:lpstr>
      <vt:lpstr>i_1_log_b</vt:lpstr>
      <vt:lpstr>I_1_NAME</vt:lpstr>
      <vt:lpstr>i_2</vt:lpstr>
      <vt:lpstr>i_2_b</vt:lpstr>
      <vt:lpstr>I_2_NAME</vt:lpstr>
      <vt:lpstr>I_D_NAME</vt:lpstr>
      <vt:lpstr>i_dis</vt:lpstr>
      <vt:lpstr>i_dis_b</vt:lpstr>
      <vt:lpstr>i_s</vt:lpstr>
      <vt:lpstr>i_s_b</vt:lpstr>
      <vt:lpstr>I_S_NAME</vt:lpstr>
      <vt:lpstr>IBEN_1</vt:lpstr>
      <vt:lpstr>IBEN_2</vt:lpstr>
      <vt:lpstr>IBEN_S</vt:lpstr>
      <vt:lpstr>IES_CH4</vt:lpstr>
      <vt:lpstr>IES_CO2</vt:lpstr>
      <vt:lpstr>IES_GLIN</vt:lpstr>
      <vt:lpstr>IES_N2O</vt:lpstr>
      <vt:lpstr>igdp_1</vt:lpstr>
      <vt:lpstr>igdp_1_b</vt:lpstr>
      <vt:lpstr>igdp_2</vt:lpstr>
      <vt:lpstr>igdp_2_b</vt:lpstr>
      <vt:lpstr>igdp_s</vt:lpstr>
      <vt:lpstr>igdp_s_b</vt:lpstr>
      <vt:lpstr>igdpdis</vt:lpstr>
      <vt:lpstr>igdpdis_1</vt:lpstr>
      <vt:lpstr>igdpdis_1_b</vt:lpstr>
      <vt:lpstr>igdpdis_b</vt:lpstr>
      <vt:lpstr>igdpdis_not_1</vt:lpstr>
      <vt:lpstr>igdpdis_not_1_b</vt:lpstr>
      <vt:lpstr>igdpeqdis</vt:lpstr>
      <vt:lpstr>igdpeqdis_1</vt:lpstr>
      <vt:lpstr>igdpeqdis_1_b</vt:lpstr>
      <vt:lpstr>igdpeqdis_b</vt:lpstr>
      <vt:lpstr>igdpeqdis_not_1</vt:lpstr>
      <vt:lpstr>igdpeqdis_not_1_b</vt:lpstr>
      <vt:lpstr>imp_1</vt:lpstr>
      <vt:lpstr>imp_1_b</vt:lpstr>
      <vt:lpstr>imp_2</vt:lpstr>
      <vt:lpstr>imp_2_b</vt:lpstr>
      <vt:lpstr>imp_s</vt:lpstr>
      <vt:lpstr>imp_s_b</vt:lpstr>
      <vt:lpstr>IMPF_COEFF_LIN</vt:lpstr>
      <vt:lpstr>IMPF_COEFF_QUADR</vt:lpstr>
      <vt:lpstr>impmax_1_a</vt:lpstr>
      <vt:lpstr>impmax_1_b</vt:lpstr>
      <vt:lpstr>impmax_2_a</vt:lpstr>
      <vt:lpstr>impmax_2_b</vt:lpstr>
      <vt:lpstr>impmax_s_a</vt:lpstr>
      <vt:lpstr>impmax_s_b</vt:lpstr>
      <vt:lpstr>impred_1_a</vt:lpstr>
      <vt:lpstr>impred_1_b</vt:lpstr>
      <vt:lpstr>impred_2_a</vt:lpstr>
      <vt:lpstr>impred_2_b</vt:lpstr>
      <vt:lpstr>impred_s_a</vt:lpstr>
      <vt:lpstr>impred_s_b</vt:lpstr>
      <vt:lpstr>IND</vt:lpstr>
      <vt:lpstr>IPOW_1</vt:lpstr>
      <vt:lpstr>IPOW_2</vt:lpstr>
      <vt:lpstr>IPOW_S</vt:lpstr>
      <vt:lpstr>IPOWDIS</vt:lpstr>
      <vt:lpstr>iref_1</vt:lpstr>
      <vt:lpstr>iref_1_b</vt:lpstr>
      <vt:lpstr>iref_1_burke</vt:lpstr>
      <vt:lpstr>iref_1_burke_b</vt:lpstr>
      <vt:lpstr>iref_1_page</vt:lpstr>
      <vt:lpstr>iref_1_page_b</vt:lpstr>
      <vt:lpstr>iref_2</vt:lpstr>
      <vt:lpstr>iref_2_b</vt:lpstr>
      <vt:lpstr>iref_s</vt:lpstr>
      <vt:lpstr>iref_s_b</vt:lpstr>
      <vt:lpstr>IREFEQDIS</vt:lpstr>
      <vt:lpstr>ISAT</vt:lpstr>
      <vt:lpstr>isat_1</vt:lpstr>
      <vt:lpstr>isat_1_b</vt:lpstr>
      <vt:lpstr>isat_2</vt:lpstr>
      <vt:lpstr>isat_2_b</vt:lpstr>
      <vt:lpstr>isat_2_per_cap</vt:lpstr>
      <vt:lpstr>isat_2_per_cap_b</vt:lpstr>
      <vt:lpstr>isat_s</vt:lpstr>
      <vt:lpstr>isat_s_b</vt:lpstr>
      <vt:lpstr>isat_s_per_cap</vt:lpstr>
      <vt:lpstr>isat_s_per_cap_b</vt:lpstr>
      <vt:lpstr>isatad_1</vt:lpstr>
      <vt:lpstr>isatad_1_b</vt:lpstr>
      <vt:lpstr>isatad_1_per_cap</vt:lpstr>
      <vt:lpstr>isatad_1_per_cap_b</vt:lpstr>
      <vt:lpstr>isatdis</vt:lpstr>
      <vt:lpstr>isatdis_b</vt:lpstr>
      <vt:lpstr>isatdis_per_cap</vt:lpstr>
      <vt:lpstr>isatdis_per_cap_b</vt:lpstr>
      <vt:lpstr>ISATG</vt:lpstr>
      <vt:lpstr>istart_1_a</vt:lpstr>
      <vt:lpstr>istart_1_b</vt:lpstr>
      <vt:lpstr>istart_2_a</vt:lpstr>
      <vt:lpstr>istart_2_b</vt:lpstr>
      <vt:lpstr>istart_s_a</vt:lpstr>
      <vt:lpstr>istart_s_b</vt:lpstr>
      <vt:lpstr>iyears_1_a</vt:lpstr>
      <vt:lpstr>iyears_1_b</vt:lpstr>
      <vt:lpstr>iyears_2_a</vt:lpstr>
      <vt:lpstr>iyears_2_b</vt:lpstr>
      <vt:lpstr>iyears_s_a</vt:lpstr>
      <vt:lpstr>iyears_s_b</vt:lpstr>
      <vt:lpstr>land_comp_co2_proj</vt:lpstr>
      <vt:lpstr>land_comp_co2_proj_b</vt:lpstr>
      <vt:lpstr>LEARN</vt:lpstr>
      <vt:lpstr>learnfac_ch4</vt:lpstr>
      <vt:lpstr>learnfac_ch4_b</vt:lpstr>
      <vt:lpstr>learnfac_co2</vt:lpstr>
      <vt:lpstr>learnfac_co2_b</vt:lpstr>
      <vt:lpstr>learnfac_glin</vt:lpstr>
      <vt:lpstr>learnfac_glin_b</vt:lpstr>
      <vt:lpstr>learnfac_n2o</vt:lpstr>
      <vt:lpstr>learnfac_n2o_b</vt:lpstr>
      <vt:lpstr>mc_ch4</vt:lpstr>
      <vt:lpstr>mc_ch4_b</vt:lpstr>
      <vt:lpstr>mc_co2</vt:lpstr>
      <vt:lpstr>mc_co2_b</vt:lpstr>
      <vt:lpstr>mc_glin</vt:lpstr>
      <vt:lpstr>mc_glin_b</vt:lpstr>
      <vt:lpstr>mc_n2o</vt:lpstr>
      <vt:lpstr>mc_n2o_b</vt:lpstr>
      <vt:lpstr>MODEL_NAME</vt:lpstr>
      <vt:lpstr>natur_teay_ch4</vt:lpstr>
      <vt:lpstr>natur_teay_ch4_b</vt:lpstr>
      <vt:lpstr>NF_0</vt:lpstr>
      <vt:lpstr>nte_ch4</vt:lpstr>
      <vt:lpstr>NTE_CH4_0</vt:lpstr>
      <vt:lpstr>nte_ch4_b</vt:lpstr>
      <vt:lpstr>nte_ch4_not_1</vt:lpstr>
      <vt:lpstr>nte_ch4_not_1_b</vt:lpstr>
      <vt:lpstr>nte_glin</vt:lpstr>
      <vt:lpstr>NTE_GLIN_0</vt:lpstr>
      <vt:lpstr>nte_glin_b</vt:lpstr>
      <vt:lpstr>nte_n2o</vt:lpstr>
      <vt:lpstr>NTE_N2O_0</vt:lpstr>
      <vt:lpstr>nte_n2o_b</vt:lpstr>
      <vt:lpstr>occur_dis</vt:lpstr>
      <vt:lpstr>occur_dis_1</vt:lpstr>
      <vt:lpstr>occur_dis_1_b</vt:lpstr>
      <vt:lpstr>occur_dis_b</vt:lpstr>
      <vt:lpstr>occur_dis_not_1</vt:lpstr>
      <vt:lpstr>occur_dis_not_1_b</vt:lpstr>
      <vt:lpstr>OCCUR_SCC</vt:lpstr>
      <vt:lpstr>ocean_co2_flux_annual</vt:lpstr>
      <vt:lpstr>ocean_co2_flux_annual_b</vt:lpstr>
      <vt:lpstr>ocean_long_comp_co2_proj</vt:lpstr>
      <vt:lpstr>ocean_long_comp_co2_proj_b</vt:lpstr>
      <vt:lpstr>OCEAN_PROP</vt:lpstr>
      <vt:lpstr>ocean_short_comp_co2_proj</vt:lpstr>
      <vt:lpstr>ocean_short_comp_co2_proj_b</vt:lpstr>
      <vt:lpstr>over_ch4</vt:lpstr>
      <vt:lpstr>over_ch4_b</vt:lpstr>
      <vt:lpstr>over_n2o</vt:lpstr>
      <vt:lpstr>over_n2o_b</vt:lpstr>
      <vt:lpstr>PAIR_15C</vt:lpstr>
      <vt:lpstr>PAIR_25C</vt:lpstr>
      <vt:lpstr>PAIR_2C</vt:lpstr>
      <vt:lpstr>PAIR_BAU</vt:lpstr>
      <vt:lpstr>PAIR_NDC</vt:lpstr>
      <vt:lpstr>PAIR_NDC_PART</vt:lpstr>
      <vt:lpstr>PAIR_RCP26</vt:lpstr>
      <vt:lpstr>PAIR_RCP45</vt:lpstr>
      <vt:lpstr>PAIR_RCP85</vt:lpstr>
      <vt:lpstr>PAIR_ZERO</vt:lpstr>
      <vt:lpstr>PARAM_ECON_IMPF_PAGE09_BURKE_MIMIC</vt:lpstr>
      <vt:lpstr>PARAM_ECON_IMPF_PAGE09_DEFAULT</vt:lpstr>
      <vt:lpstr>PARAM_ECON_IMPF_PAGE09_DELL_MIMIC</vt:lpstr>
      <vt:lpstr>PARAM_ECON_IMPF_PAGE09_IPCCAR5_BURKE</vt:lpstr>
      <vt:lpstr>pcdat</vt:lpstr>
      <vt:lpstr>pcdat_b</vt:lpstr>
      <vt:lpstr>pcdat_g</vt:lpstr>
      <vt:lpstr>pcdat_g_ab</vt:lpstr>
      <vt:lpstr>pcdat_g_b</vt:lpstr>
      <vt:lpstr>pcdat_gt</vt:lpstr>
      <vt:lpstr>pcdat_gt_b</vt:lpstr>
      <vt:lpstr>pcdt</vt:lpstr>
      <vt:lpstr>pcdt_b</vt:lpstr>
      <vt:lpstr>pcdt_g</vt:lpstr>
      <vt:lpstr>pcdt_g_ab</vt:lpstr>
      <vt:lpstr>pcdt_g_b</vt:lpstr>
      <vt:lpstr>pct</vt:lpstr>
      <vt:lpstr>pct_b</vt:lpstr>
      <vt:lpstr>pct_g</vt:lpstr>
      <vt:lpstr>pct_g_ab</vt:lpstr>
      <vt:lpstr>pct_g_b</vt:lpstr>
      <vt:lpstr>pct_per_cap</vt:lpstr>
      <vt:lpstr>pct_per_cap_b</vt:lpstr>
      <vt:lpstr>PDIS</vt:lpstr>
      <vt:lpstr>PERCENT_CO2_LAND</vt:lpstr>
      <vt:lpstr>PERCENT_CO2_OCEAN_LONG</vt:lpstr>
      <vt:lpstr>PERCENT_CO2_OCEAN_SHORT</vt:lpstr>
      <vt:lpstr>PERCENT_CO2_STAY</vt:lpstr>
      <vt:lpstr>PERM_INITIAL_C_STOCK_UNCERTAINTY</vt:lpstr>
      <vt:lpstr>PERM_JUL_AF</vt:lpstr>
      <vt:lpstr>PERM_JUL_CE_C_0</vt:lpstr>
      <vt:lpstr>perm_jul_ce_c_co2</vt:lpstr>
      <vt:lpstr>PERM_JUL_CE_C_CO2_0</vt:lpstr>
      <vt:lpstr>perm_jul_ce_c_co2_1</vt:lpstr>
      <vt:lpstr>perm_jul_ce_c_co2_1_b</vt:lpstr>
      <vt:lpstr>perm_jul_ce_c_co2_b</vt:lpstr>
      <vt:lpstr>perm_jul_ce_c_co2_not_1</vt:lpstr>
      <vt:lpstr>perm_jul_ce_c_co2_not_1_b</vt:lpstr>
      <vt:lpstr>perm_jul_ce_ch4</vt:lpstr>
      <vt:lpstr>PERM_JUL_CE_CH4_0</vt:lpstr>
      <vt:lpstr>perm_jul_ce_ch4_b</vt:lpstr>
      <vt:lpstr>perm_jul_ce_co2</vt:lpstr>
      <vt:lpstr>PERM_JUL_CE_CO2_0</vt:lpstr>
      <vt:lpstr>perm_jul_ce_co2_b</vt:lpstr>
      <vt:lpstr>PERM_JUL_CH4_CO2_C_RATIO</vt:lpstr>
      <vt:lpstr>perm_jul_e_co2</vt:lpstr>
      <vt:lpstr>PERM_JUL_E_CO2_0</vt:lpstr>
      <vt:lpstr>perm_jul_e_co2_b</vt:lpstr>
      <vt:lpstr>perm_jul_equilib_c_co2</vt:lpstr>
      <vt:lpstr>PERM_JUL_EQUILIB_C_CO2_0</vt:lpstr>
      <vt:lpstr>perm_jul_equilib_c_co2_1</vt:lpstr>
      <vt:lpstr>perm_jul_equilib_c_co2_1_b</vt:lpstr>
      <vt:lpstr>perm_jul_equilib_c_co2_b</vt:lpstr>
      <vt:lpstr>perm_jul_equilib_c_co2_not_1</vt:lpstr>
      <vt:lpstr>perm_jul_equilib_c_co2_not_1_b</vt:lpstr>
      <vt:lpstr>PERM_JUL_LAG_C_CO2</vt:lpstr>
      <vt:lpstr>perm_jul_lag_c_co2_correct</vt:lpstr>
      <vt:lpstr>PERM_JUL_LAG_C_CO2_CORRECT_0</vt:lpstr>
      <vt:lpstr>perm_jul_lag_c_co2_correct_1</vt:lpstr>
      <vt:lpstr>perm_jul_lag_c_co2_correct_1_b</vt:lpstr>
      <vt:lpstr>perm_jul_lag_c_co2_correct_b</vt:lpstr>
      <vt:lpstr>perm_jul_lag_c_co2_correct_not_1</vt:lpstr>
      <vt:lpstr>perm_jul_lag_c_co2_correct_not_1_b</vt:lpstr>
      <vt:lpstr>PERM_JUL_LAG_SLOPE_VS_T_CO2</vt:lpstr>
      <vt:lpstr>PERM_JUL_LIMIT_C</vt:lpstr>
      <vt:lpstr>PERM_JUL_LIMIT_T</vt:lpstr>
      <vt:lpstr>PERM_JUL_POW_C_CO2</vt:lpstr>
      <vt:lpstr>perm_jul_pow_c_co2_correct</vt:lpstr>
      <vt:lpstr>PERM_JUL_POW_C_CO2_CORRECT_0</vt:lpstr>
      <vt:lpstr>perm_jul_pow_c_co2_correct_1</vt:lpstr>
      <vt:lpstr>perm_jul_pow_c_co2_correct_1_b</vt:lpstr>
      <vt:lpstr>perm_jul_pow_c_co2_correct_b</vt:lpstr>
      <vt:lpstr>perm_jul_pow_c_co2_correct_not_1</vt:lpstr>
      <vt:lpstr>perm_jul_pow_c_co2_correct_not_1_b</vt:lpstr>
      <vt:lpstr>PERM_JUL_POW_SLOPE_VS_T_CO2</vt:lpstr>
      <vt:lpstr>PERM_JUL_SENS_C_CO2</vt:lpstr>
      <vt:lpstr>perm_jul_sens_c_co2_correct</vt:lpstr>
      <vt:lpstr>PERM_JUL_SENS_C_CO2_CORRECT_0</vt:lpstr>
      <vt:lpstr>perm_jul_sens_c_co2_correct_1</vt:lpstr>
      <vt:lpstr>perm_jul_sens_c_co2_correct_1_b</vt:lpstr>
      <vt:lpstr>perm_jul_sens_c_co2_correct_b</vt:lpstr>
      <vt:lpstr>perm_jul_sens_c_co2_correct_not_1</vt:lpstr>
      <vt:lpstr>perm_jul_sens_c_co2_correct_not_1_b</vt:lpstr>
      <vt:lpstr>PERM_JUL_SENS_SLOPE_VS_T_CO2</vt:lpstr>
      <vt:lpstr>perm_jul_temp</vt:lpstr>
      <vt:lpstr>PERM_JUL_TEMP_0</vt:lpstr>
      <vt:lpstr>perm_jul_temp_b</vt:lpstr>
      <vt:lpstr>PERM_SIB_AF</vt:lpstr>
      <vt:lpstr>PERM_SIB_CE_C_0</vt:lpstr>
      <vt:lpstr>perm_sib_ce_c_ch4</vt:lpstr>
      <vt:lpstr>PERM_SIB_CE_C_CH4_0</vt:lpstr>
      <vt:lpstr>perm_sib_ce_c_ch4_b</vt:lpstr>
      <vt:lpstr>perm_sib_ce_c_co2</vt:lpstr>
      <vt:lpstr>PERM_SIB_CE_C_CO2_0</vt:lpstr>
      <vt:lpstr>perm_sib_ce_c_co2_1</vt:lpstr>
      <vt:lpstr>perm_sib_ce_c_co2_1_b</vt:lpstr>
      <vt:lpstr>perm_sib_ce_c_co2_b</vt:lpstr>
      <vt:lpstr>perm_sib_ce_c_co2_not_1</vt:lpstr>
      <vt:lpstr>perm_sib_ce_c_co2_not_1_b</vt:lpstr>
      <vt:lpstr>perm_sib_ce_ch4</vt:lpstr>
      <vt:lpstr>PERM_SIB_CE_CH4_0</vt:lpstr>
      <vt:lpstr>perm_sib_ce_ch4_1</vt:lpstr>
      <vt:lpstr>perm_sib_ce_ch4_1_b</vt:lpstr>
      <vt:lpstr>perm_sib_ce_ch4_b</vt:lpstr>
      <vt:lpstr>perm_sib_ce_ch4_not_1</vt:lpstr>
      <vt:lpstr>perm_sib_ce_ch4_not_1_b</vt:lpstr>
      <vt:lpstr>perm_sib_ce_co2</vt:lpstr>
      <vt:lpstr>PERM_SIB_CE_CO2_0</vt:lpstr>
      <vt:lpstr>perm_sib_ce_co2_1_b</vt:lpstr>
      <vt:lpstr>perm_sib_ce_co2_b</vt:lpstr>
      <vt:lpstr>perm_sib_ce_co2_not_1_b</vt:lpstr>
      <vt:lpstr>perm_sib_e_co2</vt:lpstr>
      <vt:lpstr>PERM_SIB_E_CO2_0</vt:lpstr>
      <vt:lpstr>PERM_SIB_E_CO2_0_b</vt:lpstr>
      <vt:lpstr>perm_sib_e_co2_b</vt:lpstr>
      <vt:lpstr>perm_sib_equilib_c_ch4_1</vt:lpstr>
      <vt:lpstr>perm_sib_equilib_c_ch4_1_b</vt:lpstr>
      <vt:lpstr>perm_sib_equilib_c_ch4_not_1</vt:lpstr>
      <vt:lpstr>perm_sib_equilib_c_ch4_not_1_b</vt:lpstr>
      <vt:lpstr>perm_sib_equilib_c_co2</vt:lpstr>
      <vt:lpstr>PERM_SIB_EQUILIB_C_CO2_0</vt:lpstr>
      <vt:lpstr>perm_sib_equilib_c_co2_1</vt:lpstr>
      <vt:lpstr>perm_sib_equilib_c_co2_1_b</vt:lpstr>
      <vt:lpstr>perm_sib_equilib_c_co2_b</vt:lpstr>
      <vt:lpstr>perm_sib_equilib_c_co2_not_1</vt:lpstr>
      <vt:lpstr>perm_sib_equilib_c_co2_not_1_b</vt:lpstr>
      <vt:lpstr>PERM_SIB_LAG_C_CH4</vt:lpstr>
      <vt:lpstr>perm_sib_lag_c_ch4_correct</vt:lpstr>
      <vt:lpstr>PERM_SIB_LAG_C_CH4_CORRECT_0</vt:lpstr>
      <vt:lpstr>perm_sib_lag_c_ch4_correct_1</vt:lpstr>
      <vt:lpstr>perm_sib_lag_c_ch4_correct_1_b</vt:lpstr>
      <vt:lpstr>perm_sib_lag_c_ch4_correct_b</vt:lpstr>
      <vt:lpstr>perm_sib_lag_c_ch4_correct_not_1</vt:lpstr>
      <vt:lpstr>perm_sib_lag_c_ch4_correct_not_1_b</vt:lpstr>
      <vt:lpstr>PERM_SIB_LAG_C_CO2</vt:lpstr>
      <vt:lpstr>perm_sib_lag_c_co2_correct</vt:lpstr>
      <vt:lpstr>PERM_SIB_LAG_C_CO2_CORRECT_0</vt:lpstr>
      <vt:lpstr>perm_sib_lag_c_co2_correct_1</vt:lpstr>
      <vt:lpstr>perm_sib_lag_c_co2_correct_1_b</vt:lpstr>
      <vt:lpstr>perm_sib_lag_c_co2_correct_b</vt:lpstr>
      <vt:lpstr>perm_sib_lag_c_co2_correct_not_1</vt:lpstr>
      <vt:lpstr>perm_sib_lag_c_co2_correct_not_1_b</vt:lpstr>
      <vt:lpstr>PERM_SIB_LAG_SLOPE_VS_T_CH4</vt:lpstr>
      <vt:lpstr>PERM_SIB_LAG_SLOPE_VS_T_CO2</vt:lpstr>
      <vt:lpstr>PERM_SIB_LIMIT_C</vt:lpstr>
      <vt:lpstr>PERM_SIB_LIMIT_T</vt:lpstr>
      <vt:lpstr>PERM_SIB_POW_C_CH4</vt:lpstr>
      <vt:lpstr>perm_sib_pow_c_ch4_correct</vt:lpstr>
      <vt:lpstr>PERM_SIB_POW_C_CH4_CORRECT_0</vt:lpstr>
      <vt:lpstr>perm_sib_pow_c_ch4_correct_1</vt:lpstr>
      <vt:lpstr>perm_sib_pow_c_ch4_correct_1_b</vt:lpstr>
      <vt:lpstr>perm_sib_pow_c_ch4_correct_b</vt:lpstr>
      <vt:lpstr>perm_sib_pow_c_ch4_correct_not_1</vt:lpstr>
      <vt:lpstr>perm_sib_pow_c_ch4_correct_not_1_b</vt:lpstr>
      <vt:lpstr>PERM_SIB_POW_C_CO2</vt:lpstr>
      <vt:lpstr>perm_sib_pow_c_co2_correct</vt:lpstr>
      <vt:lpstr>PERM_SIB_POW_C_CO2_CORRECT_0</vt:lpstr>
      <vt:lpstr>perm_sib_pow_c_co2_correct_1</vt:lpstr>
      <vt:lpstr>perm_sib_pow_c_co2_correct_1_b</vt:lpstr>
      <vt:lpstr>perm_sib_pow_c_co2_correct_b</vt:lpstr>
      <vt:lpstr>perm_sib_pow_c_co2_correct_not_1</vt:lpstr>
      <vt:lpstr>perm_sib_pow_c_co2_correct_not_1_b</vt:lpstr>
      <vt:lpstr>PERM_SIB_POW_SLOPE_VS_T_CH4</vt:lpstr>
      <vt:lpstr>PERM_SIB_POW_SLOPE_VS_T_CO2</vt:lpstr>
      <vt:lpstr>PERM_SIB_SENS_C_CH4</vt:lpstr>
      <vt:lpstr>perm_sib_sens_c_ch4_correct</vt:lpstr>
      <vt:lpstr>PERM_SIB_SENS_C_CH4_CORRECT_0</vt:lpstr>
      <vt:lpstr>perm_sib_sens_c_ch4_correct_1</vt:lpstr>
      <vt:lpstr>perm_sib_sens_c_ch4_correct_1_b</vt:lpstr>
      <vt:lpstr>perm_sib_sens_c_ch4_correct_b</vt:lpstr>
      <vt:lpstr>perm_sib_sens_c_ch4_correct_not_1</vt:lpstr>
      <vt:lpstr>perm_sib_sens_c_ch4_correct_not_1_b</vt:lpstr>
      <vt:lpstr>PERM_SIB_SENS_C_CO2</vt:lpstr>
      <vt:lpstr>perm_sib_sens_c_co2_correct</vt:lpstr>
      <vt:lpstr>PERM_SIB_SENS_C_CO2_CORRECT_0</vt:lpstr>
      <vt:lpstr>perm_sib_sens_c_co2_correct_1</vt:lpstr>
      <vt:lpstr>perm_sib_sens_c_co2_correct_1_b</vt:lpstr>
      <vt:lpstr>perm_sib_sens_c_co2_correct_b</vt:lpstr>
      <vt:lpstr>perm_sib_sens_c_co2_correct_not_1</vt:lpstr>
      <vt:lpstr>perm_sib_sens_c_co2_correct_not_1_b</vt:lpstr>
      <vt:lpstr>PERM_SIB_SENS_SLOPE_VS_T_CH4</vt:lpstr>
      <vt:lpstr>PERM_SIB_SENS_SLOPE_VS_T_CO2</vt:lpstr>
      <vt:lpstr>perm_sib_temp</vt:lpstr>
      <vt:lpstr>PERM_SIB_TEMP_0</vt:lpstr>
      <vt:lpstr>perm_sib_temp_1</vt:lpstr>
      <vt:lpstr>perm_sib_temp_1_b</vt:lpstr>
      <vt:lpstr>perm_sib_temp_b</vt:lpstr>
      <vt:lpstr>perm_sib_temp_not_1</vt:lpstr>
      <vt:lpstr>perm_sib_temp_not_1_b</vt:lpstr>
      <vt:lpstr>perm_teay_ch4</vt:lpstr>
      <vt:lpstr>perm_teay_ch4_b</vt:lpstr>
      <vt:lpstr>perm_tot_ce_ch4</vt:lpstr>
      <vt:lpstr>PERM_TOT_CE_CH4_0</vt:lpstr>
      <vt:lpstr>PERM_TOT_CE_CH4_0_b</vt:lpstr>
      <vt:lpstr>perm_tot_ce_ch4_1</vt:lpstr>
      <vt:lpstr>perm_tot_ce_ch4_1_b</vt:lpstr>
      <vt:lpstr>perm_tot_ce_ch4_b</vt:lpstr>
      <vt:lpstr>perm_tot_ce_ch4_not_1</vt:lpstr>
      <vt:lpstr>perm_tot_ce_ch4_not_1_b</vt:lpstr>
      <vt:lpstr>perm_tot_ce_co2</vt:lpstr>
      <vt:lpstr>PERM_TOT_CE_CO2_0</vt:lpstr>
      <vt:lpstr>PERM_TOT_CE_CO2_0_b</vt:lpstr>
      <vt:lpstr>perm_tot_ce_co2_b</vt:lpstr>
      <vt:lpstr>perm_tot_e_co2</vt:lpstr>
      <vt:lpstr>PERM_TOT_E_CO2_0</vt:lpstr>
      <vt:lpstr>PERM_TOT_E_CO2_0_b</vt:lpstr>
      <vt:lpstr>perm_tot_e_co2_b</vt:lpstr>
      <vt:lpstr>PEXF_0</vt:lpstr>
      <vt:lpstr>pexf_1_a</vt:lpstr>
      <vt:lpstr>pexf_1_b</vt:lpstr>
      <vt:lpstr>pexf_a</vt:lpstr>
      <vt:lpstr>pexf_b</vt:lpstr>
      <vt:lpstr>pexf_final_a</vt:lpstr>
      <vt:lpstr>pexf_final_b</vt:lpstr>
      <vt:lpstr>pexf_not_1_a</vt:lpstr>
      <vt:lpstr>pexf_not_1_b</vt:lpstr>
      <vt:lpstr>PIC</vt:lpstr>
      <vt:lpstr>PIC_CH4</vt:lpstr>
      <vt:lpstr>PIC_CO2</vt:lpstr>
      <vt:lpstr>PIC_GLIN</vt:lpstr>
      <vt:lpstr>PIC_N2O</vt:lpstr>
      <vt:lpstr>plateau_1_a</vt:lpstr>
      <vt:lpstr>plateau_1_b</vt:lpstr>
      <vt:lpstr>plateau_2_a</vt:lpstr>
      <vt:lpstr>plateau_2_b</vt:lpstr>
      <vt:lpstr>plateau_s_a</vt:lpstr>
      <vt:lpstr>plateau_s_b</vt:lpstr>
      <vt:lpstr>POP</vt:lpstr>
      <vt:lpstr>POP_0</vt:lpstr>
      <vt:lpstr>POP_B</vt:lpstr>
      <vt:lpstr>POP_G</vt:lpstr>
      <vt:lpstr>POP_G_0</vt:lpstr>
      <vt:lpstr>POP_G_1</vt:lpstr>
      <vt:lpstr>POP_G_1_B</vt:lpstr>
      <vt:lpstr>POP_G_B</vt:lpstr>
      <vt:lpstr>POP_G_NOT_1</vt:lpstr>
      <vt:lpstr>POP_G_NOT_1_B</vt:lpstr>
      <vt:lpstr>POP_GRW</vt:lpstr>
      <vt:lpstr>POP_GRW_1</vt:lpstr>
      <vt:lpstr>POP_GRW_1_B</vt:lpstr>
      <vt:lpstr>POP_GRW_B</vt:lpstr>
      <vt:lpstr>POP_GRW_G</vt:lpstr>
      <vt:lpstr>POP_GRW_G_B</vt:lpstr>
      <vt:lpstr>POP_GRW_NOT_1</vt:lpstr>
      <vt:lpstr>POP_GRW_NOT_1_B</vt:lpstr>
      <vt:lpstr>POP_NOT_1</vt:lpstr>
      <vt:lpstr>POP_NOT_1_B</vt:lpstr>
      <vt:lpstr>POP_UNIT_NAME</vt:lpstr>
      <vt:lpstr>POW_1</vt:lpstr>
      <vt:lpstr>POW_2</vt:lpstr>
      <vt:lpstr>POW_S</vt:lpstr>
      <vt:lpstr>prob_dis</vt:lpstr>
      <vt:lpstr>prob_dis_b</vt:lpstr>
      <vt:lpstr>pse_1_a</vt:lpstr>
      <vt:lpstr>pse_1_b</vt:lpstr>
      <vt:lpstr>pse_a</vt:lpstr>
      <vt:lpstr>pse_b</vt:lpstr>
      <vt:lpstr>pse_final_a</vt:lpstr>
      <vt:lpstr>pse_final_b</vt:lpstr>
      <vt:lpstr>pse_not_1_a</vt:lpstr>
      <vt:lpstr>pse_not_1_b</vt:lpstr>
      <vt:lpstr>pstart_1_a</vt:lpstr>
      <vt:lpstr>pstart_1_b</vt:lpstr>
      <vt:lpstr>pstart_2_a</vt:lpstr>
      <vt:lpstr>pstart_2_b</vt:lpstr>
      <vt:lpstr>pstart_s_a</vt:lpstr>
      <vt:lpstr>pstart_s_b</vt:lpstr>
      <vt:lpstr>pt_g</vt:lpstr>
      <vt:lpstr>pt_g_1</vt:lpstr>
      <vt:lpstr>pt_g_1_b</vt:lpstr>
      <vt:lpstr>pt_g_b</vt:lpstr>
      <vt:lpstr>pt_g_not_1</vt:lpstr>
      <vt:lpstr>pt_g_not_1_b</vt:lpstr>
      <vt:lpstr>PTP</vt:lpstr>
      <vt:lpstr>pyears_1_a</vt:lpstr>
      <vt:lpstr>pyears_1_b</vt:lpstr>
      <vt:lpstr>pyears_2_a</vt:lpstr>
      <vt:lpstr>pyears_2_b</vt:lpstr>
      <vt:lpstr>pyears_s_a</vt:lpstr>
      <vt:lpstr>pyears_s_b</vt:lpstr>
      <vt:lpstr>Q0_CH4</vt:lpstr>
      <vt:lpstr>Q0_CO2</vt:lpstr>
      <vt:lpstr>Q0_GLIN</vt:lpstr>
      <vt:lpstr>Q0_N2O</vt:lpstr>
      <vt:lpstr>Q0_PROP_CH4</vt:lpstr>
      <vt:lpstr>Q0_PROP_CO2</vt:lpstr>
      <vt:lpstr>Q0_PROP_GLIN</vt:lpstr>
      <vt:lpstr>Q0_PROP_INIT_CH4</vt:lpstr>
      <vt:lpstr>Q0_PROP_INIT_CH4_1</vt:lpstr>
      <vt:lpstr>Q0_PROP_INIT_CO2</vt:lpstr>
      <vt:lpstr>Q0_PROP_INIT_CO2_1</vt:lpstr>
      <vt:lpstr>Q0_PROP_INIT_GLIN</vt:lpstr>
      <vt:lpstr>Q0_PROP_INIT_GLIN_1</vt:lpstr>
      <vt:lpstr>Q0_PROP_INIT_N2O</vt:lpstr>
      <vt:lpstr>Q0_PROP_INIT_N2O_1</vt:lpstr>
      <vt:lpstr>Q0_PROP_N2O</vt:lpstr>
      <vt:lpstr>Q0F</vt:lpstr>
      <vt:lpstr>Q0PROPG</vt:lpstr>
      <vt:lpstr>Q0PROPMULT</vt:lpstr>
      <vt:lpstr>QMAX_CH4</vt:lpstr>
      <vt:lpstr>QMAX_CO2</vt:lpstr>
      <vt:lpstr>QMAX_GLIN</vt:lpstr>
      <vt:lpstr>QMAX_MINUS_Q0_PROP_CH4</vt:lpstr>
      <vt:lpstr>QMAX_MINUS_Q0_PROP_CO2</vt:lpstr>
      <vt:lpstr>QMAX_MINUS_Q0_PROP_GLIN</vt:lpstr>
      <vt:lpstr>QMAX_MINUS_Q0_PROP_INIT_CH4</vt:lpstr>
      <vt:lpstr>QMAX_MINUS_Q0_PROP_INIT_CO2</vt:lpstr>
      <vt:lpstr>QMAX_MINUS_Q0_PROP_INIT_GLIN</vt:lpstr>
      <vt:lpstr>QMAX_MINUS_Q0_PROP_INIT_N2O</vt:lpstr>
      <vt:lpstr>QMAX_MINUS_Q0_PROP_N2O</vt:lpstr>
      <vt:lpstr>QMAX_MINUS_Q0_PROPG</vt:lpstr>
      <vt:lpstr>QMAX_MINUS_Q0_PROPMULT</vt:lpstr>
      <vt:lpstr>QMAX_N2O</vt:lpstr>
      <vt:lpstr>R_CODE</vt:lpstr>
      <vt:lpstr>R_CODE_1</vt:lpstr>
      <vt:lpstr>R_CODE_NOT_1</vt:lpstr>
      <vt:lpstr>R_NAME</vt:lpstr>
      <vt:lpstr>R_NAME_1</vt:lpstr>
      <vt:lpstr>RAND_DIS</vt:lpstr>
      <vt:lpstr>rate_fgt</vt:lpstr>
      <vt:lpstr>rate_fgt_b</vt:lpstr>
      <vt:lpstr>rcons_1_per_cap</vt:lpstr>
      <vt:lpstr>rcons_1_per_cap_b</vt:lpstr>
      <vt:lpstr>rcons_2_per_cap</vt:lpstr>
      <vt:lpstr>rcons_2_per_cap_b</vt:lpstr>
      <vt:lpstr>rcons_s_per_cap</vt:lpstr>
      <vt:lpstr>rcons_s_per_cap_b</vt:lpstr>
      <vt:lpstr>rconsdis_per_cap</vt:lpstr>
      <vt:lpstr>rconsdis_per_cap_b</vt:lpstr>
      <vt:lpstr>RCP26_CH4</vt:lpstr>
      <vt:lpstr>RCP26_CH4_1</vt:lpstr>
      <vt:lpstr>RCP26_CH4_NOT_1</vt:lpstr>
      <vt:lpstr>RCP26_CO2</vt:lpstr>
      <vt:lpstr>RCP26_CO2_1</vt:lpstr>
      <vt:lpstr>RCP26_CO2_2100</vt:lpstr>
      <vt:lpstr>RCP26_CO2_NOT_1</vt:lpstr>
      <vt:lpstr>RCP26_Excess</vt:lpstr>
      <vt:lpstr>RCP26_Lin</vt:lpstr>
      <vt:lpstr>RCP26_Lin_1</vt:lpstr>
      <vt:lpstr>RCP26_Lin_NOT_1</vt:lpstr>
      <vt:lpstr>RCP26_N2O</vt:lpstr>
      <vt:lpstr>RCP26_N2O_1</vt:lpstr>
      <vt:lpstr>RCP26_N2O_NOT_1</vt:lpstr>
      <vt:lpstr>RCP26_sulph</vt:lpstr>
      <vt:lpstr>RCP26_sulph_1</vt:lpstr>
      <vt:lpstr>RCP26_sulph_NOT_1</vt:lpstr>
      <vt:lpstr>RCP26extra_CH4</vt:lpstr>
      <vt:lpstr>RCP26extra_CH4_B</vt:lpstr>
      <vt:lpstr>RCP26extra_CO2</vt:lpstr>
      <vt:lpstr>RCP26extra_CO2_B</vt:lpstr>
      <vt:lpstr>RCP26extra_Excess</vt:lpstr>
      <vt:lpstr>RCP26extra_Excess_B</vt:lpstr>
      <vt:lpstr>RCP26extra_Lin</vt:lpstr>
      <vt:lpstr>RCP26extra_Lin_B</vt:lpstr>
      <vt:lpstr>RCP26extra_N2O</vt:lpstr>
      <vt:lpstr>RCP26extra_N2O_B</vt:lpstr>
      <vt:lpstr>RCP26extra_sulph</vt:lpstr>
      <vt:lpstr>RCP26extra_sulph_B</vt:lpstr>
      <vt:lpstr>RCP45_CH4</vt:lpstr>
      <vt:lpstr>RCP45_CO2</vt:lpstr>
      <vt:lpstr>RCP45_Excess</vt:lpstr>
      <vt:lpstr>RCP45_Lin</vt:lpstr>
      <vt:lpstr>RCP45_N2O</vt:lpstr>
      <vt:lpstr>RCP45_sulph</vt:lpstr>
      <vt:lpstr>RCP85_CH4</vt:lpstr>
      <vt:lpstr>RCP85_CO2</vt:lpstr>
      <vt:lpstr>RCP85_Excess</vt:lpstr>
      <vt:lpstr>RCP85_Lin</vt:lpstr>
      <vt:lpstr>RCP85_N2O</vt:lpstr>
      <vt:lpstr>RCP85_sulph</vt:lpstr>
      <vt:lpstr>RCPW_CH4</vt:lpstr>
      <vt:lpstr>RCPW_CH4_B</vt:lpstr>
      <vt:lpstr>RCPW_CO2</vt:lpstr>
      <vt:lpstr>RCPW_CO2_B</vt:lpstr>
      <vt:lpstr>RCPW_Excess</vt:lpstr>
      <vt:lpstr>RCPW_Excess_B</vt:lpstr>
      <vt:lpstr>RCPW_Lin</vt:lpstr>
      <vt:lpstr>RCPW_Lin_B</vt:lpstr>
      <vt:lpstr>RCPW_N2O</vt:lpstr>
      <vt:lpstr>RCPW_N2O_B</vt:lpstr>
      <vt:lpstr>RCPW_sulph</vt:lpstr>
      <vt:lpstr>RCPW_sulph_B</vt:lpstr>
      <vt:lpstr>re_ch4</vt:lpstr>
      <vt:lpstr>RE_CH4_0</vt:lpstr>
      <vt:lpstr>re_ch4_b</vt:lpstr>
      <vt:lpstr>re_co2</vt:lpstr>
      <vt:lpstr>RE_CO2_0</vt:lpstr>
      <vt:lpstr>re_co2_1</vt:lpstr>
      <vt:lpstr>re_co2_1_b</vt:lpstr>
      <vt:lpstr>re_co2_b</vt:lpstr>
      <vt:lpstr>RE_CO2_NO_CCF_0</vt:lpstr>
      <vt:lpstr>re_co2_no_ccff</vt:lpstr>
      <vt:lpstr>re_co2_no_ccff_b</vt:lpstr>
      <vt:lpstr>re_co2_not_1</vt:lpstr>
      <vt:lpstr>re_co2_not_1_b</vt:lpstr>
      <vt:lpstr>re_glin</vt:lpstr>
      <vt:lpstr>RE_GLIN_0</vt:lpstr>
      <vt:lpstr>re_glin_b</vt:lpstr>
      <vt:lpstr>re_n2o</vt:lpstr>
      <vt:lpstr>RE_N2O_0</vt:lpstr>
      <vt:lpstr>re_n2o_b</vt:lpstr>
      <vt:lpstr>ref_ch4</vt:lpstr>
      <vt:lpstr>ref_ch4_b</vt:lpstr>
      <vt:lpstr>ref_glin</vt:lpstr>
      <vt:lpstr>ref_glin_b</vt:lpstr>
      <vt:lpstr>ref_n2o</vt:lpstr>
      <vt:lpstr>ref_n2o_b</vt:lpstr>
      <vt:lpstr>RES_CH4</vt:lpstr>
      <vt:lpstr>RES_GLIN</vt:lpstr>
      <vt:lpstr>RES_N2O</vt:lpstr>
      <vt:lpstr>rgdp_1_per_cap</vt:lpstr>
      <vt:lpstr>rgdp_1_per_cap_b</vt:lpstr>
      <vt:lpstr>rgdp_2_per_cap</vt:lpstr>
      <vt:lpstr>rgdp_2_per_cap_b</vt:lpstr>
      <vt:lpstr>rgdp_s_per_cap</vt:lpstr>
      <vt:lpstr>rgdp_s_per_cap_b</vt:lpstr>
      <vt:lpstr>rgdpdis_per_cap</vt:lpstr>
      <vt:lpstr>rgdpdis_per_cap_b</vt:lpstr>
      <vt:lpstr>rt_g</vt:lpstr>
      <vt:lpstr>RT_G_0</vt:lpstr>
      <vt:lpstr>RT_G_0_MEAN</vt:lpstr>
      <vt:lpstr>rt_g_1</vt:lpstr>
      <vt:lpstr>rt_g_1_b</vt:lpstr>
      <vt:lpstr>rt_g_2</vt:lpstr>
      <vt:lpstr>rt_g_b</vt:lpstr>
      <vt:lpstr>RT_G_CMIP5_BASE</vt:lpstr>
      <vt:lpstr>rt_g_not_1</vt:lpstr>
      <vt:lpstr>rt_g_not_1_b</vt:lpstr>
      <vt:lpstr>rt_g_not_2</vt:lpstr>
      <vt:lpstr>rtl</vt:lpstr>
      <vt:lpstr>RTL_0</vt:lpstr>
      <vt:lpstr>rtl_1_b</vt:lpstr>
      <vt:lpstr>RTL_ABS_0</vt:lpstr>
      <vt:lpstr>RTL_ABS_CMIP5_BASE</vt:lpstr>
      <vt:lpstr>rtl_b</vt:lpstr>
      <vt:lpstr>rtl_g</vt:lpstr>
      <vt:lpstr>RTL_G_0</vt:lpstr>
      <vt:lpstr>rtl_g_b</vt:lpstr>
      <vt:lpstr>rtl_not_1_b</vt:lpstr>
      <vt:lpstr>rto_g</vt:lpstr>
      <vt:lpstr>RTO_G_0</vt:lpstr>
      <vt:lpstr>s</vt:lpstr>
      <vt:lpstr>S_0</vt:lpstr>
      <vt:lpstr>s_a</vt:lpstr>
      <vt:lpstr>s_b</vt:lpstr>
      <vt:lpstr>SAVE</vt:lpstr>
      <vt:lpstr>SCAL</vt:lpstr>
      <vt:lpstr>SCCO2</vt:lpstr>
      <vt:lpstr>SCENARIO_PAIR</vt:lpstr>
      <vt:lpstr>SCENARIO_PAIR_B</vt:lpstr>
      <vt:lpstr>SCENARIO_PAIR_B_PRELIM</vt:lpstr>
      <vt:lpstr>SCENARIO_SWITCH</vt:lpstr>
      <vt:lpstr>SCENARIO_SWITCH_B</vt:lpstr>
      <vt:lpstr>SE_0</vt:lpstr>
      <vt:lpstr>sfx</vt:lpstr>
      <vt:lpstr>SFX_0</vt:lpstr>
      <vt:lpstr>sfx_b</vt:lpstr>
      <vt:lpstr>sfx_g</vt:lpstr>
      <vt:lpstr>SFX_G_0</vt:lpstr>
      <vt:lpstr>sfx_g_b</vt:lpstr>
      <vt:lpstr>SLA</vt:lpstr>
      <vt:lpstr>SLTAU</vt:lpstr>
      <vt:lpstr>SLTEMP</vt:lpstr>
      <vt:lpstr>SSP1_GDP_RATE</vt:lpstr>
      <vt:lpstr>SSP1_POP_RATE</vt:lpstr>
      <vt:lpstr>SSP2_GDP_RATE</vt:lpstr>
      <vt:lpstr>SSP2_POP_RATE</vt:lpstr>
      <vt:lpstr>SSP234_GDP_RATE</vt:lpstr>
      <vt:lpstr>SSP234_POP_RATE</vt:lpstr>
      <vt:lpstr>SSP3_GDP_RATE</vt:lpstr>
      <vt:lpstr>SSP3_POP_RATE</vt:lpstr>
      <vt:lpstr>SSP4_GDP_RATE</vt:lpstr>
      <vt:lpstr>SSP4_POP_RATE</vt:lpstr>
      <vt:lpstr>SSP5_GDP_RATE</vt:lpstr>
      <vt:lpstr>SSP5_POP_RATE</vt:lpstr>
      <vt:lpstr>SSPW_GDP_RATE</vt:lpstr>
      <vt:lpstr>SSPW_GDP_RATE_B</vt:lpstr>
      <vt:lpstr>SSPW_POP_RATE</vt:lpstr>
      <vt:lpstr>SSPW_POP_RATE_B</vt:lpstr>
      <vt:lpstr>STIM_CH4</vt:lpstr>
      <vt:lpstr>STIM_GLIN</vt:lpstr>
      <vt:lpstr>STIM_N2O</vt:lpstr>
      <vt:lpstr>switch_perm</vt:lpstr>
      <vt:lpstr>switch_perm_b</vt:lpstr>
      <vt:lpstr>switch_seaice</vt:lpstr>
      <vt:lpstr>switch_seaice_b</vt:lpstr>
      <vt:lpstr>tac</vt:lpstr>
      <vt:lpstr>tac_ab</vt:lpstr>
      <vt:lpstr>tac_b</vt:lpstr>
      <vt:lpstr>tc_ch4</vt:lpstr>
      <vt:lpstr>tc_ch4_b</vt:lpstr>
      <vt:lpstr>tc_co2</vt:lpstr>
      <vt:lpstr>tc_co2_b</vt:lpstr>
      <vt:lpstr>tc_glin</vt:lpstr>
      <vt:lpstr>tc_glin_b</vt:lpstr>
      <vt:lpstr>tc_n2o</vt:lpstr>
      <vt:lpstr>tc_n2o_b</vt:lpstr>
      <vt:lpstr>TCAL</vt:lpstr>
      <vt:lpstr>TCAL_BURKE</vt:lpstr>
      <vt:lpstr>TCQ0_CH4</vt:lpstr>
      <vt:lpstr>TCQ0_CO2</vt:lpstr>
      <vt:lpstr>TCQ0_GLIN</vt:lpstr>
      <vt:lpstr>TCQ0_N2O</vt:lpstr>
      <vt:lpstr>TCR</vt:lpstr>
      <vt:lpstr>tct</vt:lpstr>
      <vt:lpstr>tct_b</vt:lpstr>
      <vt:lpstr>tct_g</vt:lpstr>
      <vt:lpstr>tct_per_cap</vt:lpstr>
      <vt:lpstr>tct_per_cap_b</vt:lpstr>
      <vt:lpstr>td</vt:lpstr>
      <vt:lpstr>td_ab</vt:lpstr>
      <vt:lpstr>td_b</vt:lpstr>
      <vt:lpstr>TDIS</vt:lpstr>
      <vt:lpstr>tdu</vt:lpstr>
      <vt:lpstr>tdu_b</vt:lpstr>
      <vt:lpstr>te_a</vt:lpstr>
      <vt:lpstr>te_ab</vt:lpstr>
      <vt:lpstr>te_b</vt:lpstr>
      <vt:lpstr>tea_ch4</vt:lpstr>
      <vt:lpstr>TEA_CH4_0</vt:lpstr>
      <vt:lpstr>tea_ch4_b</vt:lpstr>
      <vt:lpstr>tea_ch4_not_1</vt:lpstr>
      <vt:lpstr>tea_ch4_not_1_b</vt:lpstr>
      <vt:lpstr>tea_glin</vt:lpstr>
      <vt:lpstr>TEA_GLIN_0</vt:lpstr>
      <vt:lpstr>tea_glin_b</vt:lpstr>
      <vt:lpstr>tea_glin_not_1</vt:lpstr>
      <vt:lpstr>tea_glin_not_1_b</vt:lpstr>
      <vt:lpstr>tea_n2o</vt:lpstr>
      <vt:lpstr>TEA_N2O_0</vt:lpstr>
      <vt:lpstr>tea_n2o_b</vt:lpstr>
      <vt:lpstr>tea_n2o_not_1</vt:lpstr>
      <vt:lpstr>tea_n2o_not_1_b</vt:lpstr>
      <vt:lpstr>teay_ch4</vt:lpstr>
      <vt:lpstr>teay_ch4_b</vt:lpstr>
      <vt:lpstr>teay_glin</vt:lpstr>
      <vt:lpstr>teay_glin_b</vt:lpstr>
      <vt:lpstr>teay_n2o</vt:lpstr>
      <vt:lpstr>teay_n2o_b</vt:lpstr>
      <vt:lpstr>teay_perm_anthr_co2</vt:lpstr>
      <vt:lpstr>teay_perm_anthr_co2_1</vt:lpstr>
      <vt:lpstr>teay_perm_anthr_co2_1_b</vt:lpstr>
      <vt:lpstr>teay_perm_anthr_co2_b</vt:lpstr>
      <vt:lpstr>teay_perm_anthr_co2_not_1</vt:lpstr>
      <vt:lpstr>teay_perm_anthr_co2_not_1_b</vt:lpstr>
      <vt:lpstr>thipf_ch4_b</vt:lpstr>
      <vt:lpstr>thispf_ch4</vt:lpstr>
      <vt:lpstr>thispf_glin</vt:lpstr>
      <vt:lpstr>thispf_glin_b</vt:lpstr>
      <vt:lpstr>thispf_n2o</vt:lpstr>
      <vt:lpstr>thispf_n2o_b</vt:lpstr>
      <vt:lpstr>TIME_CO2_HIST</vt:lpstr>
      <vt:lpstr>TIME_CO2_HIST_b</vt:lpstr>
      <vt:lpstr>TIME_CO2_LAND</vt:lpstr>
      <vt:lpstr>TIME_CO2_OCEAN_LONG</vt:lpstr>
      <vt:lpstr>TIME_CO2_OCEAN_SHORT</vt:lpstr>
      <vt:lpstr>TOTAL_CE_CO2_0</vt:lpstr>
      <vt:lpstr>TOTAL_CE_CO2_0_b</vt:lpstr>
      <vt:lpstr>total_e_co2</vt:lpstr>
      <vt:lpstr>TOTAL_E_CO2_0</vt:lpstr>
      <vt:lpstr>TOTAL_E_CO2_0_b</vt:lpstr>
      <vt:lpstr>total_e_co2_1</vt:lpstr>
      <vt:lpstr>total_e_co2_1_b</vt:lpstr>
      <vt:lpstr>total_e_co2_b</vt:lpstr>
      <vt:lpstr>total_e_co2_not_1</vt:lpstr>
      <vt:lpstr>total_e_co2_not_1_b</vt:lpstr>
      <vt:lpstr>tpc</vt:lpstr>
      <vt:lpstr>tpc_ab</vt:lpstr>
      <vt:lpstr>tpc_b</vt:lpstr>
      <vt:lpstr>UDF</vt:lpstr>
      <vt:lpstr>UDFT</vt:lpstr>
      <vt:lpstr>VERSION</vt:lpstr>
      <vt:lpstr>VERSION_DATE</vt:lpstr>
      <vt:lpstr>VERSION_PARENT</vt:lpstr>
      <vt:lpstr>W_1</vt:lpstr>
      <vt:lpstr>W_2</vt:lpstr>
      <vt:lpstr>W_S</vt:lpstr>
      <vt:lpstr>wacdt</vt:lpstr>
      <vt:lpstr>wacdt_b</vt:lpstr>
      <vt:lpstr>wacdt_g</vt:lpstr>
      <vt:lpstr>wacdt_g_ab</vt:lpstr>
      <vt:lpstr>wacdt_g_b</vt:lpstr>
      <vt:lpstr>wact</vt:lpstr>
      <vt:lpstr>wact_b</vt:lpstr>
      <vt:lpstr>wact_g</vt:lpstr>
      <vt:lpstr>wact_g_ab</vt:lpstr>
      <vt:lpstr>wact_g_b</vt:lpstr>
      <vt:lpstr>wact_per_cap</vt:lpstr>
      <vt:lpstr>wact_per_cap_b</vt:lpstr>
      <vt:lpstr>WDIS</vt:lpstr>
      <vt:lpstr>WEIGHT_25C</vt:lpstr>
      <vt:lpstr>WEIGHT_BAU</vt:lpstr>
      <vt:lpstr>WEIGHT_NDC</vt:lpstr>
      <vt:lpstr>WEIGHT_NDC_PART</vt:lpstr>
      <vt:lpstr>WEIGHT_SCENARIOS</vt:lpstr>
      <vt:lpstr>WEIGHT_SCENARIOS_B</vt:lpstr>
      <vt:lpstr>WEIGHTING_AND_DISCOUNTING</vt:lpstr>
      <vt:lpstr>WEIGHTING_WITH_EQUITY</vt:lpstr>
      <vt:lpstr>WEIGHTING_WITHOUT_EQUITY</vt:lpstr>
      <vt:lpstr>WF_1</vt:lpstr>
      <vt:lpstr>WF_2</vt:lpstr>
      <vt:lpstr>WF_S</vt:lpstr>
      <vt:lpstr>widt</vt:lpstr>
      <vt:lpstr>widt_b</vt:lpstr>
      <vt:lpstr>widt_g</vt:lpstr>
      <vt:lpstr>widt_g_ab</vt:lpstr>
      <vt:lpstr>widt_g_b</vt:lpstr>
      <vt:lpstr>WINCF_1</vt:lpstr>
      <vt:lpstr>WINCF_2</vt:lpstr>
      <vt:lpstr>WINCF_S</vt:lpstr>
      <vt:lpstr>wit</vt:lpstr>
      <vt:lpstr>wit_b</vt:lpstr>
      <vt:lpstr>wit_g</vt:lpstr>
      <vt:lpstr>wit_g_ab</vt:lpstr>
      <vt:lpstr>wit_g_b</vt:lpstr>
      <vt:lpstr>WORLDB_GDPPOP_CHOICE</vt:lpstr>
      <vt:lpstr>WORLDB_GDPPOP_SWITCH</vt:lpstr>
      <vt:lpstr>WORLDB_OPTION_NO</vt:lpstr>
      <vt:lpstr>WORLDB_OPTION_YES</vt:lpstr>
      <vt:lpstr>wtct_per_cap</vt:lpstr>
      <vt:lpstr>wtct_per_cap_b</vt:lpstr>
      <vt:lpstr>Y</vt:lpstr>
      <vt:lpstr>Y_0</vt:lpstr>
      <vt:lpstr>Y_1</vt:lpstr>
      <vt:lpstr>Y_HI</vt:lpstr>
      <vt:lpstr>Y_LAST</vt:lpstr>
      <vt:lpstr>Y_LAST_SSP</vt:lpstr>
      <vt:lpstr>Y_LO</vt:lpstr>
      <vt:lpstr>Y_NOT_1</vt:lpstr>
      <vt:lpstr>Y_SCC</vt:lpstr>
      <vt:lpstr>YAGG</vt:lpstr>
      <vt:lpstr>YMINUSY0</vt:lpstr>
      <vt:lpstr>YMINUSY0_LAST</vt:lpstr>
      <vt:lpstr>YP</vt:lpstr>
      <vt:lpstr>YP_1</vt:lpstr>
      <vt:lpstr>YP_2</vt:lpstr>
      <vt:lpstr>YP_NOT_1</vt:lpstr>
      <vt:lpstr>YP_NOT_2</vt:lpstr>
      <vt:lpstr>ZC_CH4</vt:lpstr>
      <vt:lpstr>ZC_CH4_1</vt:lpstr>
      <vt:lpstr>ZC_CH4_NOT_1</vt:lpstr>
      <vt:lpstr>ZC_CO2</vt:lpstr>
      <vt:lpstr>ZC_CO2_1</vt:lpstr>
      <vt:lpstr>ZC_CO2_NOT_1</vt:lpstr>
      <vt:lpstr>ZC_GLIN</vt:lpstr>
      <vt:lpstr>ZC_GLIN_1</vt:lpstr>
      <vt:lpstr>ZC_GLIN_NOT_1</vt:lpstr>
      <vt:lpstr>ZC_N2O</vt:lpstr>
      <vt:lpstr>ZC_N2O_1</vt:lpstr>
      <vt:lpstr>ZC_N2O_NOT_1</vt:lpstr>
    </vt:vector>
  </TitlesOfParts>
  <Manager>d.yumashev@lancaster.ac.uk</Manager>
  <Company>University of Cambridge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Hope;Dmitry Yumashev</dc:creator>
  <cp:lastModifiedBy>Yumashev, Dmitry</cp:lastModifiedBy>
  <dcterms:created xsi:type="dcterms:W3CDTF">2002-04-11T13:30:58Z</dcterms:created>
  <dcterms:modified xsi:type="dcterms:W3CDTF">2019-03-31T00:28:28Z</dcterms:modified>
  <cp:contentStatus/>
</cp:coreProperties>
</file>