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uble Oak Erosion\BIDS\"/>
    </mc:Choice>
  </mc:AlternateContent>
  <xr:revisionPtr revIDLastSave="0" documentId="13_ncr:1_{7F0F15A7-B13D-40F6-A4D3-740A944518F8}" xr6:coauthVersionLast="47" xr6:coauthVersionMax="47" xr10:uidLastSave="{00000000-0000-0000-0000-000000000000}"/>
  <bookViews>
    <workbookView xWindow="-11850" yWindow="-16320" windowWidth="29040" windowHeight="16440" firstSheet="3" activeTab="12" xr2:uid="{21A53962-2408-4A9A-A9D1-A3AC12C2A8A1}"/>
  </bookViews>
  <sheets>
    <sheet name="Bid " sheetId="1" r:id="rId1"/>
    <sheet name="Fence Calc" sheetId="6" r:id="rId2"/>
    <sheet name="Hydromulch Calc" sheetId="7" r:id="rId3"/>
    <sheet name="Seeding Calc" sheetId="8" r:id="rId4"/>
    <sheet name="Sod" sheetId="9" r:id="rId5"/>
    <sheet name="Matting Calc" sheetId="11" r:id="rId6"/>
    <sheet name="Rock Filter Dam" sheetId="13" r:id="rId7"/>
    <sheet name="Aggregate Area" sheetId="10" r:id="rId8"/>
    <sheet name="Notes" sheetId="2" r:id="rId9"/>
    <sheet name="BMP" sheetId="3" r:id="rId10"/>
    <sheet name="Seed" sheetId="4" r:id="rId11"/>
    <sheet name="Matting" sheetId="5" r:id="rId12"/>
    <sheet name="pricebook" sheetId="14" r:id="rId13"/>
  </sheets>
  <externalReferences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1" i="1" l="1"/>
  <c r="E17" i="6"/>
  <c r="J29" i="1"/>
  <c r="J27" i="1"/>
  <c r="D28" i="14" l="1"/>
  <c r="D29" i="14"/>
  <c r="D4" i="14"/>
  <c r="E19" i="7"/>
  <c r="F17" i="11" l="1"/>
  <c r="I14" i="1"/>
  <c r="H22" i="7"/>
  <c r="B21" i="7"/>
  <c r="G11" i="10"/>
  <c r="G16" i="10" s="1"/>
  <c r="E35" i="10"/>
  <c r="G15" i="10"/>
  <c r="F35" i="10"/>
  <c r="G35" i="10"/>
  <c r="H35" i="10"/>
  <c r="J30" i="1"/>
  <c r="I30" i="1"/>
  <c r="C31" i="1"/>
  <c r="F9" i="13"/>
  <c r="C20" i="1"/>
  <c r="I20" i="1"/>
  <c r="I29" i="10"/>
  <c r="G17" i="10"/>
  <c r="F21" i="13"/>
  <c r="J20" i="1" s="1"/>
  <c r="F17" i="13"/>
  <c r="F14" i="13"/>
  <c r="F13" i="13"/>
  <c r="G15" i="13"/>
  <c r="I4" i="13"/>
  <c r="I3" i="13"/>
  <c r="I6" i="13" s="1"/>
  <c r="I7" i="13" s="1"/>
  <c r="F15" i="13" l="1"/>
  <c r="I13" i="13"/>
  <c r="J13" i="13" s="1"/>
  <c r="I12" i="13"/>
  <c r="J12" i="13" s="1"/>
  <c r="F16" i="13" s="1"/>
  <c r="I11" i="13"/>
  <c r="J11" i="13" s="1"/>
  <c r="I10" i="13"/>
  <c r="J10" i="13" s="1"/>
  <c r="C32" i="7"/>
  <c r="F18" i="13" l="1"/>
  <c r="F22" i="13" s="1"/>
  <c r="G22" i="13" s="1"/>
  <c r="F16" i="11" l="1"/>
  <c r="F25" i="11" l="1"/>
  <c r="F18" i="11"/>
  <c r="F19" i="11" s="1"/>
  <c r="G15" i="11"/>
  <c r="F21" i="11" s="1"/>
  <c r="I4" i="11"/>
  <c r="I3" i="11"/>
  <c r="I6" i="11" s="1"/>
  <c r="I7" i="11" s="1"/>
  <c r="E22" i="6"/>
  <c r="J14" i="1" s="1"/>
  <c r="G19" i="10"/>
  <c r="I13" i="11" l="1"/>
  <c r="J13" i="11" s="1"/>
  <c r="I11" i="11"/>
  <c r="J11" i="11" s="1"/>
  <c r="I12" i="11"/>
  <c r="J12" i="11" s="1"/>
  <c r="F20" i="11" s="1"/>
  <c r="F22" i="11" s="1"/>
  <c r="F26" i="11" s="1"/>
  <c r="G26" i="11" s="1"/>
  <c r="I10" i="11"/>
  <c r="J10" i="11" s="1"/>
  <c r="G14" i="10"/>
  <c r="M19" i="1"/>
  <c r="H12" i="10" l="1"/>
  <c r="G23" i="10"/>
  <c r="J4" i="10"/>
  <c r="J3" i="10"/>
  <c r="J16" i="1"/>
  <c r="O37" i="1"/>
  <c r="O36" i="1"/>
  <c r="O35" i="1"/>
  <c r="O18" i="1"/>
  <c r="J38" i="1"/>
  <c r="N38" i="1" s="1"/>
  <c r="J37" i="1"/>
  <c r="N37" i="1" s="1"/>
  <c r="J36" i="1"/>
  <c r="N36" i="1" s="1"/>
  <c r="J35" i="1"/>
  <c r="N35" i="1" s="1"/>
  <c r="J23" i="1"/>
  <c r="J22" i="1"/>
  <c r="J21" i="1"/>
  <c r="J19" i="1"/>
  <c r="N19" i="1" s="1"/>
  <c r="J18" i="1"/>
  <c r="J17" i="1"/>
  <c r="J15" i="1"/>
  <c r="E14" i="6"/>
  <c r="B24" i="9"/>
  <c r="E25" i="9"/>
  <c r="B23" i="9"/>
  <c r="B21" i="9"/>
  <c r="F20" i="9"/>
  <c r="B20" i="9"/>
  <c r="B19" i="9"/>
  <c r="E18" i="9"/>
  <c r="B18" i="9"/>
  <c r="E17" i="9"/>
  <c r="B17" i="9"/>
  <c r="E16" i="9"/>
  <c r="B16" i="9"/>
  <c r="B15" i="9"/>
  <c r="B14" i="9"/>
  <c r="B13" i="9"/>
  <c r="B12" i="9"/>
  <c r="B11" i="9"/>
  <c r="B10" i="9"/>
  <c r="B9" i="9"/>
  <c r="B8" i="9"/>
  <c r="B7" i="9"/>
  <c r="H6" i="9"/>
  <c r="H7" i="9" s="1"/>
  <c r="B6" i="9"/>
  <c r="B5" i="9"/>
  <c r="H4" i="9"/>
  <c r="H3" i="9"/>
  <c r="J24" i="1" l="1"/>
  <c r="J6" i="10"/>
  <c r="J7" i="10" s="1"/>
  <c r="J13" i="10" s="1"/>
  <c r="K13" i="10" s="1"/>
  <c r="E19" i="9"/>
  <c r="H12" i="9"/>
  <c r="I12" i="9" s="1"/>
  <c r="E20" i="9" s="1"/>
  <c r="H10" i="9"/>
  <c r="I10" i="9" s="1"/>
  <c r="H13" i="9"/>
  <c r="I13" i="9" s="1"/>
  <c r="H11" i="9"/>
  <c r="I11" i="9" s="1"/>
  <c r="E21" i="9"/>
  <c r="F15" i="9"/>
  <c r="J11" i="10" l="1"/>
  <c r="K11" i="10" s="1"/>
  <c r="J10" i="10"/>
  <c r="K10" i="10" s="1"/>
  <c r="J12" i="10"/>
  <c r="K12" i="10" s="1"/>
  <c r="E22" i="9"/>
  <c r="G18" i="10" l="1"/>
  <c r="G20" i="10" s="1"/>
  <c r="E26" i="9"/>
  <c r="F26" i="9" s="1"/>
  <c r="O31" i="1" s="1"/>
  <c r="M31" i="1"/>
  <c r="M20" i="1" l="1"/>
  <c r="G24" i="10"/>
  <c r="H22" i="10" s="1"/>
  <c r="H25" i="8"/>
  <c r="H21" i="8"/>
  <c r="H20" i="8"/>
  <c r="H19" i="8"/>
  <c r="H18" i="8"/>
  <c r="H17" i="8"/>
  <c r="H16" i="8"/>
  <c r="E21" i="8"/>
  <c r="E25" i="8"/>
  <c r="E20" i="8"/>
  <c r="E18" i="8"/>
  <c r="E17" i="8"/>
  <c r="E16" i="8"/>
  <c r="E19" i="8" s="1"/>
  <c r="E18" i="6"/>
  <c r="E27" i="7"/>
  <c r="H23" i="7"/>
  <c r="E23" i="7"/>
  <c r="E20" i="7"/>
  <c r="E18" i="7"/>
  <c r="E17" i="7"/>
  <c r="E16" i="7"/>
  <c r="H27" i="7"/>
  <c r="H20" i="7"/>
  <c r="H19" i="7"/>
  <c r="H18" i="7"/>
  <c r="H17" i="7"/>
  <c r="H16" i="7"/>
  <c r="J32" i="1" l="1"/>
  <c r="N20" i="1"/>
  <c r="L20" i="1" s="1"/>
  <c r="H21" i="7"/>
  <c r="E21" i="7"/>
  <c r="O11" i="8" l="1"/>
  <c r="O12" i="8" s="1"/>
  <c r="O9" i="8"/>
  <c r="N9" i="8"/>
  <c r="O8" i="8"/>
  <c r="L37" i="1" l="1"/>
  <c r="L36" i="1"/>
  <c r="L35" i="1"/>
  <c r="L23" i="1"/>
  <c r="L21" i="1"/>
  <c r="L19" i="1"/>
  <c r="O19" i="1" s="1"/>
  <c r="L17" i="1"/>
  <c r="L15" i="1"/>
  <c r="B21" i="8" l="1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1" i="8"/>
  <c r="I15" i="8"/>
  <c r="F15" i="8"/>
  <c r="H4" i="8"/>
  <c r="H6" i="8" s="1"/>
  <c r="H7" i="8" s="1"/>
  <c r="H3" i="8"/>
  <c r="B20" i="7"/>
  <c r="B19" i="7"/>
  <c r="D26" i="14" s="1"/>
  <c r="B18" i="7"/>
  <c r="D25" i="14" s="1"/>
  <c r="B17" i="7"/>
  <c r="B16" i="7"/>
  <c r="D23" i="14" s="1"/>
  <c r="B15" i="7"/>
  <c r="D22" i="14" s="1"/>
  <c r="B14" i="7"/>
  <c r="D21" i="14" s="1"/>
  <c r="B13" i="7"/>
  <c r="B12" i="7"/>
  <c r="D19" i="14" s="1"/>
  <c r="B11" i="7"/>
  <c r="D18" i="14" s="1"/>
  <c r="B10" i="7"/>
  <c r="D17" i="14" s="1"/>
  <c r="B9" i="7"/>
  <c r="D16" i="14" s="1"/>
  <c r="B8" i="7"/>
  <c r="D15" i="14" s="1"/>
  <c r="B7" i="7"/>
  <c r="D14" i="14" s="1"/>
  <c r="B6" i="7"/>
  <c r="D13" i="14" s="1"/>
  <c r="B5" i="7"/>
  <c r="D12" i="14" s="1"/>
  <c r="B1" i="7"/>
  <c r="H4" i="7"/>
  <c r="H3" i="7"/>
  <c r="B17" i="6"/>
  <c r="D5" i="14" s="1"/>
  <c r="B16" i="6"/>
  <c r="D8" i="14" s="1"/>
  <c r="B15" i="6"/>
  <c r="D11" i="14" s="1"/>
  <c r="B14" i="6"/>
  <c r="D39" i="14" s="1"/>
  <c r="B13" i="6"/>
  <c r="D3" i="14" s="1"/>
  <c r="B12" i="6"/>
  <c r="B11" i="6"/>
  <c r="D10" i="14" s="1"/>
  <c r="B10" i="6"/>
  <c r="D9" i="14" s="1"/>
  <c r="B9" i="6"/>
  <c r="D6" i="14" s="1"/>
  <c r="B8" i="6"/>
  <c r="D7" i="14" s="1"/>
  <c r="B7" i="6"/>
  <c r="B5" i="6"/>
  <c r="D2" i="14" s="1"/>
  <c r="B1" i="6"/>
  <c r="E15" i="6"/>
  <c r="E13" i="6"/>
  <c r="H8" i="6"/>
  <c r="H7" i="6"/>
  <c r="J2" i="6"/>
  <c r="H6" i="7" l="1"/>
  <c r="H7" i="7" s="1"/>
  <c r="H13" i="7" s="1"/>
  <c r="I13" i="7" s="1"/>
  <c r="E16" i="6"/>
  <c r="H10" i="6"/>
  <c r="H11" i="6" s="1"/>
  <c r="H15" i="6" s="1"/>
  <c r="I15" i="6" s="1"/>
  <c r="H12" i="8"/>
  <c r="I12" i="8" s="1"/>
  <c r="H11" i="8"/>
  <c r="I11" i="8" s="1"/>
  <c r="H22" i="8" s="1"/>
  <c r="H10" i="8"/>
  <c r="I10" i="8" s="1"/>
  <c r="H13" i="8"/>
  <c r="I13" i="8" s="1"/>
  <c r="H11" i="7"/>
  <c r="I11" i="7" s="1"/>
  <c r="H10" i="7"/>
  <c r="I10" i="7" s="1"/>
  <c r="H16" i="6"/>
  <c r="I16" i="6" s="1"/>
  <c r="H14" i="6"/>
  <c r="I14" i="6" s="1"/>
  <c r="H17" i="6"/>
  <c r="I17" i="6" s="1"/>
  <c r="H12" i="7" l="1"/>
  <c r="I12" i="7" s="1"/>
  <c r="H26" i="8"/>
  <c r="M30" i="1"/>
  <c r="E22" i="8"/>
  <c r="M29" i="1" s="1"/>
  <c r="E19" i="6"/>
  <c r="H24" i="7"/>
  <c r="H28" i="7" s="1"/>
  <c r="E24" i="7"/>
  <c r="M28" i="1" s="1"/>
  <c r="E23" i="6" l="1"/>
  <c r="N14" i="1" s="1"/>
  <c r="M14" i="1"/>
  <c r="I26" i="8"/>
  <c r="O30" i="1" s="1"/>
  <c r="N30" i="1"/>
  <c r="L30" i="1" s="1"/>
  <c r="E26" i="8"/>
  <c r="F26" i="8" s="1"/>
  <c r="O29" i="1" s="1"/>
  <c r="M27" i="1"/>
  <c r="E28" i="7"/>
  <c r="L14" i="1" l="1"/>
  <c r="F23" i="6"/>
  <c r="O14" i="1" s="1"/>
  <c r="N29" i="1"/>
  <c r="L29" i="1" s="1"/>
  <c r="F28" i="7"/>
  <c r="O28" i="1" s="1"/>
  <c r="N28" i="1"/>
  <c r="L28" i="1" s="1"/>
  <c r="I28" i="7"/>
  <c r="O27" i="1" s="1"/>
  <c r="N27" i="1"/>
  <c r="L27" i="1" s="1"/>
  <c r="J7" i="1" l="1"/>
  <c r="M22" i="1" l="1"/>
  <c r="N22" i="1" s="1"/>
  <c r="J39" i="1"/>
  <c r="J41" i="1" s="1"/>
  <c r="J43" i="1" s="1"/>
  <c r="J44" i="1" s="1"/>
  <c r="N31" i="1"/>
  <c r="L31" i="1" l="1"/>
  <c r="L22" i="1"/>
  <c r="O22" i="1" s="1"/>
  <c r="M18" i="1"/>
  <c r="N18" i="1" s="1"/>
  <c r="M16" i="1"/>
  <c r="M41" i="1" l="1"/>
  <c r="L18" i="1"/>
  <c r="N16" i="1"/>
  <c r="N41" i="1" l="1"/>
  <c r="O41" i="1" s="1"/>
  <c r="L16" i="1"/>
  <c r="O16" i="1" s="1"/>
</calcChain>
</file>

<file path=xl/sharedStrings.xml><?xml version="1.0" encoding="utf-8"?>
<sst xmlns="http://schemas.openxmlformats.org/spreadsheetml/2006/main" count="989" uniqueCount="457">
  <si>
    <t>Qty</t>
  </si>
  <si>
    <t>Unit</t>
  </si>
  <si>
    <t>Unit Price</t>
  </si>
  <si>
    <t xml:space="preserve">Total </t>
  </si>
  <si>
    <t>EA</t>
  </si>
  <si>
    <t>Weekly Site Inspections (Billed Monthly)</t>
  </si>
  <si>
    <t>MO</t>
  </si>
  <si>
    <t xml:space="preserve"> </t>
  </si>
  <si>
    <t>LF</t>
  </si>
  <si>
    <t>AC</t>
  </si>
  <si>
    <t xml:space="preserve">SWPPP Narrative  </t>
  </si>
  <si>
    <t>TOTAL</t>
  </si>
  <si>
    <t>“Contractor shall not be held liable for any impacts, delays, labor overruns, material overruns and/or cost overruns related to its Work stemming from the current flu epidemic, and/or COVID-19 (Coronavirus epidemic) as defined by the United States Centers for Disease Control and Prevention. Contractor shall further be entitled to a change order for any and all time and costs associated with said epidemic(s).”</t>
  </si>
  <si>
    <r>
      <t>NOTES</t>
    </r>
    <r>
      <rPr>
        <sz val="10"/>
        <rFont val="Arial Narrow"/>
        <family val="2"/>
      </rPr>
      <t>: Includes labor, parts, materials, tools, equipment, liability insurance.  Payment terms, net 30</t>
    </r>
  </si>
  <si>
    <t>Comments and Conditions</t>
  </si>
  <si>
    <r>
      <rPr>
        <b/>
        <sz val="10"/>
        <rFont val="Arial Narrow"/>
        <family val="2"/>
      </rPr>
      <t>EXCLUSIONS</t>
    </r>
    <r>
      <rPr>
        <sz val="10"/>
        <rFont val="Arial Narrow"/>
        <family val="2"/>
      </rPr>
      <t xml:space="preserve"> (unless included in scope above): Costs and logistics associated with the following: Additional Permitting and fees; Site specific safety training, special certifications, certified payroll, drug testing, background checks, LEED Requirements, etc.; maintenance; removal; grading; over-seeding/fertilizer; mowing; top soil; soil testing; labs, water source; watering; temporary irrigation; dewatering; ground water and/or well pointing management; excess dirt haul off; rock refresh; tree protection; grubbing; fence removal or replacement for access; damage to unmarked or unknown utility lines; failures upon completion due to engineering design flaws; delays due to severe weather, flooding, natural disasters, etc. Anything not specifically mentioned above. </t>
    </r>
  </si>
  <si>
    <t xml:space="preserve">Accepted &amp; Approved by: </t>
  </si>
  <si>
    <t xml:space="preserve">Please acknowledge as acceptance of this bid and its terms. </t>
  </si>
  <si>
    <t>Company</t>
  </si>
  <si>
    <t>Printed Name &amp; Title</t>
  </si>
  <si>
    <t>Signature &amp; Date</t>
  </si>
  <si>
    <t>SY</t>
  </si>
  <si>
    <t>SWPPP Proposal</t>
  </si>
  <si>
    <t>Tax Rate</t>
  </si>
  <si>
    <t>Sales Tax</t>
  </si>
  <si>
    <t xml:space="preserve">EXCLUSIONS (unless included in scope above): Costs and logistics associated with the following: Additional Permitting and fees; Site specific safety training, special certifications, certified payroll, drug testing, background checks, LEED Requirements, etc.; maintenance; removal; grading; over-seeding/fertilizer; mowing; top soil; soil testing; labs, water source; watering; temporary irrigation; dewatering; ground water and/or well pointing management; excess dirt haul off; rock refresh; tree protection; grubbing; fence removal or replacement for access; damage to unmarked or unknown utility lines; failures upon completion due to engineering design flaws; delays due to severe weather, flooding, natural disasters, etc. Anything not specifically mentioned above. </t>
  </si>
  <si>
    <t xml:space="preserve">OSHA Safety Caps </t>
  </si>
  <si>
    <t>Subtotal</t>
  </si>
  <si>
    <t>P.O. Box 979, Waller, Texas 77484</t>
  </si>
  <si>
    <t xml:space="preserve">SWPPP Narrative </t>
  </si>
  <si>
    <t>TCEQ NOI Permit and Preparation Fee</t>
  </si>
  <si>
    <t>SWPPP Site Sign</t>
  </si>
  <si>
    <t>Quote Date:</t>
  </si>
  <si>
    <t>Office: 281 516 0100</t>
  </si>
  <si>
    <t>Rock Filter Dams Type 2</t>
  </si>
  <si>
    <t>Rock Filter Dams Type 2 removal</t>
  </si>
  <si>
    <t>City of Houston and Surrounding Areas</t>
  </si>
  <si>
    <t>Effective Date:</t>
  </si>
  <si>
    <t>SILT FENCE</t>
  </si>
  <si>
    <t>CONSTRUCTION EXITS</t>
  </si>
  <si>
    <t>Reinforced Filter Fabric</t>
  </si>
  <si>
    <t>Construction Exit/Entrance 25'x75'</t>
  </si>
  <si>
    <t xml:space="preserve">Non-Reinforced Filter Fabric </t>
  </si>
  <si>
    <t>Construction Exit/Entrance 50'x20'</t>
  </si>
  <si>
    <t>Reinforced Filter Fabric - 12 Gauge/12.5 Gauge</t>
  </si>
  <si>
    <t>TxDOT Silt Fence</t>
  </si>
  <si>
    <t>Construction Entrance Removal</t>
  </si>
  <si>
    <t>Silt Fence Removal</t>
  </si>
  <si>
    <t xml:space="preserve">Concrete Truck Washout W/FF-SB </t>
  </si>
  <si>
    <t>Concrete Truck Washout Removal</t>
  </si>
  <si>
    <t>Orange Safety Fence</t>
  </si>
  <si>
    <t>OSHA Caps</t>
  </si>
  <si>
    <t>ROCK FILTER DAMS / ROCK BERMS</t>
  </si>
  <si>
    <t>Rock Filter Dam - Type 1  Install</t>
  </si>
  <si>
    <t>INLET PROTECTION</t>
  </si>
  <si>
    <t>Rock Filter Dam - Type 2  Install</t>
  </si>
  <si>
    <t>Grate Inlet with Reinforced Silt Fence</t>
  </si>
  <si>
    <t xml:space="preserve">Rock Filter Dam - Type 3  Install </t>
  </si>
  <si>
    <t>Rock Filter Dam - Type 4  Install</t>
  </si>
  <si>
    <t>Curb Inlet with Sand or Gravel Bags</t>
  </si>
  <si>
    <t>Rock Filter Dam - Removal</t>
  </si>
  <si>
    <t>Inlet Protection Barrier Sand Bags or Silt Fence</t>
  </si>
  <si>
    <t>High Service Rock Berm</t>
  </si>
  <si>
    <t>Gravel &amp; Wire Mesh IPB</t>
  </si>
  <si>
    <t>Hay Bale Check Dam</t>
  </si>
  <si>
    <t>Block, Gravel, Wire Screen Inlet Protection</t>
  </si>
  <si>
    <t>Gator Gutters 6 FT</t>
  </si>
  <si>
    <t>TREE PROTECTION</t>
  </si>
  <si>
    <t>Gator Gutters 12 FT</t>
  </si>
  <si>
    <t>Tree Protection (orange fence)</t>
  </si>
  <si>
    <t>Big Red Curb Inlet</t>
  </si>
  <si>
    <t>Tree Protection (chain link)</t>
  </si>
  <si>
    <t>Tree Protection Removal</t>
  </si>
  <si>
    <t>Stone Overflow</t>
  </si>
  <si>
    <t>Tree Protection (chain link) 6' high with 8' T posts</t>
  </si>
  <si>
    <t>EROSION CONTROL LOGS</t>
  </si>
  <si>
    <t>Tree Protection (2x4 wood planks) EA TREE</t>
  </si>
  <si>
    <t>Wetland Barrier/Heavy Duty Orange Fence</t>
  </si>
  <si>
    <t xml:space="preserve">Bio Logs - Erosion Logs 9" (Straw) </t>
  </si>
  <si>
    <t>MISC</t>
  </si>
  <si>
    <t>Mowing</t>
  </si>
  <si>
    <t>?</t>
  </si>
  <si>
    <t>Erosion Log Removal</t>
  </si>
  <si>
    <t>Weekly / Routine Mowing</t>
  </si>
  <si>
    <t>Erosion Eels (rubber) 9.5"   (sold in 10' sections)</t>
  </si>
  <si>
    <t>Street Sweeping</t>
  </si>
  <si>
    <t>HR</t>
  </si>
  <si>
    <t>Erosion Eels (rubber) 12"  (sold in 10' sections)</t>
  </si>
  <si>
    <t>Mulch Logs 12" - Filtrexx Soxx</t>
  </si>
  <si>
    <t>SWPPP</t>
  </si>
  <si>
    <t xml:space="preserve">Mulch Logs 8" - Filtrexx Soxx </t>
  </si>
  <si>
    <t>SWPPP Sign</t>
  </si>
  <si>
    <t>Mulch Logs 18" - Filxtrexx Soxx</t>
  </si>
  <si>
    <t>Inspections</t>
  </si>
  <si>
    <t>40lb bag</t>
  </si>
  <si>
    <t>BioPrime</t>
  </si>
  <si>
    <t>2.5 gl</t>
  </si>
  <si>
    <t>Jumpstart</t>
  </si>
  <si>
    <t>Gal</t>
  </si>
  <si>
    <t>Aqua-pHix</t>
  </si>
  <si>
    <t xml:space="preserve">Flexamat </t>
  </si>
  <si>
    <t xml:space="preserve">Buffalo Sod - ALWAYS CALL FOR PRICE </t>
  </si>
  <si>
    <t>SF</t>
  </si>
  <si>
    <t>Flexamat</t>
  </si>
  <si>
    <t>Herbicide</t>
  </si>
  <si>
    <t>Latitude 36 Bermuda Sod-Special order so call for supply</t>
  </si>
  <si>
    <t>TifTuf Bermuda Sod</t>
  </si>
  <si>
    <t xml:space="preserve">Fertilizer </t>
  </si>
  <si>
    <t>Celebration Bermuda Sod</t>
  </si>
  <si>
    <t>Lbs</t>
  </si>
  <si>
    <t xml:space="preserve">Fertilizer 15-15-15 </t>
  </si>
  <si>
    <t>Tifway 419 Bermuda Sod</t>
  </si>
  <si>
    <t>Enviroshield</t>
  </si>
  <si>
    <t>Bermuda / St Augustine Sod with Staples</t>
  </si>
  <si>
    <t>ProGanics</t>
  </si>
  <si>
    <t>Bermuda / St Augustine Sod no Staples</t>
  </si>
  <si>
    <t>Earthguard</t>
  </si>
  <si>
    <t>Wildflower Mix C</t>
  </si>
  <si>
    <t>Wildflower Mix B</t>
  </si>
  <si>
    <t>Wildflower Mix A</t>
  </si>
  <si>
    <t>Summer Fertilization</t>
  </si>
  <si>
    <t>Fall Overseeding</t>
  </si>
  <si>
    <t>Spring Overseeding</t>
  </si>
  <si>
    <t xml:space="preserve">        BERMS                 </t>
  </si>
  <si>
    <t xml:space="preserve">Hydromulch Seeding with ProMatrix </t>
  </si>
  <si>
    <t xml:space="preserve">        APPROVED EQUAL) SEED OF CHANNEL, BACKSLOPE SWALES &amp; MAIN                   </t>
  </si>
  <si>
    <t xml:space="preserve">        ACCELERATOR (41.7 LB PER AC) BIOPRIME BAG BIOSTIMULANT OR                  </t>
  </si>
  <si>
    <t>Hydromulch Seeding with Flexterra</t>
  </si>
  <si>
    <t xml:space="preserve">        SODIUM-PHIX SODIUM REDUCER (1.3 GAL PER AC) JUMPSTART VEG                  </t>
  </si>
  <si>
    <t xml:space="preserve">        (10 GAL PER AC) AQUA-PHIX PH REDUCER (504 LB PER AC)                       </t>
  </si>
  <si>
    <t>Hydromulch Seeding</t>
  </si>
  <si>
    <t xml:space="preserve">        PER AC) FLEXTERRA GROWTH MEDIUM PROGANICS BIOTIC SOIL MEDIA                </t>
  </si>
  <si>
    <t xml:space="preserve">HIGH PERFORMANCE FLEXIBLE GROWTH MEDIUM HYDROMULCH (3,500 LB AC     </t>
  </si>
  <si>
    <t>Dry Application Seeding (Straw or Hay Mulch)</t>
  </si>
  <si>
    <t>Broadcast Seed</t>
  </si>
  <si>
    <t>SEED / SOD</t>
  </si>
  <si>
    <t>Futerra with Flexterra</t>
  </si>
  <si>
    <t>BioMat D 70 Coconut</t>
  </si>
  <si>
    <t>Enkamat 7020</t>
  </si>
  <si>
    <t>Tensar TX-5</t>
  </si>
  <si>
    <r>
      <t xml:space="preserve">Tensar Triax TX 160 - </t>
    </r>
    <r>
      <rPr>
        <sz val="12.5"/>
        <color indexed="10"/>
        <rFont val="Arial Narrow"/>
        <family val="2"/>
      </rPr>
      <t>Material Only</t>
    </r>
  </si>
  <si>
    <t>Bio Net 575 BN</t>
  </si>
  <si>
    <t>Armormax 75</t>
  </si>
  <si>
    <t>Armormax 25</t>
  </si>
  <si>
    <t>PP5-10 TRM</t>
  </si>
  <si>
    <t>Pyramat 75</t>
  </si>
  <si>
    <t>Landlok 435 Perm (TxDOT Class 2 Type G)</t>
  </si>
  <si>
    <t xml:space="preserve">Landlok - 450 </t>
  </si>
  <si>
    <t>WITH SEED</t>
  </si>
  <si>
    <t>NAG S-75</t>
  </si>
  <si>
    <t>NAG SC150BN</t>
  </si>
  <si>
    <t xml:space="preserve">NAG P550  </t>
  </si>
  <si>
    <t>NAG - S150BN</t>
  </si>
  <si>
    <t>NAG C-350 (TxDOT Class 2 Type H)</t>
  </si>
  <si>
    <t>Coconut 100%, American Excelsior</t>
  </si>
  <si>
    <t>Class 2 Type E</t>
  </si>
  <si>
    <t xml:space="preserve">Curlex 1 Erosion Control Blanket </t>
  </si>
  <si>
    <t>EROSION CONTROL MATTING</t>
  </si>
  <si>
    <t>Material Cost Updated:</t>
  </si>
  <si>
    <t>EDIT WHITE CELLS</t>
  </si>
  <si>
    <t>Prodution Rate</t>
  </si>
  <si>
    <t>per day</t>
  </si>
  <si>
    <t>days</t>
  </si>
  <si>
    <t>Post Spacing</t>
  </si>
  <si>
    <t>ft</t>
  </si>
  <si>
    <t>Material Menu</t>
  </si>
  <si>
    <t>per foot</t>
  </si>
  <si>
    <t>lf</t>
  </si>
  <si>
    <t>SILT FENCE – 14 GA REINFORCED</t>
  </si>
  <si>
    <t>1 crew</t>
  </si>
  <si>
    <t>Labor</t>
  </si>
  <si>
    <t>avg hr rate</t>
  </si>
  <si>
    <t>SILT FENCE – GEO GRID (PLASTIC)</t>
  </si>
  <si>
    <t>fence</t>
  </si>
  <si>
    <t>Reg</t>
  </si>
  <si>
    <t>SILT FENCE – UNREINFORCED</t>
  </si>
  <si>
    <t>4' Tposts</t>
  </si>
  <si>
    <t>OT</t>
  </si>
  <si>
    <t>SILT FENCE – 12.25 GA REINFORCED (TXDOT)</t>
  </si>
  <si>
    <t>Safety Cap</t>
  </si>
  <si>
    <t>ORANGE FENCE – SQUARE (LIGHT DUTY)</t>
  </si>
  <si>
    <t>Waste</t>
  </si>
  <si>
    <t>Total</t>
  </si>
  <si>
    <t>ORANGE FENCE – DIAMOND (HEAVY DUTY)</t>
  </si>
  <si>
    <t>Burden</t>
  </si>
  <si>
    <t>FILTER FABRIC (Terratex GS 15'x360')</t>
  </si>
  <si>
    <t>Costs</t>
  </si>
  <si>
    <t>T-POST 4’</t>
  </si>
  <si>
    <t>Reinforced</t>
  </si>
  <si>
    <t>crew size</t>
  </si>
  <si>
    <t>per week</t>
  </si>
  <si>
    <t>T-POST 4' (heavy duty/TXDOT)</t>
  </si>
  <si>
    <t>T-POST 6’</t>
  </si>
  <si>
    <t>WOOD STAKES 48” (48"x1.5"x1.5")</t>
  </si>
  <si>
    <t>waste</t>
  </si>
  <si>
    <t>SAFETY CAPS</t>
  </si>
  <si>
    <t>Fuel</t>
  </si>
  <si>
    <t>Calculator does not account for unique jobs</t>
  </si>
  <si>
    <t>Cost</t>
  </si>
  <si>
    <t>Multiple trip, or Mutiple Year type deals</t>
  </si>
  <si>
    <t xml:space="preserve">Should consider disclaimers, minimums, </t>
  </si>
  <si>
    <t>Price</t>
  </si>
  <si>
    <t>or limits for how long pricing is good for</t>
  </si>
  <si>
    <t>Revenue</t>
  </si>
  <si>
    <t>Target</t>
  </si>
  <si>
    <t>Net</t>
  </si>
  <si>
    <t>per bag</t>
  </si>
  <si>
    <t>ac</t>
  </si>
  <si>
    <t>BERMUDA SEED – HULLED</t>
  </si>
  <si>
    <t>HydroMulch</t>
  </si>
  <si>
    <t>BERMUDA SEED – COATED</t>
  </si>
  <si>
    <t>BERMUDA SEED – UN-HULLED</t>
  </si>
  <si>
    <t>Hulled Bermuda</t>
  </si>
  <si>
    <t>MILLET SEED</t>
  </si>
  <si>
    <t>Millet</t>
  </si>
  <si>
    <t>RYE SEED</t>
  </si>
  <si>
    <t>Rye (cold)</t>
  </si>
  <si>
    <t>BUMPER CROP FERTILIZER (13-13-13) BWI</t>
  </si>
  <si>
    <t>Fertilizer</t>
  </si>
  <si>
    <t>BUMPER CROP FERTILIZER (12-24-12)</t>
  </si>
  <si>
    <t>Mulch Bales</t>
  </si>
  <si>
    <t>BUMPER CROP FERTILIZER (10-20-20)</t>
  </si>
  <si>
    <t>Tackifier</t>
  </si>
  <si>
    <t>AMERICAN PLANT FOOD (13-13-13)</t>
  </si>
  <si>
    <t>HOLGANIX FERTILIZER (10-3-2)</t>
  </si>
  <si>
    <t>MICROLIFE FERTILIZER (8-4-6)</t>
  </si>
  <si>
    <t>Warm Weather Costs</t>
  </si>
  <si>
    <t>Cold Weather Costs</t>
  </si>
  <si>
    <t>THE ANDERSONS FERTILIZER (10-20-20)</t>
  </si>
  <si>
    <t>SIGMA (2-4-2 BIO)</t>
  </si>
  <si>
    <t>Rye</t>
  </si>
  <si>
    <t>HYDROMULCH – BLEND (PROMATRIX)</t>
  </si>
  <si>
    <t>HYDROMULCH – WOOD (PRO GAINES)</t>
  </si>
  <si>
    <t>HYDROMULCH – WOOD (APPLEGATE)</t>
  </si>
  <si>
    <t>HYDROMULCH – PAPER (OASIS)</t>
  </si>
  <si>
    <t>Waist</t>
  </si>
  <si>
    <t>Seeding</t>
  </si>
  <si>
    <t>Days</t>
  </si>
  <si>
    <t>Broadcast</t>
  </si>
  <si>
    <t>Overseeding</t>
  </si>
  <si>
    <t>Prod Rate</t>
  </si>
  <si>
    <t>QA/QC Check</t>
  </si>
  <si>
    <t>Bid Item</t>
  </si>
  <si>
    <t>Warm</t>
  </si>
  <si>
    <t>Cold</t>
  </si>
  <si>
    <t>Production Rate</t>
  </si>
  <si>
    <t>AC/day</t>
  </si>
  <si>
    <t>Fuel /day</t>
  </si>
  <si>
    <t>Fuel/Day</t>
  </si>
  <si>
    <t>Overseed</t>
  </si>
  <si>
    <t>^Fuel ^</t>
  </si>
  <si>
    <t>SOD - /SQUARE YARD</t>
  </si>
  <si>
    <t>Coverage</t>
  </si>
  <si>
    <t>SOD</t>
  </si>
  <si>
    <t>Staples</t>
  </si>
  <si>
    <t>Coverage w/Staples</t>
  </si>
  <si>
    <t>Strip</t>
  </si>
  <si>
    <t>Strip w/ Staples</t>
  </si>
  <si>
    <t>^Fuel^</t>
  </si>
  <si>
    <t>SOD Staples (1000/box)</t>
  </si>
  <si>
    <t>GUIDANCE</t>
  </si>
  <si>
    <t>5 to 10</t>
  </si>
  <si>
    <t>11 to 30</t>
  </si>
  <si>
    <t>30+</t>
  </si>
  <si>
    <t>Custom</t>
  </si>
  <si>
    <t>v DROP DOWN v</t>
  </si>
  <si>
    <t>Fence</t>
  </si>
  <si>
    <t xml:space="preserve">All mobilizations must meet a $800 minimum. </t>
  </si>
  <si>
    <t>There is no mobilization charge for inspections.</t>
  </si>
  <si>
    <t>Terms: Net 30</t>
  </si>
  <si>
    <r>
      <t>NOTES</t>
    </r>
    <r>
      <rPr>
        <sz val="12"/>
        <rFont val="Eras Light ITC"/>
        <family val="2"/>
      </rPr>
      <t xml:space="preserve">: Includes labor, parts, materials, tools, equipment, liability insurance.  </t>
    </r>
  </si>
  <si>
    <t>GET UPDATE</t>
  </si>
  <si>
    <t>per unit</t>
  </si>
  <si>
    <t>Rock 6-8" per Ton</t>
  </si>
  <si>
    <t>Production</t>
  </si>
  <si>
    <t>120-160 lf /day</t>
  </si>
  <si>
    <t>If material is on site and not a long haul</t>
  </si>
  <si>
    <t>Rock Filter Dam</t>
  </si>
  <si>
    <t>jking@doubleoakinc.com</t>
  </si>
  <si>
    <t>Rock 12"</t>
  </si>
  <si>
    <t>Topsoil</t>
  </si>
  <si>
    <t>unit</t>
  </si>
  <si>
    <t>T</t>
  </si>
  <si>
    <t>CY</t>
  </si>
  <si>
    <t>N American Green C-350- Material Only</t>
  </si>
  <si>
    <t>Gabion Baskets 6'x3'x1.5' Galvanized</t>
  </si>
  <si>
    <t>Hardwood Mulch</t>
  </si>
  <si>
    <t>Size</t>
  </si>
  <si>
    <t>8'x150'</t>
  </si>
  <si>
    <t>Unit Quantity</t>
  </si>
  <si>
    <t>Drop Inlet Protection 4'x4'</t>
  </si>
  <si>
    <t>Drop Inlet Protection 2'x2'</t>
  </si>
  <si>
    <t>Updated</t>
  </si>
  <si>
    <t>Y</t>
  </si>
  <si>
    <t>8'x90'</t>
  </si>
  <si>
    <t>8'x112'</t>
  </si>
  <si>
    <t>Type 3</t>
  </si>
  <si>
    <t>Filter Dike / Z-Dike 24x12 (10' Inlets)</t>
  </si>
  <si>
    <t>Triangular Silt Dike 10x7'</t>
  </si>
  <si>
    <t xml:space="preserve">Bio Logs - Erosion Logs 12" x 10' (Straw) </t>
  </si>
  <si>
    <t>Bio Logs - Erosion Logs 18"  (Straw)</t>
  </si>
  <si>
    <t>Excelsior 12" Logs x 10'</t>
  </si>
  <si>
    <t>Excelsior 20" Logs x 10'</t>
  </si>
  <si>
    <t>Bio Logs - Erosion Logs 12" x 20' (Straw)</t>
  </si>
  <si>
    <t>Matting</t>
  </si>
  <si>
    <t xml:space="preserve">Curlex 1 </t>
  </si>
  <si>
    <t>Curlex 2</t>
  </si>
  <si>
    <t>Curlex 3</t>
  </si>
  <si>
    <t>American Excelsior Coconut</t>
  </si>
  <si>
    <t>Landlock 450</t>
  </si>
  <si>
    <t>N. American Green C-350</t>
  </si>
  <si>
    <t>6" Metal Staples</t>
  </si>
  <si>
    <t>1000/Box</t>
  </si>
  <si>
    <t>12" Eco-staples</t>
  </si>
  <si>
    <t>500/Box</t>
  </si>
  <si>
    <t>3000 SY/Day</t>
  </si>
  <si>
    <t>Rock Filter</t>
  </si>
  <si>
    <t>Rock Area</t>
  </si>
  <si>
    <t>SY to AC</t>
  </si>
  <si>
    <t>SY Total</t>
  </si>
  <si>
    <t>20 Gauge Galvanized netting</t>
  </si>
  <si>
    <t>Netting</t>
  </si>
  <si>
    <t xml:space="preserve">Rock Filter Tons </t>
  </si>
  <si>
    <t>Rock Area Tons</t>
  </si>
  <si>
    <t>Rock Area Fabric</t>
  </si>
  <si>
    <t>Length (ft)</t>
  </si>
  <si>
    <t>Width (ft)</t>
  </si>
  <si>
    <t>Height (in)</t>
  </si>
  <si>
    <t xml:space="preserve"> v Drop Down v</t>
  </si>
  <si>
    <t>Rock</t>
  </si>
  <si>
    <t xml:space="preserve">Rock 2-6" </t>
  </si>
  <si>
    <t>SF - AC</t>
  </si>
  <si>
    <t>SF - SY</t>
  </si>
  <si>
    <t>SOD - /SQUARE YARD = Austin</t>
  </si>
  <si>
    <t>SOD - /SQUARE YARD = Houston</t>
  </si>
  <si>
    <t>SY-CY</t>
  </si>
  <si>
    <t>&lt;---Thickness for Sy to Cy  "Use Inches"</t>
  </si>
  <si>
    <t xml:space="preserve">Reinforced Silt Fence removal </t>
  </si>
  <si>
    <t>Stabilized Construction Entrance (50' x 20') removal</t>
  </si>
  <si>
    <t xml:space="preserve"> *** Prices are only Good for 60-days and Subject to Change depending upon actual date for Onsite Work Requested to be completed beyond the stated 60-days. ***</t>
  </si>
  <si>
    <t>NOTES: Includes labor, parts, materials, tools, equipment, liability insurance.  Payment terms, net 30</t>
  </si>
  <si>
    <t>SY-SF</t>
  </si>
  <si>
    <t>Gabion</t>
  </si>
  <si>
    <t xml:space="preserve">Earthguard Fiber Matrix (Flexterra Alternative) </t>
  </si>
  <si>
    <t>Quotation valid for 60 days</t>
  </si>
  <si>
    <t xml:space="preserve">&lt;-- Filter Fabric Dependant </t>
  </si>
  <si>
    <t>sku</t>
  </si>
  <si>
    <t>description</t>
  </si>
  <si>
    <t>Regular plastic cap</t>
  </si>
  <si>
    <t>OSHA CAPS</t>
  </si>
  <si>
    <t>price</t>
  </si>
  <si>
    <t>t-post-4ft</t>
  </si>
  <si>
    <t>cap-osha</t>
  </si>
  <si>
    <t>cap-plastic</t>
  </si>
  <si>
    <t>OSHA-Approved cap</t>
  </si>
  <si>
    <t>T- Post 4'</t>
  </si>
  <si>
    <t>14 Gauge Silt Fence</t>
  </si>
  <si>
    <t>12.5 Gauge Silt Fence</t>
  </si>
  <si>
    <t>silt-fence-unreinforced</t>
  </si>
  <si>
    <t>Un-Reinforced Silt Fence</t>
  </si>
  <si>
    <t>wood-stake</t>
  </si>
  <si>
    <t>Wood Stake</t>
  </si>
  <si>
    <t>orange-fence-light-duty</t>
  </si>
  <si>
    <t>Light Duty Orange Fence</t>
  </si>
  <si>
    <t>orange-fence-heavy-duty</t>
  </si>
  <si>
    <t>Heavy Duty Orange Fence</t>
  </si>
  <si>
    <t>t-post-6ft</t>
  </si>
  <si>
    <t>T-Post 6'</t>
  </si>
  <si>
    <t>bermuda-seed-hulled</t>
  </si>
  <si>
    <t>bermuda-seed-coated</t>
  </si>
  <si>
    <t>Hulled Bermuda Seed (40lbs)</t>
  </si>
  <si>
    <t>Coated Bermuda Seed (40lbs)</t>
  </si>
  <si>
    <t>bermuda-seed-unhulled</t>
  </si>
  <si>
    <t>Un-Hulled Bermuda Seed (40lbs)</t>
  </si>
  <si>
    <t>millett-seed</t>
  </si>
  <si>
    <t>Millett Seed (40lbs)</t>
  </si>
  <si>
    <t>rye-seed</t>
  </si>
  <si>
    <t>bumper-crop-fertilizer-triple-13</t>
  </si>
  <si>
    <t>Rye Seed (40lbs)</t>
  </si>
  <si>
    <t xml:space="preserve">Bumper Crop Fertilizer (13-13-13) </t>
  </si>
  <si>
    <t>bumper-crop-fertilizer-12-24-12</t>
  </si>
  <si>
    <t xml:space="preserve">Bumper Crop Fertilizer (12-24-12) </t>
  </si>
  <si>
    <t>Bumber Crop Fertilizer (10-20-20)</t>
  </si>
  <si>
    <t>bumper-crop-fertilizer-10-20-20</t>
  </si>
  <si>
    <t>American Plant Food (13-13-13)</t>
  </si>
  <si>
    <t>Holganix Fertilizer (10-3-2)</t>
  </si>
  <si>
    <t>Microlife Fertilizer (8-4-6)</t>
  </si>
  <si>
    <t>The Andersons Fertilizer (10-20-20)</t>
  </si>
  <si>
    <t>Hydromulch – Blend (Promatrix)</t>
  </si>
  <si>
    <t>american-plant-food-triple-13</t>
  </si>
  <si>
    <t>holganix-fertilizer-10-3-2</t>
  </si>
  <si>
    <t>microlife-fertilizer-8-4-6</t>
  </si>
  <si>
    <t>the-andersons-fertilizer-10-20-20</t>
  </si>
  <si>
    <t>hydromulch-blend-promatrix</t>
  </si>
  <si>
    <t>bermuda-sod</t>
  </si>
  <si>
    <t>Bermuda Sod</t>
  </si>
  <si>
    <t>Durawattle 9" x 25'</t>
  </si>
  <si>
    <t>excelsior-straw-wattle-9-x-25</t>
  </si>
  <si>
    <t>durawattle-9-by-25</t>
  </si>
  <si>
    <t>Excelsior Straw Wattle 9"x25'</t>
  </si>
  <si>
    <t xml:space="preserve">Hydromulch – Paper </t>
  </si>
  <si>
    <t>hydromulch-paper</t>
  </si>
  <si>
    <t>Hydromulch - Flexterra</t>
  </si>
  <si>
    <t>hydromulch-wood</t>
  </si>
  <si>
    <t xml:space="preserve">Hydromulch – Wood </t>
  </si>
  <si>
    <t>hydromulch-flexterra</t>
  </si>
  <si>
    <t>sigma-5-3-2-bio</t>
  </si>
  <si>
    <t>Sigma (5-3-2 Bio)</t>
  </si>
  <si>
    <t>hay-bales</t>
  </si>
  <si>
    <t>Hay Bales</t>
  </si>
  <si>
    <t>dredge-sox-6-x-100</t>
  </si>
  <si>
    <t>Dredge Sox (6' x 100')</t>
  </si>
  <si>
    <t>dredge-sox-6-x-200</t>
  </si>
  <si>
    <t>Dredge Sox (6' x 200')</t>
  </si>
  <si>
    <t>dredge-sox-12-x-100</t>
  </si>
  <si>
    <t>Dredge Sox (12' x 100')</t>
  </si>
  <si>
    <t>dredge-sox-12-x-200</t>
  </si>
  <si>
    <t>Dredge Sox (12' x 200')</t>
  </si>
  <si>
    <t>dredge-sox-18-x-100</t>
  </si>
  <si>
    <t>Dredge Sox (18' x 200')</t>
  </si>
  <si>
    <t>Dredge Sox (18' x 100')</t>
  </si>
  <si>
    <t>dredge-sox-18-x-200</t>
  </si>
  <si>
    <t>silt-fence-12g5</t>
  </si>
  <si>
    <t>Tx Dot T-Post</t>
  </si>
  <si>
    <t>tx-dot-t-post-4-ft</t>
  </si>
  <si>
    <t>silt-fence-14g</t>
  </si>
  <si>
    <t>Erosion Eels</t>
  </si>
  <si>
    <t>9.5" Erosion Eel 10'</t>
  </si>
  <si>
    <t>erosion-eel-9.5in-10ft</t>
  </si>
  <si>
    <t>erosion-eel-12in-10ft</t>
  </si>
  <si>
    <t>12" Erosion Eel 10'</t>
  </si>
  <si>
    <t>Best Management Practices</t>
  </si>
  <si>
    <t>Stabilization</t>
  </si>
  <si>
    <t>Concrete Truck Washout</t>
  </si>
  <si>
    <t xml:space="preserve">Project: </t>
  </si>
  <si>
    <t>Reinforced Silt Fence install (12.5 Ga)</t>
  </si>
  <si>
    <t>Grate Inlet Protection w/ Fabric &amp; Gravel Bags</t>
  </si>
  <si>
    <t>Curb Inlet Protection w/ Z-Dyke &amp; Gravel Bags</t>
  </si>
  <si>
    <t xml:space="preserve">Stabilized Construction Entrance </t>
  </si>
  <si>
    <t>Solid Bermuda Sodding</t>
  </si>
  <si>
    <t>22lbs/ac</t>
  </si>
  <si>
    <t>buffalo-grass-1</t>
  </si>
  <si>
    <t>buffalo-grass-5</t>
  </si>
  <si>
    <t>blue-grama-1</t>
  </si>
  <si>
    <t>blue-grama-5</t>
  </si>
  <si>
    <t>4lbs/ac</t>
  </si>
  <si>
    <t>Specifications</t>
  </si>
  <si>
    <t>5lbs/ac</t>
  </si>
  <si>
    <t>curly-mesquite</t>
  </si>
  <si>
    <t>habiturf-native-lawn-mix</t>
  </si>
  <si>
    <t>217.8lbs/ac</t>
  </si>
  <si>
    <t>25lb Douglass King Seeds Habiturf Native Lawn Mix</t>
  </si>
  <si>
    <t>5lb Bag Curly Mesquite grass</t>
  </si>
  <si>
    <t>5lb Bag Blue Grama Grass</t>
  </si>
  <si>
    <t>1lb Bag Blue Grama grass</t>
  </si>
  <si>
    <t>5lb Bag Buffalo Grass</t>
  </si>
  <si>
    <t xml:space="preserve">1lb Bag Buffalo Grass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</si>
</sst>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&quot;$&quot;#,##0.00"/>
    <numFmt numFmtId="165" formatCode="[$$-409]#,##0.00;[Red][$$-409]#,##0.00"/>
    <numFmt numFmtId="166" formatCode="[$$-409]#,##0.00;[Red]\-[$$-409]#,##0.00"/>
    <numFmt numFmtId="167" formatCode="0.0%"/>
    <numFmt numFmtId="168" formatCode="_(* #,##0_);_(* \(#,##0\);_(* &quot;-&quot;??_);_(@_)"/>
  </numFmts>
  <fonts count="8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.5"/>
      <color theme="1"/>
      <name val="Arial Narrow"/>
      <family val="2"/>
    </font>
    <font>
      <sz val="13"/>
      <color theme="1"/>
      <name val="Arial Narrow"/>
      <family val="2"/>
    </font>
    <font>
      <sz val="10"/>
      <name val="Arial Narrow"/>
      <family val="2"/>
    </font>
    <font>
      <sz val="11"/>
      <name val="Arial Narrow"/>
      <family val="2"/>
    </font>
    <font>
      <b/>
      <i/>
      <sz val="11"/>
      <color rgb="FFFF0000"/>
      <name val="Arial Narrow"/>
      <family val="2"/>
    </font>
    <font>
      <b/>
      <sz val="10"/>
      <name val="Arial Narrow"/>
      <family val="2"/>
    </font>
    <font>
      <b/>
      <sz val="11"/>
      <color theme="1"/>
      <name val="Arial Narrow"/>
      <family val="2"/>
    </font>
    <font>
      <b/>
      <sz val="12"/>
      <name val="Arial Narrow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20"/>
      <name val="Arial Narrow"/>
      <family val="2"/>
    </font>
    <font>
      <sz val="20"/>
      <name val="Calibri"/>
      <family val="2"/>
      <scheme val="minor"/>
    </font>
    <font>
      <sz val="16.5"/>
      <color theme="1"/>
      <name val="Arial Narrow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4"/>
      <color rgb="FFFF0000"/>
      <name val="Arial Narrow"/>
      <family val="2"/>
    </font>
    <font>
      <b/>
      <sz val="11"/>
      <name val="Arial Narrow"/>
      <family val="2"/>
    </font>
    <font>
      <b/>
      <sz val="20"/>
      <name val="Arial Narrow"/>
      <family val="2"/>
    </font>
    <font>
      <b/>
      <u/>
      <sz val="18"/>
      <name val="Arial Narrow"/>
      <family val="2"/>
    </font>
    <font>
      <b/>
      <sz val="14"/>
      <name val="Arial Narrow"/>
      <family val="2"/>
    </font>
    <font>
      <sz val="12"/>
      <name val="Arial Narrow"/>
      <family val="2"/>
    </font>
    <font>
      <sz val="12.5"/>
      <name val="Arial Narrow"/>
      <family val="2"/>
    </font>
    <font>
      <i/>
      <sz val="12.5"/>
      <name val="Arial Narrow"/>
      <family val="2"/>
    </font>
    <font>
      <i/>
      <sz val="11"/>
      <name val="Arial Narrow"/>
      <family val="2"/>
    </font>
    <font>
      <b/>
      <sz val="12.5"/>
      <name val="Arial Narrow"/>
      <family val="2"/>
    </font>
    <font>
      <b/>
      <i/>
      <sz val="12.5"/>
      <name val="Arial Narrow"/>
      <family val="2"/>
    </font>
    <font>
      <sz val="11.5"/>
      <name val="Arial Narrow"/>
      <family val="2"/>
    </font>
    <font>
      <sz val="12.5"/>
      <color rgb="FFFF0000"/>
      <name val="Arial Narrow"/>
      <family val="2"/>
    </font>
    <font>
      <sz val="12"/>
      <color theme="1"/>
      <name val="Calibri"/>
      <family val="2"/>
      <scheme val="minor"/>
    </font>
    <font>
      <sz val="12.5"/>
      <color indexed="10"/>
      <name val="Arial Narrow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.5"/>
      <color theme="1"/>
      <name val="Eras Medium ITC"/>
      <family val="2"/>
    </font>
    <font>
      <sz val="18"/>
      <color rgb="FFFF0000"/>
      <name val="Eras Medium ITC"/>
      <family val="2"/>
    </font>
    <font>
      <u/>
      <sz val="11"/>
      <color theme="10"/>
      <name val="Eras Medium ITC"/>
      <family val="2"/>
    </font>
    <font>
      <sz val="11"/>
      <color theme="1"/>
      <name val="Eras Medium ITC"/>
      <family val="2"/>
    </font>
    <font>
      <u/>
      <sz val="12.5"/>
      <color theme="10"/>
      <name val="Eras Medium ITC"/>
      <family val="2"/>
    </font>
    <font>
      <b/>
      <sz val="13"/>
      <name val="Eras Medium ITC"/>
      <family val="2"/>
    </font>
    <font>
      <b/>
      <sz val="13"/>
      <color rgb="FFFF0000"/>
      <name val="Eras Medium ITC"/>
      <family val="2"/>
    </font>
    <font>
      <sz val="13"/>
      <name val="Eras Medium ITC"/>
      <family val="2"/>
    </font>
    <font>
      <sz val="20"/>
      <name val="Eras Medium ITC"/>
      <family val="2"/>
    </font>
    <font>
      <b/>
      <i/>
      <sz val="14"/>
      <color rgb="FFFF0000"/>
      <name val="Eras Medium ITC"/>
      <family val="2"/>
    </font>
    <font>
      <b/>
      <sz val="30"/>
      <color theme="1"/>
      <name val="Eras Bold ITC"/>
      <family val="2"/>
    </font>
    <font>
      <sz val="12"/>
      <color theme="1"/>
      <name val="Eras Medium ITC"/>
      <family val="2"/>
    </font>
    <font>
      <b/>
      <sz val="13"/>
      <color theme="1"/>
      <name val="Eras Light ITC"/>
      <family val="2"/>
    </font>
    <font>
      <sz val="11"/>
      <color theme="1"/>
      <name val="Eras Light ITC"/>
      <family val="2"/>
    </font>
    <font>
      <b/>
      <i/>
      <sz val="13"/>
      <color theme="1"/>
      <name val="Eras Light ITC"/>
      <family val="2"/>
    </font>
    <font>
      <b/>
      <sz val="16.5"/>
      <color theme="1"/>
      <name val="Eras Light ITC"/>
      <family val="2"/>
    </font>
    <font>
      <sz val="16.5"/>
      <color theme="1"/>
      <name val="Eras Light ITC"/>
      <family val="2"/>
    </font>
    <font>
      <b/>
      <sz val="16.5"/>
      <name val="Eras Light ITC"/>
      <family val="2"/>
    </font>
    <font>
      <sz val="16.5"/>
      <name val="Eras Light ITC"/>
      <family val="2"/>
    </font>
    <font>
      <b/>
      <sz val="10"/>
      <name val="Eras Light ITC"/>
      <family val="2"/>
    </font>
    <font>
      <sz val="10"/>
      <name val="Eras Light ITC"/>
      <family val="2"/>
    </font>
    <font>
      <b/>
      <sz val="11"/>
      <name val="Eras Light ITC"/>
      <family val="2"/>
    </font>
    <font>
      <b/>
      <sz val="11"/>
      <color theme="1"/>
      <name val="Eras Light ITC"/>
      <family val="2"/>
    </font>
    <font>
      <b/>
      <i/>
      <sz val="11"/>
      <color rgb="FFFF0000"/>
      <name val="Eras Light ITC"/>
      <family val="2"/>
    </font>
    <font>
      <b/>
      <sz val="13"/>
      <color theme="0"/>
      <name val="Eras Light ITC"/>
      <family val="2"/>
    </font>
    <font>
      <b/>
      <sz val="12"/>
      <name val="Eras Medium ITC"/>
      <family val="2"/>
    </font>
    <font>
      <sz val="10"/>
      <name val="Eras Medium ITC"/>
      <family val="2"/>
    </font>
    <font>
      <sz val="11"/>
      <name val="Eras Medium ITC"/>
      <family val="2"/>
    </font>
    <font>
      <b/>
      <sz val="12"/>
      <name val="Eras Light ITC"/>
      <family val="2"/>
    </font>
    <font>
      <sz val="12"/>
      <name val="Eras Light ITC"/>
      <family val="2"/>
    </font>
    <font>
      <sz val="12"/>
      <color rgb="FFC00000"/>
      <name val="Arial Narrow"/>
      <family val="2"/>
    </font>
    <font>
      <sz val="12"/>
      <color theme="1"/>
      <name val="Arial Narrow"/>
      <family val="2"/>
    </font>
    <font>
      <sz val="12"/>
      <color rgb="FFFF0000"/>
      <name val="Arial Narrow"/>
      <family val="2"/>
    </font>
    <font>
      <b/>
      <sz val="12"/>
      <color rgb="FFFF0000"/>
      <name val="Arial Narrow"/>
      <family val="2"/>
    </font>
    <font>
      <sz val="12"/>
      <color rgb="FFFF0000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b/>
      <sz val="10"/>
      <color theme="1"/>
      <name val="Eras Light ITC"/>
      <family val="2"/>
    </font>
    <font>
      <sz val="8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3" fillId="0" borderId="0">
      <alignment horizontal="right"/>
    </xf>
    <xf numFmtId="14" fontId="14" fillId="0" borderId="0">
      <alignment horizontal="left"/>
    </xf>
    <xf numFmtId="0" fontId="19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35">
    <xf numFmtId="0" fontId="0" fillId="0" borderId="0" xfId="0"/>
    <xf numFmtId="0" fontId="0" fillId="0" borderId="0" xfId="0" applyAlignment="1">
      <alignment vertical="center"/>
    </xf>
    <xf numFmtId="0" fontId="14" fillId="0" borderId="0" xfId="0" applyFont="1"/>
    <xf numFmtId="0" fontId="16" fillId="0" borderId="0" xfId="0" applyFont="1" applyAlignment="1">
      <alignment vertical="center"/>
    </xf>
    <xf numFmtId="0" fontId="17" fillId="0" borderId="0" xfId="0" applyFont="1"/>
    <xf numFmtId="0" fontId="23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right" vertical="center"/>
    </xf>
    <xf numFmtId="14" fontId="21" fillId="0" borderId="0" xfId="0" applyNumberFormat="1" applyFont="1" applyAlignment="1">
      <alignment horizontal="center" vertical="center"/>
    </xf>
    <xf numFmtId="0" fontId="24" fillId="5" borderId="0" xfId="0" applyFont="1" applyFill="1" applyAlignment="1">
      <alignment horizontal="left" vertical="center"/>
    </xf>
    <xf numFmtId="0" fontId="6" fillId="5" borderId="0" xfId="0" applyFont="1" applyFill="1" applyAlignment="1">
      <alignment horizontal="center" vertical="center"/>
    </xf>
    <xf numFmtId="164" fontId="6" fillId="5" borderId="0" xfId="1" applyNumberFormat="1" applyFont="1" applyFill="1" applyBorder="1" applyAlignment="1" applyProtection="1">
      <alignment horizontal="center" vertical="center"/>
    </xf>
    <xf numFmtId="0" fontId="24" fillId="0" borderId="0" xfId="0" applyFont="1" applyAlignment="1">
      <alignment horizontal="left" vertical="center"/>
    </xf>
    <xf numFmtId="164" fontId="6" fillId="0" borderId="0" xfId="1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26" fillId="0" borderId="0" xfId="0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164" fontId="26" fillId="0" borderId="0" xfId="1" applyNumberFormat="1" applyFont="1" applyFill="1" applyBorder="1" applyAlignment="1" applyProtection="1">
      <alignment horizontal="center" vertical="center"/>
    </xf>
    <xf numFmtId="0" fontId="6" fillId="0" borderId="0" xfId="0" applyFont="1" applyAlignment="1">
      <alignment vertical="center"/>
    </xf>
    <xf numFmtId="0" fontId="26" fillId="0" borderId="0" xfId="0" applyFont="1"/>
    <xf numFmtId="164" fontId="26" fillId="0" borderId="0" xfId="0" applyNumberFormat="1" applyFont="1" applyAlignment="1">
      <alignment horizontal="center" vertical="center"/>
    </xf>
    <xf numFmtId="0" fontId="27" fillId="0" borderId="0" xfId="0" applyFont="1"/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center"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horizontal="center" vertical="center"/>
    </xf>
    <xf numFmtId="0" fontId="28" fillId="0" borderId="0" xfId="0" applyFont="1"/>
    <xf numFmtId="0" fontId="28" fillId="0" borderId="0" xfId="0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0" fontId="21" fillId="5" borderId="0" xfId="0" applyFont="1" applyFill="1" applyAlignment="1">
      <alignment horizontal="center" vertical="center"/>
    </xf>
    <xf numFmtId="164" fontId="21" fillId="5" borderId="0" xfId="0" applyNumberFormat="1" applyFont="1" applyFill="1" applyAlignment="1">
      <alignment horizontal="left" vertical="center"/>
    </xf>
    <xf numFmtId="0" fontId="26" fillId="0" borderId="0" xfId="0" applyFont="1" applyAlignment="1">
      <alignment vertical="center" wrapText="1"/>
    </xf>
    <xf numFmtId="0" fontId="29" fillId="0" borderId="0" xfId="0" applyFont="1" applyAlignment="1">
      <alignment horizontal="left" vertical="center"/>
    </xf>
    <xf numFmtId="0" fontId="29" fillId="0" borderId="0" xfId="0" applyFont="1" applyAlignment="1">
      <alignment horizontal="center" vertical="center"/>
    </xf>
    <xf numFmtId="164" fontId="29" fillId="0" borderId="0" xfId="1" applyNumberFormat="1" applyFont="1" applyFill="1" applyBorder="1" applyAlignment="1" applyProtection="1">
      <alignment horizontal="center" vertical="center"/>
    </xf>
    <xf numFmtId="0" fontId="30" fillId="0" borderId="0" xfId="0" applyFont="1" applyAlignment="1">
      <alignment horizontal="left" vertical="center"/>
    </xf>
    <xf numFmtId="0" fontId="30" fillId="0" borderId="0" xfId="0" applyFont="1" applyAlignment="1">
      <alignment horizontal="center" vertical="center"/>
    </xf>
    <xf numFmtId="164" fontId="30" fillId="0" borderId="0" xfId="1" applyNumberFormat="1" applyFont="1" applyFill="1" applyBorder="1" applyAlignment="1" applyProtection="1">
      <alignment horizontal="center" vertical="center"/>
    </xf>
    <xf numFmtId="164" fontId="26" fillId="0" borderId="0" xfId="1" applyNumberFormat="1" applyFont="1" applyAlignment="1">
      <alignment horizontal="center" vertical="center"/>
    </xf>
    <xf numFmtId="0" fontId="31" fillId="0" borderId="0" xfId="0" applyFont="1" applyAlignment="1">
      <alignment vertical="center"/>
    </xf>
    <xf numFmtId="6" fontId="26" fillId="0" borderId="0" xfId="0" applyNumberFormat="1" applyFont="1" applyAlignment="1">
      <alignment horizontal="center" vertical="center"/>
    </xf>
    <xf numFmtId="164" fontId="21" fillId="5" borderId="0" xfId="1" applyNumberFormat="1" applyFont="1" applyFill="1" applyBorder="1" applyAlignment="1" applyProtection="1">
      <alignment horizontal="center" vertical="center"/>
    </xf>
    <xf numFmtId="164" fontId="6" fillId="5" borderId="0" xfId="0" applyNumberFormat="1" applyFont="1" applyFill="1" applyAlignment="1">
      <alignment vertical="center"/>
    </xf>
    <xf numFmtId="164" fontId="32" fillId="0" borderId="0" xfId="0" applyNumberFormat="1" applyFont="1" applyAlignment="1">
      <alignment horizontal="center" vertical="center"/>
    </xf>
    <xf numFmtId="0" fontId="30" fillId="6" borderId="0" xfId="0" applyFont="1" applyFill="1" applyAlignment="1">
      <alignment horizontal="left" vertical="center"/>
    </xf>
    <xf numFmtId="0" fontId="30" fillId="6" borderId="0" xfId="0" applyFont="1" applyFill="1" applyAlignment="1">
      <alignment horizontal="center" vertical="center"/>
    </xf>
    <xf numFmtId="164" fontId="30" fillId="6" borderId="0" xfId="1" applyNumberFormat="1" applyFont="1" applyFill="1" applyBorder="1" applyAlignment="1" applyProtection="1">
      <alignment horizontal="center" vertical="center"/>
    </xf>
    <xf numFmtId="165" fontId="26" fillId="0" borderId="0" xfId="1" applyNumberFormat="1" applyFont="1" applyFill="1" applyBorder="1" applyAlignment="1" applyProtection="1">
      <alignment horizontal="center" vertical="center"/>
    </xf>
    <xf numFmtId="0" fontId="26" fillId="0" borderId="0" xfId="0" applyFont="1" applyAlignment="1">
      <alignment horizontal="left" vertical="center" wrapText="1"/>
    </xf>
    <xf numFmtId="166" fontId="26" fillId="0" borderId="0" xfId="8" applyNumberFormat="1" applyFont="1" applyAlignment="1">
      <alignment horizontal="center" vertical="center"/>
    </xf>
    <xf numFmtId="0" fontId="33" fillId="0" borderId="0" xfId="0" applyFont="1"/>
    <xf numFmtId="0" fontId="25" fillId="0" borderId="0" xfId="0" applyFont="1" applyAlignment="1">
      <alignment vertical="center"/>
    </xf>
    <xf numFmtId="165" fontId="6" fillId="0" borderId="0" xfId="0" applyNumberFormat="1" applyFont="1" applyAlignment="1">
      <alignment vertical="center"/>
    </xf>
    <xf numFmtId="165" fontId="6" fillId="5" borderId="0" xfId="0" applyNumberFormat="1" applyFont="1" applyFill="1" applyAlignment="1">
      <alignment horizontal="center" vertical="center"/>
    </xf>
    <xf numFmtId="0" fontId="24" fillId="5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44" fontId="0" fillId="0" borderId="0" xfId="1" applyFont="1"/>
    <xf numFmtId="44" fontId="0" fillId="0" borderId="0" xfId="1" applyFont="1" applyAlignment="1">
      <alignment vertical="center"/>
    </xf>
    <xf numFmtId="44" fontId="0" fillId="0" borderId="0" xfId="0" applyNumberFormat="1"/>
    <xf numFmtId="10" fontId="0" fillId="0" borderId="0" xfId="9" applyNumberFormat="1" applyFont="1"/>
    <xf numFmtId="0" fontId="38" fillId="7" borderId="0" xfId="0" applyFont="1" applyFill="1"/>
    <xf numFmtId="14" fontId="38" fillId="7" borderId="0" xfId="0" applyNumberFormat="1" applyFont="1" applyFill="1"/>
    <xf numFmtId="0" fontId="0" fillId="8" borderId="0" xfId="0" applyFill="1"/>
    <xf numFmtId="0" fontId="0" fillId="8" borderId="0" xfId="0" applyFill="1" applyAlignment="1">
      <alignment horizontal="right"/>
    </xf>
    <xf numFmtId="0" fontId="0" fillId="2" borderId="4" xfId="0" applyFill="1" applyBorder="1" applyAlignment="1">
      <alignment horizontal="center"/>
    </xf>
    <xf numFmtId="0" fontId="36" fillId="8" borderId="0" xfId="0" applyFont="1" applyFill="1" applyAlignment="1">
      <alignment horizontal="right"/>
    </xf>
    <xf numFmtId="0" fontId="0" fillId="8" borderId="0" xfId="0" applyFill="1" applyAlignment="1">
      <alignment horizontal="center"/>
    </xf>
    <xf numFmtId="0" fontId="0" fillId="9" borderId="4" xfId="0" applyFill="1" applyBorder="1"/>
    <xf numFmtId="44" fontId="0" fillId="9" borderId="4" xfId="1" applyFont="1" applyFill="1" applyBorder="1"/>
    <xf numFmtId="0" fontId="0" fillId="10" borderId="4" xfId="0" applyFill="1" applyBorder="1" applyAlignment="1">
      <alignment horizontal="center"/>
    </xf>
    <xf numFmtId="0" fontId="39" fillId="2" borderId="4" xfId="0" applyFont="1" applyFill="1" applyBorder="1" applyAlignment="1">
      <alignment horizontal="center"/>
    </xf>
    <xf numFmtId="0" fontId="13" fillId="8" borderId="0" xfId="0" applyFont="1" applyFill="1" applyAlignment="1">
      <alignment horizontal="center"/>
    </xf>
    <xf numFmtId="0" fontId="0" fillId="9" borderId="7" xfId="0" applyFill="1" applyBorder="1" applyAlignment="1">
      <alignment horizontal="center"/>
    </xf>
    <xf numFmtId="44" fontId="37" fillId="11" borderId="4" xfId="1" applyFont="1" applyFill="1" applyBorder="1"/>
    <xf numFmtId="0" fontId="0" fillId="9" borderId="9" xfId="0" applyFill="1" applyBorder="1"/>
    <xf numFmtId="44" fontId="39" fillId="2" borderId="4" xfId="1" applyFont="1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44" fontId="0" fillId="9" borderId="0" xfId="0" applyNumberFormat="1" applyFill="1"/>
    <xf numFmtId="0" fontId="0" fillId="9" borderId="17" xfId="0" applyFill="1" applyBorder="1" applyAlignment="1">
      <alignment horizontal="center"/>
    </xf>
    <xf numFmtId="0" fontId="0" fillId="12" borderId="0" xfId="0" applyFill="1"/>
    <xf numFmtId="0" fontId="0" fillId="9" borderId="0" xfId="0" applyFill="1"/>
    <xf numFmtId="9" fontId="39" fillId="2" borderId="4" xfId="0" applyNumberFormat="1" applyFont="1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9" fontId="0" fillId="8" borderId="8" xfId="0" applyNumberFormat="1" applyFill="1" applyBorder="1" applyAlignment="1">
      <alignment horizontal="center"/>
    </xf>
    <xf numFmtId="9" fontId="0" fillId="9" borderId="17" xfId="0" applyNumberForma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17" xfId="0" applyFill="1" applyBorder="1"/>
    <xf numFmtId="44" fontId="0" fillId="9" borderId="4" xfId="0" applyNumberFormat="1" applyFill="1" applyBorder="1"/>
    <xf numFmtId="44" fontId="0" fillId="9" borderId="17" xfId="0" applyNumberFormat="1" applyFill="1" applyBorder="1"/>
    <xf numFmtId="0" fontId="0" fillId="9" borderId="10" xfId="0" applyFill="1" applyBorder="1" applyAlignment="1">
      <alignment horizontal="center"/>
    </xf>
    <xf numFmtId="44" fontId="0" fillId="9" borderId="11" xfId="0" applyNumberFormat="1" applyFill="1" applyBorder="1"/>
    <xf numFmtId="44" fontId="0" fillId="9" borderId="12" xfId="0" applyNumberFormat="1" applyFill="1" applyBorder="1"/>
    <xf numFmtId="0" fontId="40" fillId="7" borderId="0" xfId="0" applyFont="1" applyFill="1"/>
    <xf numFmtId="0" fontId="40" fillId="7" borderId="0" xfId="0" applyFont="1" applyFill="1" applyAlignment="1">
      <alignment horizontal="left"/>
    </xf>
    <xf numFmtId="44" fontId="39" fillId="2" borderId="4" xfId="1" applyFont="1" applyFill="1" applyBorder="1"/>
    <xf numFmtId="44" fontId="38" fillId="10" borderId="4" xfId="1" applyFont="1" applyFill="1" applyBorder="1"/>
    <xf numFmtId="0" fontId="35" fillId="13" borderId="4" xfId="0" applyFont="1" applyFill="1" applyBorder="1" applyAlignment="1">
      <alignment horizontal="center"/>
    </xf>
    <xf numFmtId="44" fontId="41" fillId="13" borderId="4" xfId="0" applyNumberFormat="1" applyFont="1" applyFill="1" applyBorder="1"/>
    <xf numFmtId="10" fontId="41" fillId="14" borderId="4" xfId="9" applyNumberFormat="1" applyFont="1" applyFill="1" applyBorder="1" applyAlignment="1">
      <alignment horizontal="center"/>
    </xf>
    <xf numFmtId="9" fontId="0" fillId="15" borderId="4" xfId="0" applyNumberFormat="1" applyFill="1" applyBorder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13" fillId="18" borderId="0" xfId="0" applyFont="1" applyFill="1" applyAlignment="1">
      <alignment horizontal="center"/>
    </xf>
    <xf numFmtId="0" fontId="0" fillId="18" borderId="8" xfId="0" applyFill="1" applyBorder="1" applyAlignment="1">
      <alignment horizontal="center"/>
    </xf>
    <xf numFmtId="9" fontId="0" fillId="18" borderId="8" xfId="0" applyNumberFormat="1" applyFill="1" applyBorder="1" applyAlignment="1">
      <alignment horizontal="center"/>
    </xf>
    <xf numFmtId="2" fontId="0" fillId="18" borderId="0" xfId="0" applyNumberFormat="1" applyFill="1" applyAlignment="1">
      <alignment horizontal="center"/>
    </xf>
    <xf numFmtId="0" fontId="0" fillId="20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44" fontId="37" fillId="19" borderId="0" xfId="0" applyNumberFormat="1" applyFont="1" applyFill="1"/>
    <xf numFmtId="9" fontId="0" fillId="0" borderId="0" xfId="9" applyFont="1"/>
    <xf numFmtId="44" fontId="0" fillId="2" borderId="4" xfId="1" applyFont="1" applyFill="1" applyBorder="1"/>
    <xf numFmtId="167" fontId="39" fillId="2" borderId="4" xfId="0" applyNumberFormat="1" applyFont="1" applyFill="1" applyBorder="1" applyAlignment="1">
      <alignment horizontal="center"/>
    </xf>
    <xf numFmtId="0" fontId="0" fillId="9" borderId="1" xfId="0" applyFill="1" applyBorder="1"/>
    <xf numFmtId="0" fontId="36" fillId="18" borderId="0" xfId="0" applyFont="1" applyFill="1" applyAlignment="1">
      <alignment horizontal="center"/>
    </xf>
    <xf numFmtId="0" fontId="0" fillId="5" borderId="4" xfId="0" applyFill="1" applyBorder="1" applyAlignment="1">
      <alignment horizontal="center"/>
    </xf>
    <xf numFmtId="44" fontId="0" fillId="10" borderId="4" xfId="1" applyFont="1" applyFill="1" applyBorder="1" applyAlignment="1">
      <alignment horizontal="center"/>
    </xf>
    <xf numFmtId="16" fontId="0" fillId="10" borderId="4" xfId="0" applyNumberFormat="1" applyFill="1" applyBorder="1" applyAlignment="1">
      <alignment horizontal="center"/>
    </xf>
    <xf numFmtId="0" fontId="0" fillId="18" borderId="0" xfId="0" applyFill="1" applyAlignment="1">
      <alignment horizontal="left"/>
    </xf>
    <xf numFmtId="0" fontId="36" fillId="18" borderId="0" xfId="0" applyFont="1" applyFill="1"/>
    <xf numFmtId="10" fontId="0" fillId="0" borderId="0" xfId="0" applyNumberFormat="1"/>
    <xf numFmtId="0" fontId="15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20" fillId="0" borderId="0" xfId="3" applyFont="1" applyBorder="1" applyAlignment="1">
      <alignment vertical="center"/>
    </xf>
    <xf numFmtId="0" fontId="42" fillId="0" borderId="0" xfId="0" applyFont="1" applyAlignment="1">
      <alignment horizontal="left" vertical="center"/>
    </xf>
    <xf numFmtId="0" fontId="43" fillId="0" borderId="0" xfId="5" applyFont="1" applyAlignment="1">
      <alignment vertical="center"/>
    </xf>
    <xf numFmtId="0" fontId="46" fillId="0" borderId="0" xfId="7" applyFont="1" applyAlignment="1">
      <alignment horizontal="left" vertical="center"/>
    </xf>
    <xf numFmtId="0" fontId="46" fillId="0" borderId="0" xfId="7" applyFont="1" applyAlignment="1">
      <alignment vertical="center"/>
    </xf>
    <xf numFmtId="0" fontId="45" fillId="0" borderId="0" xfId="0" applyFont="1"/>
    <xf numFmtId="0" fontId="49" fillId="0" borderId="0" xfId="2" applyFont="1" applyAlignment="1">
      <alignment horizontal="left" vertical="center" wrapText="1"/>
    </xf>
    <xf numFmtId="0" fontId="48" fillId="0" borderId="0" xfId="0" applyFont="1" applyAlignment="1">
      <alignment horizontal="center" vertical="center"/>
    </xf>
    <xf numFmtId="0" fontId="50" fillId="0" borderId="0" xfId="0" applyFont="1" applyAlignment="1">
      <alignment horizontal="left" vertical="center" wrapText="1"/>
    </xf>
    <xf numFmtId="0" fontId="52" fillId="0" borderId="0" xfId="0" applyFont="1" applyAlignment="1">
      <alignment horizontal="center" vertical="center"/>
    </xf>
    <xf numFmtId="0" fontId="53" fillId="0" borderId="0" xfId="0" applyFont="1" applyAlignment="1">
      <alignment vertical="center"/>
    </xf>
    <xf numFmtId="0" fontId="53" fillId="0" borderId="0" xfId="0" applyFont="1" applyAlignment="1">
      <alignment horizontal="left" vertical="center"/>
    </xf>
    <xf numFmtId="0" fontId="53" fillId="0" borderId="0" xfId="0" applyFont="1" applyAlignment="1">
      <alignment horizontal="right" vertical="center"/>
    </xf>
    <xf numFmtId="0" fontId="55" fillId="0" borderId="0" xfId="0" applyFont="1"/>
    <xf numFmtId="0" fontId="58" fillId="0" borderId="0" xfId="0" applyFont="1" applyAlignment="1">
      <alignment horizontal="center"/>
    </xf>
    <xf numFmtId="0" fontId="59" fillId="0" borderId="0" xfId="2" applyFont="1" applyAlignment="1">
      <alignment horizontal="right" vertical="center"/>
    </xf>
    <xf numFmtId="10" fontId="58" fillId="0" borderId="0" xfId="0" applyNumberFormat="1" applyFont="1"/>
    <xf numFmtId="0" fontId="60" fillId="0" borderId="0" xfId="2" applyFont="1" applyAlignment="1">
      <alignment horizontal="center" vertical="center"/>
    </xf>
    <xf numFmtId="0" fontId="59" fillId="0" borderId="0" xfId="2" applyFont="1" applyAlignment="1">
      <alignment vertical="center"/>
    </xf>
    <xf numFmtId="0" fontId="59" fillId="0" borderId="0" xfId="2" applyFont="1" applyAlignment="1">
      <alignment horizontal="center" vertical="top" wrapText="1"/>
    </xf>
    <xf numFmtId="44" fontId="58" fillId="0" borderId="0" xfId="1" applyFont="1" applyAlignment="1"/>
    <xf numFmtId="0" fontId="59" fillId="0" borderId="0" xfId="2" applyFont="1" applyAlignment="1">
      <alignment horizontal="right"/>
    </xf>
    <xf numFmtId="44" fontId="58" fillId="0" borderId="6" xfId="1" applyFont="1" applyBorder="1" applyAlignment="1"/>
    <xf numFmtId="0" fontId="61" fillId="0" borderId="0" xfId="2" applyFont="1" applyAlignment="1">
      <alignment horizontal="left" vertical="center" wrapText="1"/>
    </xf>
    <xf numFmtId="0" fontId="63" fillId="0" borderId="0" xfId="2" applyFont="1" applyAlignment="1">
      <alignment horizontal="left" vertical="center" wrapText="1"/>
    </xf>
    <xf numFmtId="0" fontId="55" fillId="22" borderId="4" xfId="0" applyFont="1" applyFill="1" applyBorder="1" applyAlignment="1">
      <alignment horizontal="center"/>
    </xf>
    <xf numFmtId="0" fontId="55" fillId="22" borderId="4" xfId="1" applyNumberFormat="1" applyFont="1" applyFill="1" applyBorder="1" applyAlignment="1">
      <alignment horizontal="center" vertical="center"/>
    </xf>
    <xf numFmtId="44" fontId="55" fillId="22" borderId="4" xfId="1" applyFont="1" applyFill="1" applyBorder="1" applyAlignment="1">
      <alignment horizontal="left" vertical="center"/>
    </xf>
    <xf numFmtId="44" fontId="55" fillId="22" borderId="4" xfId="2" applyNumberFormat="1" applyFont="1" applyFill="1" applyBorder="1" applyAlignment="1">
      <alignment horizontal="left" vertical="center"/>
    </xf>
    <xf numFmtId="0" fontId="55" fillId="0" borderId="4" xfId="0" applyFont="1" applyBorder="1" applyAlignment="1">
      <alignment horizontal="center"/>
    </xf>
    <xf numFmtId="0" fontId="55" fillId="2" borderId="4" xfId="1" applyNumberFormat="1" applyFont="1" applyFill="1" applyBorder="1" applyAlignment="1">
      <alignment horizontal="center" vertical="center"/>
    </xf>
    <xf numFmtId="44" fontId="55" fillId="2" borderId="4" xfId="1" applyFont="1" applyFill="1" applyBorder="1" applyAlignment="1">
      <alignment horizontal="left" vertical="center"/>
    </xf>
    <xf numFmtId="44" fontId="55" fillId="2" borderId="4" xfId="2" applyNumberFormat="1" applyFont="1" applyFill="1" applyBorder="1" applyAlignment="1">
      <alignment horizontal="left" vertical="center"/>
    </xf>
    <xf numFmtId="0" fontId="55" fillId="0" borderId="15" xfId="0" applyFont="1" applyBorder="1" applyAlignment="1">
      <alignment horizontal="center"/>
    </xf>
    <xf numFmtId="0" fontId="55" fillId="2" borderId="15" xfId="1" applyNumberFormat="1" applyFont="1" applyFill="1" applyBorder="1" applyAlignment="1">
      <alignment horizontal="center" vertical="center"/>
    </xf>
    <xf numFmtId="44" fontId="55" fillId="2" borderId="15" xfId="1" applyFont="1" applyFill="1" applyBorder="1" applyAlignment="1">
      <alignment horizontal="left" vertical="center"/>
    </xf>
    <xf numFmtId="0" fontId="55" fillId="22" borderId="15" xfId="0" applyFont="1" applyFill="1" applyBorder="1" applyAlignment="1">
      <alignment horizontal="center"/>
    </xf>
    <xf numFmtId="0" fontId="55" fillId="22" borderId="7" xfId="2" applyFont="1" applyFill="1" applyBorder="1" applyAlignment="1">
      <alignment horizontal="left" vertical="center"/>
    </xf>
    <xf numFmtId="0" fontId="55" fillId="22" borderId="8" xfId="2" applyFont="1" applyFill="1" applyBorder="1" applyAlignment="1">
      <alignment horizontal="left" vertical="center"/>
    </xf>
    <xf numFmtId="0" fontId="55" fillId="22" borderId="9" xfId="2" applyFont="1" applyFill="1" applyBorder="1" applyAlignment="1">
      <alignment horizontal="left" vertical="center"/>
    </xf>
    <xf numFmtId="44" fontId="55" fillId="22" borderId="15" xfId="1" applyFont="1" applyFill="1" applyBorder="1" applyAlignment="1">
      <alignment horizontal="left" vertical="center"/>
    </xf>
    <xf numFmtId="44" fontId="55" fillId="22" borderId="15" xfId="2" applyNumberFormat="1" applyFont="1" applyFill="1" applyBorder="1" applyAlignment="1">
      <alignment horizontal="left" vertical="center"/>
    </xf>
    <xf numFmtId="0" fontId="55" fillId="22" borderId="15" xfId="1" applyNumberFormat="1" applyFont="1" applyFill="1" applyBorder="1" applyAlignment="1">
      <alignment horizontal="center" vertical="center"/>
    </xf>
    <xf numFmtId="0" fontId="55" fillId="0" borderId="4" xfId="0" applyFont="1" applyBorder="1" applyAlignment="1">
      <alignment horizontal="center" vertical="center"/>
    </xf>
    <xf numFmtId="0" fontId="66" fillId="13" borderId="4" xfId="2" applyFont="1" applyFill="1" applyBorder="1" applyAlignment="1">
      <alignment horizontal="center" vertical="center" wrapText="1"/>
    </xf>
    <xf numFmtId="14" fontId="53" fillId="0" borderId="0" xfId="0" applyNumberFormat="1" applyFont="1" applyAlignment="1">
      <alignment horizontal="left" vertical="center"/>
    </xf>
    <xf numFmtId="0" fontId="20" fillId="0" borderId="0" xfId="3" applyFont="1" applyFill="1" applyBorder="1" applyAlignment="1">
      <alignment vertical="center"/>
    </xf>
    <xf numFmtId="0" fontId="51" fillId="0" borderId="0" xfId="3" applyFont="1" applyFill="1" applyBorder="1" applyAlignment="1">
      <alignment horizontal="center" vertical="center"/>
    </xf>
    <xf numFmtId="0" fontId="47" fillId="0" borderId="0" xfId="4" applyFont="1" applyFill="1" applyBorder="1" applyAlignment="1">
      <alignment horizontal="center" vertical="center"/>
    </xf>
    <xf numFmtId="0" fontId="66" fillId="0" borderId="0" xfId="2" applyFont="1" applyAlignment="1">
      <alignment horizontal="center" vertical="center" wrapText="1"/>
    </xf>
    <xf numFmtId="44" fontId="55" fillId="0" borderId="0" xfId="2" applyNumberFormat="1" applyFont="1" applyAlignment="1">
      <alignment horizontal="left" vertical="center"/>
    </xf>
    <xf numFmtId="44" fontId="64" fillId="0" borderId="0" xfId="2" applyNumberFormat="1" applyFont="1" applyAlignment="1">
      <alignment horizontal="left" vertical="center"/>
    </xf>
    <xf numFmtId="0" fontId="54" fillId="0" borderId="0" xfId="2" applyFont="1" applyAlignment="1">
      <alignment horizontal="center" vertical="center" wrapText="1"/>
    </xf>
    <xf numFmtId="44" fontId="58" fillId="0" borderId="0" xfId="2" applyNumberFormat="1" applyFont="1"/>
    <xf numFmtId="44" fontId="58" fillId="0" borderId="0" xfId="1" applyFont="1" applyFill="1" applyAlignment="1"/>
    <xf numFmtId="44" fontId="58" fillId="0" borderId="0" xfId="1" applyFont="1" applyFill="1" applyBorder="1" applyAlignment="1"/>
    <xf numFmtId="0" fontId="64" fillId="0" borderId="0" xfId="2" applyFont="1" applyAlignment="1">
      <alignment horizontal="center" vertical="center" wrapText="1"/>
    </xf>
    <xf numFmtId="0" fontId="62" fillId="0" borderId="0" xfId="2" applyFont="1" applyAlignment="1">
      <alignment horizontal="center" vertical="center" wrapText="1"/>
    </xf>
    <xf numFmtId="0" fontId="65" fillId="0" borderId="0" xfId="0" applyFont="1" applyAlignment="1">
      <alignment horizontal="center" vertical="center" wrapText="1"/>
    </xf>
    <xf numFmtId="0" fontId="10" fillId="0" borderId="0" xfId="2" applyFont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6" fillId="0" borderId="0" xfId="2" applyFont="1" applyAlignment="1">
      <alignment horizontal="left" vertical="center"/>
    </xf>
    <xf numFmtId="44" fontId="55" fillId="5" borderId="2" xfId="1" applyFont="1" applyFill="1" applyBorder="1" applyAlignment="1">
      <alignment horizontal="center" vertical="center"/>
    </xf>
    <xf numFmtId="0" fontId="55" fillId="5" borderId="2" xfId="2" applyFont="1" applyFill="1" applyBorder="1" applyAlignment="1">
      <alignment horizontal="center" vertical="center"/>
    </xf>
    <xf numFmtId="44" fontId="64" fillId="5" borderId="4" xfId="2" applyNumberFormat="1" applyFont="1" applyFill="1" applyBorder="1" applyAlignment="1">
      <alignment horizontal="left" vertical="center"/>
    </xf>
    <xf numFmtId="0" fontId="68" fillId="0" borderId="0" xfId="2" applyFont="1" applyAlignment="1">
      <alignment horizontal="left" vertical="center"/>
    </xf>
    <xf numFmtId="0" fontId="68" fillId="0" borderId="5" xfId="2" applyFont="1" applyBorder="1" applyAlignment="1">
      <alignment horizontal="left"/>
    </xf>
    <xf numFmtId="0" fontId="68" fillId="0" borderId="5" xfId="2" applyFont="1" applyBorder="1" applyAlignment="1">
      <alignment horizontal="center"/>
    </xf>
    <xf numFmtId="0" fontId="69" fillId="0" borderId="0" xfId="2" applyFont="1" applyAlignment="1">
      <alignment horizontal="left" vertical="center"/>
    </xf>
    <xf numFmtId="0" fontId="68" fillId="0" borderId="5" xfId="2" applyFont="1" applyBorder="1" applyAlignment="1">
      <alignment horizontal="right"/>
    </xf>
    <xf numFmtId="0" fontId="57" fillId="0" borderId="0" xfId="2" applyFont="1" applyAlignment="1">
      <alignment horizontal="right"/>
    </xf>
    <xf numFmtId="0" fontId="47" fillId="0" borderId="0" xfId="4" applyFont="1" applyBorder="1" applyAlignment="1">
      <alignment vertical="center"/>
    </xf>
    <xf numFmtId="0" fontId="48" fillId="0" borderId="0" xfId="0" applyFont="1" applyAlignment="1">
      <alignment vertical="center"/>
    </xf>
    <xf numFmtId="14" fontId="38" fillId="7" borderId="0" xfId="0" applyNumberFormat="1" applyFont="1" applyFill="1" applyAlignment="1">
      <alignment horizontal="right"/>
    </xf>
    <xf numFmtId="0" fontId="19" fillId="0" borderId="0" xfId="7" applyAlignment="1">
      <alignment horizontal="left" vertical="center"/>
    </xf>
    <xf numFmtId="8" fontId="0" fillId="0" borderId="0" xfId="0" applyNumberFormat="1"/>
    <xf numFmtId="0" fontId="0" fillId="9" borderId="4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4" fillId="5" borderId="4" xfId="0" applyFont="1" applyFill="1" applyBorder="1" applyAlignment="1">
      <alignment horizontal="left" vertical="center"/>
    </xf>
    <xf numFmtId="0" fontId="10" fillId="23" borderId="4" xfId="0" applyFont="1" applyFill="1" applyBorder="1" applyAlignment="1">
      <alignment horizontal="center" vertical="center"/>
    </xf>
    <xf numFmtId="0" fontId="33" fillId="23" borderId="0" xfId="0" applyFont="1" applyFill="1" applyAlignment="1">
      <alignment horizontal="center" vertical="center"/>
    </xf>
    <xf numFmtId="164" fontId="25" fillId="8" borderId="0" xfId="1" applyNumberFormat="1" applyFont="1" applyFill="1" applyBorder="1" applyAlignment="1" applyProtection="1">
      <alignment horizontal="center" vertical="center"/>
    </xf>
    <xf numFmtId="164" fontId="72" fillId="8" borderId="0" xfId="0" applyNumberFormat="1" applyFont="1" applyFill="1" applyAlignment="1">
      <alignment horizontal="center" vertical="center"/>
    </xf>
    <xf numFmtId="8" fontId="25" fillId="8" borderId="0" xfId="0" applyNumberFormat="1" applyFont="1" applyFill="1" applyAlignment="1">
      <alignment horizontal="center" vertical="center"/>
    </xf>
    <xf numFmtId="164" fontId="72" fillId="8" borderId="0" xfId="1" applyNumberFormat="1" applyFont="1" applyFill="1" applyBorder="1" applyAlignment="1" applyProtection="1">
      <alignment horizontal="center" vertical="center"/>
    </xf>
    <xf numFmtId="164" fontId="25" fillId="8" borderId="0" xfId="0" applyNumberFormat="1" applyFont="1" applyFill="1" applyAlignment="1">
      <alignment horizontal="center" vertical="center"/>
    </xf>
    <xf numFmtId="165" fontId="25" fillId="8" borderId="0" xfId="0" applyNumberFormat="1" applyFont="1" applyFill="1" applyAlignment="1">
      <alignment horizontal="center" vertical="center"/>
    </xf>
    <xf numFmtId="44" fontId="33" fillId="8" borderId="0" xfId="0" applyNumberFormat="1" applyFont="1" applyFill="1" applyAlignment="1">
      <alignment vertical="center"/>
    </xf>
    <xf numFmtId="0" fontId="33" fillId="8" borderId="0" xfId="0" applyFont="1" applyFill="1" applyAlignment="1">
      <alignment vertical="center"/>
    </xf>
    <xf numFmtId="0" fontId="25" fillId="24" borderId="0" xfId="0" applyFont="1" applyFill="1" applyAlignment="1">
      <alignment horizontal="center" vertical="center"/>
    </xf>
    <xf numFmtId="0" fontId="73" fillId="24" borderId="0" xfId="0" applyFont="1" applyFill="1" applyAlignment="1">
      <alignment horizontal="center" vertical="center"/>
    </xf>
    <xf numFmtId="0" fontId="33" fillId="24" borderId="0" xfId="0" applyFont="1" applyFill="1" applyAlignment="1">
      <alignment vertical="center"/>
    </xf>
    <xf numFmtId="0" fontId="25" fillId="2" borderId="0" xfId="0" applyFont="1" applyFill="1" applyAlignment="1">
      <alignment horizontal="center" vertical="center"/>
    </xf>
    <xf numFmtId="164" fontId="25" fillId="2" borderId="0" xfId="0" applyNumberFormat="1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44" fontId="74" fillId="0" borderId="0" xfId="1" applyFont="1" applyFill="1" applyBorder="1" applyAlignment="1" applyProtection="1">
      <alignment horizontal="center" vertical="center"/>
    </xf>
    <xf numFmtId="14" fontId="75" fillId="2" borderId="0" xfId="0" applyNumberFormat="1" applyFont="1" applyFill="1" applyAlignment="1">
      <alignment horizontal="center" vertical="center"/>
    </xf>
    <xf numFmtId="0" fontId="76" fillId="2" borderId="0" xfId="0" applyFont="1" applyFill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7" borderId="4" xfId="0" applyFill="1" applyBorder="1" applyAlignment="1">
      <alignment horizontal="center" vertical="center"/>
    </xf>
    <xf numFmtId="44" fontId="0" fillId="18" borderId="0" xfId="1" applyFont="1" applyFill="1" applyBorder="1" applyAlignment="1">
      <alignment horizontal="center"/>
    </xf>
    <xf numFmtId="16" fontId="0" fillId="18" borderId="0" xfId="0" applyNumberFormat="1" applyFill="1" applyAlignment="1">
      <alignment horizontal="center"/>
    </xf>
    <xf numFmtId="0" fontId="77" fillId="18" borderId="0" xfId="0" applyFont="1" applyFill="1"/>
    <xf numFmtId="1" fontId="39" fillId="2" borderId="4" xfId="1" applyNumberFormat="1" applyFont="1" applyFill="1" applyBorder="1" applyAlignment="1">
      <alignment horizontal="center"/>
    </xf>
    <xf numFmtId="0" fontId="44" fillId="0" borderId="0" xfId="7" applyNumberFormat="1" applyFont="1" applyAlignment="1">
      <alignment horizontal="left" vertical="center"/>
    </xf>
    <xf numFmtId="0" fontId="55" fillId="0" borderId="1" xfId="0" applyFont="1" applyBorder="1" applyAlignment="1">
      <alignment horizontal="center"/>
    </xf>
    <xf numFmtId="0" fontId="55" fillId="22" borderId="7" xfId="0" applyFont="1" applyFill="1" applyBorder="1" applyAlignment="1">
      <alignment horizontal="center"/>
    </xf>
    <xf numFmtId="0" fontId="55" fillId="0" borderId="7" xfId="0" applyFont="1" applyBorder="1" applyAlignment="1">
      <alignment horizontal="center"/>
    </xf>
    <xf numFmtId="0" fontId="55" fillId="22" borderId="1" xfId="0" applyFont="1" applyFill="1" applyBorder="1" applyAlignment="1">
      <alignment horizontal="center"/>
    </xf>
    <xf numFmtId="0" fontId="55" fillId="0" borderId="1" xfId="0" applyFont="1" applyBorder="1" applyAlignment="1">
      <alignment horizontal="center" vertical="center"/>
    </xf>
    <xf numFmtId="0" fontId="35" fillId="13" borderId="15" xfId="0" applyFont="1" applyFill="1" applyBorder="1" applyAlignment="1">
      <alignment horizontal="center"/>
    </xf>
    <xf numFmtId="44" fontId="41" fillId="13" borderId="15" xfId="0" applyNumberFormat="1" applyFont="1" applyFill="1" applyBorder="1"/>
    <xf numFmtId="0" fontId="0" fillId="2" borderId="0" xfId="1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68" fontId="39" fillId="2" borderId="4" xfId="10" applyNumberFormat="1" applyFont="1" applyFill="1" applyBorder="1" applyAlignment="1">
      <alignment horizontal="center"/>
    </xf>
    <xf numFmtId="44" fontId="0" fillId="5" borderId="4" xfId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18" borderId="0" xfId="1" applyNumberFormat="1" applyFont="1" applyFill="1" applyBorder="1" applyAlignment="1">
      <alignment horizontal="center" vertical="center"/>
    </xf>
    <xf numFmtId="0" fontId="36" fillId="18" borderId="0" xfId="1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1" applyNumberFormat="1" applyFont="1" applyFill="1" applyBorder="1" applyAlignment="1">
      <alignment horizontal="center"/>
    </xf>
    <xf numFmtId="0" fontId="55" fillId="2" borderId="1" xfId="2" applyFont="1" applyFill="1" applyBorder="1" applyAlignment="1">
      <alignment horizontal="left" vertical="center"/>
    </xf>
    <xf numFmtId="0" fontId="55" fillId="2" borderId="2" xfId="2" applyFont="1" applyFill="1" applyBorder="1" applyAlignment="1">
      <alignment horizontal="left" vertical="center"/>
    </xf>
    <xf numFmtId="0" fontId="55" fillId="2" borderId="3" xfId="2" applyFont="1" applyFill="1" applyBorder="1" applyAlignment="1">
      <alignment horizontal="left" vertical="center"/>
    </xf>
    <xf numFmtId="0" fontId="0" fillId="5" borderId="4" xfId="0" applyFill="1" applyBorder="1"/>
    <xf numFmtId="0" fontId="0" fillId="3" borderId="0" xfId="0" applyFill="1"/>
    <xf numFmtId="0" fontId="0" fillId="25" borderId="0" xfId="0" applyFill="1"/>
    <xf numFmtId="0" fontId="55" fillId="22" borderId="4" xfId="0" applyFont="1" applyFill="1" applyBorder="1" applyAlignment="1">
      <alignment horizontal="center" vertical="center"/>
    </xf>
    <xf numFmtId="0" fontId="55" fillId="22" borderId="1" xfId="0" applyFont="1" applyFill="1" applyBorder="1" applyAlignment="1">
      <alignment horizontal="center" vertical="center"/>
    </xf>
    <xf numFmtId="0" fontId="55" fillId="22" borderId="15" xfId="0" applyFont="1" applyFill="1" applyBorder="1" applyAlignment="1">
      <alignment horizontal="center" vertical="center"/>
    </xf>
    <xf numFmtId="0" fontId="55" fillId="22" borderId="7" xfId="0" applyFont="1" applyFill="1" applyBorder="1" applyAlignment="1">
      <alignment horizontal="center" vertical="center"/>
    </xf>
    <xf numFmtId="44" fontId="55" fillId="22" borderId="15" xfId="1" applyFont="1" applyFill="1" applyBorder="1" applyAlignment="1">
      <alignment horizontal="center" vertical="center"/>
    </xf>
    <xf numFmtId="0" fontId="0" fillId="7" borderId="0" xfId="0" applyFill="1"/>
    <xf numFmtId="44" fontId="0" fillId="7" borderId="0" xfId="0" applyNumberFormat="1" applyFill="1"/>
    <xf numFmtId="0" fontId="55" fillId="2" borderId="4" xfId="0" applyFont="1" applyFill="1" applyBorder="1" applyAlignment="1">
      <alignment horizontal="center"/>
    </xf>
    <xf numFmtId="0" fontId="55" fillId="2" borderId="1" xfId="0" applyFont="1" applyFill="1" applyBorder="1" applyAlignment="1">
      <alignment horizontal="center"/>
    </xf>
    <xf numFmtId="0" fontId="55" fillId="2" borderId="15" xfId="0" applyFont="1" applyFill="1" applyBorder="1" applyAlignment="1">
      <alignment horizontal="center"/>
    </xf>
    <xf numFmtId="0" fontId="55" fillId="2" borderId="7" xfId="0" applyFont="1" applyFill="1" applyBorder="1" applyAlignment="1">
      <alignment horizontal="center"/>
    </xf>
    <xf numFmtId="0" fontId="55" fillId="2" borderId="7" xfId="2" applyFont="1" applyFill="1" applyBorder="1" applyAlignment="1">
      <alignment horizontal="left" vertical="center"/>
    </xf>
    <xf numFmtId="0" fontId="55" fillId="2" borderId="8" xfId="2" applyFont="1" applyFill="1" applyBorder="1" applyAlignment="1">
      <alignment horizontal="left" vertical="center"/>
    </xf>
    <xf numFmtId="0" fontId="55" fillId="2" borderId="9" xfId="2" applyFont="1" applyFill="1" applyBorder="1" applyAlignment="1">
      <alignment horizontal="left" vertical="center"/>
    </xf>
    <xf numFmtId="0" fontId="52" fillId="0" borderId="0" xfId="0" applyFont="1" applyAlignment="1">
      <alignment horizontal="center" vertical="center"/>
    </xf>
    <xf numFmtId="0" fontId="66" fillId="13" borderId="4" xfId="2" applyFont="1" applyFill="1" applyBorder="1" applyAlignment="1">
      <alignment horizontal="center" vertical="center" wrapText="1"/>
    </xf>
    <xf numFmtId="44" fontId="55" fillId="5" borderId="1" xfId="1" applyFont="1" applyFill="1" applyBorder="1" applyAlignment="1">
      <alignment horizontal="center" vertical="center"/>
    </xf>
    <xf numFmtId="44" fontId="55" fillId="5" borderId="2" xfId="1" applyFont="1" applyFill="1" applyBorder="1" applyAlignment="1">
      <alignment horizontal="center" vertical="center"/>
    </xf>
    <xf numFmtId="0" fontId="55" fillId="22" borderId="1" xfId="2" applyFont="1" applyFill="1" applyBorder="1" applyAlignment="1">
      <alignment horizontal="left" vertical="center"/>
    </xf>
    <xf numFmtId="0" fontId="55" fillId="22" borderId="2" xfId="2" applyFont="1" applyFill="1" applyBorder="1" applyAlignment="1">
      <alignment horizontal="left" vertical="center"/>
    </xf>
    <xf numFmtId="0" fontId="55" fillId="22" borderId="3" xfId="2" applyFont="1" applyFill="1" applyBorder="1" applyAlignment="1">
      <alignment horizontal="left" vertical="center"/>
    </xf>
    <xf numFmtId="0" fontId="55" fillId="2" borderId="1" xfId="2" applyFont="1" applyFill="1" applyBorder="1" applyAlignment="1">
      <alignment horizontal="left" vertical="center"/>
    </xf>
    <xf numFmtId="0" fontId="55" fillId="2" borderId="2" xfId="2" applyFont="1" applyFill="1" applyBorder="1" applyAlignment="1">
      <alignment horizontal="left" vertical="center"/>
    </xf>
    <xf numFmtId="0" fontId="55" fillId="2" borderId="3" xfId="2" applyFont="1" applyFill="1" applyBorder="1" applyAlignment="1">
      <alignment horizontal="left" vertical="center"/>
    </xf>
    <xf numFmtId="0" fontId="50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51" fillId="0" borderId="0" xfId="3" applyFont="1" applyBorder="1" applyAlignment="1">
      <alignment horizontal="center" vertical="center"/>
    </xf>
    <xf numFmtId="0" fontId="68" fillId="0" borderId="0" xfId="2" applyFont="1" applyAlignment="1">
      <alignment horizontal="left" vertical="center"/>
    </xf>
    <xf numFmtId="0" fontId="56" fillId="0" borderId="0" xfId="2" applyFont="1" applyAlignment="1">
      <alignment horizontal="center" vertical="center" wrapText="1"/>
    </xf>
    <xf numFmtId="0" fontId="59" fillId="5" borderId="0" xfId="2" applyFont="1" applyFill="1" applyAlignment="1">
      <alignment horizontal="center" vertical="top" wrapText="1"/>
    </xf>
    <xf numFmtId="0" fontId="55" fillId="22" borderId="7" xfId="2" applyFont="1" applyFill="1" applyBorder="1" applyAlignment="1">
      <alignment horizontal="left" vertical="center"/>
    </xf>
    <xf numFmtId="0" fontId="55" fillId="22" borderId="8" xfId="2" applyFont="1" applyFill="1" applyBorder="1" applyAlignment="1">
      <alignment horizontal="left" vertical="center"/>
    </xf>
    <xf numFmtId="0" fontId="55" fillId="22" borderId="9" xfId="2" applyFont="1" applyFill="1" applyBorder="1" applyAlignment="1">
      <alignment horizontal="left" vertical="center"/>
    </xf>
    <xf numFmtId="0" fontId="69" fillId="0" borderId="0" xfId="2" applyFont="1" applyAlignment="1">
      <alignment horizontal="left" vertical="center"/>
    </xf>
    <xf numFmtId="0" fontId="67" fillId="0" borderId="0" xfId="2" applyFont="1" applyAlignment="1">
      <alignment horizontal="left" vertical="center"/>
    </xf>
    <xf numFmtId="0" fontId="78" fillId="3" borderId="7" xfId="0" applyFont="1" applyFill="1" applyBorder="1" applyAlignment="1">
      <alignment horizontal="center" vertical="center" wrapText="1"/>
    </xf>
    <xf numFmtId="0" fontId="65" fillId="3" borderId="8" xfId="0" applyFont="1" applyFill="1" applyBorder="1" applyAlignment="1">
      <alignment horizontal="center" vertical="center" wrapText="1"/>
    </xf>
    <xf numFmtId="0" fontId="65" fillId="3" borderId="9" xfId="0" applyFont="1" applyFill="1" applyBorder="1" applyAlignment="1">
      <alignment horizontal="center" vertical="center" wrapText="1"/>
    </xf>
    <xf numFmtId="0" fontId="65" fillId="3" borderId="10" xfId="0" applyFont="1" applyFill="1" applyBorder="1" applyAlignment="1">
      <alignment horizontal="center" vertical="center" wrapText="1"/>
    </xf>
    <xf numFmtId="0" fontId="65" fillId="3" borderId="11" xfId="0" applyFont="1" applyFill="1" applyBorder="1" applyAlignment="1">
      <alignment horizontal="center" vertical="center" wrapText="1"/>
    </xf>
    <xf numFmtId="0" fontId="65" fillId="3" borderId="12" xfId="0" applyFont="1" applyFill="1" applyBorder="1" applyAlignment="1">
      <alignment horizontal="center" vertical="center" wrapText="1"/>
    </xf>
    <xf numFmtId="0" fontId="64" fillId="4" borderId="1" xfId="2" applyFont="1" applyFill="1" applyBorder="1" applyAlignment="1">
      <alignment horizontal="center" vertical="center" wrapText="1"/>
    </xf>
    <xf numFmtId="0" fontId="64" fillId="4" borderId="2" xfId="2" applyFont="1" applyFill="1" applyBorder="1" applyAlignment="1">
      <alignment horizontal="center" vertical="center" wrapText="1"/>
    </xf>
    <xf numFmtId="0" fontId="64" fillId="4" borderId="3" xfId="2" applyFont="1" applyFill="1" applyBorder="1" applyAlignment="1">
      <alignment horizontal="center" vertical="center" wrapText="1"/>
    </xf>
    <xf numFmtId="0" fontId="70" fillId="0" borderId="1" xfId="2" applyFont="1" applyBorder="1" applyAlignment="1">
      <alignment horizontal="center" vertical="center" wrapText="1"/>
    </xf>
    <xf numFmtId="0" fontId="62" fillId="0" borderId="2" xfId="2" applyFont="1" applyBorder="1" applyAlignment="1">
      <alignment horizontal="center" vertical="center" wrapText="1"/>
    </xf>
    <xf numFmtId="0" fontId="62" fillId="0" borderId="3" xfId="2" applyFont="1" applyBorder="1" applyAlignment="1">
      <alignment horizontal="center" vertical="center" wrapText="1"/>
    </xf>
    <xf numFmtId="0" fontId="70" fillId="0" borderId="0" xfId="2" applyFont="1" applyAlignment="1">
      <alignment horizontal="left" vertical="center" wrapText="1"/>
    </xf>
    <xf numFmtId="0" fontId="55" fillId="2" borderId="1" xfId="2" applyFont="1" applyFill="1" applyBorder="1" applyAlignment="1">
      <alignment horizontal="left" vertical="center" wrapText="1"/>
    </xf>
    <xf numFmtId="0" fontId="55" fillId="2" borderId="2" xfId="2" applyFont="1" applyFill="1" applyBorder="1" applyAlignment="1">
      <alignment horizontal="left" vertical="center" wrapText="1"/>
    </xf>
    <xf numFmtId="0" fontId="55" fillId="2" borderId="3" xfId="2" applyFont="1" applyFill="1" applyBorder="1" applyAlignment="1">
      <alignment horizontal="left" vertical="center" wrapText="1"/>
    </xf>
    <xf numFmtId="0" fontId="55" fillId="22" borderId="1" xfId="2" applyFont="1" applyFill="1" applyBorder="1" applyAlignment="1">
      <alignment horizontal="left" vertical="center" wrapText="1"/>
    </xf>
    <xf numFmtId="0" fontId="55" fillId="22" borderId="2" xfId="2" applyFont="1" applyFill="1" applyBorder="1" applyAlignment="1">
      <alignment horizontal="left" vertical="center" wrapText="1"/>
    </xf>
    <xf numFmtId="0" fontId="55" fillId="22" borderId="3" xfId="2" applyFont="1" applyFill="1" applyBorder="1" applyAlignment="1">
      <alignment horizontal="left" vertical="center" wrapText="1"/>
    </xf>
    <xf numFmtId="0" fontId="63" fillId="0" borderId="0" xfId="2" applyFont="1" applyAlignment="1">
      <alignment horizontal="center" vertical="center" wrapText="1"/>
    </xf>
    <xf numFmtId="0" fontId="39" fillId="2" borderId="1" xfId="0" applyFont="1" applyFill="1" applyBorder="1" applyAlignment="1">
      <alignment horizontal="center"/>
    </xf>
    <xf numFmtId="0" fontId="39" fillId="2" borderId="3" xfId="0" applyFont="1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8" fillId="0" borderId="0" xfId="2" applyFont="1" applyAlignment="1">
      <alignment horizontal="left" vertical="center" wrapText="1"/>
    </xf>
    <xf numFmtId="0" fontId="9" fillId="4" borderId="1" xfId="2" applyFont="1" applyFill="1" applyBorder="1" applyAlignment="1">
      <alignment horizontal="center" vertical="center" wrapText="1"/>
    </xf>
    <xf numFmtId="0" fontId="9" fillId="4" borderId="2" xfId="2" applyFont="1" applyFill="1" applyBorder="1" applyAlignment="1">
      <alignment horizontal="center" vertical="center" wrapText="1"/>
    </xf>
    <xf numFmtId="0" fontId="9" fillId="4" borderId="3" xfId="2" applyFont="1" applyFill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2" fillId="5" borderId="0" xfId="0" applyFont="1" applyFill="1" applyAlignment="1">
      <alignment horizontal="left" vertical="center"/>
    </xf>
    <xf numFmtId="0" fontId="15" fillId="5" borderId="0" xfId="0" applyFont="1" applyFill="1" applyAlignment="1">
      <alignment horizontal="left" vertical="center"/>
    </xf>
  </cellXfs>
  <cellStyles count="11">
    <cellStyle name="Comma" xfId="10" builtinId="3"/>
    <cellStyle name="Currency" xfId="1" builtinId="4"/>
    <cellStyle name="Currency 2" xfId="8" xr:uid="{86AF43B5-B875-4E99-ABC8-149B9DDCFA2D}"/>
    <cellStyle name="Date" xfId="6" xr:uid="{2C6F249C-D7FE-41F1-B755-2835B19EC3D2}"/>
    <cellStyle name="Date label" xfId="5" xr:uid="{F432FF08-2096-441F-8918-223F89C62839}"/>
    <cellStyle name="Heading 2" xfId="3" builtinId="17"/>
    <cellStyle name="Heading 3" xfId="4" builtinId="18"/>
    <cellStyle name="Hyperlink" xfId="7" builtinId="8"/>
    <cellStyle name="Normal" xfId="0" builtinId="0"/>
    <cellStyle name="Normal 3" xfId="2" xr:uid="{0F6190FC-D570-480A-B816-E698898BEA49}"/>
    <cellStyle name="Percent" xfId="9" builtinId="5"/>
  </cellStyles>
  <dxfs count="18">
    <dxf>
      <font>
        <b/>
        <i val="0"/>
        <color rgb="FFFFFF00"/>
      </font>
      <fill>
        <patternFill>
          <bgColor rgb="FFC00000"/>
        </patternFill>
      </fill>
    </dxf>
    <dxf>
      <font>
        <b/>
        <i val="0"/>
        <color rgb="FFFFFF00"/>
      </font>
      <fill>
        <patternFill>
          <bgColor rgb="FFC00000"/>
        </patternFill>
      </fill>
    </dxf>
    <dxf>
      <font>
        <b/>
        <i val="0"/>
        <color rgb="FFFFFF00"/>
      </font>
      <fill>
        <patternFill>
          <bgColor rgb="FFC00000"/>
        </patternFill>
      </fill>
    </dxf>
    <dxf>
      <font>
        <b/>
        <i val="0"/>
        <color rgb="FFFFFF00"/>
      </font>
      <fill>
        <patternFill>
          <bgColor rgb="FFC00000"/>
        </patternFill>
      </fill>
    </dxf>
    <dxf>
      <font>
        <b/>
        <i val="0"/>
        <color rgb="FFFFFF00"/>
      </font>
      <fill>
        <patternFill>
          <bgColor rgb="FFC00000"/>
        </patternFill>
      </fill>
    </dxf>
    <dxf>
      <font>
        <b/>
        <i val="0"/>
        <color rgb="FFFFFF00"/>
      </font>
      <fill>
        <patternFill>
          <bgColor rgb="FFC00000"/>
        </patternFill>
      </fill>
    </dxf>
    <dxf>
      <font>
        <b/>
        <i val="0"/>
        <color rgb="FFFFFF00"/>
      </font>
      <fill>
        <patternFill>
          <bgColor rgb="FFC00000"/>
        </patternFill>
      </fill>
    </dxf>
    <dxf>
      <font>
        <b/>
        <i val="0"/>
        <strike val="0"/>
        <color rgb="FFFFFF00"/>
      </font>
      <fill>
        <patternFill>
          <bgColor rgb="FFC00000"/>
        </patternFill>
      </fill>
    </dxf>
    <dxf>
      <font>
        <b/>
        <i val="0"/>
        <strike val="0"/>
        <color theme="7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0</xdr:row>
      <xdr:rowOff>180976</xdr:rowOff>
    </xdr:from>
    <xdr:to>
      <xdr:col>5</xdr:col>
      <xdr:colOff>76200</xdr:colOff>
      <xdr:row>4</xdr:row>
      <xdr:rowOff>53494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76365A-5837-4054-8CF3-3F70243769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25000"/>
                  </a14:imgEffect>
                  <a14:imgEffect>
                    <a14:saturation sat="33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19100" y="180976"/>
          <a:ext cx="2133600" cy="10031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261795</xdr:colOff>
      <xdr:row>3</xdr:row>
      <xdr:rowOff>70890</xdr:rowOff>
    </xdr:from>
    <xdr:to>
      <xdr:col>8</xdr:col>
      <xdr:colOff>266917</xdr:colOff>
      <xdr:row>3</xdr:row>
      <xdr:rowOff>76012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1CBD0F4A-14CF-4A24-9F44-10649E442641}"/>
                </a:ext>
              </a:extLst>
            </xdr14:cNvPr>
            <xdr14:cNvContentPartPr/>
          </xdr14:nvContentPartPr>
          <xdr14:nvPr macro=""/>
          <xdr14:xfrm>
            <a:off x="9567720" y="73764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71B0FCF-ECD5-6526-3B07-D15A1B810BF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559080" y="728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Double%20Oak%20Erosion\BIDS\Price%20List\DOE%20Standard%20Pricing%20Calculator.xlsx" TargetMode="External"/><Relationship Id="rId1" Type="http://schemas.openxmlformats.org/officeDocument/2006/relationships/externalLinkPath" Target="Price%20List/DOE%20Standard%20Pricing%20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ence"/>
      <sheetName val="Hydromulch"/>
      <sheetName val="Seeding"/>
      <sheetName val="Sod"/>
    </sheetNames>
    <sheetDataSet>
      <sheetData sheetId="0">
        <row r="1">
          <cell r="B1">
            <v>45881</v>
          </cell>
        </row>
        <row r="5">
          <cell r="B5">
            <v>0.32479999999999998</v>
          </cell>
        </row>
        <row r="7">
          <cell r="B7">
            <v>0.28499999999999998</v>
          </cell>
        </row>
        <row r="8">
          <cell r="B8">
            <v>0.45</v>
          </cell>
        </row>
        <row r="9">
          <cell r="B9">
            <v>0.93</v>
          </cell>
        </row>
        <row r="10">
          <cell r="B10">
            <v>0.13</v>
          </cell>
        </row>
        <row r="11">
          <cell r="B11">
            <v>0.46</v>
          </cell>
        </row>
        <row r="12">
          <cell r="B12">
            <v>1.125</v>
          </cell>
        </row>
        <row r="13">
          <cell r="B13">
            <v>1.8</v>
          </cell>
        </row>
        <row r="14">
          <cell r="B14">
            <v>3.5</v>
          </cell>
        </row>
        <row r="15">
          <cell r="B15">
            <v>3.5</v>
          </cell>
        </row>
        <row r="16">
          <cell r="B16">
            <v>2.25</v>
          </cell>
        </row>
        <row r="17">
          <cell r="B17">
            <v>1.05</v>
          </cell>
        </row>
      </sheetData>
      <sheetData sheetId="1">
        <row r="1">
          <cell r="B1">
            <v>45881</v>
          </cell>
        </row>
        <row r="5">
          <cell r="B5">
            <v>341.98</v>
          </cell>
        </row>
        <row r="6">
          <cell r="B6">
            <v>185</v>
          </cell>
        </row>
        <row r="7">
          <cell r="B7">
            <v>268</v>
          </cell>
        </row>
        <row r="8">
          <cell r="B8">
            <v>23.88</v>
          </cell>
        </row>
        <row r="9">
          <cell r="B9">
            <v>32.5</v>
          </cell>
        </row>
        <row r="10">
          <cell r="B10">
            <v>15.6</v>
          </cell>
        </row>
        <row r="11">
          <cell r="B11">
            <v>25.51</v>
          </cell>
        </row>
        <row r="12">
          <cell r="B12">
            <v>17.12</v>
          </cell>
        </row>
        <row r="13">
          <cell r="B13">
            <v>15</v>
          </cell>
        </row>
        <row r="14">
          <cell r="B14">
            <v>14</v>
          </cell>
        </row>
        <row r="15">
          <cell r="B15">
            <v>50</v>
          </cell>
        </row>
        <row r="16">
          <cell r="B16">
            <v>20.85</v>
          </cell>
        </row>
        <row r="17">
          <cell r="B17">
            <v>13.13</v>
          </cell>
        </row>
        <row r="18">
          <cell r="B18">
            <v>32.6</v>
          </cell>
        </row>
        <row r="19">
          <cell r="B19">
            <v>15</v>
          </cell>
        </row>
        <row r="20">
          <cell r="B20">
            <v>47.47</v>
          </cell>
        </row>
        <row r="21">
          <cell r="B21">
            <v>14.5</v>
          </cell>
        </row>
        <row r="22">
          <cell r="B22">
            <v>2.6</v>
          </cell>
        </row>
      </sheetData>
      <sheetData sheetId="2">
        <row r="1">
          <cell r="B1">
            <v>45881</v>
          </cell>
        </row>
        <row r="5">
          <cell r="B5">
            <v>341.98</v>
          </cell>
        </row>
        <row r="6">
          <cell r="B6">
            <v>185</v>
          </cell>
        </row>
        <row r="7">
          <cell r="B7">
            <v>268</v>
          </cell>
        </row>
        <row r="8">
          <cell r="B8">
            <v>23.88</v>
          </cell>
        </row>
        <row r="9">
          <cell r="B9">
            <v>32.5</v>
          </cell>
        </row>
        <row r="10">
          <cell r="B10">
            <v>15.6</v>
          </cell>
        </row>
        <row r="11">
          <cell r="B11">
            <v>25.51</v>
          </cell>
        </row>
        <row r="12">
          <cell r="B12">
            <v>17.12</v>
          </cell>
        </row>
        <row r="13">
          <cell r="B13">
            <v>15</v>
          </cell>
        </row>
        <row r="14">
          <cell r="B14">
            <v>14</v>
          </cell>
        </row>
        <row r="15">
          <cell r="B15">
            <v>50</v>
          </cell>
        </row>
        <row r="16">
          <cell r="B16">
            <v>20.85</v>
          </cell>
        </row>
        <row r="17">
          <cell r="B17">
            <v>13.13</v>
          </cell>
        </row>
        <row r="18">
          <cell r="B18">
            <v>32.6</v>
          </cell>
        </row>
        <row r="19">
          <cell r="B19">
            <v>15</v>
          </cell>
        </row>
        <row r="20">
          <cell r="B20">
            <v>47.47</v>
          </cell>
        </row>
        <row r="21">
          <cell r="B21">
            <v>14.5</v>
          </cell>
        </row>
      </sheetData>
      <sheetData sheetId="3">
        <row r="23">
          <cell r="B23">
            <v>42.94</v>
          </cell>
        </row>
      </sheetData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9T20:43:48.1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1 0 24831</inkml:trace>
</inkml: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king@doubleoakinc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F561F-1E98-4640-889A-15BF7865FDF2}">
  <sheetPr>
    <pageSetUpPr fitToPage="1"/>
  </sheetPr>
  <dimension ref="B2:Q70"/>
  <sheetViews>
    <sheetView topLeftCell="A4" zoomScaleNormal="100" workbookViewId="0">
      <selection activeCell="D30" sqref="D30"/>
    </sheetView>
  </sheetViews>
  <sheetFormatPr defaultRowHeight="14.4" x14ac:dyDescent="0.3"/>
  <cols>
    <col min="1" max="1" width="3.33203125" customWidth="1"/>
    <col min="2" max="2" width="10.88671875" customWidth="1"/>
    <col min="3" max="3" width="8.44140625" customWidth="1"/>
    <col min="4" max="4" width="5.44140625" customWidth="1"/>
    <col min="7" max="7" width="33.33203125" customWidth="1"/>
    <col min="8" max="8" width="6.33203125" customWidth="1"/>
    <col min="9" max="9" width="13.33203125" customWidth="1"/>
    <col min="10" max="10" width="18.33203125" customWidth="1"/>
    <col min="11" max="11" width="3.33203125" customWidth="1"/>
    <col min="12" max="12" width="16.5546875" hidden="1" customWidth="1"/>
    <col min="13" max="15" width="11.5546875" hidden="1" customWidth="1"/>
    <col min="16" max="16" width="8.88671875" hidden="1" customWidth="1"/>
    <col min="17" max="17" width="11.88671875" customWidth="1"/>
  </cols>
  <sheetData>
    <row r="2" spans="2:15" ht="20.100000000000001" customHeight="1" x14ac:dyDescent="0.3">
      <c r="I2" s="125"/>
      <c r="J2" s="125"/>
      <c r="K2" s="171"/>
    </row>
    <row r="3" spans="2:15" ht="38.4" x14ac:dyDescent="0.3">
      <c r="G3" s="271" t="s">
        <v>22</v>
      </c>
      <c r="H3" s="271"/>
      <c r="I3" s="271"/>
      <c r="J3" s="271"/>
      <c r="K3" s="1"/>
    </row>
    <row r="4" spans="2:15" ht="17.25" customHeight="1" x14ac:dyDescent="0.3">
      <c r="G4" s="283" t="s">
        <v>344</v>
      </c>
      <c r="H4" s="283"/>
      <c r="I4" s="283"/>
      <c r="J4" s="283"/>
      <c r="K4" s="134"/>
    </row>
    <row r="5" spans="2:15" ht="14.25" customHeight="1" x14ac:dyDescent="0.3">
      <c r="C5" s="124"/>
      <c r="D5" s="124"/>
      <c r="E5" s="124"/>
      <c r="F5" s="124"/>
      <c r="G5" s="283"/>
      <c r="H5" s="283"/>
      <c r="I5" s="283"/>
      <c r="J5" s="283"/>
      <c r="K5" s="172"/>
    </row>
    <row r="6" spans="2:15" ht="14.25" customHeight="1" x14ac:dyDescent="0.3">
      <c r="B6" s="135" t="s">
        <v>28</v>
      </c>
      <c r="C6" s="126"/>
      <c r="D6" s="126"/>
      <c r="E6" s="126"/>
      <c r="F6" s="126"/>
      <c r="G6" s="126"/>
      <c r="H6" s="127"/>
      <c r="I6" s="127"/>
      <c r="J6" s="127"/>
      <c r="K6" s="127"/>
    </row>
    <row r="7" spans="2:15" ht="14.25" customHeight="1" x14ac:dyDescent="0.3">
      <c r="B7" s="136" t="s">
        <v>33</v>
      </c>
      <c r="C7" s="233"/>
      <c r="D7" s="126"/>
      <c r="E7" s="126"/>
      <c r="F7" s="126"/>
      <c r="G7" s="126"/>
      <c r="H7" s="127"/>
      <c r="I7" s="137" t="s">
        <v>32</v>
      </c>
      <c r="J7" s="170">
        <f ca="1">TODAY()</f>
        <v>45903</v>
      </c>
      <c r="K7" s="170"/>
    </row>
    <row r="8" spans="2:15" ht="14.25" customHeight="1" x14ac:dyDescent="0.3">
      <c r="B8" s="199" t="s">
        <v>278</v>
      </c>
      <c r="C8" s="233"/>
      <c r="D8" s="128"/>
      <c r="E8" s="128"/>
      <c r="F8" s="128"/>
      <c r="G8" s="129"/>
      <c r="H8" s="196"/>
      <c r="I8" s="196"/>
      <c r="J8" s="196"/>
      <c r="K8" s="173"/>
    </row>
    <row r="9" spans="2:15" ht="6.75" customHeight="1" x14ac:dyDescent="0.3">
      <c r="B9" s="130"/>
      <c r="C9" s="130"/>
      <c r="D9" s="130"/>
      <c r="E9" s="130"/>
      <c r="F9" s="130"/>
      <c r="G9" s="130"/>
      <c r="H9" s="197"/>
      <c r="I9" s="197"/>
      <c r="J9" s="197"/>
      <c r="K9" s="132"/>
    </row>
    <row r="10" spans="2:15" ht="3.75" customHeight="1" x14ac:dyDescent="0.3">
      <c r="B10" s="131"/>
      <c r="C10" s="131"/>
      <c r="D10" s="131"/>
      <c r="E10" s="131"/>
      <c r="F10" s="131"/>
      <c r="G10" s="131"/>
      <c r="H10" s="132"/>
      <c r="I10" s="132"/>
      <c r="J10" s="132"/>
      <c r="K10" s="132"/>
    </row>
    <row r="11" spans="2:15" s="2" customFormat="1" ht="25.5" customHeight="1" x14ac:dyDescent="0.3">
      <c r="B11" s="281" t="s">
        <v>434</v>
      </c>
      <c r="C11" s="281"/>
      <c r="D11" s="281"/>
      <c r="E11" s="281"/>
      <c r="F11" s="281"/>
      <c r="G11" s="281"/>
      <c r="H11" s="281"/>
      <c r="I11" s="281"/>
      <c r="J11" s="281"/>
      <c r="K11" s="133"/>
    </row>
    <row r="12" spans="2:15" s="3" customFormat="1" ht="23.25" customHeight="1" x14ac:dyDescent="0.3">
      <c r="B12" s="282"/>
      <c r="C12" s="282"/>
      <c r="D12" s="282"/>
      <c r="E12" s="282"/>
      <c r="F12" s="282"/>
      <c r="G12" s="282"/>
      <c r="H12" s="282"/>
      <c r="I12" s="282"/>
      <c r="J12" s="282"/>
      <c r="K12" s="123"/>
    </row>
    <row r="13" spans="2:15" s="1" customFormat="1" ht="18" customHeight="1" x14ac:dyDescent="0.3">
      <c r="B13" s="169" t="s">
        <v>242</v>
      </c>
      <c r="C13" s="169" t="s">
        <v>0</v>
      </c>
      <c r="D13" s="272" t="s">
        <v>431</v>
      </c>
      <c r="E13" s="272"/>
      <c r="F13" s="272"/>
      <c r="G13" s="272"/>
      <c r="H13" s="169" t="s">
        <v>1</v>
      </c>
      <c r="I13" s="169" t="s">
        <v>2</v>
      </c>
      <c r="J13" s="169" t="s">
        <v>3</v>
      </c>
      <c r="K13" s="174"/>
      <c r="L13" s="110" t="s">
        <v>241</v>
      </c>
      <c r="M13" s="109" t="s">
        <v>198</v>
      </c>
      <c r="N13" s="109" t="s">
        <v>205</v>
      </c>
    </row>
    <row r="14" spans="2:15" ht="17.100000000000001" customHeight="1" x14ac:dyDescent="0.3">
      <c r="B14" s="150"/>
      <c r="C14" s="150">
        <v>2000</v>
      </c>
      <c r="D14" s="275" t="s">
        <v>435</v>
      </c>
      <c r="E14" s="276"/>
      <c r="F14" s="276"/>
      <c r="G14" s="277"/>
      <c r="H14" s="151" t="s">
        <v>8</v>
      </c>
      <c r="I14" s="152">
        <f>'Fence Calc'!E21</f>
        <v>2.85</v>
      </c>
      <c r="J14" s="153">
        <f>'Fence Calc'!E22</f>
        <v>5700</v>
      </c>
      <c r="K14" s="175"/>
      <c r="L14" s="111">
        <f>SUM(M14:N14)</f>
        <v>5700</v>
      </c>
      <c r="M14" s="59">
        <f>'Fence Calc'!E19</f>
        <v>3563.9026666666668</v>
      </c>
      <c r="N14" s="61">
        <f>'Fence Calc'!E23</f>
        <v>2136.0973333333332</v>
      </c>
      <c r="O14" s="122">
        <f>'Fence Calc'!F23</f>
        <v>0.37475391812865494</v>
      </c>
    </row>
    <row r="15" spans="2:15" ht="15.6" hidden="1" customHeight="1" x14ac:dyDescent="0.3">
      <c r="B15" s="154"/>
      <c r="C15" s="234"/>
      <c r="D15" s="278" t="s">
        <v>337</v>
      </c>
      <c r="E15" s="279"/>
      <c r="F15" s="279"/>
      <c r="G15" s="280"/>
      <c r="H15" s="155" t="s">
        <v>8</v>
      </c>
      <c r="I15" s="156">
        <v>1.1499999999999999</v>
      </c>
      <c r="J15" s="157">
        <f>SUM(C15*I15)</f>
        <v>0</v>
      </c>
      <c r="K15" s="175"/>
      <c r="L15" s="111">
        <f t="shared" ref="L15:L23" si="0">SUM(M15:N15)</f>
        <v>0</v>
      </c>
      <c r="M15" s="59"/>
      <c r="N15" s="59"/>
    </row>
    <row r="16" spans="2:15" ht="17.100000000000001" customHeight="1" x14ac:dyDescent="0.3">
      <c r="B16" s="264"/>
      <c r="C16" s="265">
        <v>12</v>
      </c>
      <c r="D16" s="278" t="s">
        <v>436</v>
      </c>
      <c r="E16" s="279"/>
      <c r="F16" s="279"/>
      <c r="G16" s="280"/>
      <c r="H16" s="155" t="s">
        <v>4</v>
      </c>
      <c r="I16" s="156">
        <v>80</v>
      </c>
      <c r="J16" s="157">
        <f>SUM(C16*I16)</f>
        <v>960</v>
      </c>
      <c r="K16" s="175"/>
      <c r="L16" s="111">
        <f t="shared" si="0"/>
        <v>960</v>
      </c>
      <c r="M16" s="59">
        <f>J16*0.75</f>
        <v>720</v>
      </c>
      <c r="N16" s="61">
        <f>J16-M16</f>
        <v>240</v>
      </c>
      <c r="O16" s="122">
        <f>(N16/L16)</f>
        <v>0.25</v>
      </c>
    </row>
    <row r="17" spans="2:15" ht="17.100000000000001" customHeight="1" x14ac:dyDescent="0.3">
      <c r="B17" s="150"/>
      <c r="C17" s="237">
        <v>2</v>
      </c>
      <c r="D17" s="275" t="s">
        <v>437</v>
      </c>
      <c r="E17" s="276"/>
      <c r="F17" s="276"/>
      <c r="G17" s="277"/>
      <c r="H17" s="151" t="s">
        <v>4</v>
      </c>
      <c r="I17" s="152">
        <v>125</v>
      </c>
      <c r="J17" s="153">
        <f t="shared" ref="J17:J23" si="1">SUM(C17*I17)</f>
        <v>250</v>
      </c>
      <c r="K17" s="175"/>
      <c r="L17" s="111">
        <f t="shared" si="0"/>
        <v>0</v>
      </c>
      <c r="M17" s="59"/>
    </row>
    <row r="18" spans="2:15" ht="17.100000000000001" customHeight="1" x14ac:dyDescent="0.3">
      <c r="B18" s="264"/>
      <c r="C18" s="265">
        <v>45</v>
      </c>
      <c r="D18" s="251" t="s">
        <v>438</v>
      </c>
      <c r="E18" s="252"/>
      <c r="F18" s="252"/>
      <c r="G18" s="253"/>
      <c r="H18" s="155" t="s">
        <v>283</v>
      </c>
      <c r="I18" s="156">
        <v>130</v>
      </c>
      <c r="J18" s="157">
        <f t="shared" si="1"/>
        <v>5850</v>
      </c>
      <c r="K18" s="175"/>
      <c r="L18" s="111">
        <f t="shared" si="0"/>
        <v>5850</v>
      </c>
      <c r="M18" s="59">
        <f>J18*0.5</f>
        <v>2925</v>
      </c>
      <c r="N18" s="61">
        <f>J18-M18</f>
        <v>2925</v>
      </c>
      <c r="O18" s="122">
        <f>'Fence Calc'!F27</f>
        <v>0</v>
      </c>
    </row>
    <row r="19" spans="2:15" ht="17.100000000000001" hidden="1" customHeight="1" x14ac:dyDescent="0.3">
      <c r="B19" s="154"/>
      <c r="C19" s="234"/>
      <c r="D19" s="251" t="s">
        <v>338</v>
      </c>
      <c r="E19" s="252"/>
      <c r="F19" s="252"/>
      <c r="G19" s="253"/>
      <c r="H19" s="155" t="s">
        <v>8</v>
      </c>
      <c r="I19" s="156">
        <v>2400</v>
      </c>
      <c r="J19" s="157">
        <f t="shared" si="1"/>
        <v>0</v>
      </c>
      <c r="K19" s="175"/>
      <c r="L19" s="111">
        <f t="shared" si="0"/>
        <v>0</v>
      </c>
      <c r="M19" s="59">
        <f>2*C19</f>
        <v>0</v>
      </c>
      <c r="N19" s="59">
        <f>J19-M19</f>
        <v>0</v>
      </c>
      <c r="O19" s="122" t="e">
        <f>N19/L19</f>
        <v>#DIV/0!</v>
      </c>
    </row>
    <row r="20" spans="2:15" ht="17.100000000000001" customHeight="1" x14ac:dyDescent="0.3">
      <c r="B20" s="161"/>
      <c r="C20" s="235">
        <f>'Rock Filter Dam'!F5</f>
        <v>175</v>
      </c>
      <c r="D20" s="275" t="s">
        <v>34</v>
      </c>
      <c r="E20" s="276"/>
      <c r="F20" s="276"/>
      <c r="G20" s="277"/>
      <c r="H20" s="167" t="s">
        <v>8</v>
      </c>
      <c r="I20" s="165">
        <f>'Rock Filter Dam'!F20</f>
        <v>75</v>
      </c>
      <c r="J20" s="153">
        <f>'Rock Filter Dam'!F21</f>
        <v>13125</v>
      </c>
      <c r="K20" s="175"/>
      <c r="L20" s="111">
        <f>SUM(M20:N20)</f>
        <v>5850</v>
      </c>
      <c r="M20" s="59">
        <f>'Aggregate Area'!G20</f>
        <v>4137</v>
      </c>
      <c r="N20" s="61">
        <f>'Aggregate Area'!G24</f>
        <v>1713</v>
      </c>
    </row>
    <row r="21" spans="2:15" ht="18.75" hidden="1" customHeight="1" x14ac:dyDescent="0.3">
      <c r="B21" s="158"/>
      <c r="C21" s="236"/>
      <c r="D21" s="278" t="s">
        <v>35</v>
      </c>
      <c r="E21" s="279"/>
      <c r="F21" s="279"/>
      <c r="G21" s="280"/>
      <c r="H21" s="159" t="s">
        <v>8</v>
      </c>
      <c r="I21" s="160">
        <v>65</v>
      </c>
      <c r="J21" s="157">
        <f t="shared" si="1"/>
        <v>0</v>
      </c>
      <c r="K21" s="175"/>
      <c r="L21" s="111">
        <f t="shared" si="0"/>
        <v>0</v>
      </c>
      <c r="M21" s="59"/>
    </row>
    <row r="22" spans="2:15" ht="17.100000000000001" customHeight="1" x14ac:dyDescent="0.3">
      <c r="B22" s="266"/>
      <c r="C22" s="267">
        <v>1</v>
      </c>
      <c r="D22" s="268" t="s">
        <v>433</v>
      </c>
      <c r="E22" s="269"/>
      <c r="F22" s="269"/>
      <c r="G22" s="270"/>
      <c r="H22" s="155" t="s">
        <v>4</v>
      </c>
      <c r="I22" s="160">
        <v>1250</v>
      </c>
      <c r="J22" s="157">
        <f t="shared" si="1"/>
        <v>1250</v>
      </c>
      <c r="K22" s="175"/>
      <c r="L22" s="111">
        <f t="shared" si="0"/>
        <v>1250</v>
      </c>
      <c r="M22" s="59">
        <f>J22*0.75</f>
        <v>937.5</v>
      </c>
      <c r="N22" s="61">
        <f>J22-M22</f>
        <v>312.5</v>
      </c>
      <c r="O22" s="122">
        <f>N22/L22</f>
        <v>0.25</v>
      </c>
    </row>
    <row r="23" spans="2:15" ht="17.100000000000001" hidden="1" customHeight="1" x14ac:dyDescent="0.3">
      <c r="B23" s="154"/>
      <c r="C23" s="234"/>
      <c r="D23" s="278" t="s">
        <v>26</v>
      </c>
      <c r="E23" s="279"/>
      <c r="F23" s="279"/>
      <c r="G23" s="280"/>
      <c r="H23" s="155" t="s">
        <v>4</v>
      </c>
      <c r="I23" s="156">
        <v>3.9</v>
      </c>
      <c r="J23" s="157">
        <f t="shared" si="1"/>
        <v>0</v>
      </c>
      <c r="K23" s="175"/>
      <c r="L23" s="111">
        <f t="shared" si="0"/>
        <v>0</v>
      </c>
      <c r="M23" s="59"/>
    </row>
    <row r="24" spans="2:15" s="1" customFormat="1" ht="18" customHeight="1" x14ac:dyDescent="0.3">
      <c r="B24" s="273" t="s">
        <v>7</v>
      </c>
      <c r="C24" s="274"/>
      <c r="D24" s="274"/>
      <c r="E24" s="274"/>
      <c r="F24" s="274"/>
      <c r="G24" s="274"/>
      <c r="H24" s="187" t="s">
        <v>7</v>
      </c>
      <c r="I24" s="188"/>
      <c r="J24" s="189">
        <f>SUM(J14:J23)</f>
        <v>27135</v>
      </c>
      <c r="K24" s="176"/>
      <c r="M24" s="60"/>
    </row>
    <row r="25" spans="2:15" ht="3.9" customHeight="1" x14ac:dyDescent="0.3"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M25" s="59"/>
    </row>
    <row r="26" spans="2:15" s="1" customFormat="1" ht="18" customHeight="1" x14ac:dyDescent="0.3">
      <c r="B26" s="169" t="s">
        <v>242</v>
      </c>
      <c r="C26" s="169" t="s">
        <v>0</v>
      </c>
      <c r="D26" s="272" t="s">
        <v>432</v>
      </c>
      <c r="E26" s="272"/>
      <c r="F26" s="272"/>
      <c r="G26" s="272"/>
      <c r="H26" s="169" t="s">
        <v>1</v>
      </c>
      <c r="I26" s="169" t="s">
        <v>2</v>
      </c>
      <c r="J26" s="169" t="s">
        <v>3</v>
      </c>
      <c r="K26" s="177"/>
      <c r="M26" s="60"/>
    </row>
    <row r="27" spans="2:15" x14ac:dyDescent="0.3">
      <c r="B27" s="150"/>
      <c r="C27" s="237"/>
      <c r="D27" s="275"/>
      <c r="E27" s="276"/>
      <c r="F27" s="276"/>
      <c r="G27" s="277"/>
      <c r="H27" s="151" t="s">
        <v>4</v>
      </c>
      <c r="I27" s="153"/>
      <c r="J27" s="153">
        <f>I27*C27</f>
        <v>0</v>
      </c>
      <c r="K27" s="175"/>
      <c r="L27" s="111">
        <f>SUM(M27:N27)</f>
        <v>0</v>
      </c>
      <c r="M27" s="59">
        <f>'Hydromulch Calc'!H24</f>
        <v>0</v>
      </c>
      <c r="N27" s="61">
        <f>'Hydromulch Calc'!H28</f>
        <v>0</v>
      </c>
      <c r="O27" s="122" t="e">
        <f>'Hydromulch Calc'!I28</f>
        <v>#DIV/0!</v>
      </c>
    </row>
    <row r="28" spans="2:15" x14ac:dyDescent="0.3">
      <c r="B28" s="264"/>
      <c r="C28" s="265"/>
      <c r="D28" s="251"/>
      <c r="E28" s="252"/>
      <c r="F28" s="252"/>
      <c r="G28" s="253"/>
      <c r="H28" s="155" t="s">
        <v>4</v>
      </c>
      <c r="I28" s="156"/>
      <c r="J28" s="156"/>
      <c r="K28" s="175"/>
      <c r="L28" s="111">
        <f>SUM(M28:N28)</f>
        <v>2450</v>
      </c>
      <c r="M28" s="59">
        <f>'Hydromulch Calc'!E24</f>
        <v>1359.5219999999999</v>
      </c>
      <c r="N28" s="61">
        <f>'Hydromulch Calc'!E28</f>
        <v>1090.4780000000001</v>
      </c>
      <c r="O28" s="122">
        <f>'Hydromulch Calc'!F28</f>
        <v>0.44509306122448983</v>
      </c>
    </row>
    <row r="29" spans="2:15" ht="17.100000000000001" customHeight="1" x14ac:dyDescent="0.3">
      <c r="B29" s="150"/>
      <c r="C29" s="150"/>
      <c r="D29" s="275"/>
      <c r="E29" s="276"/>
      <c r="F29" s="276"/>
      <c r="G29" s="277"/>
      <c r="H29" s="151" t="s">
        <v>8</v>
      </c>
      <c r="I29" s="152"/>
      <c r="J29" s="153">
        <f>I29*C29</f>
        <v>0</v>
      </c>
      <c r="K29" s="175"/>
      <c r="L29" s="111">
        <f t="shared" ref="L29:L31" si="2">SUM(M29:N29)</f>
        <v>0</v>
      </c>
      <c r="M29" s="59">
        <f>'Seeding Calc'!E22</f>
        <v>0</v>
      </c>
      <c r="N29" s="61">
        <f>'Seeding Calc'!E26</f>
        <v>0</v>
      </c>
      <c r="O29" s="122" t="e">
        <f>'Seeding Calc'!F26</f>
        <v>#DIV/0!</v>
      </c>
    </row>
    <row r="30" spans="2:15" ht="17.100000000000001" customHeight="1" x14ac:dyDescent="0.3">
      <c r="B30" s="161"/>
      <c r="C30" s="235"/>
      <c r="D30" s="162" t="s">
        <v>426</v>
      </c>
      <c r="E30" s="163"/>
      <c r="F30" s="163"/>
      <c r="G30" s="164"/>
      <c r="H30" s="151" t="s">
        <v>8</v>
      </c>
      <c r="I30" s="165">
        <f>'Seeding Calc'!F24</f>
        <v>0</v>
      </c>
      <c r="J30" s="166">
        <f>'Seeding Calc'!F25</f>
        <v>0</v>
      </c>
      <c r="K30" s="175"/>
      <c r="L30" s="111">
        <f t="shared" si="2"/>
        <v>0</v>
      </c>
      <c r="M30" s="59">
        <f>'Seeding Calc'!H22</f>
        <v>0</v>
      </c>
      <c r="N30" s="61">
        <f>'Seeding Calc'!H26</f>
        <v>0</v>
      </c>
      <c r="O30" s="122" t="e">
        <f>'Seeding Calc'!I26</f>
        <v>#DIV/0!</v>
      </c>
    </row>
    <row r="31" spans="2:15" ht="17.100000000000001" customHeight="1" x14ac:dyDescent="0.3">
      <c r="B31" s="161"/>
      <c r="C31" s="235">
        <f>Sod!E5</f>
        <v>6222</v>
      </c>
      <c r="D31" s="287" t="s">
        <v>439</v>
      </c>
      <c r="E31" s="288"/>
      <c r="F31" s="288"/>
      <c r="G31" s="289"/>
      <c r="H31" s="167" t="s">
        <v>21</v>
      </c>
      <c r="I31" s="165">
        <v>6.75</v>
      </c>
      <c r="J31" s="166">
        <f>I31*C31</f>
        <v>41998.5</v>
      </c>
      <c r="K31" s="175"/>
      <c r="L31" s="111">
        <f t="shared" si="2"/>
        <v>41998.5</v>
      </c>
      <c r="M31" s="59">
        <f>Sod!E22</f>
        <v>30706.552499999998</v>
      </c>
      <c r="N31" s="61">
        <f>J31-M31</f>
        <v>11291.947500000002</v>
      </c>
      <c r="O31" s="112" t="e">
        <f>Sod!F26</f>
        <v>#DIV/0!</v>
      </c>
    </row>
    <row r="32" spans="2:15" s="1" customFormat="1" ht="18" customHeight="1" x14ac:dyDescent="0.3">
      <c r="B32" s="273" t="s">
        <v>7</v>
      </c>
      <c r="C32" s="274"/>
      <c r="D32" s="274"/>
      <c r="E32" s="274"/>
      <c r="F32" s="274"/>
      <c r="G32" s="274"/>
      <c r="H32" s="187" t="s">
        <v>7</v>
      </c>
      <c r="I32" s="188"/>
      <c r="J32" s="189">
        <f>SUM(J27:J31)</f>
        <v>41998.5</v>
      </c>
      <c r="K32" s="176"/>
    </row>
    <row r="33" spans="2:17" ht="3.9" customHeight="1" x14ac:dyDescent="0.3">
      <c r="B33" s="138"/>
      <c r="C33" s="138"/>
      <c r="D33" s="138"/>
      <c r="E33" s="138"/>
      <c r="F33" s="138"/>
      <c r="G33" s="138"/>
      <c r="H33" s="138"/>
      <c r="I33" s="138"/>
      <c r="J33" s="138"/>
      <c r="K33" s="138"/>
    </row>
    <row r="34" spans="2:17" s="1" customFormat="1" ht="18" customHeight="1" x14ac:dyDescent="0.3">
      <c r="B34" s="169" t="s">
        <v>242</v>
      </c>
      <c r="C34" s="169" t="s">
        <v>0</v>
      </c>
      <c r="D34" s="272" t="s">
        <v>10</v>
      </c>
      <c r="E34" s="272"/>
      <c r="F34" s="272"/>
      <c r="G34" s="272"/>
      <c r="H34" s="169" t="s">
        <v>1</v>
      </c>
      <c r="I34" s="169" t="s">
        <v>2</v>
      </c>
      <c r="J34" s="169" t="s">
        <v>3</v>
      </c>
      <c r="K34" s="177"/>
    </row>
    <row r="35" spans="2:17" ht="17.25" customHeight="1" x14ac:dyDescent="0.3">
      <c r="B35" s="168"/>
      <c r="C35" s="238"/>
      <c r="D35" s="305" t="s">
        <v>29</v>
      </c>
      <c r="E35" s="306"/>
      <c r="F35" s="306"/>
      <c r="G35" s="307"/>
      <c r="H35" s="155" t="s">
        <v>4</v>
      </c>
      <c r="I35" s="156">
        <v>1050</v>
      </c>
      <c r="J35" s="157">
        <f t="shared" ref="J35:J38" si="3">SUM(C35*I35)</f>
        <v>0</v>
      </c>
      <c r="K35" s="175"/>
      <c r="L35" s="111">
        <f t="shared" ref="L35:L37" si="4">SUM(M35:N35)</f>
        <v>0</v>
      </c>
      <c r="M35" s="59">
        <v>250</v>
      </c>
      <c r="N35" s="59">
        <f>J35-M35</f>
        <v>-250</v>
      </c>
      <c r="O35" s="122">
        <f>'Fence Calc'!F45</f>
        <v>0</v>
      </c>
    </row>
    <row r="36" spans="2:17" ht="17.25" customHeight="1" x14ac:dyDescent="0.3">
      <c r="B36" s="257"/>
      <c r="C36" s="258">
        <v>1</v>
      </c>
      <c r="D36" s="308" t="s">
        <v>30</v>
      </c>
      <c r="E36" s="309"/>
      <c r="F36" s="309"/>
      <c r="G36" s="310"/>
      <c r="H36" s="151" t="s">
        <v>4</v>
      </c>
      <c r="I36" s="152">
        <v>350</v>
      </c>
      <c r="J36" s="153">
        <f t="shared" si="3"/>
        <v>350</v>
      </c>
      <c r="K36" s="175"/>
      <c r="L36" s="111">
        <f t="shared" si="4"/>
        <v>350</v>
      </c>
      <c r="M36" s="59">
        <v>50</v>
      </c>
      <c r="N36" s="59">
        <f t="shared" ref="N36:N38" si="5">J36-M36</f>
        <v>300</v>
      </c>
      <c r="O36" s="122">
        <f>'Fence Calc'!F46</f>
        <v>0</v>
      </c>
    </row>
    <row r="37" spans="2:17" ht="17.100000000000001" customHeight="1" x14ac:dyDescent="0.3">
      <c r="B37" s="168"/>
      <c r="C37" s="238">
        <v>1</v>
      </c>
      <c r="D37" s="305" t="s">
        <v>31</v>
      </c>
      <c r="E37" s="306"/>
      <c r="F37" s="306"/>
      <c r="G37" s="307"/>
      <c r="H37" s="155" t="s">
        <v>4</v>
      </c>
      <c r="I37" s="156">
        <v>250</v>
      </c>
      <c r="J37" s="157">
        <f t="shared" si="3"/>
        <v>250</v>
      </c>
      <c r="K37" s="175"/>
      <c r="L37" s="111">
        <f t="shared" si="4"/>
        <v>250</v>
      </c>
      <c r="M37" s="59">
        <v>75</v>
      </c>
      <c r="N37" s="59">
        <f t="shared" si="5"/>
        <v>175</v>
      </c>
      <c r="O37" s="122">
        <f>'Fence Calc'!F47</f>
        <v>0</v>
      </c>
    </row>
    <row r="38" spans="2:17" ht="16.5" customHeight="1" x14ac:dyDescent="0.3">
      <c r="B38" s="259"/>
      <c r="C38" s="260">
        <v>1</v>
      </c>
      <c r="D38" s="287" t="s">
        <v>5</v>
      </c>
      <c r="E38" s="288"/>
      <c r="F38" s="288"/>
      <c r="G38" s="289"/>
      <c r="H38" s="167" t="s">
        <v>6</v>
      </c>
      <c r="I38" s="261">
        <v>560</v>
      </c>
      <c r="J38" s="153">
        <f t="shared" si="3"/>
        <v>560</v>
      </c>
      <c r="K38" s="175"/>
      <c r="N38" s="59">
        <f t="shared" si="5"/>
        <v>560</v>
      </c>
    </row>
    <row r="39" spans="2:17" s="1" customFormat="1" ht="18" customHeight="1" x14ac:dyDescent="0.3">
      <c r="B39" s="273" t="s">
        <v>7</v>
      </c>
      <c r="C39" s="274"/>
      <c r="D39" s="274"/>
      <c r="E39" s="274"/>
      <c r="F39" s="274"/>
      <c r="G39" s="274"/>
      <c r="H39" s="187" t="s">
        <v>7</v>
      </c>
      <c r="I39" s="188"/>
      <c r="J39" s="189">
        <f>SUM(J35:J38)</f>
        <v>1160</v>
      </c>
      <c r="K39" s="176"/>
    </row>
    <row r="40" spans="2:17" ht="3.75" customHeight="1" x14ac:dyDescent="0.3">
      <c r="B40" s="138"/>
      <c r="C40" s="138"/>
      <c r="D40" s="138"/>
      <c r="E40" s="138"/>
      <c r="F40" s="138"/>
      <c r="G40" s="138"/>
      <c r="H40" s="138"/>
      <c r="I40" s="138"/>
      <c r="J40" s="138"/>
      <c r="K40" s="138"/>
    </row>
    <row r="41" spans="2:17" ht="29.25" customHeight="1" x14ac:dyDescent="0.4">
      <c r="B41" s="285" t="s">
        <v>267</v>
      </c>
      <c r="C41" s="285"/>
      <c r="D41" s="285"/>
      <c r="E41" s="285"/>
      <c r="F41" s="285"/>
      <c r="G41" s="285"/>
      <c r="H41" s="138"/>
      <c r="I41" s="195" t="s">
        <v>27</v>
      </c>
      <c r="J41" s="178">
        <f>SUM(J32,J39,J24)</f>
        <v>70293.5</v>
      </c>
      <c r="K41" s="178"/>
      <c r="L41" s="200">
        <v>350</v>
      </c>
      <c r="M41" s="61">
        <f>SUM(M14:M38)</f>
        <v>44724.477166666664</v>
      </c>
      <c r="N41" s="61">
        <f>SUM(N14:N38)</f>
        <v>20494.022833333336</v>
      </c>
      <c r="O41" s="62">
        <f>N41/J41</f>
        <v>0.29154933007082212</v>
      </c>
      <c r="Q41" s="61"/>
    </row>
    <row r="42" spans="2:17" s="4" customFormat="1" ht="21" customHeight="1" x14ac:dyDescent="0.4">
      <c r="B42" s="285" t="s">
        <v>268</v>
      </c>
      <c r="C42" s="285"/>
      <c r="D42" s="285"/>
      <c r="E42" s="285"/>
      <c r="F42" s="285"/>
      <c r="G42" s="285"/>
      <c r="H42" s="139"/>
      <c r="I42" s="140" t="s">
        <v>23</v>
      </c>
      <c r="J42" s="141">
        <v>8.2500000000000004E-2</v>
      </c>
      <c r="K42" s="141"/>
    </row>
    <row r="43" spans="2:17" s="4" customFormat="1" ht="22.2" thickBot="1" x14ac:dyDescent="0.45">
      <c r="B43" s="286" t="s">
        <v>269</v>
      </c>
      <c r="C43" s="286"/>
      <c r="D43" s="286"/>
      <c r="E43" s="286"/>
      <c r="F43" s="286"/>
      <c r="G43" s="286"/>
      <c r="H43" s="139"/>
      <c r="I43" s="140" t="s">
        <v>24</v>
      </c>
      <c r="J43" s="145">
        <f>J41*J42</f>
        <v>5799.2137499999999</v>
      </c>
      <c r="K43" s="179"/>
    </row>
    <row r="44" spans="2:17" s="4" customFormat="1" ht="22.2" thickBot="1" x14ac:dyDescent="0.45">
      <c r="B44" s="142"/>
      <c r="C44" s="142"/>
      <c r="D44" s="143"/>
      <c r="E44" s="144"/>
      <c r="F44" s="144"/>
      <c r="G44" s="144"/>
      <c r="H44" s="139"/>
      <c r="I44" s="146" t="s">
        <v>11</v>
      </c>
      <c r="J44" s="147">
        <f>J41+J43</f>
        <v>76092.713749999995</v>
      </c>
      <c r="K44" s="180"/>
    </row>
    <row r="45" spans="2:17" x14ac:dyDescent="0.3">
      <c r="B45" s="138"/>
      <c r="C45" s="138"/>
      <c r="D45" s="138"/>
      <c r="E45" s="138"/>
      <c r="F45" s="138"/>
      <c r="G45" s="138"/>
      <c r="H45" s="138"/>
      <c r="I45" s="138"/>
      <c r="J45" s="138"/>
      <c r="K45" s="138"/>
    </row>
    <row r="46" spans="2:17" ht="15.6" x14ac:dyDescent="0.3">
      <c r="B46" s="304" t="s">
        <v>270</v>
      </c>
      <c r="C46" s="304"/>
      <c r="D46" s="304"/>
      <c r="E46" s="304"/>
      <c r="F46" s="304"/>
      <c r="G46" s="304"/>
      <c r="H46" s="304"/>
      <c r="I46" s="304"/>
      <c r="J46" s="304"/>
      <c r="K46" s="148"/>
    </row>
    <row r="47" spans="2:17" ht="8.25" customHeight="1" x14ac:dyDescent="0.3">
      <c r="B47" s="148"/>
      <c r="C47" s="148"/>
      <c r="D47" s="148"/>
      <c r="E47" s="148"/>
      <c r="F47" s="148"/>
      <c r="G47" s="148"/>
      <c r="H47" s="148"/>
      <c r="I47" s="148"/>
      <c r="J47" s="148"/>
      <c r="K47" s="148"/>
    </row>
    <row r="48" spans="2:17" ht="33.75" customHeight="1" x14ac:dyDescent="0.3">
      <c r="B48" s="311" t="s">
        <v>339</v>
      </c>
      <c r="C48" s="311"/>
      <c r="D48" s="311"/>
      <c r="E48" s="311"/>
      <c r="F48" s="311"/>
      <c r="G48" s="311"/>
      <c r="H48" s="311"/>
      <c r="I48" s="311"/>
      <c r="J48" s="311"/>
      <c r="K48" s="149"/>
    </row>
    <row r="49" spans="2:11" ht="9" customHeight="1" x14ac:dyDescent="0.3">
      <c r="B49" s="149"/>
      <c r="C49" s="149"/>
      <c r="D49" s="149"/>
      <c r="E49" s="149"/>
      <c r="F49" s="149"/>
      <c r="G49" s="149"/>
      <c r="H49" s="149"/>
      <c r="I49" s="149"/>
      <c r="J49" s="149"/>
      <c r="K49" s="149"/>
    </row>
    <row r="50" spans="2:11" x14ac:dyDescent="0.3">
      <c r="B50" s="298" t="s">
        <v>340</v>
      </c>
      <c r="C50" s="299"/>
      <c r="D50" s="299"/>
      <c r="E50" s="299"/>
      <c r="F50" s="299"/>
      <c r="G50" s="299"/>
      <c r="H50" s="299"/>
      <c r="I50" s="299"/>
      <c r="J50" s="300"/>
      <c r="K50" s="181"/>
    </row>
    <row r="51" spans="2:11" x14ac:dyDescent="0.3">
      <c r="B51" s="301" t="s">
        <v>14</v>
      </c>
      <c r="C51" s="302"/>
      <c r="D51" s="302"/>
      <c r="E51" s="302"/>
      <c r="F51" s="302"/>
      <c r="G51" s="302"/>
      <c r="H51" s="302"/>
      <c r="I51" s="302"/>
      <c r="J51" s="303"/>
      <c r="K51" s="182"/>
    </row>
    <row r="52" spans="2:11" ht="4.5" customHeight="1" x14ac:dyDescent="0.3">
      <c r="B52" s="138"/>
      <c r="C52" s="138"/>
      <c r="D52" s="138"/>
      <c r="E52" s="138"/>
      <c r="F52" s="138"/>
      <c r="G52" s="138"/>
      <c r="H52" s="138"/>
      <c r="I52" s="138"/>
      <c r="J52" s="138"/>
      <c r="K52" s="138"/>
    </row>
    <row r="53" spans="2:11" x14ac:dyDescent="0.3">
      <c r="B53" s="292" t="s">
        <v>25</v>
      </c>
      <c r="C53" s="293"/>
      <c r="D53" s="293"/>
      <c r="E53" s="293"/>
      <c r="F53" s="293"/>
      <c r="G53" s="293"/>
      <c r="H53" s="293"/>
      <c r="I53" s="293"/>
      <c r="J53" s="294"/>
      <c r="K53" s="183"/>
    </row>
    <row r="54" spans="2:11" ht="115.5" customHeight="1" x14ac:dyDescent="0.3">
      <c r="B54" s="295"/>
      <c r="C54" s="296"/>
      <c r="D54" s="296"/>
      <c r="E54" s="296"/>
      <c r="F54" s="296"/>
      <c r="G54" s="296"/>
      <c r="H54" s="296"/>
      <c r="I54" s="296"/>
      <c r="J54" s="297"/>
      <c r="K54" s="183"/>
    </row>
    <row r="56" spans="2:11" ht="15" customHeight="1" x14ac:dyDescent="0.3">
      <c r="B56" s="291" t="s">
        <v>16</v>
      </c>
      <c r="C56" s="291"/>
      <c r="D56" s="291"/>
      <c r="E56" s="291"/>
      <c r="F56" s="291"/>
      <c r="G56" s="291"/>
      <c r="H56" s="291"/>
      <c r="I56" s="291"/>
      <c r="J56" s="291"/>
      <c r="K56" s="184"/>
    </row>
    <row r="57" spans="2:11" x14ac:dyDescent="0.3">
      <c r="B57" s="284" t="s">
        <v>17</v>
      </c>
      <c r="C57" s="284"/>
      <c r="D57" s="284"/>
      <c r="E57" s="284"/>
      <c r="F57" s="284"/>
      <c r="G57" s="284"/>
      <c r="H57" s="284"/>
      <c r="I57" s="284"/>
      <c r="J57" s="284"/>
      <c r="K57" s="185"/>
    </row>
    <row r="58" spans="2:11" x14ac:dyDescent="0.3">
      <c r="B58" s="190"/>
      <c r="C58" s="190"/>
      <c r="D58" s="190"/>
      <c r="E58" s="190"/>
      <c r="F58" s="190"/>
      <c r="G58" s="190"/>
      <c r="H58" s="190"/>
      <c r="I58" s="190"/>
      <c r="J58" s="190"/>
      <c r="K58" s="185"/>
    </row>
    <row r="59" spans="2:11" ht="21" customHeight="1" thickBot="1" x14ac:dyDescent="0.35">
      <c r="B59" s="191"/>
      <c r="C59" s="191"/>
      <c r="D59" s="192"/>
      <c r="E59" s="192"/>
      <c r="F59" s="192"/>
      <c r="G59" s="191"/>
      <c r="H59" s="130"/>
      <c r="I59" s="130"/>
      <c r="J59" s="130"/>
    </row>
    <row r="60" spans="2:11" ht="15" customHeight="1" x14ac:dyDescent="0.3">
      <c r="B60" s="290" t="s">
        <v>18</v>
      </c>
      <c r="C60" s="290"/>
      <c r="D60" s="290"/>
      <c r="E60" s="290"/>
      <c r="F60" s="290"/>
      <c r="G60" s="290"/>
      <c r="H60" s="290"/>
      <c r="I60" s="290"/>
      <c r="J60" s="290"/>
      <c r="K60" s="186"/>
    </row>
    <row r="61" spans="2:11" ht="15" customHeight="1" x14ac:dyDescent="0.3">
      <c r="B61" s="193"/>
      <c r="C61" s="193"/>
      <c r="D61" s="193"/>
      <c r="E61" s="193"/>
      <c r="F61" s="193"/>
      <c r="G61" s="193"/>
      <c r="H61" s="193"/>
      <c r="I61" s="193"/>
      <c r="J61" s="193"/>
      <c r="K61" s="186"/>
    </row>
    <row r="62" spans="2:11" ht="21" customHeight="1" thickBot="1" x14ac:dyDescent="0.35">
      <c r="B62" s="194"/>
      <c r="C62" s="194"/>
      <c r="D62" s="194"/>
      <c r="E62" s="194"/>
      <c r="F62" s="194"/>
      <c r="G62" s="191"/>
      <c r="H62" s="130"/>
      <c r="I62" s="130"/>
      <c r="J62" s="130"/>
    </row>
    <row r="63" spans="2:11" ht="15.75" customHeight="1" x14ac:dyDescent="0.3">
      <c r="B63" s="290" t="s">
        <v>19</v>
      </c>
      <c r="C63" s="290"/>
      <c r="D63" s="290"/>
      <c r="E63" s="290"/>
      <c r="F63" s="290"/>
      <c r="G63" s="290"/>
      <c r="H63" s="290"/>
      <c r="I63" s="290"/>
      <c r="J63" s="290"/>
      <c r="K63" s="186"/>
    </row>
    <row r="64" spans="2:11" ht="15.75" customHeight="1" x14ac:dyDescent="0.3">
      <c r="B64" s="193"/>
      <c r="C64" s="193"/>
      <c r="D64" s="193"/>
      <c r="E64" s="193"/>
      <c r="F64" s="193"/>
      <c r="G64" s="193"/>
      <c r="H64" s="193"/>
      <c r="I64" s="193"/>
      <c r="J64" s="193"/>
      <c r="K64" s="186"/>
    </row>
    <row r="65" spans="2:11" ht="21" customHeight="1" thickBot="1" x14ac:dyDescent="0.35">
      <c r="B65" s="194"/>
      <c r="C65" s="194"/>
      <c r="D65" s="194"/>
      <c r="E65" s="194"/>
      <c r="F65" s="194"/>
      <c r="G65" s="191"/>
      <c r="H65" s="130"/>
      <c r="I65" s="130"/>
      <c r="J65" s="130"/>
    </row>
    <row r="66" spans="2:11" x14ac:dyDescent="0.3">
      <c r="B66" s="290" t="s">
        <v>20</v>
      </c>
      <c r="C66" s="290"/>
      <c r="D66" s="290"/>
      <c r="E66" s="290"/>
      <c r="F66" s="290"/>
      <c r="G66" s="290"/>
      <c r="H66" s="290"/>
      <c r="I66" s="290"/>
      <c r="J66" s="290"/>
      <c r="K66" s="186"/>
    </row>
    <row r="67" spans="2:11" x14ac:dyDescent="0.3">
      <c r="B67" s="130"/>
      <c r="C67" s="130"/>
      <c r="D67" s="130"/>
      <c r="E67" s="130"/>
      <c r="F67" s="130"/>
      <c r="G67" s="130"/>
      <c r="H67" s="130"/>
      <c r="I67" s="130"/>
      <c r="J67" s="130"/>
    </row>
    <row r="68" spans="2:11" x14ac:dyDescent="0.3">
      <c r="B68" s="130"/>
      <c r="C68" s="130"/>
      <c r="D68" s="130"/>
      <c r="E68" s="130"/>
      <c r="F68" s="130"/>
      <c r="G68" s="130"/>
      <c r="H68" s="130"/>
      <c r="I68" s="130"/>
      <c r="J68" s="130"/>
    </row>
    <row r="69" spans="2:11" x14ac:dyDescent="0.3">
      <c r="B69" s="130"/>
      <c r="C69" s="130"/>
      <c r="D69" s="130"/>
      <c r="E69" s="130"/>
      <c r="F69" s="130"/>
      <c r="G69" s="130"/>
      <c r="H69" s="130"/>
      <c r="I69" s="130"/>
      <c r="J69" s="130"/>
    </row>
    <row r="70" spans="2:11" x14ac:dyDescent="0.3">
      <c r="B70" s="130"/>
      <c r="C70" s="130"/>
      <c r="D70" s="130"/>
      <c r="E70" s="130"/>
      <c r="F70" s="130"/>
      <c r="G70" s="130"/>
      <c r="H70" s="130"/>
      <c r="I70" s="130"/>
      <c r="J70" s="130"/>
    </row>
  </sheetData>
  <mergeCells count="38">
    <mergeCell ref="B66:J66"/>
    <mergeCell ref="B60:J60"/>
    <mergeCell ref="B56:J56"/>
    <mergeCell ref="B32:G32"/>
    <mergeCell ref="B53:J54"/>
    <mergeCell ref="B50:J50"/>
    <mergeCell ref="B51:J51"/>
    <mergeCell ref="B46:J46"/>
    <mergeCell ref="B41:G41"/>
    <mergeCell ref="D38:G38"/>
    <mergeCell ref="D35:G35"/>
    <mergeCell ref="D36:G36"/>
    <mergeCell ref="D34:G34"/>
    <mergeCell ref="B48:J48"/>
    <mergeCell ref="D37:G37"/>
    <mergeCell ref="B63:J63"/>
    <mergeCell ref="B57:J57"/>
    <mergeCell ref="B39:G39"/>
    <mergeCell ref="B42:G42"/>
    <mergeCell ref="B43:G43"/>
    <mergeCell ref="G4:J4"/>
    <mergeCell ref="D27:G27"/>
    <mergeCell ref="D29:G29"/>
    <mergeCell ref="D31:G31"/>
    <mergeCell ref="D23:G23"/>
    <mergeCell ref="D15:G15"/>
    <mergeCell ref="D17:G17"/>
    <mergeCell ref="D21:G21"/>
    <mergeCell ref="G3:J3"/>
    <mergeCell ref="D13:G13"/>
    <mergeCell ref="D26:G26"/>
    <mergeCell ref="B24:G24"/>
    <mergeCell ref="D20:G20"/>
    <mergeCell ref="D14:G14"/>
    <mergeCell ref="D16:G16"/>
    <mergeCell ref="B11:J11"/>
    <mergeCell ref="B12:J12"/>
    <mergeCell ref="G5:J5"/>
  </mergeCells>
  <conditionalFormatting sqref="L14:L23">
    <cfRule type="expression" dxfId="17" priority="13">
      <formula>$L14&lt;$J14</formula>
    </cfRule>
    <cfRule type="expression" dxfId="16" priority="14">
      <formula>$L14&gt;$J14</formula>
    </cfRule>
    <cfRule type="expression" dxfId="15" priority="18">
      <formula>$L14=$J14</formula>
    </cfRule>
  </conditionalFormatting>
  <conditionalFormatting sqref="L27:L31">
    <cfRule type="expression" dxfId="14" priority="4">
      <formula>$L27&lt;$J27</formula>
    </cfRule>
    <cfRule type="expression" dxfId="13" priority="5">
      <formula>$L27&gt;$J27</formula>
    </cfRule>
    <cfRule type="expression" dxfId="12" priority="6">
      <formula>$L27=$J27</formula>
    </cfRule>
  </conditionalFormatting>
  <conditionalFormatting sqref="L35:L37">
    <cfRule type="expression" dxfId="11" priority="1">
      <formula>$L35&lt;$J35</formula>
    </cfRule>
    <cfRule type="expression" dxfId="10" priority="2">
      <formula>$L35&gt;$J35</formula>
    </cfRule>
    <cfRule type="expression" dxfId="9" priority="3">
      <formula>$L35=$J35</formula>
    </cfRule>
  </conditionalFormatting>
  <dataValidations count="3">
    <dataValidation allowBlank="1" showInputMessage="1" showErrorMessage="1" prompt="Enter quotation Date in cell at right" sqref="G4:G5 H6" xr:uid="{FC767DFE-D4C5-42E9-861C-3CBCBABA8619}"/>
    <dataValidation allowBlank="1" showInputMessage="1" showErrorMessage="1" prompt="Enter Quotation end date in cell at right" sqref="G4:G5" xr:uid="{0C5E0769-E427-4D22-B457-B3556EEBFC80}"/>
    <dataValidation allowBlank="1" showInputMessage="1" showErrorMessage="1" prompt="Enter Comments or Special Instructions in cell at right" sqref="H8" xr:uid="{F31DBACB-01F8-4544-B831-86AC0FC5B3E8}"/>
  </dataValidations>
  <hyperlinks>
    <hyperlink ref="B8" r:id="rId1" xr:uid="{62E67318-29C3-40AA-BE11-A2836DD6B3D7}"/>
  </hyperlinks>
  <printOptions horizontalCentered="1"/>
  <pageMargins left="0.2" right="0.2" top="0.25" bottom="0.1" header="0.3" footer="0.3"/>
  <pageSetup scale="82" pageOrder="overThenDown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1B688-491C-4F11-9B17-D00E273816BE}">
  <dimension ref="A1:H41"/>
  <sheetViews>
    <sheetView topLeftCell="A2" workbookViewId="0">
      <selection activeCell="K37" sqref="K37"/>
    </sheetView>
  </sheetViews>
  <sheetFormatPr defaultRowHeight="15.6" x14ac:dyDescent="0.3"/>
  <cols>
    <col min="1" max="1" width="36.33203125" customWidth="1"/>
    <col min="3" max="3" width="15.33203125" customWidth="1"/>
    <col min="4" max="4" width="8.88671875" style="223"/>
    <col min="5" max="5" width="35.44140625" customWidth="1"/>
    <col min="7" max="7" width="16.33203125" customWidth="1"/>
    <col min="8" max="8" width="8.88671875" style="223"/>
  </cols>
  <sheetData>
    <row r="1" spans="1:8" ht="25.2" x14ac:dyDescent="0.3">
      <c r="A1" s="333" t="s">
        <v>36</v>
      </c>
      <c r="B1" s="334"/>
      <c r="C1" s="334"/>
      <c r="D1" s="334"/>
      <c r="E1" s="334"/>
      <c r="F1" s="334"/>
      <c r="G1" s="334"/>
    </row>
    <row r="2" spans="1:8" ht="23.4" x14ac:dyDescent="0.3">
      <c r="A2" s="5"/>
      <c r="B2" s="6"/>
      <c r="C2" s="7"/>
      <c r="D2" s="224" t="s">
        <v>292</v>
      </c>
      <c r="E2" s="6"/>
      <c r="F2" s="8" t="s">
        <v>37</v>
      </c>
      <c r="G2" s="9">
        <v>44830</v>
      </c>
      <c r="H2" s="224" t="s">
        <v>292</v>
      </c>
    </row>
    <row r="3" spans="1:8" ht="18" x14ac:dyDescent="0.3">
      <c r="A3" s="10" t="s">
        <v>38</v>
      </c>
      <c r="B3" s="11"/>
      <c r="C3" s="12"/>
      <c r="D3" s="220"/>
      <c r="E3" s="10" t="s">
        <v>39</v>
      </c>
      <c r="F3" s="11"/>
      <c r="G3" s="12"/>
    </row>
    <row r="4" spans="1:8" ht="18" x14ac:dyDescent="0.3">
      <c r="A4" s="13"/>
      <c r="B4" s="6"/>
      <c r="C4" s="14"/>
      <c r="D4" s="220"/>
      <c r="E4" s="15"/>
      <c r="F4" s="6"/>
      <c r="G4" s="16"/>
    </row>
    <row r="5" spans="1:8" ht="16.2" x14ac:dyDescent="0.3">
      <c r="A5" s="17" t="s">
        <v>40</v>
      </c>
      <c r="B5" s="18" t="s">
        <v>8</v>
      </c>
      <c r="C5" s="19">
        <v>2.15</v>
      </c>
      <c r="D5" s="220"/>
      <c r="E5" s="17" t="s">
        <v>41</v>
      </c>
      <c r="F5" s="18" t="s">
        <v>4</v>
      </c>
      <c r="G5" s="19">
        <v>5250</v>
      </c>
    </row>
    <row r="6" spans="1:8" ht="16.2" x14ac:dyDescent="0.3">
      <c r="A6" s="17" t="s">
        <v>42</v>
      </c>
      <c r="B6" s="18" t="s">
        <v>8</v>
      </c>
      <c r="C6" s="19">
        <v>1.7</v>
      </c>
      <c r="D6" s="220"/>
      <c r="E6" s="17" t="s">
        <v>43</v>
      </c>
      <c r="F6" s="18" t="s">
        <v>4</v>
      </c>
      <c r="G6" s="19">
        <v>3080</v>
      </c>
    </row>
    <row r="7" spans="1:8" ht="16.2" x14ac:dyDescent="0.3">
      <c r="A7" s="17" t="s">
        <v>44</v>
      </c>
      <c r="B7" s="18" t="s">
        <v>8</v>
      </c>
      <c r="C7" s="19">
        <v>3.15</v>
      </c>
      <c r="D7" s="220"/>
      <c r="E7" s="20"/>
      <c r="F7" s="20"/>
      <c r="G7" s="20"/>
    </row>
    <row r="8" spans="1:8" ht="16.2" x14ac:dyDescent="0.3">
      <c r="A8" s="17" t="s">
        <v>45</v>
      </c>
      <c r="B8" s="18" t="s">
        <v>8</v>
      </c>
      <c r="C8" s="19">
        <v>3.71</v>
      </c>
      <c r="D8" s="220"/>
      <c r="E8" s="21" t="s">
        <v>46</v>
      </c>
      <c r="F8" s="18" t="s">
        <v>4</v>
      </c>
      <c r="G8" s="22">
        <v>1365</v>
      </c>
    </row>
    <row r="9" spans="1:8" ht="16.2" x14ac:dyDescent="0.3">
      <c r="A9" s="23" t="s">
        <v>47</v>
      </c>
      <c r="B9" s="24" t="s">
        <v>8</v>
      </c>
      <c r="C9" s="25">
        <v>1</v>
      </c>
      <c r="D9" s="224"/>
      <c r="E9" s="17" t="s">
        <v>48</v>
      </c>
      <c r="F9" s="18" t="s">
        <v>4</v>
      </c>
      <c r="G9" s="19">
        <v>1260</v>
      </c>
    </row>
    <row r="10" spans="1:8" ht="16.2" x14ac:dyDescent="0.3">
      <c r="A10" s="26"/>
      <c r="B10" s="26"/>
      <c r="C10" s="26"/>
      <c r="D10" s="224"/>
      <c r="E10" s="23" t="s">
        <v>49</v>
      </c>
      <c r="F10" s="27" t="s">
        <v>4</v>
      </c>
      <c r="G10" s="25">
        <v>800</v>
      </c>
    </row>
    <row r="11" spans="1:8" ht="16.2" x14ac:dyDescent="0.3">
      <c r="A11" s="17" t="s">
        <v>50</v>
      </c>
      <c r="B11" s="18" t="s">
        <v>8</v>
      </c>
      <c r="C11" s="19">
        <v>2.2999999999999998</v>
      </c>
      <c r="D11" s="224"/>
      <c r="E11" s="28"/>
      <c r="F11" s="29"/>
      <c r="G11" s="30"/>
    </row>
    <row r="12" spans="1:8" ht="18" x14ac:dyDescent="0.3">
      <c r="A12" s="17" t="s">
        <v>51</v>
      </c>
      <c r="B12" s="18" t="s">
        <v>4</v>
      </c>
      <c r="C12" s="19">
        <v>3.9</v>
      </c>
      <c r="D12" s="224"/>
      <c r="E12" s="10" t="s">
        <v>52</v>
      </c>
      <c r="F12" s="11"/>
      <c r="G12" s="31"/>
    </row>
    <row r="13" spans="1:8" ht="16.2" x14ac:dyDescent="0.3">
      <c r="A13" s="20"/>
      <c r="B13" s="20"/>
      <c r="C13" s="20"/>
      <c r="D13" s="224"/>
      <c r="E13" s="17" t="s">
        <v>53</v>
      </c>
      <c r="F13" s="18" t="s">
        <v>8</v>
      </c>
      <c r="G13" s="19">
        <v>75</v>
      </c>
      <c r="H13" s="223" t="s">
        <v>293</v>
      </c>
    </row>
    <row r="14" spans="1:8" ht="18" x14ac:dyDescent="0.3">
      <c r="A14" s="10" t="s">
        <v>54</v>
      </c>
      <c r="B14" s="32"/>
      <c r="C14" s="33"/>
      <c r="D14" s="224"/>
      <c r="E14" s="17" t="s">
        <v>55</v>
      </c>
      <c r="F14" s="18" t="s">
        <v>8</v>
      </c>
      <c r="G14" s="19">
        <v>75</v>
      </c>
      <c r="H14" s="223" t="s">
        <v>293</v>
      </c>
    </row>
    <row r="15" spans="1:8" ht="16.2" x14ac:dyDescent="0.3">
      <c r="A15" s="17" t="s">
        <v>56</v>
      </c>
      <c r="B15" s="18" t="s">
        <v>4</v>
      </c>
      <c r="C15" s="19">
        <v>90</v>
      </c>
      <c r="D15" s="224"/>
      <c r="E15" s="34" t="s">
        <v>57</v>
      </c>
      <c r="F15" s="18" t="s">
        <v>8</v>
      </c>
      <c r="G15" s="19">
        <v>218</v>
      </c>
    </row>
    <row r="16" spans="1:8" ht="16.2" x14ac:dyDescent="0.3">
      <c r="A16" s="17" t="s">
        <v>291</v>
      </c>
      <c r="B16" s="18" t="s">
        <v>4</v>
      </c>
      <c r="C16" s="19">
        <v>73</v>
      </c>
      <c r="D16" s="224" t="s">
        <v>293</v>
      </c>
      <c r="E16" s="34"/>
      <c r="F16" s="18"/>
      <c r="G16" s="19"/>
    </row>
    <row r="17" spans="1:8" ht="16.2" x14ac:dyDescent="0.3">
      <c r="A17" s="17" t="s">
        <v>290</v>
      </c>
      <c r="B17" s="18" t="s">
        <v>4</v>
      </c>
      <c r="C17" s="22">
        <v>150</v>
      </c>
      <c r="D17" s="224" t="s">
        <v>293</v>
      </c>
      <c r="E17" s="17" t="s">
        <v>58</v>
      </c>
      <c r="F17" s="18" t="s">
        <v>8</v>
      </c>
      <c r="G17" s="19">
        <v>182</v>
      </c>
    </row>
    <row r="18" spans="1:8" ht="16.2" x14ac:dyDescent="0.3">
      <c r="A18" s="17" t="s">
        <v>59</v>
      </c>
      <c r="B18" s="18" t="s">
        <v>8</v>
      </c>
      <c r="C18" s="19">
        <v>15</v>
      </c>
      <c r="D18" s="224" t="s">
        <v>293</v>
      </c>
      <c r="E18" s="35" t="s">
        <v>60</v>
      </c>
      <c r="F18" s="36" t="s">
        <v>8</v>
      </c>
      <c r="G18" s="37">
        <v>44</v>
      </c>
    </row>
    <row r="19" spans="1:8" ht="16.2" x14ac:dyDescent="0.3">
      <c r="A19" s="17" t="s">
        <v>297</v>
      </c>
      <c r="B19" s="18" t="s">
        <v>4</v>
      </c>
      <c r="C19" s="19">
        <v>54.4</v>
      </c>
      <c r="D19" s="224" t="s">
        <v>293</v>
      </c>
      <c r="E19" s="17" t="s">
        <v>298</v>
      </c>
      <c r="F19" s="18" t="s">
        <v>4</v>
      </c>
      <c r="G19" s="19">
        <v>50</v>
      </c>
      <c r="H19" s="223" t="s">
        <v>293</v>
      </c>
    </row>
    <row r="20" spans="1:8" ht="16.2" x14ac:dyDescent="0.3">
      <c r="A20" s="17" t="s">
        <v>61</v>
      </c>
      <c r="B20" s="18" t="s">
        <v>8</v>
      </c>
      <c r="C20" s="19">
        <v>15</v>
      </c>
      <c r="D20" s="224" t="s">
        <v>293</v>
      </c>
      <c r="E20" s="17" t="s">
        <v>62</v>
      </c>
      <c r="F20" s="18" t="s">
        <v>8</v>
      </c>
      <c r="G20" s="22">
        <v>245</v>
      </c>
    </row>
    <row r="21" spans="1:8" ht="16.2" x14ac:dyDescent="0.3">
      <c r="A21" s="17" t="s">
        <v>63</v>
      </c>
      <c r="B21" s="18" t="s">
        <v>4</v>
      </c>
      <c r="C21" s="19">
        <v>259</v>
      </c>
      <c r="D21" s="224"/>
      <c r="E21" s="17" t="s">
        <v>64</v>
      </c>
      <c r="F21" s="18" t="s">
        <v>8</v>
      </c>
      <c r="G21" s="19">
        <v>31.5</v>
      </c>
    </row>
    <row r="22" spans="1:8" ht="16.2" x14ac:dyDescent="0.3">
      <c r="A22" s="17" t="s">
        <v>65</v>
      </c>
      <c r="B22" s="18" t="s">
        <v>4</v>
      </c>
      <c r="C22" s="19">
        <v>630</v>
      </c>
      <c r="D22" s="224"/>
      <c r="E22" s="38"/>
      <c r="F22" s="39"/>
      <c r="G22" s="40"/>
    </row>
    <row r="23" spans="1:8" ht="18" x14ac:dyDescent="0.3">
      <c r="A23" s="17" t="s">
        <v>66</v>
      </c>
      <c r="B23" s="18" t="s">
        <v>4</v>
      </c>
      <c r="C23" s="41">
        <v>210</v>
      </c>
      <c r="D23" s="224"/>
      <c r="E23" s="10" t="s">
        <v>67</v>
      </c>
      <c r="F23" s="11"/>
      <c r="G23" s="12"/>
    </row>
    <row r="24" spans="1:8" ht="16.2" x14ac:dyDescent="0.3">
      <c r="A24" s="17" t="s">
        <v>68</v>
      </c>
      <c r="B24" s="18" t="s">
        <v>4</v>
      </c>
      <c r="C24" s="41">
        <v>420</v>
      </c>
      <c r="D24" s="220"/>
      <c r="E24" s="17" t="s">
        <v>69</v>
      </c>
      <c r="F24" s="18" t="s">
        <v>8</v>
      </c>
      <c r="G24" s="19">
        <v>2.2999999999999998</v>
      </c>
    </row>
    <row r="25" spans="1:8" ht="16.2" x14ac:dyDescent="0.3">
      <c r="A25" s="26" t="s">
        <v>70</v>
      </c>
      <c r="B25" s="18" t="s">
        <v>4</v>
      </c>
      <c r="C25" s="19">
        <v>230</v>
      </c>
      <c r="D25" s="220"/>
      <c r="E25" s="17" t="s">
        <v>71</v>
      </c>
      <c r="F25" s="18" t="s">
        <v>8</v>
      </c>
      <c r="G25" s="19"/>
    </row>
    <row r="26" spans="1:8" ht="16.2" x14ac:dyDescent="0.3">
      <c r="A26" s="20"/>
      <c r="B26" s="20"/>
      <c r="C26" s="20"/>
      <c r="D26" s="220"/>
      <c r="E26" s="21" t="s">
        <v>72</v>
      </c>
      <c r="F26" s="18" t="s">
        <v>8</v>
      </c>
      <c r="G26" s="22">
        <v>1</v>
      </c>
    </row>
    <row r="27" spans="1:8" ht="16.2" x14ac:dyDescent="0.3">
      <c r="A27" s="26" t="s">
        <v>73</v>
      </c>
      <c r="B27" s="26" t="s">
        <v>4</v>
      </c>
      <c r="C27" s="43">
        <v>2625</v>
      </c>
      <c r="D27" s="220"/>
      <c r="E27" s="26"/>
      <c r="F27" s="26"/>
      <c r="G27" s="26"/>
    </row>
    <row r="28" spans="1:8" ht="16.2" x14ac:dyDescent="0.3">
      <c r="A28" s="17"/>
      <c r="B28" s="18"/>
      <c r="C28" s="19"/>
      <c r="D28" s="220"/>
      <c r="E28" s="17" t="s">
        <v>74</v>
      </c>
      <c r="F28" s="18" t="s">
        <v>8</v>
      </c>
      <c r="G28" s="19">
        <v>0</v>
      </c>
    </row>
    <row r="29" spans="1:8" ht="18" x14ac:dyDescent="0.3">
      <c r="A29" s="10" t="s">
        <v>75</v>
      </c>
      <c r="B29" s="32"/>
      <c r="C29" s="44"/>
      <c r="D29" s="220"/>
      <c r="E29" s="17" t="s">
        <v>76</v>
      </c>
      <c r="F29" s="18" t="s">
        <v>4</v>
      </c>
      <c r="G29" s="19">
        <v>245</v>
      </c>
    </row>
    <row r="30" spans="1:8" ht="16.2" x14ac:dyDescent="0.3">
      <c r="A30" s="17" t="s">
        <v>300</v>
      </c>
      <c r="B30" s="18" t="s">
        <v>8</v>
      </c>
      <c r="C30" s="19">
        <v>8.85</v>
      </c>
      <c r="D30" s="220"/>
      <c r="E30" s="17" t="s">
        <v>77</v>
      </c>
      <c r="F30" s="18" t="s">
        <v>8</v>
      </c>
      <c r="G30" s="19">
        <v>3.85</v>
      </c>
    </row>
    <row r="31" spans="1:8" ht="16.2" x14ac:dyDescent="0.3">
      <c r="A31" s="17" t="s">
        <v>303</v>
      </c>
      <c r="B31" s="18" t="s">
        <v>8</v>
      </c>
      <c r="C31" s="19">
        <v>1.71</v>
      </c>
      <c r="D31" s="220" t="s">
        <v>293</v>
      </c>
      <c r="E31" s="17"/>
      <c r="F31" s="18"/>
      <c r="G31" s="19"/>
    </row>
    <row r="32" spans="1:8" ht="16.2" x14ac:dyDescent="0.3">
      <c r="A32" s="17" t="s">
        <v>299</v>
      </c>
      <c r="B32" s="18" t="s">
        <v>8</v>
      </c>
      <c r="C32" s="19">
        <v>1.71</v>
      </c>
      <c r="D32" s="220" t="s">
        <v>293</v>
      </c>
      <c r="E32" s="20"/>
      <c r="F32" s="20"/>
      <c r="G32" s="20"/>
    </row>
    <row r="33" spans="1:7" ht="18" x14ac:dyDescent="0.3">
      <c r="A33" s="17" t="s">
        <v>78</v>
      </c>
      <c r="B33" s="18" t="s">
        <v>8</v>
      </c>
      <c r="C33" s="19">
        <v>4.38</v>
      </c>
      <c r="D33" s="220"/>
      <c r="E33" s="10" t="s">
        <v>79</v>
      </c>
      <c r="F33" s="11"/>
      <c r="G33" s="45"/>
    </row>
    <row r="34" spans="1:7" ht="16.2" x14ac:dyDescent="0.3">
      <c r="A34" s="17" t="s">
        <v>301</v>
      </c>
      <c r="B34" s="18" t="s">
        <v>8</v>
      </c>
      <c r="C34" s="19">
        <v>2.8</v>
      </c>
      <c r="D34" s="220" t="s">
        <v>293</v>
      </c>
      <c r="E34" s="17" t="s">
        <v>80</v>
      </c>
      <c r="F34" s="18" t="s">
        <v>9</v>
      </c>
      <c r="G34" s="46" t="s">
        <v>81</v>
      </c>
    </row>
    <row r="35" spans="1:7" ht="16.2" x14ac:dyDescent="0.3">
      <c r="A35" s="17" t="s">
        <v>302</v>
      </c>
      <c r="B35" s="18" t="s">
        <v>8</v>
      </c>
      <c r="C35" s="19">
        <v>5.6</v>
      </c>
      <c r="D35" s="220" t="s">
        <v>293</v>
      </c>
      <c r="E35" s="17"/>
      <c r="F35" s="18"/>
      <c r="G35" s="46"/>
    </row>
    <row r="36" spans="1:7" ht="16.2" x14ac:dyDescent="0.3">
      <c r="A36" s="21" t="s">
        <v>82</v>
      </c>
      <c r="B36" s="18" t="s">
        <v>8</v>
      </c>
      <c r="C36" s="22">
        <v>1.25</v>
      </c>
      <c r="D36" s="220"/>
      <c r="E36" s="26" t="s">
        <v>83</v>
      </c>
      <c r="F36" s="18" t="s">
        <v>9</v>
      </c>
      <c r="G36" s="46" t="s">
        <v>81</v>
      </c>
    </row>
    <row r="37" spans="1:7" ht="16.2" x14ac:dyDescent="0.3">
      <c r="A37" s="17" t="s">
        <v>84</v>
      </c>
      <c r="B37" s="18" t="s">
        <v>4</v>
      </c>
      <c r="C37" s="19">
        <v>49</v>
      </c>
      <c r="D37" s="220" t="s">
        <v>293</v>
      </c>
      <c r="E37" s="26" t="s">
        <v>85</v>
      </c>
      <c r="F37" s="18" t="s">
        <v>86</v>
      </c>
      <c r="G37" s="46" t="s">
        <v>81</v>
      </c>
    </row>
    <row r="38" spans="1:7" ht="16.2" x14ac:dyDescent="0.3">
      <c r="A38" s="17" t="s">
        <v>87</v>
      </c>
      <c r="B38" s="18" t="s">
        <v>4</v>
      </c>
      <c r="C38" s="19">
        <v>99</v>
      </c>
      <c r="D38" s="220" t="s">
        <v>293</v>
      </c>
      <c r="E38" s="26"/>
      <c r="F38" s="26"/>
      <c r="G38" s="26"/>
    </row>
    <row r="39" spans="1:7" ht="16.2" x14ac:dyDescent="0.3">
      <c r="A39" s="17" t="s">
        <v>88</v>
      </c>
      <c r="B39" s="18" t="s">
        <v>8</v>
      </c>
      <c r="C39" s="19"/>
      <c r="D39" s="220"/>
      <c r="E39" s="47" t="s">
        <v>89</v>
      </c>
      <c r="F39" s="48" t="s">
        <v>4</v>
      </c>
      <c r="G39" s="49">
        <v>800</v>
      </c>
    </row>
    <row r="40" spans="1:7" ht="16.2" x14ac:dyDescent="0.3">
      <c r="A40" s="17" t="s">
        <v>90</v>
      </c>
      <c r="B40" s="18" t="s">
        <v>8</v>
      </c>
      <c r="C40" s="19"/>
      <c r="D40" s="220"/>
      <c r="E40" s="47" t="s">
        <v>91</v>
      </c>
      <c r="F40" s="48" t="s">
        <v>4</v>
      </c>
      <c r="G40" s="49">
        <v>250</v>
      </c>
    </row>
    <row r="41" spans="1:7" ht="16.2" x14ac:dyDescent="0.3">
      <c r="A41" s="17" t="s">
        <v>92</v>
      </c>
      <c r="B41" s="18" t="s">
        <v>8</v>
      </c>
      <c r="C41" s="19"/>
      <c r="D41" s="220"/>
      <c r="E41" s="47" t="s">
        <v>93</v>
      </c>
      <c r="F41" s="48" t="s">
        <v>4</v>
      </c>
      <c r="G41" s="49">
        <v>560</v>
      </c>
    </row>
  </sheetData>
  <mergeCells count="1">
    <mergeCell ref="A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C62CE-EF7A-43CD-B516-4DAB4DE39F4C}">
  <dimension ref="A1:K43"/>
  <sheetViews>
    <sheetView workbookViewId="0">
      <selection activeCell="D14" sqref="D14"/>
    </sheetView>
  </sheetViews>
  <sheetFormatPr defaultRowHeight="14.4" x14ac:dyDescent="0.3"/>
  <cols>
    <col min="1" max="1" width="38.5546875" customWidth="1"/>
    <col min="3" max="3" width="11.33203125" bestFit="1" customWidth="1"/>
    <col min="4" max="4" width="52.33203125" customWidth="1"/>
    <col min="5" max="6" width="11.33203125" bestFit="1" customWidth="1"/>
  </cols>
  <sheetData>
    <row r="1" spans="1:11" ht="18" x14ac:dyDescent="0.3">
      <c r="A1" s="57" t="s">
        <v>135</v>
      </c>
      <c r="B1" s="11"/>
      <c r="C1" s="56"/>
      <c r="D1" s="42"/>
      <c r="E1" s="8" t="s">
        <v>37</v>
      </c>
      <c r="F1" s="9">
        <v>44830</v>
      </c>
    </row>
    <row r="2" spans="1:11" x14ac:dyDescent="0.3">
      <c r="A2" s="15"/>
      <c r="B2" s="20"/>
      <c r="C2" s="55"/>
      <c r="D2" s="42"/>
      <c r="E2" s="42"/>
      <c r="F2" s="15"/>
    </row>
    <row r="3" spans="1:11" ht="16.2" x14ac:dyDescent="0.3">
      <c r="A3" s="17" t="s">
        <v>134</v>
      </c>
      <c r="B3" s="18" t="s">
        <v>9</v>
      </c>
      <c r="C3" s="50">
        <v>1050</v>
      </c>
      <c r="D3" s="20"/>
      <c r="E3" s="18" t="s">
        <v>9</v>
      </c>
      <c r="F3" s="50">
        <v>15730</v>
      </c>
    </row>
    <row r="4" spans="1:11" ht="16.2" x14ac:dyDescent="0.3">
      <c r="A4" s="17" t="s">
        <v>133</v>
      </c>
      <c r="B4" s="18" t="s">
        <v>9</v>
      </c>
      <c r="C4" s="50">
        <v>2940</v>
      </c>
      <c r="D4" s="54" t="s">
        <v>132</v>
      </c>
      <c r="G4" s="20"/>
    </row>
    <row r="5" spans="1:11" ht="16.2" x14ac:dyDescent="0.3">
      <c r="A5" s="17"/>
      <c r="B5" s="18"/>
      <c r="C5" s="50"/>
      <c r="D5" s="54" t="s">
        <v>131</v>
      </c>
      <c r="G5" s="20"/>
    </row>
    <row r="6" spans="1:11" ht="16.2" x14ac:dyDescent="0.3">
      <c r="A6" s="17" t="s">
        <v>130</v>
      </c>
      <c r="B6" s="18" t="s">
        <v>9</v>
      </c>
      <c r="C6" s="50">
        <v>2100</v>
      </c>
      <c r="D6" s="54" t="s">
        <v>129</v>
      </c>
      <c r="G6" s="20"/>
    </row>
    <row r="7" spans="1:11" ht="16.2" x14ac:dyDescent="0.3">
      <c r="A7" s="17" t="s">
        <v>127</v>
      </c>
      <c r="B7" s="18" t="s">
        <v>9</v>
      </c>
      <c r="C7" s="50">
        <v>10164</v>
      </c>
      <c r="D7" s="54" t="s">
        <v>128</v>
      </c>
      <c r="G7" s="20"/>
      <c r="H7" s="53"/>
      <c r="I7" s="53"/>
      <c r="J7" s="53"/>
      <c r="K7" s="53"/>
    </row>
    <row r="8" spans="1:11" ht="16.2" x14ac:dyDescent="0.3">
      <c r="A8" s="17" t="s">
        <v>127</v>
      </c>
      <c r="B8" s="18" t="s">
        <v>21</v>
      </c>
      <c r="C8" s="50">
        <v>2.1</v>
      </c>
      <c r="D8" s="54" t="s">
        <v>126</v>
      </c>
      <c r="G8" s="20"/>
      <c r="H8" s="53"/>
      <c r="I8" s="53"/>
      <c r="J8" s="53"/>
      <c r="K8" s="53"/>
    </row>
    <row r="9" spans="1:11" ht="18" customHeight="1" x14ac:dyDescent="0.3">
      <c r="A9" s="34" t="s">
        <v>124</v>
      </c>
      <c r="B9" s="18" t="s">
        <v>9</v>
      </c>
      <c r="C9" s="50">
        <v>9078.6</v>
      </c>
      <c r="D9" s="54" t="s">
        <v>125</v>
      </c>
      <c r="G9" s="20"/>
      <c r="H9" s="53"/>
      <c r="I9" s="53"/>
      <c r="J9" s="53"/>
      <c r="K9" s="53"/>
    </row>
    <row r="10" spans="1:11" ht="18" customHeight="1" x14ac:dyDescent="0.3">
      <c r="A10" s="34" t="s">
        <v>124</v>
      </c>
      <c r="B10" s="18" t="s">
        <v>21</v>
      </c>
      <c r="C10" s="50">
        <v>1.89</v>
      </c>
      <c r="D10" s="54" t="s">
        <v>123</v>
      </c>
      <c r="G10" s="20"/>
      <c r="H10" s="53"/>
      <c r="I10" s="53"/>
      <c r="J10" s="53"/>
      <c r="K10" s="53"/>
    </row>
    <row r="11" spans="1:11" ht="16.2" x14ac:dyDescent="0.3">
      <c r="A11" s="26"/>
      <c r="B11" s="26"/>
      <c r="C11" s="26"/>
      <c r="E11" s="53"/>
      <c r="F11" s="53"/>
      <c r="G11" s="53"/>
      <c r="H11" s="53"/>
      <c r="I11" s="53"/>
      <c r="J11" s="53"/>
      <c r="K11" s="53"/>
    </row>
    <row r="12" spans="1:11" ht="16.2" x14ac:dyDescent="0.3">
      <c r="A12" s="17" t="s">
        <v>122</v>
      </c>
      <c r="B12" s="18" t="s">
        <v>9</v>
      </c>
      <c r="C12" s="50">
        <v>910</v>
      </c>
      <c r="E12" s="53"/>
      <c r="F12" s="53"/>
      <c r="G12" s="53"/>
      <c r="H12" s="53"/>
      <c r="I12" s="53"/>
      <c r="J12" s="53"/>
      <c r="K12" s="53"/>
    </row>
    <row r="13" spans="1:11" ht="16.2" x14ac:dyDescent="0.3">
      <c r="A13" s="17" t="s">
        <v>121</v>
      </c>
      <c r="B13" s="18" t="s">
        <v>9</v>
      </c>
      <c r="C13" s="50">
        <v>525</v>
      </c>
      <c r="E13" s="53"/>
      <c r="F13" s="53"/>
      <c r="G13" s="53"/>
      <c r="H13" s="53"/>
      <c r="I13" s="53"/>
      <c r="J13" s="53"/>
      <c r="K13" s="53"/>
    </row>
    <row r="14" spans="1:11" ht="16.2" x14ac:dyDescent="0.3">
      <c r="A14" s="17" t="s">
        <v>120</v>
      </c>
      <c r="B14" s="18" t="s">
        <v>9</v>
      </c>
      <c r="C14" s="50">
        <v>315</v>
      </c>
      <c r="D14" s="20"/>
      <c r="E14" s="20"/>
      <c r="F14" s="20"/>
    </row>
    <row r="15" spans="1:11" ht="16.2" x14ac:dyDescent="0.3">
      <c r="A15" s="34"/>
      <c r="B15" s="18"/>
      <c r="C15" s="50"/>
      <c r="D15" s="20"/>
      <c r="E15" s="20"/>
      <c r="F15" s="20"/>
    </row>
    <row r="16" spans="1:11" ht="16.2" x14ac:dyDescent="0.3">
      <c r="A16" s="26" t="s">
        <v>119</v>
      </c>
      <c r="B16" s="18" t="s">
        <v>9</v>
      </c>
      <c r="C16" s="50">
        <v>5322.8</v>
      </c>
      <c r="D16" s="20"/>
      <c r="E16" s="20"/>
      <c r="F16" s="20"/>
    </row>
    <row r="17" spans="1:6" ht="16.2" x14ac:dyDescent="0.3">
      <c r="A17" s="26" t="s">
        <v>118</v>
      </c>
      <c r="B17" s="18" t="s">
        <v>9</v>
      </c>
      <c r="C17" s="50">
        <v>6728.4</v>
      </c>
      <c r="D17" s="20"/>
      <c r="E17" s="20"/>
      <c r="F17" s="20"/>
    </row>
    <row r="18" spans="1:6" ht="16.2" x14ac:dyDescent="0.3">
      <c r="A18" s="26" t="s">
        <v>117</v>
      </c>
      <c r="B18" s="18" t="s">
        <v>9</v>
      </c>
      <c r="C18" s="50">
        <v>4613</v>
      </c>
      <c r="D18" s="20"/>
      <c r="E18" s="20"/>
      <c r="F18" s="20"/>
    </row>
    <row r="19" spans="1:6" ht="16.2" x14ac:dyDescent="0.3">
      <c r="A19" s="26"/>
      <c r="B19" s="26"/>
      <c r="C19" s="26"/>
      <c r="D19" s="20"/>
      <c r="E19" s="20"/>
      <c r="F19" s="20"/>
    </row>
    <row r="20" spans="1:6" ht="16.2" x14ac:dyDescent="0.3">
      <c r="A20" s="26" t="s">
        <v>116</v>
      </c>
      <c r="B20" s="18" t="s">
        <v>21</v>
      </c>
      <c r="C20" s="50">
        <v>1.18</v>
      </c>
      <c r="D20" s="17" t="s">
        <v>115</v>
      </c>
      <c r="E20" s="18" t="s">
        <v>21</v>
      </c>
      <c r="F20" s="50">
        <v>6.3</v>
      </c>
    </row>
    <row r="21" spans="1:6" ht="16.2" x14ac:dyDescent="0.3">
      <c r="A21" s="17" t="s">
        <v>114</v>
      </c>
      <c r="B21" s="18" t="s">
        <v>21</v>
      </c>
      <c r="C21" s="50">
        <v>2.2999999999999998</v>
      </c>
      <c r="D21" s="17" t="s">
        <v>113</v>
      </c>
      <c r="E21" s="18" t="s">
        <v>21</v>
      </c>
      <c r="F21" s="52">
        <v>7.7</v>
      </c>
    </row>
    <row r="22" spans="1:6" ht="16.2" x14ac:dyDescent="0.3">
      <c r="A22" s="17" t="s">
        <v>112</v>
      </c>
      <c r="B22" s="18" t="s">
        <v>21</v>
      </c>
      <c r="C22" s="50">
        <v>2.1</v>
      </c>
      <c r="D22" s="17" t="s">
        <v>111</v>
      </c>
      <c r="E22" s="18" t="s">
        <v>21</v>
      </c>
      <c r="F22" s="50">
        <v>8.4</v>
      </c>
    </row>
    <row r="23" spans="1:6" ht="16.2" x14ac:dyDescent="0.3">
      <c r="A23" s="26" t="s">
        <v>110</v>
      </c>
      <c r="B23" s="18" t="s">
        <v>109</v>
      </c>
      <c r="C23" s="50">
        <v>21</v>
      </c>
      <c r="D23" s="17" t="s">
        <v>108</v>
      </c>
      <c r="E23" s="18" t="s">
        <v>21</v>
      </c>
      <c r="F23" s="50">
        <v>9.1</v>
      </c>
    </row>
    <row r="24" spans="1:6" ht="16.2" x14ac:dyDescent="0.3">
      <c r="A24" s="26" t="s">
        <v>107</v>
      </c>
      <c r="B24" s="18"/>
      <c r="C24" s="50"/>
      <c r="D24" s="17" t="s">
        <v>106</v>
      </c>
      <c r="E24" s="18" t="s">
        <v>21</v>
      </c>
      <c r="F24" s="50">
        <v>8.0500000000000007</v>
      </c>
    </row>
    <row r="25" spans="1:6" ht="19.5" customHeight="1" x14ac:dyDescent="0.3">
      <c r="A25" s="26"/>
      <c r="B25" s="18"/>
      <c r="C25" s="50"/>
      <c r="D25" s="51" t="s">
        <v>105</v>
      </c>
      <c r="E25" s="18" t="s">
        <v>21</v>
      </c>
      <c r="F25" s="50">
        <v>10.99</v>
      </c>
    </row>
    <row r="26" spans="1:6" ht="16.2" x14ac:dyDescent="0.3">
      <c r="A26" s="26"/>
      <c r="B26" s="26"/>
      <c r="C26" s="26"/>
      <c r="D26" s="26"/>
      <c r="E26" s="26"/>
      <c r="F26" s="26"/>
    </row>
    <row r="27" spans="1:6" ht="16.2" x14ac:dyDescent="0.3">
      <c r="A27" s="26" t="s">
        <v>104</v>
      </c>
      <c r="B27" s="18" t="s">
        <v>9</v>
      </c>
      <c r="C27" s="50">
        <v>280</v>
      </c>
      <c r="D27" s="26"/>
      <c r="E27" s="26"/>
      <c r="F27" s="26"/>
    </row>
    <row r="28" spans="1:6" ht="16.2" x14ac:dyDescent="0.3">
      <c r="A28" s="26" t="s">
        <v>103</v>
      </c>
      <c r="B28" s="18" t="s">
        <v>102</v>
      </c>
      <c r="C28" s="50">
        <v>16.8</v>
      </c>
      <c r="D28" s="26" t="s">
        <v>101</v>
      </c>
      <c r="E28" s="18" t="s">
        <v>21</v>
      </c>
      <c r="F28" s="50">
        <v>15.68</v>
      </c>
    </row>
    <row r="29" spans="1:6" ht="16.2" x14ac:dyDescent="0.3">
      <c r="A29" s="26" t="s">
        <v>100</v>
      </c>
      <c r="B29" s="18" t="s">
        <v>21</v>
      </c>
      <c r="C29" s="50">
        <v>151.19999999999999</v>
      </c>
      <c r="D29" s="20"/>
      <c r="E29" s="20"/>
      <c r="F29" s="20"/>
    </row>
    <row r="30" spans="1:6" ht="16.2" x14ac:dyDescent="0.3">
      <c r="A30" s="17" t="s">
        <v>99</v>
      </c>
      <c r="B30" s="18" t="s">
        <v>98</v>
      </c>
      <c r="C30" s="50">
        <v>67.2</v>
      </c>
      <c r="D30" s="20"/>
      <c r="E30" s="20"/>
      <c r="F30" s="20"/>
    </row>
    <row r="31" spans="1:6" ht="16.2" x14ac:dyDescent="0.3">
      <c r="A31" s="26" t="s">
        <v>97</v>
      </c>
      <c r="B31" s="18" t="s">
        <v>96</v>
      </c>
      <c r="C31" s="50">
        <v>285.25</v>
      </c>
      <c r="D31" s="20"/>
      <c r="E31" s="20"/>
      <c r="F31" s="20"/>
    </row>
    <row r="32" spans="1:6" ht="16.2" x14ac:dyDescent="0.3">
      <c r="A32" s="26" t="s">
        <v>95</v>
      </c>
      <c r="B32" s="18" t="s">
        <v>94</v>
      </c>
      <c r="C32" s="50">
        <v>120</v>
      </c>
      <c r="D32" s="20"/>
      <c r="E32" s="20"/>
      <c r="F32" s="20"/>
    </row>
    <row r="33" spans="1:6" ht="16.2" x14ac:dyDescent="0.3">
      <c r="A33" s="26"/>
      <c r="B33" s="26"/>
      <c r="C33" s="26"/>
      <c r="D33" s="20"/>
      <c r="E33" s="20"/>
      <c r="F33" s="20"/>
    </row>
    <row r="34" spans="1:6" ht="16.2" x14ac:dyDescent="0.3">
      <c r="A34" s="26"/>
      <c r="B34" s="26"/>
      <c r="C34" s="26"/>
      <c r="D34" s="20"/>
      <c r="E34" s="20"/>
      <c r="F34" s="20"/>
    </row>
    <row r="35" spans="1:6" x14ac:dyDescent="0.3">
      <c r="D35" s="20"/>
      <c r="E35" s="20"/>
      <c r="F35" s="20"/>
    </row>
    <row r="36" spans="1:6" x14ac:dyDescent="0.3">
      <c r="E36" s="20"/>
      <c r="F36" s="20"/>
    </row>
    <row r="37" spans="1:6" x14ac:dyDescent="0.3">
      <c r="E37" s="20"/>
      <c r="F37" s="20"/>
    </row>
    <row r="38" spans="1:6" x14ac:dyDescent="0.3">
      <c r="E38" s="20"/>
      <c r="F38" s="20"/>
    </row>
    <row r="39" spans="1:6" x14ac:dyDescent="0.3">
      <c r="E39" s="20"/>
      <c r="F39" s="20"/>
    </row>
    <row r="40" spans="1:6" x14ac:dyDescent="0.3">
      <c r="E40" s="20"/>
      <c r="F40" s="20"/>
    </row>
    <row r="41" spans="1:6" x14ac:dyDescent="0.3">
      <c r="E41" s="20"/>
      <c r="F41" s="20"/>
    </row>
    <row r="42" spans="1:6" x14ac:dyDescent="0.3">
      <c r="E42" s="20"/>
      <c r="F42" s="20"/>
    </row>
    <row r="43" spans="1:6" ht="16.2" x14ac:dyDescent="0.3">
      <c r="D43" s="26"/>
      <c r="E43" s="26"/>
      <c r="F43" s="26"/>
    </row>
  </sheetData>
  <pageMargins left="0.1" right="0.1" top="0.25" bottom="0.25" header="0.3" footer="0.3"/>
  <pageSetup orientation="landscape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5553A-6DE7-40CD-A959-4477593CE904}">
  <dimension ref="A1:E24"/>
  <sheetViews>
    <sheetView topLeftCell="A10" workbookViewId="0">
      <selection activeCell="F2" sqref="F2"/>
    </sheetView>
  </sheetViews>
  <sheetFormatPr defaultColWidth="9.109375" defaultRowHeight="15.6" x14ac:dyDescent="0.3"/>
  <cols>
    <col min="1" max="1" width="41.88671875" style="1" bestFit="1" customWidth="1"/>
    <col min="2" max="2" width="9.109375" style="216"/>
    <col min="3" max="3" width="7.33203125" style="213" bestFit="1" customWidth="1"/>
    <col min="4" max="4" width="10.44140625" style="205" bestFit="1" customWidth="1"/>
    <col min="5" max="5" width="9.109375" style="222"/>
    <col min="6" max="16384" width="9.109375" style="1"/>
  </cols>
  <sheetData>
    <row r="1" spans="1:5" ht="18" x14ac:dyDescent="0.3">
      <c r="A1" s="203" t="s">
        <v>157</v>
      </c>
      <c r="B1" s="217"/>
      <c r="C1" s="218"/>
      <c r="D1" s="204" t="s">
        <v>287</v>
      </c>
      <c r="E1" s="221" t="s">
        <v>292</v>
      </c>
    </row>
    <row r="2" spans="1:5" ht="20.100000000000001" customHeight="1" x14ac:dyDescent="0.3">
      <c r="A2" s="34" t="s">
        <v>156</v>
      </c>
      <c r="B2" s="214" t="s">
        <v>21</v>
      </c>
      <c r="C2" s="206">
        <v>0.45</v>
      </c>
      <c r="D2" s="205" t="s">
        <v>288</v>
      </c>
      <c r="E2" s="222" t="s">
        <v>293</v>
      </c>
    </row>
    <row r="3" spans="1:5" ht="20.100000000000001" customHeight="1" x14ac:dyDescent="0.3">
      <c r="A3" s="17" t="s">
        <v>155</v>
      </c>
      <c r="B3" s="214" t="s">
        <v>21</v>
      </c>
      <c r="C3" s="210">
        <v>0.56999999999999995</v>
      </c>
      <c r="D3" s="205" t="s">
        <v>288</v>
      </c>
      <c r="E3" s="222" t="s">
        <v>293</v>
      </c>
    </row>
    <row r="4" spans="1:5" ht="20.100000000000001" customHeight="1" x14ac:dyDescent="0.3">
      <c r="A4" s="26" t="s">
        <v>296</v>
      </c>
      <c r="B4" s="214" t="s">
        <v>21</v>
      </c>
      <c r="C4" s="206">
        <v>0.94</v>
      </c>
      <c r="D4" s="205" t="s">
        <v>294</v>
      </c>
      <c r="E4" s="222" t="s">
        <v>293</v>
      </c>
    </row>
    <row r="5" spans="1:5" ht="20.100000000000001" customHeight="1" x14ac:dyDescent="0.3">
      <c r="A5" s="26" t="s">
        <v>154</v>
      </c>
      <c r="B5" s="214" t="s">
        <v>21</v>
      </c>
      <c r="C5" s="206">
        <v>0.85</v>
      </c>
      <c r="D5" s="205" t="s">
        <v>295</v>
      </c>
      <c r="E5" s="222" t="s">
        <v>293</v>
      </c>
    </row>
    <row r="6" spans="1:5" ht="20.100000000000001" customHeight="1" x14ac:dyDescent="0.3">
      <c r="A6" s="17" t="s">
        <v>153</v>
      </c>
      <c r="B6" s="214" t="s">
        <v>21</v>
      </c>
      <c r="C6" s="206">
        <v>11.97</v>
      </c>
    </row>
    <row r="7" spans="1:5" ht="20.100000000000001" customHeight="1" x14ac:dyDescent="0.3">
      <c r="A7" s="26" t="s">
        <v>152</v>
      </c>
      <c r="B7" s="214" t="s">
        <v>21</v>
      </c>
      <c r="C7" s="208">
        <v>1.61</v>
      </c>
    </row>
    <row r="8" spans="1:5" ht="20.100000000000001" customHeight="1" x14ac:dyDescent="0.3">
      <c r="A8" s="17" t="s">
        <v>151</v>
      </c>
      <c r="B8" s="214" t="s">
        <v>21</v>
      </c>
      <c r="C8" s="209">
        <v>25.83</v>
      </c>
    </row>
    <row r="9" spans="1:5" ht="20.100000000000001" customHeight="1" x14ac:dyDescent="0.3">
      <c r="A9" s="26" t="s">
        <v>150</v>
      </c>
      <c r="B9" s="214" t="s">
        <v>21</v>
      </c>
      <c r="C9" s="208">
        <v>5.25</v>
      </c>
    </row>
    <row r="10" spans="1:5" ht="20.100000000000001" customHeight="1" x14ac:dyDescent="0.3">
      <c r="A10" s="26" t="s">
        <v>149</v>
      </c>
      <c r="B10" s="214" t="s">
        <v>21</v>
      </c>
      <c r="C10" s="206">
        <v>1.82</v>
      </c>
      <c r="D10" s="205" t="s">
        <v>148</v>
      </c>
    </row>
    <row r="11" spans="1:5" ht="20.100000000000001" customHeight="1" x14ac:dyDescent="0.3">
      <c r="A11" s="17" t="s">
        <v>147</v>
      </c>
      <c r="B11" s="214" t="s">
        <v>21</v>
      </c>
      <c r="C11" s="206">
        <v>2.46</v>
      </c>
      <c r="E11" s="222" t="s">
        <v>293</v>
      </c>
    </row>
    <row r="12" spans="1:5" ht="20.100000000000001" customHeight="1" x14ac:dyDescent="0.3">
      <c r="A12" s="26"/>
      <c r="B12" s="214" t="s">
        <v>21</v>
      </c>
      <c r="C12" s="206"/>
    </row>
    <row r="13" spans="1:5" ht="20.100000000000001" customHeight="1" x14ac:dyDescent="0.3">
      <c r="A13" s="26" t="s">
        <v>146</v>
      </c>
      <c r="B13" s="214" t="s">
        <v>21</v>
      </c>
      <c r="C13" s="210">
        <v>13.24</v>
      </c>
    </row>
    <row r="14" spans="1:5" ht="20.100000000000001" customHeight="1" x14ac:dyDescent="0.3">
      <c r="A14" s="17" t="s">
        <v>145</v>
      </c>
      <c r="B14" s="214" t="s">
        <v>21</v>
      </c>
      <c r="C14" s="210">
        <v>35</v>
      </c>
    </row>
    <row r="15" spans="1:5" ht="20.100000000000001" customHeight="1" x14ac:dyDescent="0.3">
      <c r="A15" s="26" t="s">
        <v>144</v>
      </c>
      <c r="B15" s="214" t="s">
        <v>21</v>
      </c>
      <c r="C15" s="206">
        <v>13.65</v>
      </c>
    </row>
    <row r="16" spans="1:5" ht="16.2" x14ac:dyDescent="0.3">
      <c r="A16" s="26" t="s">
        <v>143</v>
      </c>
      <c r="B16" s="214" t="s">
        <v>21</v>
      </c>
      <c r="C16" s="206">
        <v>9.83</v>
      </c>
    </row>
    <row r="17" spans="1:3" ht="20.100000000000001" customHeight="1" x14ac:dyDescent="0.3">
      <c r="A17" s="26" t="s">
        <v>142</v>
      </c>
      <c r="B17" s="214" t="s">
        <v>21</v>
      </c>
      <c r="C17" s="210"/>
    </row>
    <row r="18" spans="1:3" ht="20.100000000000001" customHeight="1" x14ac:dyDescent="0.3">
      <c r="A18" s="17" t="s">
        <v>141</v>
      </c>
      <c r="B18" s="214" t="s">
        <v>21</v>
      </c>
      <c r="C18" s="209">
        <v>2.66</v>
      </c>
    </row>
    <row r="19" spans="1:3" ht="20.100000000000001" customHeight="1" x14ac:dyDescent="0.3">
      <c r="A19" s="26" t="s">
        <v>140</v>
      </c>
      <c r="B19" s="214" t="s">
        <v>21</v>
      </c>
      <c r="C19" s="210">
        <v>6.65</v>
      </c>
    </row>
    <row r="20" spans="1:3" ht="20.100000000000001" customHeight="1" x14ac:dyDescent="0.3">
      <c r="A20" s="26" t="s">
        <v>139</v>
      </c>
      <c r="B20" s="214" t="s">
        <v>21</v>
      </c>
      <c r="C20" s="211">
        <v>13.24</v>
      </c>
    </row>
    <row r="21" spans="1:3" ht="20.100000000000001" customHeight="1" x14ac:dyDescent="0.3">
      <c r="A21" s="17" t="s">
        <v>138</v>
      </c>
      <c r="B21" s="214" t="s">
        <v>21</v>
      </c>
      <c r="C21" s="207">
        <v>22.1</v>
      </c>
    </row>
    <row r="22" spans="1:3" ht="20.100000000000001" customHeight="1" x14ac:dyDescent="0.3">
      <c r="A22" s="26" t="s">
        <v>137</v>
      </c>
      <c r="B22" s="214" t="s">
        <v>21</v>
      </c>
      <c r="C22" s="211">
        <v>4.55</v>
      </c>
    </row>
    <row r="23" spans="1:3" ht="20.100000000000001" customHeight="1" x14ac:dyDescent="0.3">
      <c r="A23" s="58" t="s">
        <v>136</v>
      </c>
      <c r="B23" s="214" t="s">
        <v>21</v>
      </c>
      <c r="C23" s="210">
        <v>27.65</v>
      </c>
    </row>
    <row r="24" spans="1:3" ht="21" customHeight="1" x14ac:dyDescent="0.3">
      <c r="A24" s="1" t="s">
        <v>284</v>
      </c>
      <c r="B24" s="215" t="s">
        <v>21</v>
      </c>
      <c r="C24" s="212">
        <v>3.75</v>
      </c>
    </row>
  </sheetData>
  <pageMargins left="0.25" right="0.25" top="0.75" bottom="0.75" header="0.3" footer="0.3"/>
  <pageSetup orientation="landscape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A8C3A-258F-47E7-B95F-39C374284821}">
  <dimension ref="A1:E47"/>
  <sheetViews>
    <sheetView tabSelected="1" topLeftCell="A28" workbookViewId="0">
      <selection activeCell="D54" sqref="D54"/>
    </sheetView>
  </sheetViews>
  <sheetFormatPr defaultRowHeight="14.4" x14ac:dyDescent="0.3"/>
  <cols>
    <col min="1" max="3" width="31.88671875" customWidth="1"/>
    <col min="4" max="4" width="31.88671875" style="61" customWidth="1"/>
    <col min="5" max="5" width="21.6640625" customWidth="1"/>
  </cols>
  <sheetData>
    <row r="1" spans="1:5" x14ac:dyDescent="0.3">
      <c r="A1" s="262" t="s">
        <v>346</v>
      </c>
      <c r="B1" s="262" t="s">
        <v>347</v>
      </c>
      <c r="C1" s="262" t="s">
        <v>281</v>
      </c>
      <c r="D1" s="263" t="s">
        <v>350</v>
      </c>
      <c r="E1" s="262" t="s">
        <v>446</v>
      </c>
    </row>
    <row r="2" spans="1:5" x14ac:dyDescent="0.3">
      <c r="A2" t="s">
        <v>425</v>
      </c>
      <c r="B2" t="s">
        <v>356</v>
      </c>
      <c r="C2" s="61" t="s">
        <v>8</v>
      </c>
      <c r="D2" s="61">
        <f>'Fence Calc'!B5</f>
        <v>0.32479999999999998</v>
      </c>
    </row>
    <row r="3" spans="1:5" x14ac:dyDescent="0.3">
      <c r="A3" t="s">
        <v>351</v>
      </c>
      <c r="B3" t="s">
        <v>355</v>
      </c>
      <c r="C3" s="61" t="s">
        <v>4</v>
      </c>
      <c r="D3" s="61">
        <f>'Fence Calc'!B13</f>
        <v>1.8</v>
      </c>
    </row>
    <row r="4" spans="1:5" x14ac:dyDescent="0.3">
      <c r="A4" t="s">
        <v>352</v>
      </c>
      <c r="B4" t="s">
        <v>354</v>
      </c>
      <c r="C4" s="61" t="s">
        <v>4</v>
      </c>
      <c r="D4" s="61">
        <f>'Fence Calc'!B18</f>
        <v>3.9</v>
      </c>
    </row>
    <row r="5" spans="1:5" x14ac:dyDescent="0.3">
      <c r="A5" t="s">
        <v>353</v>
      </c>
      <c r="B5" t="s">
        <v>348</v>
      </c>
      <c r="C5" s="61" t="s">
        <v>4</v>
      </c>
      <c r="D5" s="61">
        <f>'Fence Calc'!B17</f>
        <v>1.05</v>
      </c>
    </row>
    <row r="6" spans="1:5" x14ac:dyDescent="0.3">
      <c r="A6" t="s">
        <v>422</v>
      </c>
      <c r="B6" t="s">
        <v>357</v>
      </c>
      <c r="C6" s="61" t="s">
        <v>8</v>
      </c>
      <c r="D6" s="61">
        <f>'Fence Calc'!B9</f>
        <v>0.93</v>
      </c>
    </row>
    <row r="7" spans="1:5" x14ac:dyDescent="0.3">
      <c r="A7" t="s">
        <v>358</v>
      </c>
      <c r="B7" t="s">
        <v>359</v>
      </c>
      <c r="C7" s="61" t="s">
        <v>8</v>
      </c>
      <c r="D7" s="61">
        <f>'Fence Calc'!B8</f>
        <v>0.45</v>
      </c>
    </row>
    <row r="8" spans="1:5" x14ac:dyDescent="0.3">
      <c r="A8" t="s">
        <v>360</v>
      </c>
      <c r="B8" t="s">
        <v>361</v>
      </c>
      <c r="C8" s="61" t="s">
        <v>4</v>
      </c>
      <c r="D8" s="61">
        <f>'Fence Calc'!B16</f>
        <v>2.25</v>
      </c>
    </row>
    <row r="9" spans="1:5" x14ac:dyDescent="0.3">
      <c r="A9" t="s">
        <v>362</v>
      </c>
      <c r="B9" t="s">
        <v>363</v>
      </c>
      <c r="C9" s="61" t="s">
        <v>8</v>
      </c>
      <c r="D9" s="61">
        <f>'Fence Calc'!B10</f>
        <v>0.13</v>
      </c>
    </row>
    <row r="10" spans="1:5" x14ac:dyDescent="0.3">
      <c r="A10" t="s">
        <v>364</v>
      </c>
      <c r="B10" t="s">
        <v>365</v>
      </c>
      <c r="C10" s="61" t="s">
        <v>8</v>
      </c>
      <c r="D10" s="61">
        <f>'Fence Calc'!B11</f>
        <v>0.46</v>
      </c>
    </row>
    <row r="11" spans="1:5" x14ac:dyDescent="0.3">
      <c r="A11" t="s">
        <v>366</v>
      </c>
      <c r="B11" t="s">
        <v>367</v>
      </c>
      <c r="C11" s="61" t="s">
        <v>4</v>
      </c>
      <c r="D11" s="61">
        <f>'Fence Calc'!B15</f>
        <v>3.5</v>
      </c>
    </row>
    <row r="12" spans="1:5" x14ac:dyDescent="0.3">
      <c r="A12" t="s">
        <v>368</v>
      </c>
      <c r="B12" t="s">
        <v>370</v>
      </c>
      <c r="C12" s="61" t="s">
        <v>4</v>
      </c>
      <c r="D12" s="61">
        <f>'Hydromulch Calc'!B5</f>
        <v>341.98</v>
      </c>
    </row>
    <row r="13" spans="1:5" x14ac:dyDescent="0.3">
      <c r="A13" t="s">
        <v>369</v>
      </c>
      <c r="B13" t="s">
        <v>371</v>
      </c>
      <c r="C13" s="61" t="s">
        <v>4</v>
      </c>
      <c r="D13" s="61">
        <f>'Hydromulch Calc'!B6</f>
        <v>185</v>
      </c>
    </row>
    <row r="14" spans="1:5" x14ac:dyDescent="0.3">
      <c r="A14" t="s">
        <v>372</v>
      </c>
      <c r="B14" t="s">
        <v>373</v>
      </c>
      <c r="C14" s="61" t="s">
        <v>4</v>
      </c>
      <c r="D14" s="61">
        <f>'Hydromulch Calc'!B7</f>
        <v>268</v>
      </c>
    </row>
    <row r="15" spans="1:5" x14ac:dyDescent="0.3">
      <c r="A15" t="s">
        <v>374</v>
      </c>
      <c r="B15" t="s">
        <v>375</v>
      </c>
      <c r="C15" s="61" t="s">
        <v>4</v>
      </c>
      <c r="D15" s="61">
        <f>'Hydromulch Calc'!B8</f>
        <v>23.88</v>
      </c>
    </row>
    <row r="16" spans="1:5" x14ac:dyDescent="0.3">
      <c r="A16" s="227" t="s">
        <v>376</v>
      </c>
      <c r="B16" t="s">
        <v>378</v>
      </c>
      <c r="C16" s="61" t="s">
        <v>4</v>
      </c>
      <c r="D16" s="61">
        <f>'Hydromulch Calc'!B9</f>
        <v>32.5</v>
      </c>
    </row>
    <row r="17" spans="1:4" x14ac:dyDescent="0.3">
      <c r="A17" s="227" t="s">
        <v>377</v>
      </c>
      <c r="B17" t="s">
        <v>379</v>
      </c>
      <c r="C17" s="61" t="s">
        <v>4</v>
      </c>
      <c r="D17" s="61">
        <f>'Hydromulch Calc'!B10</f>
        <v>15.6</v>
      </c>
    </row>
    <row r="18" spans="1:4" x14ac:dyDescent="0.3">
      <c r="A18" s="227" t="s">
        <v>380</v>
      </c>
      <c r="B18" t="s">
        <v>381</v>
      </c>
      <c r="C18" s="61" t="s">
        <v>4</v>
      </c>
      <c r="D18" s="61">
        <f>'Hydromulch Calc'!B11</f>
        <v>25.51</v>
      </c>
    </row>
    <row r="19" spans="1:4" x14ac:dyDescent="0.3">
      <c r="A19" s="227" t="s">
        <v>383</v>
      </c>
      <c r="B19" t="s">
        <v>382</v>
      </c>
      <c r="C19" s="61" t="s">
        <v>4</v>
      </c>
      <c r="D19" s="61">
        <f>'Hydromulch Calc'!B12</f>
        <v>17.12</v>
      </c>
    </row>
    <row r="20" spans="1:4" x14ac:dyDescent="0.3">
      <c r="A20" s="227" t="s">
        <v>389</v>
      </c>
      <c r="B20" t="s">
        <v>384</v>
      </c>
      <c r="C20" s="61" t="s">
        <v>4</v>
      </c>
      <c r="D20" s="61">
        <v>15.66</v>
      </c>
    </row>
    <row r="21" spans="1:4" x14ac:dyDescent="0.3">
      <c r="A21" s="227" t="s">
        <v>390</v>
      </c>
      <c r="B21" t="s">
        <v>385</v>
      </c>
      <c r="C21" s="61" t="s">
        <v>4</v>
      </c>
      <c r="D21" s="61">
        <f>'Hydromulch Calc'!B14</f>
        <v>14</v>
      </c>
    </row>
    <row r="22" spans="1:4" x14ac:dyDescent="0.3">
      <c r="A22" s="227" t="s">
        <v>391</v>
      </c>
      <c r="B22" t="s">
        <v>386</v>
      </c>
      <c r="C22" s="61" t="s">
        <v>4</v>
      </c>
      <c r="D22" s="61">
        <f>'Hydromulch Calc'!B15</f>
        <v>50</v>
      </c>
    </row>
    <row r="23" spans="1:4" x14ac:dyDescent="0.3">
      <c r="A23" s="227" t="s">
        <v>392</v>
      </c>
      <c r="B23" t="s">
        <v>387</v>
      </c>
      <c r="C23" s="61" t="s">
        <v>4</v>
      </c>
      <c r="D23" s="61">
        <f>'Hydromulch Calc'!B16</f>
        <v>20.85</v>
      </c>
    </row>
    <row r="24" spans="1:4" x14ac:dyDescent="0.3">
      <c r="A24" s="227" t="s">
        <v>406</v>
      </c>
      <c r="B24" t="s">
        <v>407</v>
      </c>
      <c r="C24" s="61" t="s">
        <v>4</v>
      </c>
      <c r="D24" s="61">
        <v>13.7</v>
      </c>
    </row>
    <row r="25" spans="1:4" x14ac:dyDescent="0.3">
      <c r="A25" s="227" t="s">
        <v>393</v>
      </c>
      <c r="B25" t="s">
        <v>388</v>
      </c>
      <c r="C25" s="61" t="s">
        <v>4</v>
      </c>
      <c r="D25" s="61">
        <f>'Hydromulch Calc'!B18</f>
        <v>32.6</v>
      </c>
    </row>
    <row r="26" spans="1:4" x14ac:dyDescent="0.3">
      <c r="A26" s="227" t="s">
        <v>403</v>
      </c>
      <c r="B26" t="s">
        <v>404</v>
      </c>
      <c r="C26" s="61" t="s">
        <v>4</v>
      </c>
      <c r="D26" s="61">
        <f>'Hydromulch Calc'!B19</f>
        <v>15</v>
      </c>
    </row>
    <row r="27" spans="1:4" x14ac:dyDescent="0.3">
      <c r="A27" s="227" t="s">
        <v>401</v>
      </c>
      <c r="B27" t="s">
        <v>400</v>
      </c>
      <c r="C27" s="61" t="s">
        <v>4</v>
      </c>
      <c r="D27" s="61">
        <v>14.5</v>
      </c>
    </row>
    <row r="28" spans="1:4" x14ac:dyDescent="0.3">
      <c r="A28" s="227" t="s">
        <v>405</v>
      </c>
      <c r="B28" t="s">
        <v>402</v>
      </c>
      <c r="C28" s="61" t="s">
        <v>4</v>
      </c>
      <c r="D28" s="61">
        <f>'Hydromulch Calc'!B22</f>
        <v>40</v>
      </c>
    </row>
    <row r="29" spans="1:4" x14ac:dyDescent="0.3">
      <c r="A29" s="227" t="s">
        <v>394</v>
      </c>
      <c r="B29" t="s">
        <v>395</v>
      </c>
      <c r="C29" s="61" t="s">
        <v>21</v>
      </c>
      <c r="D29" s="61">
        <f>'Hydromulch Calc'!B23</f>
        <v>2.6</v>
      </c>
    </row>
    <row r="30" spans="1:4" x14ac:dyDescent="0.3">
      <c r="A30" s="227" t="s">
        <v>398</v>
      </c>
      <c r="B30" t="s">
        <v>396</v>
      </c>
      <c r="C30" s="61" t="s">
        <v>8</v>
      </c>
      <c r="D30" s="61">
        <v>0.47299999999999998</v>
      </c>
    </row>
    <row r="31" spans="1:4" x14ac:dyDescent="0.3">
      <c r="A31" s="227" t="s">
        <v>397</v>
      </c>
      <c r="B31" t="s">
        <v>399</v>
      </c>
      <c r="C31" s="61" t="s">
        <v>8</v>
      </c>
      <c r="D31" s="61">
        <v>0.3</v>
      </c>
    </row>
    <row r="32" spans="1:4" x14ac:dyDescent="0.3">
      <c r="A32" s="227" t="s">
        <v>408</v>
      </c>
      <c r="B32" t="s">
        <v>409</v>
      </c>
      <c r="C32" s="61" t="s">
        <v>4</v>
      </c>
      <c r="D32" s="61">
        <v>10</v>
      </c>
    </row>
    <row r="33" spans="1:5" x14ac:dyDescent="0.3">
      <c r="A33" s="227" t="s">
        <v>410</v>
      </c>
      <c r="B33" t="s">
        <v>411</v>
      </c>
      <c r="C33" s="61" t="s">
        <v>8</v>
      </c>
      <c r="D33" s="61">
        <v>16.670000000000002</v>
      </c>
    </row>
    <row r="34" spans="1:5" x14ac:dyDescent="0.3">
      <c r="A34" s="227" t="s">
        <v>412</v>
      </c>
      <c r="B34" t="s">
        <v>413</v>
      </c>
      <c r="C34" s="61" t="s">
        <v>8</v>
      </c>
      <c r="D34" s="61">
        <v>15</v>
      </c>
    </row>
    <row r="35" spans="1:5" x14ac:dyDescent="0.3">
      <c r="A35" s="227" t="s">
        <v>414</v>
      </c>
      <c r="B35" t="s">
        <v>415</v>
      </c>
      <c r="C35" s="61" t="s">
        <v>8</v>
      </c>
      <c r="D35" s="61">
        <v>25</v>
      </c>
    </row>
    <row r="36" spans="1:5" x14ac:dyDescent="0.3">
      <c r="A36" s="227" t="s">
        <v>416</v>
      </c>
      <c r="B36" t="s">
        <v>417</v>
      </c>
      <c r="C36" s="61" t="s">
        <v>8</v>
      </c>
      <c r="D36" s="61">
        <v>21</v>
      </c>
    </row>
    <row r="37" spans="1:5" x14ac:dyDescent="0.3">
      <c r="A37" s="227" t="s">
        <v>418</v>
      </c>
      <c r="B37" t="s">
        <v>420</v>
      </c>
      <c r="C37" s="61" t="s">
        <v>8</v>
      </c>
      <c r="D37" s="61">
        <v>44.45</v>
      </c>
    </row>
    <row r="38" spans="1:5" x14ac:dyDescent="0.3">
      <c r="A38" s="227" t="s">
        <v>421</v>
      </c>
      <c r="B38" t="s">
        <v>419</v>
      </c>
      <c r="C38" s="61" t="s">
        <v>8</v>
      </c>
      <c r="D38" s="61">
        <v>38</v>
      </c>
    </row>
    <row r="39" spans="1:5" x14ac:dyDescent="0.3">
      <c r="A39" s="227" t="s">
        <v>424</v>
      </c>
      <c r="B39" t="s">
        <v>423</v>
      </c>
      <c r="C39" s="61" t="s">
        <v>4</v>
      </c>
      <c r="D39" s="61">
        <f>'Fence Calc'!B14</f>
        <v>3.5</v>
      </c>
    </row>
    <row r="40" spans="1:5" x14ac:dyDescent="0.3">
      <c r="A40" s="227" t="s">
        <v>428</v>
      </c>
      <c r="B40" t="s">
        <v>427</v>
      </c>
      <c r="C40" s="61" t="s">
        <v>4</v>
      </c>
      <c r="D40" s="61">
        <v>49</v>
      </c>
    </row>
    <row r="41" spans="1:5" x14ac:dyDescent="0.3">
      <c r="A41" s="227" t="s">
        <v>429</v>
      </c>
      <c r="B41" t="s">
        <v>430</v>
      </c>
      <c r="C41" s="61" t="s">
        <v>4</v>
      </c>
      <c r="D41" s="61">
        <v>99</v>
      </c>
    </row>
    <row r="42" spans="1:5" x14ac:dyDescent="0.3">
      <c r="A42" s="227" t="s">
        <v>441</v>
      </c>
      <c r="B42" t="s">
        <v>456</v>
      </c>
      <c r="C42" s="61" t="s">
        <v>4</v>
      </c>
      <c r="D42" s="61">
        <v>29</v>
      </c>
      <c r="E42" t="s">
        <v>440</v>
      </c>
    </row>
    <row r="43" spans="1:5" x14ac:dyDescent="0.3">
      <c r="A43" s="227" t="s">
        <v>442</v>
      </c>
      <c r="B43" t="s">
        <v>455</v>
      </c>
      <c r="C43" s="61" t="s">
        <v>4</v>
      </c>
      <c r="D43" s="61">
        <v>145</v>
      </c>
      <c r="E43" t="s">
        <v>440</v>
      </c>
    </row>
    <row r="44" spans="1:5" x14ac:dyDescent="0.3">
      <c r="A44" s="227" t="s">
        <v>443</v>
      </c>
      <c r="B44" t="s">
        <v>454</v>
      </c>
      <c r="C44" s="61" t="s">
        <v>4</v>
      </c>
      <c r="D44" s="61">
        <v>27</v>
      </c>
      <c r="E44" t="s">
        <v>445</v>
      </c>
    </row>
    <row r="45" spans="1:5" x14ac:dyDescent="0.3">
      <c r="A45" s="227" t="s">
        <v>444</v>
      </c>
      <c r="B45" t="s">
        <v>453</v>
      </c>
      <c r="C45" s="61" t="s">
        <v>4</v>
      </c>
      <c r="D45" s="61">
        <v>135</v>
      </c>
      <c r="E45" t="s">
        <v>445</v>
      </c>
    </row>
    <row r="46" spans="1:5" x14ac:dyDescent="0.3">
      <c r="A46" s="227" t="s">
        <v>448</v>
      </c>
      <c r="B46" t="s">
        <v>452</v>
      </c>
      <c r="C46" s="61" t="s">
        <v>4</v>
      </c>
      <c r="D46" s="61">
        <v>299</v>
      </c>
      <c r="E46" t="s">
        <v>447</v>
      </c>
    </row>
    <row r="47" spans="1:5" x14ac:dyDescent="0.3">
      <c r="A47" s="227" t="s">
        <v>449</v>
      </c>
      <c r="B47" t="s">
        <v>451</v>
      </c>
      <c r="C47" s="61" t="s">
        <v>4</v>
      </c>
      <c r="D47" s="61">
        <v>975</v>
      </c>
      <c r="E47" t="s">
        <v>450</v>
      </c>
    </row>
  </sheetData>
  <phoneticPr fontId="79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EEB29-15A8-4ABD-9541-ABE52C087A71}">
  <sheetPr>
    <tabColor theme="9"/>
  </sheetPr>
  <dimension ref="A1:L23"/>
  <sheetViews>
    <sheetView workbookViewId="0">
      <selection activeCell="E21" sqref="E21"/>
    </sheetView>
  </sheetViews>
  <sheetFormatPr defaultRowHeight="14.4" x14ac:dyDescent="0.3"/>
  <cols>
    <col min="1" max="1" width="51.5546875" bestFit="1" customWidth="1"/>
    <col min="2" max="2" width="14.88671875" bestFit="1" customWidth="1"/>
    <col min="4" max="4" width="14" customWidth="1"/>
    <col min="5" max="5" width="18.88671875" customWidth="1"/>
    <col min="6" max="6" width="11.6640625" customWidth="1"/>
    <col min="7" max="7" width="13.33203125" customWidth="1"/>
    <col min="8" max="8" width="10.5546875" bestFit="1" customWidth="1"/>
  </cols>
  <sheetData>
    <row r="1" spans="1:12" ht="18" x14ac:dyDescent="0.35">
      <c r="A1" s="63" t="s">
        <v>158</v>
      </c>
      <c r="B1" s="64">
        <f>[1]Fence!$B$1</f>
        <v>45881</v>
      </c>
      <c r="C1" s="65"/>
      <c r="D1" s="65"/>
      <c r="E1" s="65"/>
      <c r="F1" s="65"/>
      <c r="G1" s="65"/>
      <c r="H1" s="65"/>
      <c r="I1" s="65"/>
      <c r="J1" s="65"/>
      <c r="K1" s="65"/>
      <c r="L1" s="65"/>
    </row>
    <row r="2" spans="1:12" ht="18" x14ac:dyDescent="0.35">
      <c r="A2" s="65"/>
      <c r="B2" s="65"/>
      <c r="C2" s="65"/>
      <c r="D2" s="312" t="s">
        <v>159</v>
      </c>
      <c r="E2" s="313"/>
      <c r="F2" s="65"/>
      <c r="G2" s="66" t="s">
        <v>160</v>
      </c>
      <c r="H2" s="67">
        <v>3000</v>
      </c>
      <c r="I2" s="65" t="s">
        <v>161</v>
      </c>
      <c r="J2" s="68">
        <f>ROUNDUP(E5/H2,1)</f>
        <v>0.7</v>
      </c>
      <c r="K2" s="65" t="s">
        <v>162</v>
      </c>
      <c r="L2" s="65"/>
    </row>
    <row r="3" spans="1:12" x14ac:dyDescent="0.3">
      <c r="A3" s="65"/>
      <c r="B3" s="65"/>
      <c r="C3" s="65"/>
      <c r="D3" s="65"/>
      <c r="E3" s="69"/>
      <c r="F3" s="65"/>
      <c r="G3" s="65" t="s">
        <v>163</v>
      </c>
      <c r="H3" s="67">
        <v>6</v>
      </c>
      <c r="I3" s="65" t="s">
        <v>164</v>
      </c>
      <c r="J3" s="65"/>
      <c r="K3" s="65"/>
      <c r="L3" s="65"/>
    </row>
    <row r="4" spans="1:12" x14ac:dyDescent="0.3">
      <c r="A4" s="69" t="s">
        <v>165</v>
      </c>
      <c r="B4" s="69" t="s">
        <v>166</v>
      </c>
      <c r="C4" s="65"/>
      <c r="D4" s="65"/>
      <c r="E4" s="69" t="s">
        <v>167</v>
      </c>
      <c r="F4" s="65"/>
      <c r="G4" s="65" t="s">
        <v>248</v>
      </c>
      <c r="H4" s="67">
        <v>100</v>
      </c>
      <c r="I4" s="65"/>
      <c r="J4" s="65"/>
      <c r="K4" s="65"/>
      <c r="L4" s="65"/>
    </row>
    <row r="5" spans="1:12" ht="18" x14ac:dyDescent="0.35">
      <c r="A5" s="70" t="s">
        <v>168</v>
      </c>
      <c r="B5" s="71">
        <f>[1]Fence!$B5</f>
        <v>0.32479999999999998</v>
      </c>
      <c r="C5" s="65"/>
      <c r="D5" s="72" t="s">
        <v>266</v>
      </c>
      <c r="E5" s="73">
        <v>2000</v>
      </c>
      <c r="F5" s="65"/>
      <c r="G5" s="69" t="s">
        <v>169</v>
      </c>
      <c r="H5" s="74" t="s">
        <v>170</v>
      </c>
      <c r="I5" s="65"/>
      <c r="J5" s="65"/>
      <c r="K5" s="65"/>
      <c r="L5" s="65"/>
    </row>
    <row r="6" spans="1:12" x14ac:dyDescent="0.3">
      <c r="A6" s="70"/>
      <c r="B6" s="71"/>
      <c r="C6" s="65"/>
      <c r="D6" s="314" t="s">
        <v>2</v>
      </c>
      <c r="E6" s="314"/>
      <c r="F6" s="65"/>
      <c r="G6" s="75" t="s">
        <v>171</v>
      </c>
      <c r="H6" s="76">
        <v>15.63</v>
      </c>
      <c r="I6" s="77"/>
      <c r="J6" s="65"/>
      <c r="K6" s="65"/>
      <c r="L6" s="65"/>
    </row>
    <row r="7" spans="1:12" ht="18" x14ac:dyDescent="0.35">
      <c r="A7" s="70" t="s">
        <v>172</v>
      </c>
      <c r="B7" s="71">
        <f>[1]Fence!$B7</f>
        <v>0.28499999999999998</v>
      </c>
      <c r="C7" s="65"/>
      <c r="D7" s="72" t="s">
        <v>173</v>
      </c>
      <c r="E7" s="78">
        <v>0.93</v>
      </c>
      <c r="F7" s="65"/>
      <c r="G7" s="79">
        <v>40</v>
      </c>
      <c r="H7" s="80">
        <f>H6*G7</f>
        <v>625.20000000000005</v>
      </c>
      <c r="I7" s="81" t="s">
        <v>174</v>
      </c>
      <c r="J7" s="65"/>
      <c r="K7" s="65"/>
      <c r="L7" s="82"/>
    </row>
    <row r="8" spans="1:12" ht="18" x14ac:dyDescent="0.35">
      <c r="A8" s="70" t="s">
        <v>175</v>
      </c>
      <c r="B8" s="71">
        <f>[1]Fence!$B8</f>
        <v>0.45</v>
      </c>
      <c r="C8" s="65"/>
      <c r="D8" s="72" t="s">
        <v>176</v>
      </c>
      <c r="E8" s="78">
        <v>3.5</v>
      </c>
      <c r="F8" s="65"/>
      <c r="G8" s="79">
        <v>5</v>
      </c>
      <c r="H8" s="80">
        <f>(H6*1.5)*G8</f>
        <v>117.22499999999999</v>
      </c>
      <c r="I8" s="81" t="s">
        <v>177</v>
      </c>
      <c r="J8" s="65"/>
      <c r="K8" s="65"/>
      <c r="L8" s="65"/>
    </row>
    <row r="9" spans="1:12" ht="18" x14ac:dyDescent="0.35">
      <c r="A9" s="70" t="s">
        <v>178</v>
      </c>
      <c r="B9" s="71">
        <f>[1]Fence!$B9</f>
        <v>0.93</v>
      </c>
      <c r="C9" s="65"/>
      <c r="D9" s="72" t="s">
        <v>179</v>
      </c>
      <c r="E9" s="78">
        <v>0</v>
      </c>
      <c r="F9" s="65"/>
      <c r="G9" s="79"/>
      <c r="H9" s="83"/>
      <c r="I9" s="81"/>
      <c r="J9" s="65"/>
      <c r="K9" s="65"/>
      <c r="L9" s="65"/>
    </row>
    <row r="10" spans="1:12" ht="18" x14ac:dyDescent="0.35">
      <c r="A10" s="70" t="s">
        <v>180</v>
      </c>
      <c r="B10" s="71">
        <f>[1]Fence!$B10</f>
        <v>0.13</v>
      </c>
      <c r="C10" s="65"/>
      <c r="D10" s="72" t="s">
        <v>181</v>
      </c>
      <c r="E10" s="84">
        <v>0.02</v>
      </c>
      <c r="F10" s="65"/>
      <c r="G10" s="79" t="s">
        <v>182</v>
      </c>
      <c r="H10" s="80">
        <f>H7+H8</f>
        <v>742.42500000000007</v>
      </c>
      <c r="I10" s="81" t="s">
        <v>182</v>
      </c>
      <c r="J10" s="65"/>
      <c r="K10" s="65"/>
      <c r="L10" s="65"/>
    </row>
    <row r="11" spans="1:12" x14ac:dyDescent="0.3">
      <c r="A11" s="70" t="s">
        <v>183</v>
      </c>
      <c r="B11" s="71">
        <f>[1]Fence!$B11</f>
        <v>0.46</v>
      </c>
      <c r="C11" s="65"/>
      <c r="D11" s="85"/>
      <c r="E11" s="86"/>
      <c r="F11" s="65"/>
      <c r="G11" s="79" t="s">
        <v>184</v>
      </c>
      <c r="H11" s="80">
        <f>H10+(H10*I11)</f>
        <v>831.51600000000008</v>
      </c>
      <c r="I11" s="87">
        <v>0.12</v>
      </c>
      <c r="J11" s="65"/>
      <c r="K11" s="65"/>
      <c r="L11" s="65"/>
    </row>
    <row r="12" spans="1:12" x14ac:dyDescent="0.3">
      <c r="A12" s="70" t="s">
        <v>185</v>
      </c>
      <c r="B12" s="71">
        <f>[1]Fence!$B12</f>
        <v>1.125</v>
      </c>
      <c r="C12" s="65"/>
      <c r="D12" s="315" t="s">
        <v>186</v>
      </c>
      <c r="E12" s="315"/>
      <c r="F12" s="65"/>
      <c r="G12" s="79"/>
      <c r="H12" s="83"/>
      <c r="I12" s="89"/>
      <c r="J12" s="65"/>
      <c r="K12" s="65"/>
      <c r="L12" s="65"/>
    </row>
    <row r="13" spans="1:12" x14ac:dyDescent="0.3">
      <c r="A13" s="70" t="s">
        <v>187</v>
      </c>
      <c r="B13" s="71">
        <f>[1]Fence!$B13</f>
        <v>1.8</v>
      </c>
      <c r="C13" s="65"/>
      <c r="D13" s="88" t="s">
        <v>188</v>
      </c>
      <c r="E13" s="90">
        <f>E5*E7</f>
        <v>1860</v>
      </c>
      <c r="F13" s="65"/>
      <c r="G13" s="79" t="s">
        <v>189</v>
      </c>
      <c r="H13" s="83" t="s">
        <v>190</v>
      </c>
      <c r="I13" s="89" t="s">
        <v>161</v>
      </c>
      <c r="J13" s="65"/>
      <c r="K13" s="65"/>
      <c r="L13" s="65"/>
    </row>
    <row r="14" spans="1:12" x14ac:dyDescent="0.3">
      <c r="A14" s="70" t="s">
        <v>191</v>
      </c>
      <c r="B14" s="71">
        <f>[1]Fence!$B14</f>
        <v>3.5</v>
      </c>
      <c r="C14" s="65"/>
      <c r="D14" s="88" t="s">
        <v>176</v>
      </c>
      <c r="E14" s="90">
        <f>IF(E5=0,0,E8*((E5/H3)+2))</f>
        <v>1173.6666666666665</v>
      </c>
      <c r="F14" s="65"/>
      <c r="G14" s="79">
        <v>2</v>
      </c>
      <c r="H14" s="80">
        <f>H11*G14</f>
        <v>1663.0320000000002</v>
      </c>
      <c r="I14" s="91">
        <f t="shared" ref="I14:I15" si="0">H14/6</f>
        <v>277.17200000000003</v>
      </c>
      <c r="J14" s="65"/>
      <c r="K14" s="65"/>
      <c r="L14" s="65"/>
    </row>
    <row r="15" spans="1:12" x14ac:dyDescent="0.3">
      <c r="A15" s="70" t="s">
        <v>192</v>
      </c>
      <c r="B15" s="71">
        <f>[1]Fence!$B15</f>
        <v>3.5</v>
      </c>
      <c r="C15" s="65"/>
      <c r="D15" s="88" t="s">
        <v>179</v>
      </c>
      <c r="E15" s="90">
        <f>E9*((E5/8)+4)</f>
        <v>0</v>
      </c>
      <c r="F15" s="65"/>
      <c r="G15" s="79">
        <v>3</v>
      </c>
      <c r="H15" s="80">
        <f>H11*G15</f>
        <v>2494.5480000000002</v>
      </c>
      <c r="I15" s="91">
        <f t="shared" si="0"/>
        <v>415.75800000000004</v>
      </c>
      <c r="J15" s="65"/>
      <c r="K15" s="65"/>
      <c r="L15" s="65"/>
    </row>
    <row r="16" spans="1:12" x14ac:dyDescent="0.3">
      <c r="A16" s="70" t="s">
        <v>193</v>
      </c>
      <c r="B16" s="71">
        <f>[1]Fence!$B16</f>
        <v>2.25</v>
      </c>
      <c r="C16" s="65"/>
      <c r="D16" s="88" t="s">
        <v>194</v>
      </c>
      <c r="E16" s="90">
        <f>SUM(E13:E15)*E10</f>
        <v>60.673333333333332</v>
      </c>
      <c r="F16" s="65"/>
      <c r="G16" s="79">
        <v>4</v>
      </c>
      <c r="H16" s="80">
        <f>H11*G16</f>
        <v>3326.0640000000003</v>
      </c>
      <c r="I16" s="91">
        <f>H16/6</f>
        <v>554.34400000000005</v>
      </c>
      <c r="J16" s="65"/>
      <c r="K16" s="65"/>
      <c r="L16" s="65"/>
    </row>
    <row r="17" spans="1:12" x14ac:dyDescent="0.3">
      <c r="A17" s="70" t="s">
        <v>195</v>
      </c>
      <c r="B17" s="71">
        <f>[1]Fence!$B17</f>
        <v>1.05</v>
      </c>
      <c r="C17" s="65"/>
      <c r="D17" s="88" t="s">
        <v>170</v>
      </c>
      <c r="E17" s="90">
        <f>(E5/H2)*I16</f>
        <v>369.5626666666667</v>
      </c>
      <c r="F17" s="65"/>
      <c r="G17" s="92">
        <v>5</v>
      </c>
      <c r="H17" s="93">
        <f>H11*G17</f>
        <v>4157.58</v>
      </c>
      <c r="I17" s="94">
        <f>H17/6</f>
        <v>692.93</v>
      </c>
      <c r="J17" s="65"/>
      <c r="K17" s="65"/>
      <c r="L17" s="65"/>
    </row>
    <row r="18" spans="1:12" x14ac:dyDescent="0.3">
      <c r="A18" s="70" t="s">
        <v>349</v>
      </c>
      <c r="B18" s="71">
        <v>3.9</v>
      </c>
      <c r="C18" s="65"/>
      <c r="D18" s="88" t="s">
        <v>196</v>
      </c>
      <c r="E18" s="90">
        <f>ROUNDUP(E5/H2,0)*H4</f>
        <v>100</v>
      </c>
      <c r="F18" s="65"/>
      <c r="G18" s="65"/>
      <c r="H18" s="65"/>
      <c r="I18" s="65"/>
      <c r="J18" s="65"/>
      <c r="K18" s="65"/>
      <c r="L18" s="65"/>
    </row>
    <row r="19" spans="1:12" ht="18" x14ac:dyDescent="0.35">
      <c r="A19" s="95" t="s">
        <v>197</v>
      </c>
      <c r="B19" s="95"/>
      <c r="C19" s="65"/>
      <c r="D19" s="88" t="s">
        <v>198</v>
      </c>
      <c r="E19" s="90">
        <f>E16+E17+E18+E15+E14+E13</f>
        <v>3563.9026666666668</v>
      </c>
      <c r="F19" s="65"/>
      <c r="G19" s="65"/>
      <c r="H19" s="65"/>
      <c r="I19" s="65"/>
      <c r="J19" s="65"/>
      <c r="K19" s="65"/>
      <c r="L19" s="65"/>
    </row>
    <row r="20" spans="1:12" ht="18" x14ac:dyDescent="0.35">
      <c r="A20" s="96" t="s">
        <v>199</v>
      </c>
      <c r="B20" s="95"/>
      <c r="C20" s="65"/>
      <c r="D20" s="69"/>
      <c r="E20" s="65"/>
      <c r="F20" s="65"/>
      <c r="G20" s="65"/>
      <c r="H20" s="65"/>
      <c r="I20" s="65"/>
      <c r="J20" s="65"/>
      <c r="K20" s="65"/>
      <c r="L20" s="65"/>
    </row>
    <row r="21" spans="1:12" ht="18" x14ac:dyDescent="0.35">
      <c r="A21" s="95" t="s">
        <v>200</v>
      </c>
      <c r="B21" s="95"/>
      <c r="C21" s="65"/>
      <c r="D21" s="72" t="s">
        <v>201</v>
      </c>
      <c r="E21" s="97">
        <v>2.85</v>
      </c>
      <c r="F21" s="65"/>
      <c r="G21" s="65"/>
      <c r="H21" s="65"/>
      <c r="I21" s="65"/>
      <c r="J21" s="65"/>
      <c r="K21" s="65"/>
      <c r="L21" s="65"/>
    </row>
    <row r="22" spans="1:12" ht="18" x14ac:dyDescent="0.35">
      <c r="A22" s="95" t="s">
        <v>202</v>
      </c>
      <c r="B22" s="95"/>
      <c r="C22" s="65"/>
      <c r="D22" s="72" t="s">
        <v>203</v>
      </c>
      <c r="E22" s="98">
        <f>(E5*E21)</f>
        <v>5700</v>
      </c>
      <c r="F22" s="65"/>
      <c r="G22" s="69" t="s">
        <v>204</v>
      </c>
      <c r="H22" s="65"/>
      <c r="I22" s="65"/>
      <c r="J22" s="65"/>
      <c r="K22" s="65"/>
      <c r="L22" s="65"/>
    </row>
    <row r="23" spans="1:12" ht="18" x14ac:dyDescent="0.35">
      <c r="A23" s="65"/>
      <c r="B23" s="65"/>
      <c r="C23" s="65"/>
      <c r="D23" s="99" t="s">
        <v>205</v>
      </c>
      <c r="E23" s="100">
        <f>E22-E19</f>
        <v>2136.0973333333332</v>
      </c>
      <c r="F23" s="101">
        <f>E23/E22</f>
        <v>0.37475391812865494</v>
      </c>
      <c r="G23" s="102">
        <v>0.3</v>
      </c>
      <c r="H23" s="65"/>
      <c r="I23" s="65"/>
      <c r="J23" s="65"/>
      <c r="K23" s="65"/>
      <c r="L23" s="65"/>
    </row>
  </sheetData>
  <mergeCells count="3">
    <mergeCell ref="D2:E2"/>
    <mergeCell ref="D6:E6"/>
    <mergeCell ref="D12:E12"/>
  </mergeCells>
  <conditionalFormatting sqref="F23">
    <cfRule type="expression" dxfId="8" priority="1">
      <formula>$F$23&lt;$G$23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AC10C-6AD1-4935-8919-2FC495D8E1A4}">
  <sheetPr>
    <tabColor theme="9"/>
  </sheetPr>
  <dimension ref="A1:N32"/>
  <sheetViews>
    <sheetView workbookViewId="0">
      <selection activeCell="A16" sqref="A16"/>
    </sheetView>
  </sheetViews>
  <sheetFormatPr defaultRowHeight="14.4" x14ac:dyDescent="0.3"/>
  <cols>
    <col min="1" max="1" width="51.5546875" bestFit="1" customWidth="1"/>
    <col min="2" max="2" width="14.88671875" bestFit="1" customWidth="1"/>
    <col min="4" max="4" width="15.44140625" bestFit="1" customWidth="1"/>
    <col min="5" max="5" width="18.88671875" customWidth="1"/>
    <col min="6" max="6" width="10.33203125" bestFit="1" customWidth="1"/>
    <col min="7" max="7" width="15.44140625" bestFit="1" customWidth="1"/>
    <col min="8" max="8" width="16" bestFit="1" customWidth="1"/>
    <col min="9" max="9" width="9.6640625" bestFit="1" customWidth="1"/>
  </cols>
  <sheetData>
    <row r="1" spans="1:14" ht="18" x14ac:dyDescent="0.35">
      <c r="A1" s="63" t="s">
        <v>158</v>
      </c>
      <c r="B1" s="64">
        <f>[1]Hydromulch!$B$1</f>
        <v>45881</v>
      </c>
      <c r="C1" s="65"/>
      <c r="D1" s="65"/>
      <c r="E1" s="65"/>
      <c r="F1" s="65"/>
      <c r="G1" s="69" t="s">
        <v>169</v>
      </c>
      <c r="H1" s="74" t="s">
        <v>170</v>
      </c>
      <c r="I1" s="65"/>
      <c r="J1" s="65"/>
      <c r="K1" s="65"/>
      <c r="L1" s="65"/>
      <c r="M1" s="65"/>
      <c r="N1" s="65"/>
    </row>
    <row r="2" spans="1:14" ht="18" x14ac:dyDescent="0.35">
      <c r="A2" s="65"/>
      <c r="B2" s="65"/>
      <c r="C2" s="65"/>
      <c r="D2" s="312" t="s">
        <v>159</v>
      </c>
      <c r="E2" s="313"/>
      <c r="F2" s="65"/>
      <c r="G2" s="75" t="s">
        <v>171</v>
      </c>
      <c r="H2" s="76">
        <v>15.63</v>
      </c>
      <c r="I2" s="77"/>
      <c r="J2" s="65"/>
      <c r="K2" s="65" t="s">
        <v>245</v>
      </c>
      <c r="L2" s="65"/>
      <c r="M2" s="65"/>
      <c r="N2" s="65"/>
    </row>
    <row r="3" spans="1:14" x14ac:dyDescent="0.3">
      <c r="A3" s="65"/>
      <c r="B3" s="65"/>
      <c r="C3" s="65"/>
      <c r="D3" s="121" t="s">
        <v>265</v>
      </c>
      <c r="E3" s="69"/>
      <c r="F3" s="65"/>
      <c r="G3" s="79">
        <v>40</v>
      </c>
      <c r="H3" s="80">
        <f>H2*G3</f>
        <v>625.20000000000005</v>
      </c>
      <c r="I3" s="81" t="s">
        <v>174</v>
      </c>
      <c r="J3" s="65"/>
      <c r="K3" s="67">
        <v>6</v>
      </c>
      <c r="L3" s="65" t="s">
        <v>246</v>
      </c>
      <c r="M3" s="65"/>
      <c r="N3" s="65"/>
    </row>
    <row r="4" spans="1:14" x14ac:dyDescent="0.3">
      <c r="A4" s="69" t="s">
        <v>165</v>
      </c>
      <c r="B4" s="69" t="s">
        <v>206</v>
      </c>
      <c r="C4" s="65"/>
      <c r="D4" s="67" t="s">
        <v>243</v>
      </c>
      <c r="E4" s="69" t="s">
        <v>207</v>
      </c>
      <c r="F4" s="65"/>
      <c r="G4" s="79">
        <v>5</v>
      </c>
      <c r="H4" s="80">
        <f>(H2*1.5)*G4</f>
        <v>117.22499999999999</v>
      </c>
      <c r="I4" s="81" t="s">
        <v>177</v>
      </c>
      <c r="J4" s="65"/>
      <c r="K4" s="65"/>
      <c r="L4" s="65"/>
      <c r="M4" s="65"/>
      <c r="N4" s="65"/>
    </row>
    <row r="5" spans="1:14" ht="18" x14ac:dyDescent="0.35">
      <c r="A5" s="70" t="s">
        <v>208</v>
      </c>
      <c r="B5" s="71">
        <f>[1]Hydromulch!$B5</f>
        <v>341.98</v>
      </c>
      <c r="C5" s="65"/>
      <c r="D5" s="72" t="s">
        <v>209</v>
      </c>
      <c r="E5" s="73">
        <v>1</v>
      </c>
      <c r="F5" s="65"/>
      <c r="G5" s="79"/>
      <c r="H5" s="83"/>
      <c r="I5" s="81"/>
      <c r="J5" s="65"/>
      <c r="K5" s="113">
        <v>100</v>
      </c>
      <c r="L5" s="65" t="s">
        <v>247</v>
      </c>
      <c r="M5" s="65"/>
      <c r="N5" s="65"/>
    </row>
    <row r="6" spans="1:14" x14ac:dyDescent="0.3">
      <c r="A6" s="70" t="s">
        <v>210</v>
      </c>
      <c r="B6" s="71">
        <f>[1]Hydromulch!$B6</f>
        <v>185</v>
      </c>
      <c r="C6" s="65"/>
      <c r="D6" s="314" t="s">
        <v>2</v>
      </c>
      <c r="E6" s="314"/>
      <c r="F6" s="65"/>
      <c r="G6" s="79" t="s">
        <v>182</v>
      </c>
      <c r="H6" s="80">
        <f>H3+H4</f>
        <v>742.42500000000007</v>
      </c>
      <c r="I6" s="81" t="s">
        <v>182</v>
      </c>
      <c r="J6" s="65"/>
      <c r="K6" s="65"/>
      <c r="L6" s="65"/>
      <c r="M6" s="65"/>
      <c r="N6" s="65"/>
    </row>
    <row r="7" spans="1:14" ht="18" x14ac:dyDescent="0.35">
      <c r="A7" s="70" t="s">
        <v>211</v>
      </c>
      <c r="B7" s="71">
        <f>[1]Hydromulch!$B7</f>
        <v>268</v>
      </c>
      <c r="C7" s="65"/>
      <c r="D7" s="72" t="s">
        <v>212</v>
      </c>
      <c r="E7" s="78">
        <v>316</v>
      </c>
      <c r="F7" s="65"/>
      <c r="G7" s="79" t="s">
        <v>184</v>
      </c>
      <c r="H7" s="80">
        <f>H6+(H6*I7)</f>
        <v>853.78875000000005</v>
      </c>
      <c r="I7" s="87">
        <v>0.15</v>
      </c>
      <c r="J7" s="65"/>
      <c r="K7" s="65"/>
      <c r="L7" s="65"/>
      <c r="M7" s="65"/>
      <c r="N7" s="65"/>
    </row>
    <row r="8" spans="1:14" ht="18" x14ac:dyDescent="0.35">
      <c r="A8" s="70" t="s">
        <v>213</v>
      </c>
      <c r="B8" s="71">
        <f>[1]Hydromulch!$B8</f>
        <v>23.88</v>
      </c>
      <c r="C8" s="65"/>
      <c r="D8" s="72" t="s">
        <v>214</v>
      </c>
      <c r="E8" s="78">
        <v>27.68</v>
      </c>
      <c r="F8" s="65"/>
      <c r="G8" s="79"/>
      <c r="H8" s="83"/>
      <c r="I8" s="89"/>
      <c r="J8" s="65"/>
      <c r="K8" s="65"/>
      <c r="L8" s="65"/>
      <c r="M8" s="65"/>
      <c r="N8" s="65"/>
    </row>
    <row r="9" spans="1:14" ht="18" x14ac:dyDescent="0.35">
      <c r="A9" s="70" t="s">
        <v>215</v>
      </c>
      <c r="B9" s="71">
        <f>[1]Hydromulch!$B9</f>
        <v>32.5</v>
      </c>
      <c r="C9" s="65"/>
      <c r="D9" s="72" t="s">
        <v>216</v>
      </c>
      <c r="E9" s="78">
        <v>32.5</v>
      </c>
      <c r="F9" s="65"/>
      <c r="G9" s="79" t="s">
        <v>189</v>
      </c>
      <c r="H9" s="83" t="s">
        <v>190</v>
      </c>
      <c r="I9" s="89" t="s">
        <v>161</v>
      </c>
      <c r="J9" s="65"/>
      <c r="K9" s="65"/>
      <c r="L9" s="65"/>
      <c r="M9" s="65"/>
      <c r="N9" s="65"/>
    </row>
    <row r="10" spans="1:14" ht="18" x14ac:dyDescent="0.35">
      <c r="A10" s="70" t="s">
        <v>217</v>
      </c>
      <c r="B10" s="71">
        <f>[1]Hydromulch!$B10</f>
        <v>15.6</v>
      </c>
      <c r="C10" s="65"/>
      <c r="D10" s="72" t="s">
        <v>218</v>
      </c>
      <c r="E10" s="78">
        <v>15</v>
      </c>
      <c r="F10" s="65"/>
      <c r="G10" s="79">
        <v>2</v>
      </c>
      <c r="H10" s="80">
        <f>H7*G10</f>
        <v>1707.5775000000001</v>
      </c>
      <c r="I10" s="91">
        <f t="shared" ref="I10:I11" si="0">H10/6</f>
        <v>284.59625</v>
      </c>
      <c r="J10" s="65"/>
      <c r="K10" s="65"/>
      <c r="L10" s="65"/>
      <c r="M10" s="65"/>
      <c r="N10" s="65"/>
    </row>
    <row r="11" spans="1:14" ht="18" x14ac:dyDescent="0.35">
      <c r="A11" s="70" t="s">
        <v>219</v>
      </c>
      <c r="B11" s="71">
        <f>[1]Hydromulch!$B11</f>
        <v>25.51</v>
      </c>
      <c r="C11" s="65"/>
      <c r="D11" s="72" t="s">
        <v>220</v>
      </c>
      <c r="E11" s="78">
        <v>15</v>
      </c>
      <c r="F11" s="65"/>
      <c r="G11" s="79">
        <v>3</v>
      </c>
      <c r="H11" s="80">
        <f>H7*G11</f>
        <v>2561.36625</v>
      </c>
      <c r="I11" s="91">
        <f t="shared" si="0"/>
        <v>426.89437500000003</v>
      </c>
      <c r="J11" s="65"/>
      <c r="K11" s="65"/>
      <c r="L11" s="65"/>
      <c r="M11" s="65"/>
      <c r="N11" s="65"/>
    </row>
    <row r="12" spans="1:14" ht="18" x14ac:dyDescent="0.35">
      <c r="A12" s="70" t="s">
        <v>221</v>
      </c>
      <c r="B12" s="71">
        <f>[1]Hydromulch!$B12</f>
        <v>17.12</v>
      </c>
      <c r="C12" s="65"/>
      <c r="D12" s="72" t="s">
        <v>222</v>
      </c>
      <c r="E12" s="78"/>
      <c r="F12" s="65"/>
      <c r="G12" s="79">
        <v>4</v>
      </c>
      <c r="H12" s="80">
        <f>H7*G12</f>
        <v>3415.1550000000002</v>
      </c>
      <c r="I12" s="91">
        <f>H12/6</f>
        <v>569.1925</v>
      </c>
      <c r="J12" s="65"/>
      <c r="K12" s="65"/>
      <c r="L12" s="65"/>
      <c r="M12" s="65"/>
      <c r="N12" s="65"/>
    </row>
    <row r="13" spans="1:14" ht="18" x14ac:dyDescent="0.35">
      <c r="A13" s="70" t="s">
        <v>223</v>
      </c>
      <c r="B13" s="71">
        <f>[1]Hydromulch!$B13</f>
        <v>15</v>
      </c>
      <c r="C13" s="65"/>
      <c r="D13" s="72" t="s">
        <v>181</v>
      </c>
      <c r="E13" s="114">
        <v>2.5000000000000001E-2</v>
      </c>
      <c r="F13" s="65"/>
      <c r="G13" s="92">
        <v>5</v>
      </c>
      <c r="H13" s="93">
        <f>H7*G13</f>
        <v>4268.9437500000004</v>
      </c>
      <c r="I13" s="94">
        <f>H13/6</f>
        <v>711.49062500000002</v>
      </c>
      <c r="J13" s="65"/>
      <c r="K13" s="65"/>
      <c r="L13" s="65"/>
      <c r="M13" s="65"/>
      <c r="N13" s="65"/>
    </row>
    <row r="14" spans="1:14" x14ac:dyDescent="0.3">
      <c r="A14" s="70" t="s">
        <v>224</v>
      </c>
      <c r="B14" s="71">
        <f>[1]Hydromulch!$B14</f>
        <v>14</v>
      </c>
      <c r="C14" s="65"/>
      <c r="D14" s="85"/>
      <c r="E14" s="86"/>
      <c r="F14" s="65"/>
      <c r="G14" s="65"/>
      <c r="H14" s="65"/>
      <c r="I14" s="65"/>
      <c r="J14" s="65"/>
      <c r="K14" s="65"/>
      <c r="L14" s="65"/>
      <c r="M14" s="65"/>
      <c r="N14" s="65"/>
    </row>
    <row r="15" spans="1:14" x14ac:dyDescent="0.3">
      <c r="A15" s="70" t="s">
        <v>225</v>
      </c>
      <c r="B15" s="71">
        <f>[1]Hydromulch!$B15</f>
        <v>50</v>
      </c>
      <c r="C15" s="65"/>
      <c r="D15" s="316" t="s">
        <v>226</v>
      </c>
      <c r="E15" s="316"/>
      <c r="F15" s="65"/>
      <c r="G15" s="317" t="s">
        <v>227</v>
      </c>
      <c r="H15" s="317"/>
      <c r="I15" s="65"/>
      <c r="J15" s="65"/>
      <c r="K15" s="65"/>
      <c r="L15" s="65"/>
      <c r="M15" s="65"/>
      <c r="N15" s="65"/>
    </row>
    <row r="16" spans="1:14" x14ac:dyDescent="0.3">
      <c r="A16" s="70" t="s">
        <v>228</v>
      </c>
      <c r="B16" s="71">
        <f>[1]Hydromulch!$B16</f>
        <v>20.85</v>
      </c>
      <c r="C16" s="65"/>
      <c r="D16" s="88" t="s">
        <v>212</v>
      </c>
      <c r="E16" s="90">
        <f>IF(D4="Warm",E7*1*E5,0)</f>
        <v>316</v>
      </c>
      <c r="F16" s="65"/>
      <c r="G16" s="88" t="s">
        <v>212</v>
      </c>
      <c r="H16" s="90">
        <f>IF(D4="Cold",E7*0.5*E5,0)</f>
        <v>0</v>
      </c>
      <c r="I16" s="65"/>
      <c r="J16" s="65"/>
      <c r="K16" s="65"/>
      <c r="L16" s="65"/>
      <c r="M16" s="65"/>
      <c r="N16" s="65"/>
    </row>
    <row r="17" spans="1:14" x14ac:dyDescent="0.3">
      <c r="A17" s="70" t="s">
        <v>229</v>
      </c>
      <c r="B17" s="71">
        <f>[1]Hydromulch!$B17</f>
        <v>13.13</v>
      </c>
      <c r="C17" s="65"/>
      <c r="D17" s="88" t="s">
        <v>214</v>
      </c>
      <c r="E17" s="90">
        <f>IF(D4="Warm",E8*1*E5,0)</f>
        <v>27.68</v>
      </c>
      <c r="F17" s="65"/>
      <c r="G17" s="88" t="s">
        <v>230</v>
      </c>
      <c r="H17" s="90">
        <f>IF(D4="Cold",E9*1*E5,0)</f>
        <v>0</v>
      </c>
      <c r="I17" s="65"/>
      <c r="J17" s="65"/>
      <c r="K17" s="65"/>
      <c r="L17" s="65"/>
      <c r="M17" s="65"/>
      <c r="N17" s="65"/>
    </row>
    <row r="18" spans="1:14" x14ac:dyDescent="0.3">
      <c r="A18" s="70" t="s">
        <v>231</v>
      </c>
      <c r="B18" s="71">
        <f>[1]Hydromulch!$B18</f>
        <v>32.6</v>
      </c>
      <c r="C18" s="65"/>
      <c r="D18" s="88" t="s">
        <v>218</v>
      </c>
      <c r="E18" s="90">
        <f>IF(D4="Warm",E10*6*E5,0)</f>
        <v>90</v>
      </c>
      <c r="F18" s="65"/>
      <c r="G18" s="88" t="s">
        <v>218</v>
      </c>
      <c r="H18" s="90">
        <f>IF(D4="Cold",E10*6*E5,0)</f>
        <v>0</v>
      </c>
      <c r="I18" s="65"/>
      <c r="J18" s="65"/>
      <c r="K18" s="65"/>
      <c r="L18" s="65"/>
      <c r="M18" s="65"/>
      <c r="N18" s="65"/>
    </row>
    <row r="19" spans="1:14" x14ac:dyDescent="0.3">
      <c r="A19" s="70" t="s">
        <v>232</v>
      </c>
      <c r="B19" s="71">
        <f>[1]Hydromulch!$B19</f>
        <v>15</v>
      </c>
      <c r="C19" s="65"/>
      <c r="D19" s="88" t="s">
        <v>220</v>
      </c>
      <c r="E19" s="90">
        <f>IF(D4="Warm",E11*40*E5,0)</f>
        <v>600</v>
      </c>
      <c r="F19" s="65"/>
      <c r="G19" s="88" t="s">
        <v>220</v>
      </c>
      <c r="H19" s="90">
        <f>IF(D4="Cold",E11*32*E5,0)</f>
        <v>0</v>
      </c>
      <c r="I19" s="65"/>
      <c r="J19" s="65"/>
      <c r="K19" s="65"/>
      <c r="L19" s="65"/>
      <c r="M19" s="65"/>
      <c r="N19" s="65"/>
    </row>
    <row r="20" spans="1:14" x14ac:dyDescent="0.3">
      <c r="A20" s="70" t="s">
        <v>233</v>
      </c>
      <c r="B20" s="71">
        <f>[1]Hydromulch!$B20</f>
        <v>47.47</v>
      </c>
      <c r="C20" s="65"/>
      <c r="D20" s="88" t="s">
        <v>222</v>
      </c>
      <c r="E20" s="71">
        <f>IF(D4="Warm",E12*E5,0)</f>
        <v>0</v>
      </c>
      <c r="F20" s="65"/>
      <c r="G20" s="88" t="s">
        <v>222</v>
      </c>
      <c r="H20" s="71">
        <f>IF(D4="Cold",E12*E5,0)</f>
        <v>0</v>
      </c>
      <c r="I20" s="65"/>
      <c r="J20" s="65"/>
      <c r="K20" s="65"/>
      <c r="L20" s="65"/>
      <c r="M20" s="65"/>
      <c r="N20" s="65"/>
    </row>
    <row r="21" spans="1:14" x14ac:dyDescent="0.3">
      <c r="A21" s="70" t="s">
        <v>234</v>
      </c>
      <c r="B21" s="71">
        <f>[1]Hydromulch!$B20</f>
        <v>47.47</v>
      </c>
      <c r="C21" s="65"/>
      <c r="D21" s="88" t="s">
        <v>181</v>
      </c>
      <c r="E21" s="90">
        <f>IF(D4="Warm",SUM(E16:E20)*E13,0)</f>
        <v>25.842000000000002</v>
      </c>
      <c r="F21" s="65"/>
      <c r="G21" s="88" t="s">
        <v>181</v>
      </c>
      <c r="H21" s="90">
        <f>IF(D4="Cold",SUM(H16:H20)*E13,0)</f>
        <v>0</v>
      </c>
      <c r="I21" s="65"/>
      <c r="J21" s="65"/>
      <c r="K21" s="65"/>
      <c r="L21" s="65"/>
      <c r="M21" s="65"/>
      <c r="N21" s="65"/>
    </row>
    <row r="22" spans="1:14" x14ac:dyDescent="0.3">
      <c r="A22" s="70" t="s">
        <v>343</v>
      </c>
      <c r="B22" s="71">
        <v>40</v>
      </c>
      <c r="C22" s="65"/>
      <c r="D22" s="88" t="s">
        <v>170</v>
      </c>
      <c r="E22" s="90">
        <v>200</v>
      </c>
      <c r="F22" s="65"/>
      <c r="G22" s="88" t="s">
        <v>170</v>
      </c>
      <c r="H22" s="90">
        <f>IF(D4="Cold",(ROUNDUP(E5/K3,0)*IF(K3&lt;4.1,I11,I12)),0)</f>
        <v>0</v>
      </c>
      <c r="I22" s="65"/>
      <c r="J22" s="65"/>
      <c r="K22" s="65"/>
      <c r="L22" s="65"/>
      <c r="M22" s="65"/>
      <c r="N22" s="65"/>
    </row>
    <row r="23" spans="1:14" x14ac:dyDescent="0.3">
      <c r="A23" s="70" t="s">
        <v>251</v>
      </c>
      <c r="B23" s="71">
        <v>2.6</v>
      </c>
      <c r="C23" s="65"/>
      <c r="D23" s="88" t="s">
        <v>196</v>
      </c>
      <c r="E23" s="71">
        <f>IF(D4="Warm",ROUNDUP(E5/4,0)*K5,0)</f>
        <v>100</v>
      </c>
      <c r="F23" s="65"/>
      <c r="G23" s="88" t="s">
        <v>196</v>
      </c>
      <c r="H23" s="71">
        <f>IF(D4="Cold",ROUNDUP(E5/4,0)*K5,0)</f>
        <v>0</v>
      </c>
      <c r="I23" s="65"/>
      <c r="J23" s="65"/>
      <c r="K23" s="65"/>
      <c r="L23" s="65"/>
      <c r="M23" s="65"/>
      <c r="N23" s="65"/>
    </row>
    <row r="24" spans="1:14" x14ac:dyDescent="0.3">
      <c r="A24" s="65"/>
      <c r="B24" s="65"/>
      <c r="C24" s="65"/>
      <c r="D24" s="88" t="s">
        <v>198</v>
      </c>
      <c r="E24" s="90">
        <f>E21+E22+E23+E18+E17+E16+E19+E20</f>
        <v>1359.5219999999999</v>
      </c>
      <c r="F24" s="65"/>
      <c r="G24" s="88" t="s">
        <v>198</v>
      </c>
      <c r="H24" s="90">
        <f>H21+H22+H23+H18+H17+H16+H19+H20</f>
        <v>0</v>
      </c>
      <c r="I24" s="65"/>
      <c r="J24" s="65"/>
      <c r="K24" s="65"/>
      <c r="L24" s="65"/>
      <c r="M24" s="65"/>
      <c r="N24" s="65"/>
    </row>
    <row r="25" spans="1:14" ht="18" x14ac:dyDescent="0.35">
      <c r="A25" s="95" t="s">
        <v>197</v>
      </c>
      <c r="B25" s="95"/>
      <c r="C25" s="65"/>
      <c r="D25" s="69"/>
      <c r="E25" s="65"/>
      <c r="F25" s="65"/>
      <c r="G25" s="69"/>
      <c r="H25" s="65"/>
      <c r="I25" s="65"/>
      <c r="J25" s="65"/>
      <c r="K25" s="65"/>
      <c r="L25" s="65"/>
      <c r="M25" s="65"/>
      <c r="N25" s="65"/>
    </row>
    <row r="26" spans="1:14" ht="18" x14ac:dyDescent="0.35">
      <c r="A26" s="96" t="s">
        <v>199</v>
      </c>
      <c r="B26" s="95"/>
      <c r="C26" s="65"/>
      <c r="D26" s="72" t="s">
        <v>201</v>
      </c>
      <c r="E26" s="97">
        <v>2450</v>
      </c>
      <c r="F26" s="65"/>
      <c r="G26" s="72" t="s">
        <v>201</v>
      </c>
      <c r="H26" s="97"/>
      <c r="I26" s="65"/>
      <c r="J26" s="65"/>
      <c r="K26" s="65"/>
      <c r="L26" s="65"/>
      <c r="M26" s="65" t="s">
        <v>243</v>
      </c>
      <c r="N26" s="65"/>
    </row>
    <row r="27" spans="1:14" ht="18" x14ac:dyDescent="0.35">
      <c r="A27" s="95" t="s">
        <v>200</v>
      </c>
      <c r="B27" s="95"/>
      <c r="C27" s="65"/>
      <c r="D27" s="72" t="s">
        <v>203</v>
      </c>
      <c r="E27" s="98">
        <f>IF(D4="Warm",E5*E26,0)</f>
        <v>2450</v>
      </c>
      <c r="F27" s="65"/>
      <c r="G27" s="72" t="s">
        <v>203</v>
      </c>
      <c r="H27" s="98">
        <f>IF(D4="Cold",E5*H26,0)</f>
        <v>0</v>
      </c>
      <c r="I27" s="65"/>
      <c r="J27" s="65"/>
      <c r="K27" s="65"/>
      <c r="L27" s="65"/>
      <c r="M27" s="65" t="s">
        <v>244</v>
      </c>
      <c r="N27" s="65"/>
    </row>
    <row r="28" spans="1:14" ht="18" x14ac:dyDescent="0.35">
      <c r="A28" s="95" t="s">
        <v>202</v>
      </c>
      <c r="B28" s="95"/>
      <c r="C28" s="65"/>
      <c r="D28" s="99" t="s">
        <v>205</v>
      </c>
      <c r="E28" s="100">
        <f>E27-E24</f>
        <v>1090.4780000000001</v>
      </c>
      <c r="F28" s="101">
        <f>E28/E27</f>
        <v>0.44509306122448983</v>
      </c>
      <c r="G28" s="99" t="s">
        <v>205</v>
      </c>
      <c r="H28" s="100">
        <f>IF(D4="Cold",H27-H24,0)</f>
        <v>0</v>
      </c>
      <c r="I28" s="101" t="e">
        <f>H28/H27</f>
        <v>#DIV/0!</v>
      </c>
      <c r="J28" s="65"/>
      <c r="K28" s="65"/>
      <c r="L28" s="65"/>
      <c r="M28" s="65"/>
      <c r="N28" s="65"/>
    </row>
    <row r="29" spans="1:14" x14ac:dyDescent="0.3">
      <c r="A29" s="65"/>
      <c r="B29" s="65"/>
      <c r="C29" s="65"/>
    </row>
    <row r="31" spans="1:14" x14ac:dyDescent="0.3">
      <c r="B31" s="228" t="s">
        <v>319</v>
      </c>
      <c r="C31" s="228" t="s">
        <v>318</v>
      </c>
    </row>
    <row r="32" spans="1:14" x14ac:dyDescent="0.3">
      <c r="B32" s="226">
        <v>1384</v>
      </c>
      <c r="C32" s="226">
        <f>B32/4840</f>
        <v>0.28595041322314052</v>
      </c>
    </row>
  </sheetData>
  <mergeCells count="4">
    <mergeCell ref="D2:E2"/>
    <mergeCell ref="D6:E6"/>
    <mergeCell ref="D15:E15"/>
    <mergeCell ref="G15:H15"/>
  </mergeCells>
  <conditionalFormatting sqref="F28">
    <cfRule type="expression" dxfId="7" priority="2">
      <formula>$F$28&lt;30%</formula>
    </cfRule>
  </conditionalFormatting>
  <conditionalFormatting sqref="I28">
    <cfRule type="expression" dxfId="6" priority="1">
      <formula>$I$28&lt;30%</formula>
    </cfRule>
  </conditionalFormatting>
  <dataValidations count="1">
    <dataValidation type="list" allowBlank="1" showInputMessage="1" showErrorMessage="1" sqref="D4" xr:uid="{BEA7DA92-820B-431D-8B61-AF3E3E801F8B}">
      <formula1>$M$26:$M$27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0EC17-6424-49B6-8DEA-88B425DAF44A}">
  <sheetPr>
    <tabColor theme="9"/>
  </sheetPr>
  <dimension ref="A1:O27"/>
  <sheetViews>
    <sheetView workbookViewId="0">
      <selection activeCell="E20" sqref="E20"/>
    </sheetView>
  </sheetViews>
  <sheetFormatPr defaultRowHeight="14.4" x14ac:dyDescent="0.3"/>
  <cols>
    <col min="1" max="1" width="51.5546875" bestFit="1" customWidth="1"/>
    <col min="2" max="2" width="14.88671875" bestFit="1" customWidth="1"/>
    <col min="4" max="4" width="15.44140625" bestFit="1" customWidth="1"/>
    <col min="5" max="5" width="14.5546875" bestFit="1" customWidth="1"/>
    <col min="6" max="6" width="9.6640625" bestFit="1" customWidth="1"/>
    <col min="7" max="7" width="15.44140625" bestFit="1" customWidth="1"/>
    <col min="8" max="8" width="14.5546875" bestFit="1" customWidth="1"/>
    <col min="9" max="9" width="9.6640625" bestFit="1" customWidth="1"/>
    <col min="15" max="15" width="10.5546875" bestFit="1" customWidth="1"/>
  </cols>
  <sheetData>
    <row r="1" spans="1:15" ht="18" x14ac:dyDescent="0.35">
      <c r="A1" s="63" t="s">
        <v>158</v>
      </c>
      <c r="B1" s="64">
        <f>[1]Seeding!$B$1</f>
        <v>45881</v>
      </c>
      <c r="C1" s="103"/>
      <c r="D1" s="103"/>
      <c r="E1" s="103"/>
      <c r="F1" s="103"/>
      <c r="G1" s="104" t="s">
        <v>169</v>
      </c>
      <c r="H1" s="105" t="s">
        <v>170</v>
      </c>
      <c r="I1" s="103"/>
      <c r="J1" s="103"/>
      <c r="K1" s="103"/>
      <c r="L1" s="103"/>
      <c r="M1" s="103"/>
      <c r="N1" s="103"/>
      <c r="O1" s="103"/>
    </row>
    <row r="2" spans="1:15" ht="18" x14ac:dyDescent="0.35">
      <c r="A2" s="103"/>
      <c r="B2" s="103"/>
      <c r="C2" s="103"/>
      <c r="D2" s="312" t="s">
        <v>159</v>
      </c>
      <c r="E2" s="313"/>
      <c r="F2" s="103"/>
      <c r="G2" s="75" t="s">
        <v>171</v>
      </c>
      <c r="H2" s="76">
        <v>15.63</v>
      </c>
      <c r="I2" s="77"/>
      <c r="J2" s="103"/>
      <c r="K2" s="103"/>
      <c r="L2" s="103"/>
      <c r="M2" s="103"/>
      <c r="N2" s="103"/>
      <c r="O2" s="103"/>
    </row>
    <row r="3" spans="1:15" x14ac:dyDescent="0.3">
      <c r="A3" s="103"/>
      <c r="B3" s="103"/>
      <c r="C3" s="103"/>
      <c r="D3" s="121" t="s">
        <v>265</v>
      </c>
      <c r="E3" s="104"/>
      <c r="F3" s="103"/>
      <c r="G3" s="79">
        <v>40</v>
      </c>
      <c r="H3" s="80">
        <f>H2*G3</f>
        <v>625.20000000000005</v>
      </c>
      <c r="I3" s="81" t="s">
        <v>174</v>
      </c>
      <c r="J3" s="103"/>
      <c r="K3" s="103"/>
      <c r="L3" s="103"/>
      <c r="M3" s="103"/>
      <c r="N3" s="103"/>
      <c r="O3" s="103"/>
    </row>
    <row r="4" spans="1:15" x14ac:dyDescent="0.3">
      <c r="A4" s="104" t="s">
        <v>165</v>
      </c>
      <c r="B4" s="104" t="s">
        <v>206</v>
      </c>
      <c r="C4" s="103"/>
      <c r="D4" s="67" t="s">
        <v>238</v>
      </c>
      <c r="E4" s="104" t="s">
        <v>207</v>
      </c>
      <c r="F4" s="103"/>
      <c r="G4" s="79">
        <v>5</v>
      </c>
      <c r="H4" s="80">
        <f>(H2*1.5)*G4</f>
        <v>117.22499999999999</v>
      </c>
      <c r="I4" s="81" t="s">
        <v>177</v>
      </c>
      <c r="J4" s="103"/>
      <c r="K4" s="103"/>
      <c r="L4" s="103"/>
      <c r="M4" s="103"/>
      <c r="N4" s="103"/>
      <c r="O4" s="103"/>
    </row>
    <row r="5" spans="1:15" ht="18" x14ac:dyDescent="0.35">
      <c r="A5" s="70" t="s">
        <v>208</v>
      </c>
      <c r="B5" s="71">
        <f>[1]Seeding!$B5</f>
        <v>341.98</v>
      </c>
      <c r="C5" s="103"/>
      <c r="D5" s="72" t="s">
        <v>236</v>
      </c>
      <c r="E5" s="73"/>
      <c r="F5" s="103"/>
      <c r="G5" s="79"/>
      <c r="H5" s="83"/>
      <c r="I5" s="81"/>
      <c r="J5" s="103"/>
      <c r="K5" s="103"/>
      <c r="L5" s="103"/>
      <c r="M5" s="103"/>
      <c r="N5" s="103"/>
      <c r="O5" s="103"/>
    </row>
    <row r="6" spans="1:15" x14ac:dyDescent="0.3">
      <c r="A6" s="70" t="s">
        <v>210</v>
      </c>
      <c r="B6" s="71">
        <f>[1]Seeding!$B6</f>
        <v>185</v>
      </c>
      <c r="C6" s="103"/>
      <c r="D6" s="314" t="s">
        <v>2</v>
      </c>
      <c r="E6" s="314"/>
      <c r="F6" s="103"/>
      <c r="G6" s="79" t="s">
        <v>182</v>
      </c>
      <c r="H6" s="80">
        <f>H3+H4</f>
        <v>742.42500000000007</v>
      </c>
      <c r="I6" s="81" t="s">
        <v>182</v>
      </c>
      <c r="J6" s="103"/>
      <c r="K6" s="103"/>
      <c r="L6" s="103"/>
      <c r="M6" s="103"/>
      <c r="N6" s="103"/>
      <c r="O6" s="103"/>
    </row>
    <row r="7" spans="1:15" ht="18" x14ac:dyDescent="0.35">
      <c r="A7" s="70" t="s">
        <v>211</v>
      </c>
      <c r="B7" s="71">
        <f>[1]Seeding!$B7</f>
        <v>268</v>
      </c>
      <c r="C7" s="103"/>
      <c r="D7" s="72" t="s">
        <v>212</v>
      </c>
      <c r="E7" s="78">
        <v>316</v>
      </c>
      <c r="F7" s="103"/>
      <c r="G7" s="79" t="s">
        <v>184</v>
      </c>
      <c r="H7" s="80">
        <f>H6+(H6*I7)</f>
        <v>853.78875000000005</v>
      </c>
      <c r="I7" s="87">
        <v>0.15</v>
      </c>
      <c r="J7" s="103"/>
      <c r="K7" s="103"/>
      <c r="L7" s="103"/>
      <c r="M7" s="103"/>
      <c r="N7" s="103"/>
      <c r="O7" s="103"/>
    </row>
    <row r="8" spans="1:15" ht="18" x14ac:dyDescent="0.35">
      <c r="A8" s="70" t="s">
        <v>213</v>
      </c>
      <c r="B8" s="71">
        <f>[1]Seeding!$B8</f>
        <v>23.88</v>
      </c>
      <c r="C8" s="103"/>
      <c r="D8" s="72" t="s">
        <v>214</v>
      </c>
      <c r="E8" s="78">
        <v>27.68</v>
      </c>
      <c r="F8" s="103"/>
      <c r="G8" s="79"/>
      <c r="H8" s="83"/>
      <c r="I8" s="89"/>
      <c r="J8" s="103"/>
      <c r="K8" s="103"/>
      <c r="L8" s="103"/>
      <c r="M8" s="103">
        <v>1000</v>
      </c>
      <c r="N8" s="103">
        <v>2.6</v>
      </c>
      <c r="O8" s="103">
        <f>M8*N8</f>
        <v>2600</v>
      </c>
    </row>
    <row r="9" spans="1:15" ht="18" x14ac:dyDescent="0.35">
      <c r="A9" s="70" t="s">
        <v>215</v>
      </c>
      <c r="B9" s="71">
        <f>[1]Seeding!$B9</f>
        <v>32.5</v>
      </c>
      <c r="C9" s="103"/>
      <c r="D9" s="72" t="s">
        <v>216</v>
      </c>
      <c r="E9" s="78">
        <v>32</v>
      </c>
      <c r="F9" s="103"/>
      <c r="G9" s="79" t="s">
        <v>189</v>
      </c>
      <c r="H9" s="83" t="s">
        <v>190</v>
      </c>
      <c r="I9" s="89" t="s">
        <v>161</v>
      </c>
      <c r="J9" s="103"/>
      <c r="K9" s="103"/>
      <c r="L9" s="103"/>
      <c r="M9" s="103">
        <v>2</v>
      </c>
      <c r="N9" s="103">
        <f>I12</f>
        <v>569.1925</v>
      </c>
      <c r="O9" s="103">
        <f>M9*N9</f>
        <v>1138.385</v>
      </c>
    </row>
    <row r="10" spans="1:15" ht="18" x14ac:dyDescent="0.35">
      <c r="A10" s="70" t="s">
        <v>217</v>
      </c>
      <c r="B10" s="71">
        <f>[1]Seeding!$B10</f>
        <v>15.6</v>
      </c>
      <c r="C10" s="103"/>
      <c r="D10" s="72" t="s">
        <v>218</v>
      </c>
      <c r="E10" s="78">
        <v>22.97</v>
      </c>
      <c r="F10" s="103"/>
      <c r="G10" s="79">
        <v>2</v>
      </c>
      <c r="H10" s="80">
        <f>H7*G10</f>
        <v>1707.5775000000001</v>
      </c>
      <c r="I10" s="91">
        <f t="shared" ref="I10:I11" si="0">H10/6</f>
        <v>284.59625</v>
      </c>
      <c r="J10" s="103"/>
      <c r="K10" s="103"/>
      <c r="L10" s="103"/>
      <c r="M10" s="103"/>
      <c r="N10" s="103"/>
      <c r="O10" s="103"/>
    </row>
    <row r="11" spans="1:15" ht="18" x14ac:dyDescent="0.35">
      <c r="A11" s="70" t="s">
        <v>219</v>
      </c>
      <c r="B11" s="71">
        <f>[1]Seeding!$B11</f>
        <v>25.51</v>
      </c>
      <c r="C11" s="103"/>
      <c r="D11" s="72" t="s">
        <v>220</v>
      </c>
      <c r="E11" s="78"/>
      <c r="F11" s="103"/>
      <c r="G11" s="79">
        <v>3</v>
      </c>
      <c r="H11" s="80">
        <f>H7*G11</f>
        <v>2561.36625</v>
      </c>
      <c r="I11" s="91">
        <f t="shared" si="0"/>
        <v>426.89437500000003</v>
      </c>
      <c r="J11" s="103"/>
      <c r="K11" s="103"/>
      <c r="L11" s="103"/>
      <c r="M11" s="103"/>
      <c r="N11" s="103"/>
      <c r="O11" s="103">
        <f>SUM(O8:O9)</f>
        <v>3738.3850000000002</v>
      </c>
    </row>
    <row r="12" spans="1:15" ht="18" x14ac:dyDescent="0.35">
      <c r="A12" s="70" t="s">
        <v>221</v>
      </c>
      <c r="B12" s="71">
        <f>[1]Seeding!$B12</f>
        <v>17.12</v>
      </c>
      <c r="C12" s="103"/>
      <c r="D12" s="72" t="s">
        <v>222</v>
      </c>
      <c r="E12" s="78"/>
      <c r="F12" s="103"/>
      <c r="G12" s="79">
        <v>4</v>
      </c>
      <c r="H12" s="80">
        <f>H7*G12</f>
        <v>3415.1550000000002</v>
      </c>
      <c r="I12" s="91">
        <f>H12/6</f>
        <v>569.1925</v>
      </c>
      <c r="J12" s="103"/>
      <c r="K12" s="103"/>
      <c r="L12" s="103"/>
      <c r="M12" s="103"/>
      <c r="N12" s="103"/>
      <c r="O12" s="103">
        <f>O11/M8</f>
        <v>3.7383850000000001</v>
      </c>
    </row>
    <row r="13" spans="1:15" ht="18" x14ac:dyDescent="0.35">
      <c r="A13" s="70" t="s">
        <v>223</v>
      </c>
      <c r="B13" s="71">
        <f>[1]Seeding!$B13</f>
        <v>15</v>
      </c>
      <c r="C13" s="103"/>
      <c r="D13" s="72" t="s">
        <v>181</v>
      </c>
      <c r="E13" s="84">
        <v>0.02</v>
      </c>
      <c r="F13" s="103"/>
      <c r="G13" s="92">
        <v>5</v>
      </c>
      <c r="H13" s="93">
        <f>H7*G13</f>
        <v>4268.9437500000004</v>
      </c>
      <c r="I13" s="94">
        <f>H13/6</f>
        <v>711.49062500000002</v>
      </c>
      <c r="J13" s="103"/>
      <c r="K13" s="103"/>
      <c r="L13" s="103"/>
      <c r="M13" s="103"/>
      <c r="N13" s="103"/>
      <c r="O13" s="103"/>
    </row>
    <row r="14" spans="1:15" x14ac:dyDescent="0.3">
      <c r="A14" s="70" t="s">
        <v>224</v>
      </c>
      <c r="B14" s="71">
        <f>[1]Seeding!$B14</f>
        <v>14</v>
      </c>
      <c r="C14" s="103"/>
      <c r="D14" s="106"/>
      <c r="E14" s="107"/>
      <c r="F14" s="104" t="s">
        <v>237</v>
      </c>
      <c r="G14" s="103"/>
      <c r="H14" s="103"/>
      <c r="I14" s="104" t="s">
        <v>237</v>
      </c>
      <c r="J14" s="103"/>
      <c r="K14" s="103"/>
      <c r="L14" s="103"/>
      <c r="M14" s="103"/>
      <c r="N14" s="103"/>
      <c r="O14" s="103"/>
    </row>
    <row r="15" spans="1:15" x14ac:dyDescent="0.3">
      <c r="A15" s="70" t="s">
        <v>225</v>
      </c>
      <c r="B15" s="71">
        <f>[1]Seeding!$B15</f>
        <v>50</v>
      </c>
      <c r="C15" s="103"/>
      <c r="D15" s="316" t="s">
        <v>238</v>
      </c>
      <c r="E15" s="316"/>
      <c r="F15" s="108">
        <f>E5/F20</f>
        <v>0</v>
      </c>
      <c r="G15" s="316" t="s">
        <v>239</v>
      </c>
      <c r="H15" s="316"/>
      <c r="I15" s="104">
        <f>E5/I20</f>
        <v>0</v>
      </c>
      <c r="J15" s="103"/>
      <c r="K15" s="103"/>
      <c r="L15" s="103"/>
      <c r="M15" s="103"/>
      <c r="N15" s="103"/>
      <c r="O15" s="103"/>
    </row>
    <row r="16" spans="1:15" x14ac:dyDescent="0.3">
      <c r="A16" s="70" t="s">
        <v>228</v>
      </c>
      <c r="B16" s="71">
        <f>[1]Seeding!$B16</f>
        <v>20.85</v>
      </c>
      <c r="C16" s="103"/>
      <c r="D16" s="88" t="s">
        <v>212</v>
      </c>
      <c r="E16" s="90">
        <f>IF(D4="Broadcast",E7*1*E5,0)</f>
        <v>0</v>
      </c>
      <c r="F16" s="103"/>
      <c r="G16" s="88" t="s">
        <v>212</v>
      </c>
      <c r="H16" s="90">
        <f>IF(D4="Overseed",E7*0.5*E5,0)</f>
        <v>0</v>
      </c>
      <c r="I16" s="103"/>
      <c r="J16" s="103"/>
      <c r="K16" s="103"/>
      <c r="L16" s="103"/>
      <c r="M16" s="103"/>
      <c r="N16" s="103"/>
      <c r="O16" s="103"/>
    </row>
    <row r="17" spans="1:15" x14ac:dyDescent="0.3">
      <c r="A17" s="70" t="s">
        <v>229</v>
      </c>
      <c r="B17" s="71">
        <f>[1]Seeding!$B17</f>
        <v>13.13</v>
      </c>
      <c r="C17" s="103"/>
      <c r="D17" s="88" t="s">
        <v>214</v>
      </c>
      <c r="E17" s="90">
        <f>IF(D4="Broadcast",E8*1*E5,0)</f>
        <v>0</v>
      </c>
      <c r="F17" s="103"/>
      <c r="G17" s="88" t="s">
        <v>230</v>
      </c>
      <c r="H17" s="90">
        <f>IF(D4="Overseed",E9*1*E5,0)</f>
        <v>0</v>
      </c>
      <c r="I17" s="103"/>
      <c r="J17" s="103"/>
      <c r="K17" s="103"/>
      <c r="L17" s="103"/>
      <c r="M17" s="103"/>
      <c r="N17" s="103"/>
      <c r="O17" s="103"/>
    </row>
    <row r="18" spans="1:15" x14ac:dyDescent="0.3">
      <c r="A18" s="70" t="s">
        <v>231</v>
      </c>
      <c r="B18" s="71">
        <f>[1]Seeding!$B18</f>
        <v>32.6</v>
      </c>
      <c r="C18" s="103"/>
      <c r="D18" s="88" t="s">
        <v>218</v>
      </c>
      <c r="E18" s="90">
        <f>IF(D4="Broadcast",E10*10*E5,0)</f>
        <v>0</v>
      </c>
      <c r="F18" s="103"/>
      <c r="G18" s="88" t="s">
        <v>218</v>
      </c>
      <c r="H18" s="90">
        <f>IF(D4="Overseed",E10*6*E5,0)</f>
        <v>0</v>
      </c>
      <c r="I18" s="103"/>
      <c r="J18" s="103"/>
      <c r="K18" s="103"/>
      <c r="L18" s="103"/>
      <c r="M18" s="103"/>
      <c r="N18" s="103"/>
      <c r="O18" s="103"/>
    </row>
    <row r="19" spans="1:15" x14ac:dyDescent="0.3">
      <c r="A19" s="70" t="s">
        <v>232</v>
      </c>
      <c r="B19" s="71">
        <f>[1]Seeding!$B19</f>
        <v>15</v>
      </c>
      <c r="C19" s="103"/>
      <c r="D19" s="88" t="s">
        <v>181</v>
      </c>
      <c r="E19" s="90">
        <f>IF(D4="Broadcast",SUM(E16:E18)*E13,0)</f>
        <v>0</v>
      </c>
      <c r="F19" s="104" t="s">
        <v>240</v>
      </c>
      <c r="G19" s="88" t="s">
        <v>235</v>
      </c>
      <c r="H19" s="90">
        <f>IF(D4="Overseed",SUM(H16:H18)*E13,0)</f>
        <v>0</v>
      </c>
      <c r="I19" s="104" t="s">
        <v>240</v>
      </c>
      <c r="J19" s="103"/>
      <c r="K19" s="103"/>
      <c r="L19" s="103"/>
      <c r="M19" s="103"/>
      <c r="N19" s="103"/>
      <c r="O19" s="103"/>
    </row>
    <row r="20" spans="1:15" x14ac:dyDescent="0.3">
      <c r="A20" s="70" t="s">
        <v>233</v>
      </c>
      <c r="B20" s="71">
        <f>[1]Seeding!$B20</f>
        <v>47.47</v>
      </c>
      <c r="C20" s="103"/>
      <c r="D20" s="88" t="s">
        <v>170</v>
      </c>
      <c r="E20" s="90">
        <f>IF(D4="Broadcast",ROUNDUP(E5/F20,0)*I10,0)</f>
        <v>0</v>
      </c>
      <c r="F20" s="67">
        <v>30</v>
      </c>
      <c r="G20" s="88" t="s">
        <v>170</v>
      </c>
      <c r="H20" s="90">
        <f>IF(D4="Overseed",(ROUNDUP(E5/I20,0)*I11)/3,0)</f>
        <v>0</v>
      </c>
      <c r="I20" s="67">
        <v>10</v>
      </c>
      <c r="J20" s="103"/>
      <c r="K20" s="103"/>
      <c r="L20" s="103"/>
      <c r="M20" s="103"/>
      <c r="N20" s="103"/>
      <c r="O20" s="103"/>
    </row>
    <row r="21" spans="1:15" x14ac:dyDescent="0.3">
      <c r="A21" s="70" t="s">
        <v>234</v>
      </c>
      <c r="B21" s="71">
        <f>[1]Seeding!$B21</f>
        <v>14.5</v>
      </c>
      <c r="C21" s="103"/>
      <c r="D21" s="88" t="s">
        <v>196</v>
      </c>
      <c r="E21" s="71">
        <f>IF(D4="Broadcast",ROUNDUP(E5/F20,0)*F21,0)</f>
        <v>0</v>
      </c>
      <c r="F21" s="113">
        <v>50</v>
      </c>
      <c r="G21" s="88" t="s">
        <v>196</v>
      </c>
      <c r="H21" s="71">
        <f>IF(D4="Overseed",(ROUNDUP(E5/I20,0)*F21)/3,0)</f>
        <v>0</v>
      </c>
      <c r="I21" s="103"/>
      <c r="J21" s="103"/>
      <c r="K21" s="103"/>
      <c r="L21" s="103"/>
      <c r="M21" s="103"/>
      <c r="N21" s="103"/>
      <c r="O21" s="103"/>
    </row>
    <row r="22" spans="1:15" x14ac:dyDescent="0.3">
      <c r="A22" s="70" t="s">
        <v>251</v>
      </c>
      <c r="B22" s="71">
        <v>2.6</v>
      </c>
      <c r="C22" s="103"/>
      <c r="D22" s="88" t="s">
        <v>198</v>
      </c>
      <c r="E22" s="90">
        <f>E19+E20+E21+E18+E17+E16</f>
        <v>0</v>
      </c>
      <c r="F22" s="104" t="s">
        <v>250</v>
      </c>
      <c r="G22" s="88" t="s">
        <v>198</v>
      </c>
      <c r="H22" s="90">
        <f>H19+H20+H21+H18+H17+H16</f>
        <v>0</v>
      </c>
      <c r="I22" s="103"/>
      <c r="J22" s="103"/>
      <c r="K22" s="103"/>
      <c r="L22" s="103"/>
      <c r="M22" s="103"/>
      <c r="N22" s="103"/>
      <c r="O22" s="103"/>
    </row>
    <row r="23" spans="1:15" x14ac:dyDescent="0.3">
      <c r="A23" s="103"/>
      <c r="B23" s="103"/>
      <c r="C23" s="103"/>
      <c r="D23" s="104"/>
      <c r="E23" s="103"/>
      <c r="F23" s="103"/>
      <c r="G23" s="104"/>
      <c r="H23" s="103"/>
      <c r="I23" s="103"/>
      <c r="J23" s="103"/>
      <c r="K23" s="103"/>
      <c r="L23" s="103"/>
      <c r="M23" s="103"/>
      <c r="N23" s="103"/>
      <c r="O23" s="103"/>
    </row>
    <row r="24" spans="1:15" ht="18" x14ac:dyDescent="0.35">
      <c r="A24" s="95" t="s">
        <v>197</v>
      </c>
      <c r="B24" s="95"/>
      <c r="C24" s="103"/>
      <c r="D24" s="72" t="s">
        <v>201</v>
      </c>
      <c r="E24" s="97"/>
      <c r="F24" s="103"/>
      <c r="G24" s="72" t="s">
        <v>201</v>
      </c>
      <c r="H24" s="97"/>
      <c r="I24" s="103"/>
      <c r="J24" s="103"/>
      <c r="K24" s="103" t="s">
        <v>238</v>
      </c>
      <c r="L24" s="103"/>
      <c r="M24" s="103"/>
      <c r="N24" s="103"/>
      <c r="O24" s="103"/>
    </row>
    <row r="25" spans="1:15" ht="18" x14ac:dyDescent="0.35">
      <c r="A25" s="96" t="s">
        <v>199</v>
      </c>
      <c r="B25" s="95"/>
      <c r="C25" s="103"/>
      <c r="D25" s="72" t="s">
        <v>203</v>
      </c>
      <c r="E25" s="98">
        <f>IF(D4="Broadcast",E5*E24,0)</f>
        <v>0</v>
      </c>
      <c r="F25" s="103"/>
      <c r="G25" s="72" t="s">
        <v>203</v>
      </c>
      <c r="H25" s="98">
        <f>IF(D4="Overseed",E5*H24,0)</f>
        <v>0</v>
      </c>
      <c r="I25" s="103"/>
      <c r="J25" s="103"/>
      <c r="K25" s="103" t="s">
        <v>249</v>
      </c>
      <c r="L25" s="103"/>
      <c r="M25" s="103"/>
      <c r="N25" s="103"/>
      <c r="O25" s="103"/>
    </row>
    <row r="26" spans="1:15" ht="18" x14ac:dyDescent="0.35">
      <c r="A26" s="95" t="s">
        <v>200</v>
      </c>
      <c r="B26" s="95"/>
      <c r="C26" s="103"/>
      <c r="D26" s="99" t="s">
        <v>205</v>
      </c>
      <c r="E26" s="100">
        <f>E25-E22</f>
        <v>0</v>
      </c>
      <c r="F26" s="101" t="e">
        <f>E26/E25</f>
        <v>#DIV/0!</v>
      </c>
      <c r="G26" s="99" t="s">
        <v>205</v>
      </c>
      <c r="H26" s="100">
        <f>H25-H22</f>
        <v>0</v>
      </c>
      <c r="I26" s="101" t="e">
        <f>H26/H25</f>
        <v>#DIV/0!</v>
      </c>
      <c r="J26" s="103"/>
      <c r="K26" s="103"/>
      <c r="L26" s="103"/>
      <c r="M26" s="103"/>
      <c r="N26" s="103"/>
      <c r="O26" s="103"/>
    </row>
    <row r="27" spans="1:15" ht="18" x14ac:dyDescent="0.35">
      <c r="A27" s="95" t="s">
        <v>202</v>
      </c>
      <c r="B27" s="95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</sheetData>
  <mergeCells count="4">
    <mergeCell ref="D2:E2"/>
    <mergeCell ref="D6:E6"/>
    <mergeCell ref="D15:E15"/>
    <mergeCell ref="G15:H15"/>
  </mergeCells>
  <conditionalFormatting sqref="F26">
    <cfRule type="expression" dxfId="5" priority="2">
      <formula>$F$26&lt;30%</formula>
    </cfRule>
  </conditionalFormatting>
  <conditionalFormatting sqref="I26">
    <cfRule type="expression" dxfId="4" priority="1">
      <formula>$I$26&lt;30%</formula>
    </cfRule>
  </conditionalFormatting>
  <dataValidations count="1">
    <dataValidation type="list" allowBlank="1" showInputMessage="1" showErrorMessage="1" sqref="K17 D4" xr:uid="{76DB2508-9883-401F-A9F1-D6E530C5343B}">
      <formula1>$K$24:$K$25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8E800-D69C-4D36-9E52-E409EFE70DA2}">
  <sheetPr>
    <tabColor theme="9"/>
  </sheetPr>
  <dimension ref="A1:K43"/>
  <sheetViews>
    <sheetView zoomScaleNormal="100" workbookViewId="0">
      <selection activeCell="E24" sqref="E24"/>
    </sheetView>
  </sheetViews>
  <sheetFormatPr defaultRowHeight="14.4" x14ac:dyDescent="0.3"/>
  <cols>
    <col min="1" max="1" width="40.109375" bestFit="1" customWidth="1"/>
    <col min="2" max="2" width="14.88671875" bestFit="1" customWidth="1"/>
    <col min="4" max="4" width="15.44140625" bestFit="1" customWidth="1"/>
    <col min="5" max="5" width="17.5546875" bestFit="1" customWidth="1"/>
    <col min="6" max="6" width="13.44140625" customWidth="1"/>
    <col min="7" max="7" width="15.44140625" bestFit="1" customWidth="1"/>
    <col min="8" max="8" width="16" bestFit="1" customWidth="1"/>
    <col min="9" max="9" width="11.33203125" customWidth="1"/>
    <col min="11" max="11" width="10.33203125" bestFit="1" customWidth="1"/>
    <col min="12" max="12" width="10.5546875" bestFit="1" customWidth="1"/>
  </cols>
  <sheetData>
    <row r="1" spans="1:11" ht="18" x14ac:dyDescent="0.35">
      <c r="A1" s="63" t="s">
        <v>158</v>
      </c>
      <c r="B1" s="64">
        <v>45576</v>
      </c>
      <c r="C1" s="103"/>
      <c r="D1" s="103"/>
      <c r="E1" s="103"/>
      <c r="F1" s="103"/>
      <c r="G1" s="104" t="s">
        <v>169</v>
      </c>
      <c r="H1" s="105" t="s">
        <v>170</v>
      </c>
      <c r="I1" s="103"/>
      <c r="J1" s="103"/>
      <c r="K1" s="103"/>
    </row>
    <row r="2" spans="1:11" ht="18" x14ac:dyDescent="0.35">
      <c r="A2" s="103"/>
      <c r="B2" s="103"/>
      <c r="C2" s="103"/>
      <c r="D2" s="312" t="s">
        <v>159</v>
      </c>
      <c r="E2" s="313"/>
      <c r="F2" s="103"/>
      <c r="G2" s="75" t="s">
        <v>171</v>
      </c>
      <c r="H2" s="76">
        <v>15.63</v>
      </c>
      <c r="I2" s="77"/>
      <c r="J2" s="103"/>
      <c r="K2" s="103"/>
    </row>
    <row r="3" spans="1:11" x14ac:dyDescent="0.3">
      <c r="A3" s="103"/>
      <c r="B3" s="103"/>
      <c r="C3" s="103"/>
      <c r="D3" s="121" t="s">
        <v>265</v>
      </c>
      <c r="E3" s="104"/>
      <c r="F3" s="103"/>
      <c r="G3" s="79">
        <v>40</v>
      </c>
      <c r="H3" s="80">
        <f>H2*G3</f>
        <v>625.20000000000005</v>
      </c>
      <c r="I3" s="81" t="s">
        <v>174</v>
      </c>
      <c r="J3" s="103"/>
      <c r="K3" s="103"/>
    </row>
    <row r="4" spans="1:11" x14ac:dyDescent="0.3">
      <c r="A4" s="104" t="s">
        <v>165</v>
      </c>
      <c r="B4" s="104" t="s">
        <v>206</v>
      </c>
      <c r="C4" s="103"/>
      <c r="D4" s="67" t="s">
        <v>252</v>
      </c>
      <c r="E4" s="104" t="s">
        <v>21</v>
      </c>
      <c r="F4" s="103"/>
      <c r="G4" s="79">
        <v>5</v>
      </c>
      <c r="H4" s="80">
        <f>(H2*1.5)*G4</f>
        <v>117.22499999999999</v>
      </c>
      <c r="I4" s="81" t="s">
        <v>177</v>
      </c>
      <c r="J4" s="103"/>
      <c r="K4" s="103"/>
    </row>
    <row r="5" spans="1:11" ht="18" x14ac:dyDescent="0.35">
      <c r="A5" s="70" t="s">
        <v>208</v>
      </c>
      <c r="B5" s="71">
        <f>[1]Hydromulch!B5</f>
        <v>341.98</v>
      </c>
      <c r="C5" s="103"/>
      <c r="D5" s="72" t="s">
        <v>236</v>
      </c>
      <c r="E5" s="73">
        <v>6222</v>
      </c>
      <c r="F5" s="103"/>
      <c r="G5" s="79"/>
      <c r="H5" s="83"/>
      <c r="I5" s="81"/>
      <c r="J5" s="103"/>
      <c r="K5" s="103"/>
    </row>
    <row r="6" spans="1:11" x14ac:dyDescent="0.3">
      <c r="A6" s="70" t="s">
        <v>210</v>
      </c>
      <c r="B6" s="71">
        <f>[1]Hydromulch!B6</f>
        <v>185</v>
      </c>
      <c r="C6" s="103"/>
      <c r="D6" s="314" t="s">
        <v>2</v>
      </c>
      <c r="E6" s="314"/>
      <c r="F6" s="103"/>
      <c r="G6" s="79" t="s">
        <v>182</v>
      </c>
      <c r="H6" s="80">
        <f>H3+H4</f>
        <v>742.42500000000007</v>
      </c>
      <c r="I6" s="81" t="s">
        <v>182</v>
      </c>
      <c r="J6" s="103"/>
      <c r="K6" s="103"/>
    </row>
    <row r="7" spans="1:11" ht="18" x14ac:dyDescent="0.35">
      <c r="A7" s="70" t="s">
        <v>211</v>
      </c>
      <c r="B7" s="71">
        <f>[1]Hydromulch!B7</f>
        <v>268</v>
      </c>
      <c r="C7" s="103"/>
      <c r="D7" s="72" t="s">
        <v>253</v>
      </c>
      <c r="E7" s="78">
        <v>4.5</v>
      </c>
      <c r="F7" s="103"/>
      <c r="G7" s="79" t="s">
        <v>184</v>
      </c>
      <c r="H7" s="80">
        <f>H6+(H6*I7)</f>
        <v>853.78875000000005</v>
      </c>
      <c r="I7" s="87">
        <v>0.15</v>
      </c>
      <c r="J7" s="103"/>
      <c r="K7" s="103"/>
    </row>
    <row r="8" spans="1:11" ht="18" x14ac:dyDescent="0.35">
      <c r="A8" s="70" t="s">
        <v>213</v>
      </c>
      <c r="B8" s="71">
        <f>[1]Hydromulch!B8</f>
        <v>23.88</v>
      </c>
      <c r="C8" s="103"/>
      <c r="D8" s="72" t="s">
        <v>254</v>
      </c>
      <c r="E8" s="78"/>
      <c r="F8" s="103"/>
      <c r="G8" s="79"/>
      <c r="H8" s="83"/>
      <c r="I8" s="89"/>
      <c r="J8" s="103"/>
      <c r="K8" s="103"/>
    </row>
    <row r="9" spans="1:11" ht="18" x14ac:dyDescent="0.35">
      <c r="A9" s="70" t="s">
        <v>215</v>
      </c>
      <c r="B9" s="71">
        <f>[1]Hydromulch!B9</f>
        <v>32.5</v>
      </c>
      <c r="C9" s="103"/>
      <c r="D9" s="72"/>
      <c r="E9" s="78"/>
      <c r="F9" s="103"/>
      <c r="G9" s="79" t="s">
        <v>189</v>
      </c>
      <c r="H9" s="83" t="s">
        <v>190</v>
      </c>
      <c r="I9" s="89" t="s">
        <v>161</v>
      </c>
      <c r="J9" s="103"/>
      <c r="K9" s="103"/>
    </row>
    <row r="10" spans="1:11" ht="18" x14ac:dyDescent="0.35">
      <c r="A10" s="70" t="s">
        <v>217</v>
      </c>
      <c r="B10" s="71">
        <f>[1]Hydromulch!B10</f>
        <v>15.6</v>
      </c>
      <c r="C10" s="103"/>
      <c r="D10" s="72"/>
      <c r="E10" s="78"/>
      <c r="F10" s="103"/>
      <c r="G10" s="79">
        <v>2</v>
      </c>
      <c r="H10" s="80">
        <f>H7*G10</f>
        <v>1707.5775000000001</v>
      </c>
      <c r="I10" s="91">
        <f t="shared" ref="I10:I11" si="0">H10/6</f>
        <v>284.59625</v>
      </c>
      <c r="J10" s="103"/>
      <c r="K10" s="103"/>
    </row>
    <row r="11" spans="1:11" ht="18" x14ac:dyDescent="0.35">
      <c r="A11" s="70" t="s">
        <v>219</v>
      </c>
      <c r="B11" s="71">
        <f>[1]Hydromulch!B11</f>
        <v>25.51</v>
      </c>
      <c r="C11" s="103"/>
      <c r="D11" s="72"/>
      <c r="E11" s="78"/>
      <c r="F11" s="103"/>
      <c r="G11" s="79">
        <v>3</v>
      </c>
      <c r="H11" s="80">
        <f>H7*G11</f>
        <v>2561.36625</v>
      </c>
      <c r="I11" s="91">
        <f t="shared" si="0"/>
        <v>426.89437500000003</v>
      </c>
      <c r="J11" s="103"/>
      <c r="K11" s="103"/>
    </row>
    <row r="12" spans="1:11" ht="18" x14ac:dyDescent="0.35">
      <c r="A12" s="70" t="s">
        <v>221</v>
      </c>
      <c r="B12" s="71">
        <f>[1]Hydromulch!B12</f>
        <v>17.12</v>
      </c>
      <c r="C12" s="103"/>
      <c r="D12" s="72"/>
      <c r="E12" s="78"/>
      <c r="F12" s="103"/>
      <c r="G12" s="79">
        <v>4</v>
      </c>
      <c r="H12" s="80">
        <f>H7*G12</f>
        <v>3415.1550000000002</v>
      </c>
      <c r="I12" s="91">
        <f>H12/6</f>
        <v>569.1925</v>
      </c>
      <c r="J12" s="103"/>
      <c r="K12" s="103"/>
    </row>
    <row r="13" spans="1:11" ht="18" x14ac:dyDescent="0.35">
      <c r="A13" s="70" t="s">
        <v>223</v>
      </c>
      <c r="B13" s="71">
        <f>[1]Hydromulch!B13</f>
        <v>15</v>
      </c>
      <c r="C13" s="103"/>
      <c r="D13" s="72" t="s">
        <v>181</v>
      </c>
      <c r="E13" s="114">
        <v>2.5000000000000001E-2</v>
      </c>
      <c r="F13" s="103"/>
      <c r="G13" s="92">
        <v>5</v>
      </c>
      <c r="H13" s="93">
        <f>H7*G13</f>
        <v>4268.9437500000004</v>
      </c>
      <c r="I13" s="94">
        <f>H13/6</f>
        <v>711.49062500000002</v>
      </c>
      <c r="J13" s="103"/>
      <c r="K13" s="103"/>
    </row>
    <row r="14" spans="1:11" x14ac:dyDescent="0.3">
      <c r="A14" s="70" t="s">
        <v>224</v>
      </c>
      <c r="B14" s="71">
        <f>[1]Hydromulch!B14</f>
        <v>14</v>
      </c>
      <c r="C14" s="103"/>
      <c r="D14" s="106"/>
      <c r="E14" s="107"/>
      <c r="F14" s="104" t="s">
        <v>237</v>
      </c>
      <c r="G14" s="103"/>
      <c r="H14" s="103"/>
      <c r="I14" s="104"/>
      <c r="J14" s="103"/>
      <c r="K14" s="103"/>
    </row>
    <row r="15" spans="1:11" x14ac:dyDescent="0.3">
      <c r="A15" s="70" t="s">
        <v>225</v>
      </c>
      <c r="B15" s="71">
        <f>[1]Hydromulch!B15</f>
        <v>50</v>
      </c>
      <c r="C15" s="103"/>
      <c r="D15" s="316" t="s">
        <v>238</v>
      </c>
      <c r="E15" s="316"/>
      <c r="F15" s="108">
        <f>E5/F20</f>
        <v>2.0739999999999998</v>
      </c>
      <c r="G15" s="103"/>
      <c r="H15" s="103"/>
      <c r="I15" s="103"/>
      <c r="J15" s="103"/>
      <c r="K15" s="103"/>
    </row>
    <row r="16" spans="1:11" x14ac:dyDescent="0.3">
      <c r="A16" s="70" t="s">
        <v>228</v>
      </c>
      <c r="B16" s="71">
        <f>[1]Hydromulch!B16</f>
        <v>20.85</v>
      </c>
      <c r="C16" s="103"/>
      <c r="D16" s="88" t="s">
        <v>253</v>
      </c>
      <c r="E16" s="90">
        <f>E7*1*E5</f>
        <v>27999</v>
      </c>
      <c r="F16" s="103"/>
      <c r="G16" s="103"/>
      <c r="H16" s="103" t="s">
        <v>252</v>
      </c>
      <c r="I16" s="103">
        <v>3000</v>
      </c>
      <c r="J16" s="103"/>
      <c r="K16" s="103"/>
    </row>
    <row r="17" spans="1:11" x14ac:dyDescent="0.3">
      <c r="A17" s="70" t="s">
        <v>229</v>
      </c>
      <c r="B17" s="71">
        <f>[1]Hydromulch!B17</f>
        <v>13.13</v>
      </c>
      <c r="C17" s="103"/>
      <c r="D17" s="88" t="s">
        <v>254</v>
      </c>
      <c r="E17" s="90">
        <f>(E5/250)*E8</f>
        <v>0</v>
      </c>
      <c r="F17" s="103"/>
      <c r="G17" s="103"/>
      <c r="H17" s="103" t="s">
        <v>255</v>
      </c>
      <c r="I17" s="103">
        <v>1500</v>
      </c>
      <c r="J17" s="103"/>
      <c r="K17" s="103"/>
    </row>
    <row r="18" spans="1:11" x14ac:dyDescent="0.3">
      <c r="A18" s="70" t="s">
        <v>231</v>
      </c>
      <c r="B18" s="71">
        <f>[1]Hydromulch!B18</f>
        <v>32.6</v>
      </c>
      <c r="C18" s="103"/>
      <c r="D18" s="88"/>
      <c r="E18" s="90">
        <f>E10*10*E5</f>
        <v>0</v>
      </c>
      <c r="F18" s="103"/>
      <c r="G18" s="103"/>
      <c r="H18" s="103" t="s">
        <v>256</v>
      </c>
      <c r="I18" s="103">
        <v>1000</v>
      </c>
      <c r="J18" s="103"/>
      <c r="K18" s="103"/>
    </row>
    <row r="19" spans="1:11" x14ac:dyDescent="0.3">
      <c r="A19" s="70" t="s">
        <v>232</v>
      </c>
      <c r="B19" s="71">
        <f>[1]Hydromulch!B19</f>
        <v>15</v>
      </c>
      <c r="C19" s="103"/>
      <c r="D19" s="88" t="s">
        <v>181</v>
      </c>
      <c r="E19" s="90">
        <f>SUM(E16:E18)*E13</f>
        <v>699.97500000000002</v>
      </c>
      <c r="F19" s="104" t="s">
        <v>240</v>
      </c>
      <c r="G19" s="103"/>
      <c r="H19" s="103" t="s">
        <v>257</v>
      </c>
      <c r="I19" s="103">
        <v>500</v>
      </c>
      <c r="J19" s="103"/>
      <c r="K19" s="103"/>
    </row>
    <row r="20" spans="1:11" x14ac:dyDescent="0.3">
      <c r="A20" s="70" t="s">
        <v>233</v>
      </c>
      <c r="B20" s="71">
        <f>[1]Hydromulch!B20</f>
        <v>47.47</v>
      </c>
      <c r="C20" s="103"/>
      <c r="D20" s="88" t="s">
        <v>170</v>
      </c>
      <c r="E20" s="90">
        <f>ROUNDUP(E5/F20,0)*I12</f>
        <v>1707.5774999999999</v>
      </c>
      <c r="F20" s="104">
        <f>VLOOKUP(D4,H16:I19,2)</f>
        <v>3000</v>
      </c>
      <c r="G20" s="103"/>
      <c r="H20" s="103"/>
      <c r="I20" s="103"/>
      <c r="J20" s="103"/>
      <c r="K20" s="103"/>
    </row>
    <row r="21" spans="1:11" x14ac:dyDescent="0.3">
      <c r="A21" s="70" t="s">
        <v>234</v>
      </c>
      <c r="B21" s="71">
        <f>[1]Hydromulch!B21</f>
        <v>14.5</v>
      </c>
      <c r="C21" s="103"/>
      <c r="D21" s="88" t="s">
        <v>196</v>
      </c>
      <c r="E21" s="71">
        <f>ROUNDUP(E5/F20,0)*100</f>
        <v>300</v>
      </c>
      <c r="F21" s="113">
        <v>100</v>
      </c>
      <c r="G21" s="103" t="s">
        <v>161</v>
      </c>
      <c r="H21" s="103"/>
      <c r="I21" s="103"/>
      <c r="J21" s="103"/>
      <c r="K21" s="103"/>
    </row>
    <row r="22" spans="1:11" x14ac:dyDescent="0.3">
      <c r="A22" s="70" t="s">
        <v>333</v>
      </c>
      <c r="B22" s="71">
        <v>4</v>
      </c>
      <c r="C22" s="103"/>
      <c r="D22" s="88" t="s">
        <v>198</v>
      </c>
      <c r="E22" s="90">
        <f>E19+E20+E21+E18+E17+E16</f>
        <v>30706.552499999998</v>
      </c>
      <c r="F22" s="104" t="s">
        <v>258</v>
      </c>
      <c r="G22" s="103"/>
      <c r="H22" s="103"/>
      <c r="I22" s="103"/>
      <c r="J22" s="103"/>
      <c r="K22" s="103"/>
    </row>
    <row r="23" spans="1:11" x14ac:dyDescent="0.3">
      <c r="A23" s="70" t="s">
        <v>334</v>
      </c>
      <c r="B23" s="71">
        <f>[1]Hydromulch!B22</f>
        <v>2.6</v>
      </c>
      <c r="C23" s="103"/>
      <c r="D23" s="104"/>
      <c r="E23" s="103"/>
      <c r="F23" s="103"/>
      <c r="G23" s="103"/>
      <c r="H23" s="103"/>
      <c r="I23" s="103"/>
      <c r="J23" s="103"/>
      <c r="K23" s="103"/>
    </row>
    <row r="24" spans="1:11" ht="18" x14ac:dyDescent="0.35">
      <c r="A24" s="115" t="s">
        <v>259</v>
      </c>
      <c r="B24" s="71">
        <f>[1]Sod!$B$23</f>
        <v>42.94</v>
      </c>
      <c r="C24" s="103"/>
      <c r="D24" s="72" t="s">
        <v>201</v>
      </c>
      <c r="E24" s="97"/>
      <c r="F24" s="103"/>
      <c r="G24" s="103"/>
      <c r="H24" s="103"/>
      <c r="I24" s="103"/>
      <c r="J24" s="103"/>
      <c r="K24" s="103"/>
    </row>
    <row r="25" spans="1:11" ht="18" x14ac:dyDescent="0.35">
      <c r="A25" s="103"/>
      <c r="B25" s="103"/>
      <c r="C25" s="103"/>
      <c r="D25" s="72" t="s">
        <v>203</v>
      </c>
      <c r="E25" s="98">
        <f>E5*E24</f>
        <v>0</v>
      </c>
      <c r="F25" s="103"/>
      <c r="G25" s="103"/>
      <c r="H25" s="103"/>
      <c r="I25" s="103"/>
      <c r="J25" s="103"/>
      <c r="K25" s="103"/>
    </row>
    <row r="26" spans="1:11" ht="18" x14ac:dyDescent="0.35">
      <c r="A26" s="95" t="s">
        <v>197</v>
      </c>
      <c r="B26" s="95"/>
      <c r="C26" s="103"/>
      <c r="D26" s="99" t="s">
        <v>205</v>
      </c>
      <c r="E26" s="100">
        <f>E25-E22</f>
        <v>-30706.552499999998</v>
      </c>
      <c r="F26" s="101" t="e">
        <f>E26/E25</f>
        <v>#DIV/0!</v>
      </c>
      <c r="G26" s="103"/>
      <c r="H26" s="103"/>
      <c r="I26" s="103"/>
      <c r="J26" s="103"/>
      <c r="K26" s="103"/>
    </row>
    <row r="27" spans="1:11" ht="18" x14ac:dyDescent="0.35">
      <c r="A27" s="96" t="s">
        <v>199</v>
      </c>
      <c r="B27" s="95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1:11" ht="18" x14ac:dyDescent="0.35">
      <c r="A28" s="95" t="s">
        <v>200</v>
      </c>
      <c r="B28" s="95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1:11" ht="18" x14ac:dyDescent="0.35">
      <c r="A29" s="95" t="s">
        <v>202</v>
      </c>
      <c r="B29" s="95"/>
      <c r="C29" s="103"/>
      <c r="D29" s="103"/>
      <c r="E29" s="116" t="s">
        <v>260</v>
      </c>
      <c r="F29" s="103"/>
      <c r="G29" s="103"/>
      <c r="H29" s="103"/>
      <c r="I29" s="103"/>
      <c r="J29" s="103"/>
      <c r="K29" s="103"/>
    </row>
    <row r="30" spans="1:11" x14ac:dyDescent="0.3">
      <c r="A30" s="103"/>
      <c r="B30" s="103"/>
      <c r="C30" s="103"/>
      <c r="D30" s="117" t="s">
        <v>9</v>
      </c>
      <c r="E30" s="117" t="s">
        <v>238</v>
      </c>
      <c r="F30" s="117" t="s">
        <v>239</v>
      </c>
      <c r="G30" s="103"/>
      <c r="H30" s="103"/>
      <c r="I30" s="103"/>
      <c r="J30" s="103"/>
      <c r="K30" s="103"/>
    </row>
    <row r="31" spans="1:11" x14ac:dyDescent="0.3">
      <c r="A31" s="103"/>
      <c r="B31" s="103"/>
      <c r="C31" s="103"/>
      <c r="D31" s="72">
        <v>1</v>
      </c>
      <c r="E31" s="118">
        <v>1950</v>
      </c>
      <c r="F31" s="118">
        <v>1475</v>
      </c>
      <c r="G31" s="103"/>
      <c r="H31" s="103"/>
      <c r="I31" s="103"/>
      <c r="J31" s="103"/>
      <c r="K31" s="103"/>
    </row>
    <row r="32" spans="1:11" x14ac:dyDescent="0.3">
      <c r="A32" s="103"/>
      <c r="B32" s="103"/>
      <c r="C32" s="103"/>
      <c r="D32" s="72">
        <v>2</v>
      </c>
      <c r="E32" s="118">
        <v>1525</v>
      </c>
      <c r="F32" s="118">
        <v>1050</v>
      </c>
      <c r="G32" s="103"/>
      <c r="H32" s="103"/>
      <c r="I32" s="103"/>
      <c r="J32" s="103"/>
      <c r="K32" s="103"/>
    </row>
    <row r="33" spans="1:11" x14ac:dyDescent="0.3">
      <c r="A33" s="103"/>
      <c r="B33" s="103"/>
      <c r="C33" s="103"/>
      <c r="D33" s="72">
        <v>3</v>
      </c>
      <c r="E33" s="118">
        <v>1350</v>
      </c>
      <c r="F33" s="118">
        <v>875</v>
      </c>
      <c r="G33" s="103"/>
      <c r="H33" s="103"/>
      <c r="I33" s="103"/>
      <c r="J33" s="103"/>
      <c r="K33" s="103"/>
    </row>
    <row r="34" spans="1:11" x14ac:dyDescent="0.3">
      <c r="A34" s="103"/>
      <c r="B34" s="103"/>
      <c r="C34" s="103"/>
      <c r="D34" s="72">
        <v>4</v>
      </c>
      <c r="E34" s="118">
        <v>1275</v>
      </c>
      <c r="F34" s="118">
        <v>800</v>
      </c>
      <c r="G34" s="103"/>
      <c r="H34" s="103"/>
      <c r="I34" s="103"/>
      <c r="J34" s="103"/>
      <c r="K34" s="103"/>
    </row>
    <row r="35" spans="1:11" x14ac:dyDescent="0.3">
      <c r="A35" s="103"/>
      <c r="B35" s="103"/>
      <c r="C35" s="103"/>
      <c r="D35" s="119" t="s">
        <v>261</v>
      </c>
      <c r="E35" s="118">
        <v>1200</v>
      </c>
      <c r="F35" s="118">
        <v>700</v>
      </c>
      <c r="G35" s="103"/>
      <c r="H35" s="103"/>
      <c r="I35" s="103"/>
      <c r="J35" s="103"/>
      <c r="K35" s="103"/>
    </row>
    <row r="36" spans="1:11" x14ac:dyDescent="0.3">
      <c r="A36" s="103"/>
      <c r="B36" s="103"/>
      <c r="C36" s="103"/>
      <c r="D36" s="72" t="s">
        <v>262</v>
      </c>
      <c r="E36" s="118">
        <v>1125</v>
      </c>
      <c r="F36" s="118">
        <v>700</v>
      </c>
      <c r="G36" s="103"/>
      <c r="H36" s="103"/>
      <c r="I36" s="103"/>
      <c r="J36" s="103"/>
      <c r="K36" s="103"/>
    </row>
    <row r="37" spans="1:11" x14ac:dyDescent="0.3">
      <c r="A37" s="103"/>
      <c r="B37" s="103"/>
      <c r="C37" s="103"/>
      <c r="D37" s="72" t="s">
        <v>263</v>
      </c>
      <c r="E37" s="72" t="s">
        <v>264</v>
      </c>
      <c r="F37" s="72" t="s">
        <v>264</v>
      </c>
      <c r="G37" s="120"/>
      <c r="H37" s="103"/>
      <c r="I37" s="103"/>
      <c r="J37" s="103"/>
      <c r="K37" s="103"/>
    </row>
    <row r="38" spans="1:11" x14ac:dyDescent="0.3">
      <c r="A38" s="103"/>
      <c r="B38" s="103"/>
      <c r="C38" s="103"/>
      <c r="D38" s="104"/>
      <c r="E38" s="103"/>
      <c r="F38" s="103"/>
      <c r="G38" s="103"/>
      <c r="H38" s="103"/>
      <c r="I38" s="103"/>
      <c r="J38" s="103"/>
      <c r="K38" s="103"/>
    </row>
    <row r="39" spans="1:11" x14ac:dyDescent="0.3">
      <c r="A39" s="103"/>
      <c r="B39" s="103"/>
      <c r="C39" s="103"/>
      <c r="D39" s="104"/>
      <c r="E39" s="103"/>
      <c r="F39" s="103"/>
      <c r="G39" s="103"/>
      <c r="H39" s="103"/>
      <c r="I39" s="103"/>
      <c r="J39" s="103"/>
      <c r="K39" s="103"/>
    </row>
    <row r="40" spans="1:11" x14ac:dyDescent="0.3">
      <c r="A40" s="103"/>
      <c r="B40" s="103"/>
      <c r="C40" s="103"/>
      <c r="D40" s="104"/>
      <c r="E40" s="103"/>
      <c r="F40" s="103"/>
      <c r="G40" s="103"/>
      <c r="H40" s="103"/>
      <c r="I40" s="103"/>
      <c r="J40" s="103"/>
      <c r="K40" s="103"/>
    </row>
    <row r="41" spans="1:11" x14ac:dyDescent="0.3">
      <c r="A41" s="103"/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1:11" x14ac:dyDescent="0.3">
      <c r="A42" s="103"/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1:11" x14ac:dyDescent="0.3">
      <c r="A43" s="103"/>
      <c r="B43" s="103"/>
    </row>
  </sheetData>
  <mergeCells count="3">
    <mergeCell ref="D2:E2"/>
    <mergeCell ref="D6:E6"/>
    <mergeCell ref="D15:E15"/>
  </mergeCells>
  <conditionalFormatting sqref="F26">
    <cfRule type="expression" dxfId="3" priority="1">
      <formula>$F$26&lt;30%</formula>
    </cfRule>
  </conditionalFormatting>
  <dataValidations count="1">
    <dataValidation type="list" allowBlank="1" showInputMessage="1" showErrorMessage="1" sqref="D4" xr:uid="{0315A55A-1369-475C-878D-1E3AD0BF9B6C}">
      <formula1>$H$16:$H$19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74535-BF54-45F7-B1CF-A220DAEA7A09}">
  <sheetPr>
    <tabColor theme="9"/>
  </sheetPr>
  <dimension ref="A1:L42"/>
  <sheetViews>
    <sheetView zoomScaleNormal="100" workbookViewId="0">
      <selection activeCell="D5" sqref="D5"/>
    </sheetView>
  </sheetViews>
  <sheetFormatPr defaultRowHeight="14.4" x14ac:dyDescent="0.3"/>
  <cols>
    <col min="1" max="1" width="40.109375" bestFit="1" customWidth="1"/>
    <col min="2" max="2" width="13.5546875" customWidth="1"/>
    <col min="3" max="3" width="14.88671875" bestFit="1" customWidth="1"/>
    <col min="5" max="5" width="15.44140625" bestFit="1" customWidth="1"/>
    <col min="6" max="6" width="17.5546875" bestFit="1" customWidth="1"/>
    <col min="7" max="7" width="13.44140625" customWidth="1"/>
    <col min="8" max="8" width="15.44140625" bestFit="1" customWidth="1"/>
    <col min="9" max="9" width="16" bestFit="1" customWidth="1"/>
    <col min="10" max="10" width="11.33203125" customWidth="1"/>
    <col min="12" max="12" width="10.33203125" bestFit="1" customWidth="1"/>
    <col min="13" max="13" width="10.5546875" bestFit="1" customWidth="1"/>
  </cols>
  <sheetData>
    <row r="1" spans="1:12" ht="18" x14ac:dyDescent="0.35">
      <c r="A1" s="63" t="s">
        <v>158</v>
      </c>
      <c r="B1" s="63"/>
      <c r="C1" s="198" t="s">
        <v>271</v>
      </c>
      <c r="D1" s="103"/>
      <c r="E1" s="103"/>
      <c r="F1" s="103"/>
      <c r="G1" s="103"/>
      <c r="H1" s="104" t="s">
        <v>169</v>
      </c>
      <c r="I1" s="105" t="s">
        <v>170</v>
      </c>
      <c r="J1" s="103"/>
      <c r="K1" s="103"/>
      <c r="L1" s="103"/>
    </row>
    <row r="2" spans="1:12" ht="18" x14ac:dyDescent="0.35">
      <c r="A2" s="103"/>
      <c r="B2" s="103"/>
      <c r="C2" s="103"/>
      <c r="D2" s="103"/>
      <c r="E2" s="312" t="s">
        <v>159</v>
      </c>
      <c r="F2" s="313"/>
      <c r="G2" s="103"/>
      <c r="H2" s="75" t="s">
        <v>171</v>
      </c>
      <c r="I2" s="76">
        <v>15.63</v>
      </c>
      <c r="J2" s="77"/>
      <c r="K2" s="103"/>
      <c r="L2" s="103"/>
    </row>
    <row r="3" spans="1:12" x14ac:dyDescent="0.3">
      <c r="A3" s="103"/>
      <c r="B3" s="103"/>
      <c r="C3" s="103"/>
      <c r="D3" s="103"/>
      <c r="E3" s="121"/>
      <c r="F3" s="104"/>
      <c r="G3" s="103"/>
      <c r="H3" s="79">
        <v>40</v>
      </c>
      <c r="I3" s="80">
        <f>I2*H3</f>
        <v>625.20000000000005</v>
      </c>
      <c r="J3" s="81" t="s">
        <v>174</v>
      </c>
      <c r="K3" s="103"/>
      <c r="L3" s="103"/>
    </row>
    <row r="4" spans="1:12" x14ac:dyDescent="0.3">
      <c r="A4" s="104" t="s">
        <v>165</v>
      </c>
      <c r="B4" s="104" t="s">
        <v>281</v>
      </c>
      <c r="C4" s="104" t="s">
        <v>272</v>
      </c>
      <c r="D4" s="103"/>
      <c r="E4" s="103"/>
      <c r="F4" s="104" t="s">
        <v>21</v>
      </c>
      <c r="G4" s="219"/>
      <c r="H4" s="79">
        <v>5</v>
      </c>
      <c r="I4" s="80">
        <f>(I2*1.5)*H4</f>
        <v>117.22499999999999</v>
      </c>
      <c r="J4" s="81" t="s">
        <v>177</v>
      </c>
      <c r="K4" s="103"/>
      <c r="L4" s="103"/>
    </row>
    <row r="5" spans="1:12" ht="18" x14ac:dyDescent="0.35">
      <c r="A5" s="70" t="s">
        <v>305</v>
      </c>
      <c r="B5" s="201" t="s">
        <v>21</v>
      </c>
      <c r="C5" s="71">
        <v>0.66</v>
      </c>
      <c r="D5" s="103"/>
      <c r="E5" s="72" t="s">
        <v>289</v>
      </c>
      <c r="F5" s="73"/>
      <c r="G5" s="103"/>
      <c r="H5" s="79"/>
      <c r="I5" s="83"/>
      <c r="J5" s="81"/>
      <c r="K5" s="103"/>
      <c r="L5" s="103"/>
    </row>
    <row r="6" spans="1:12" x14ac:dyDescent="0.3">
      <c r="A6" s="70" t="s">
        <v>306</v>
      </c>
      <c r="B6" s="201" t="s">
        <v>21</v>
      </c>
      <c r="C6" s="71">
        <v>0.56999999999999995</v>
      </c>
      <c r="D6" s="103"/>
      <c r="E6" s="314" t="s">
        <v>2</v>
      </c>
      <c r="F6" s="314"/>
      <c r="G6" s="103"/>
      <c r="H6" s="79" t="s">
        <v>182</v>
      </c>
      <c r="I6" s="80">
        <f>I3+I4</f>
        <v>742.42500000000007</v>
      </c>
      <c r="J6" s="81" t="s">
        <v>182</v>
      </c>
      <c r="K6" s="103"/>
      <c r="L6" s="103"/>
    </row>
    <row r="7" spans="1:12" ht="18" x14ac:dyDescent="0.35">
      <c r="A7" s="70" t="s">
        <v>307</v>
      </c>
      <c r="B7" s="201" t="s">
        <v>21</v>
      </c>
      <c r="C7" s="71">
        <v>0.94</v>
      </c>
      <c r="D7" s="103"/>
      <c r="E7" s="72" t="s">
        <v>304</v>
      </c>
      <c r="F7" s="78">
        <v>0.45</v>
      </c>
      <c r="G7" s="103"/>
      <c r="H7" s="79" t="s">
        <v>184</v>
      </c>
      <c r="I7" s="80">
        <f>I6+(I6*J7)</f>
        <v>853.78875000000005</v>
      </c>
      <c r="J7" s="87">
        <v>0.15</v>
      </c>
      <c r="K7" s="103"/>
      <c r="L7" s="103"/>
    </row>
    <row r="8" spans="1:12" ht="18" x14ac:dyDescent="0.35">
      <c r="A8" s="70" t="s">
        <v>308</v>
      </c>
      <c r="B8" s="201" t="s">
        <v>21</v>
      </c>
      <c r="C8" s="71">
        <v>0.85</v>
      </c>
      <c r="D8" s="103"/>
      <c r="E8" s="72" t="s">
        <v>254</v>
      </c>
      <c r="F8" s="78">
        <v>37.020000000000003</v>
      </c>
      <c r="G8" s="103"/>
      <c r="H8" s="79"/>
      <c r="I8" s="83"/>
      <c r="J8" s="89"/>
      <c r="K8" s="103"/>
      <c r="L8" s="103"/>
    </row>
    <row r="9" spans="1:12" ht="18" x14ac:dyDescent="0.35">
      <c r="A9" s="70" t="s">
        <v>309</v>
      </c>
      <c r="B9" s="201" t="s">
        <v>21</v>
      </c>
      <c r="C9" s="71">
        <v>2.46</v>
      </c>
      <c r="D9" s="103"/>
      <c r="E9" s="72"/>
      <c r="F9" s="78"/>
      <c r="G9" s="103"/>
      <c r="H9" s="79" t="s">
        <v>189</v>
      </c>
      <c r="I9" s="83" t="s">
        <v>190</v>
      </c>
      <c r="J9" s="89" t="s">
        <v>161</v>
      </c>
      <c r="K9" s="103"/>
      <c r="L9" s="103"/>
    </row>
    <row r="10" spans="1:12" ht="18" x14ac:dyDescent="0.35">
      <c r="A10" s="70" t="s">
        <v>310</v>
      </c>
      <c r="B10" s="201" t="s">
        <v>21</v>
      </c>
      <c r="C10" s="71">
        <v>3.75</v>
      </c>
      <c r="D10" s="103"/>
      <c r="E10" s="72"/>
      <c r="F10" s="78"/>
      <c r="G10" s="103"/>
      <c r="H10" s="79">
        <v>2</v>
      </c>
      <c r="I10" s="80">
        <f>I7*H10</f>
        <v>1707.5775000000001</v>
      </c>
      <c r="J10" s="91">
        <f t="shared" ref="J10:J11" si="0">I10/6</f>
        <v>284.59625</v>
      </c>
      <c r="K10" s="103"/>
      <c r="L10" s="103"/>
    </row>
    <row r="11" spans="1:12" ht="18" x14ac:dyDescent="0.35">
      <c r="A11" s="70"/>
      <c r="B11" s="201"/>
      <c r="C11" s="71"/>
      <c r="D11" s="103"/>
      <c r="E11" s="72"/>
      <c r="F11" s="78"/>
      <c r="G11" s="103"/>
      <c r="H11" s="79">
        <v>3</v>
      </c>
      <c r="I11" s="80">
        <f>I7*H11</f>
        <v>2561.36625</v>
      </c>
      <c r="J11" s="91">
        <f t="shared" si="0"/>
        <v>426.89437500000003</v>
      </c>
      <c r="K11" s="103"/>
      <c r="L11" s="103"/>
    </row>
    <row r="12" spans="1:12" ht="18" x14ac:dyDescent="0.35">
      <c r="A12" s="70" t="s">
        <v>311</v>
      </c>
      <c r="B12" s="201" t="s">
        <v>312</v>
      </c>
      <c r="C12" s="71">
        <v>37.020000000000003</v>
      </c>
      <c r="D12" s="103"/>
      <c r="E12" s="72"/>
      <c r="F12" s="78"/>
      <c r="G12" s="103"/>
      <c r="H12" s="79">
        <v>4</v>
      </c>
      <c r="I12" s="80">
        <f>I7*H12</f>
        <v>3415.1550000000002</v>
      </c>
      <c r="J12" s="91">
        <f>I12/6</f>
        <v>569.1925</v>
      </c>
      <c r="K12" s="103"/>
      <c r="L12" s="103"/>
    </row>
    <row r="13" spans="1:12" ht="18" x14ac:dyDescent="0.35">
      <c r="A13" s="70" t="s">
        <v>313</v>
      </c>
      <c r="B13" s="201" t="s">
        <v>314</v>
      </c>
      <c r="C13" s="71">
        <v>133</v>
      </c>
      <c r="D13" s="103"/>
      <c r="E13" s="72" t="s">
        <v>181</v>
      </c>
      <c r="F13" s="114">
        <v>0.02</v>
      </c>
      <c r="G13" s="103"/>
      <c r="H13" s="92">
        <v>5</v>
      </c>
      <c r="I13" s="93">
        <f>I7*H13</f>
        <v>4268.9437500000004</v>
      </c>
      <c r="J13" s="94">
        <f>I13/6</f>
        <v>711.49062500000002</v>
      </c>
      <c r="K13" s="103"/>
      <c r="L13" s="103"/>
    </row>
    <row r="14" spans="1:12" x14ac:dyDescent="0.3">
      <c r="A14" s="70"/>
      <c r="B14" s="201"/>
      <c r="C14" s="71"/>
      <c r="D14" s="103"/>
      <c r="E14" s="106"/>
      <c r="F14" s="107"/>
      <c r="G14" s="104" t="s">
        <v>237</v>
      </c>
      <c r="H14" s="103"/>
      <c r="I14" s="103"/>
      <c r="J14" s="104"/>
      <c r="K14" s="103"/>
      <c r="L14" s="103"/>
    </row>
    <row r="15" spans="1:12" x14ac:dyDescent="0.3">
      <c r="A15" s="70"/>
      <c r="B15" s="201"/>
      <c r="C15" s="71"/>
      <c r="D15" s="103"/>
      <c r="E15" s="316" t="s">
        <v>277</v>
      </c>
      <c r="F15" s="316"/>
      <c r="G15" s="108">
        <f>F5/G20</f>
        <v>0</v>
      </c>
      <c r="H15" s="103"/>
      <c r="I15" s="103"/>
      <c r="J15" s="103"/>
      <c r="K15" s="103"/>
      <c r="L15" s="103"/>
    </row>
    <row r="16" spans="1:12" x14ac:dyDescent="0.3">
      <c r="A16" s="70"/>
      <c r="B16" s="201"/>
      <c r="C16" s="71"/>
      <c r="D16" s="103"/>
      <c r="E16" s="88" t="s">
        <v>304</v>
      </c>
      <c r="F16" s="90">
        <f>F7*F5</f>
        <v>0</v>
      </c>
      <c r="G16" s="103"/>
      <c r="H16" s="103"/>
      <c r="I16" s="103"/>
      <c r="J16" s="103"/>
      <c r="K16" s="103"/>
      <c r="L16" s="103"/>
    </row>
    <row r="17" spans="1:12" x14ac:dyDescent="0.3">
      <c r="A17" s="70"/>
      <c r="B17" s="201"/>
      <c r="C17" s="71"/>
      <c r="D17" s="103"/>
      <c r="E17" s="88" t="s">
        <v>254</v>
      </c>
      <c r="F17" s="90">
        <f>(F5*1.2)*(F8/1000)</f>
        <v>0</v>
      </c>
      <c r="G17" s="103"/>
      <c r="H17" s="103"/>
      <c r="I17" s="103" t="s">
        <v>274</v>
      </c>
      <c r="J17" s="103"/>
      <c r="K17" s="103"/>
      <c r="L17" s="103"/>
    </row>
    <row r="18" spans="1:12" x14ac:dyDescent="0.3">
      <c r="A18" s="70"/>
      <c r="B18" s="201"/>
      <c r="C18" s="71"/>
      <c r="D18" s="103"/>
      <c r="E18" s="88"/>
      <c r="F18" s="90">
        <f>F10*10*F5</f>
        <v>0</v>
      </c>
      <c r="G18" s="103"/>
      <c r="H18" s="103"/>
      <c r="I18" s="103" t="s">
        <v>315</v>
      </c>
      <c r="J18" s="103"/>
      <c r="K18" s="103"/>
      <c r="L18" s="103"/>
    </row>
    <row r="19" spans="1:12" x14ac:dyDescent="0.3">
      <c r="A19" s="70"/>
      <c r="B19" s="201"/>
      <c r="C19" s="71"/>
      <c r="D19" s="103"/>
      <c r="E19" s="88" t="s">
        <v>181</v>
      </c>
      <c r="F19" s="90">
        <f>SUM(F16:F18)*F13</f>
        <v>0</v>
      </c>
      <c r="G19" s="104" t="s">
        <v>240</v>
      </c>
      <c r="H19" s="103"/>
      <c r="I19" s="103"/>
      <c r="J19" s="103"/>
      <c r="K19" s="103"/>
      <c r="L19" s="103"/>
    </row>
    <row r="20" spans="1:12" x14ac:dyDescent="0.3">
      <c r="A20" s="70"/>
      <c r="B20" s="201"/>
      <c r="C20" s="71"/>
      <c r="D20" s="103"/>
      <c r="E20" s="88" t="s">
        <v>170</v>
      </c>
      <c r="F20" s="90">
        <f>ROUNDUP(F5/G20,0)*J12</f>
        <v>0</v>
      </c>
      <c r="G20" s="67">
        <v>3000</v>
      </c>
      <c r="H20" s="103"/>
      <c r="I20" s="103"/>
      <c r="J20" s="103"/>
      <c r="K20" s="103"/>
      <c r="L20" s="103"/>
    </row>
    <row r="21" spans="1:12" x14ac:dyDescent="0.3">
      <c r="A21" s="70"/>
      <c r="B21" s="201"/>
      <c r="C21" s="71"/>
      <c r="D21" s="103"/>
      <c r="E21" s="88" t="s">
        <v>196</v>
      </c>
      <c r="F21" s="71">
        <f>G21*G15</f>
        <v>0</v>
      </c>
      <c r="G21" s="113">
        <v>50</v>
      </c>
      <c r="H21" s="103" t="s">
        <v>161</v>
      </c>
      <c r="I21" s="103"/>
      <c r="J21" s="103"/>
      <c r="K21" s="103"/>
      <c r="L21" s="103"/>
    </row>
    <row r="22" spans="1:12" x14ac:dyDescent="0.3">
      <c r="A22" s="70"/>
      <c r="B22" s="201"/>
      <c r="C22" s="71"/>
      <c r="D22" s="103"/>
      <c r="E22" s="88" t="s">
        <v>198</v>
      </c>
      <c r="F22" s="90">
        <f>F19+F20+F21+F18+F17+F16</f>
        <v>0</v>
      </c>
      <c r="G22" s="104" t="s">
        <v>258</v>
      </c>
      <c r="H22" s="103"/>
      <c r="I22" s="103"/>
      <c r="J22" s="103"/>
      <c r="K22" s="103"/>
      <c r="L22" s="103"/>
    </row>
    <row r="23" spans="1:12" x14ac:dyDescent="0.3">
      <c r="A23" s="115"/>
      <c r="B23" s="202"/>
      <c r="C23" s="71"/>
      <c r="D23" s="103"/>
      <c r="E23" s="104"/>
      <c r="F23" s="103"/>
      <c r="G23" s="103"/>
      <c r="H23" s="103"/>
      <c r="I23" s="103"/>
      <c r="J23" s="103"/>
      <c r="K23" s="103"/>
      <c r="L23" s="103"/>
    </row>
    <row r="24" spans="1:12" ht="18" x14ac:dyDescent="0.35">
      <c r="A24" s="103"/>
      <c r="B24" s="103"/>
      <c r="C24" s="103"/>
      <c r="D24" s="103"/>
      <c r="E24" s="72" t="s">
        <v>201</v>
      </c>
      <c r="F24" s="97"/>
      <c r="G24" s="103"/>
      <c r="H24" s="103"/>
      <c r="I24" s="103"/>
      <c r="J24" s="103"/>
      <c r="K24" s="103"/>
      <c r="L24" s="103"/>
    </row>
    <row r="25" spans="1:12" ht="18" x14ac:dyDescent="0.35">
      <c r="A25" s="95" t="s">
        <v>197</v>
      </c>
      <c r="B25" s="95"/>
      <c r="C25" s="95"/>
      <c r="D25" s="103"/>
      <c r="E25" s="72" t="s">
        <v>203</v>
      </c>
      <c r="F25" s="98">
        <f>F5*F24</f>
        <v>0</v>
      </c>
      <c r="G25" s="103"/>
      <c r="H25" s="103"/>
      <c r="I25" s="103"/>
      <c r="J25" s="103"/>
      <c r="K25" s="103"/>
      <c r="L25" s="103"/>
    </row>
    <row r="26" spans="1:12" ht="18" x14ac:dyDescent="0.35">
      <c r="A26" s="96" t="s">
        <v>199</v>
      </c>
      <c r="B26" s="96"/>
      <c r="C26" s="95"/>
      <c r="D26" s="103"/>
      <c r="E26" s="99" t="s">
        <v>205</v>
      </c>
      <c r="F26" s="100">
        <f>F25-F22</f>
        <v>0</v>
      </c>
      <c r="G26" s="101" t="e">
        <f>F26/F25</f>
        <v>#DIV/0!</v>
      </c>
      <c r="H26" s="103"/>
      <c r="I26" s="103"/>
      <c r="J26" s="103"/>
      <c r="K26" s="103"/>
      <c r="L26" s="103"/>
    </row>
    <row r="27" spans="1:12" ht="18" x14ac:dyDescent="0.35">
      <c r="A27" s="95" t="s">
        <v>200</v>
      </c>
      <c r="B27" s="95"/>
      <c r="C27" s="95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1:12" ht="18" x14ac:dyDescent="0.35">
      <c r="A28" s="95" t="s">
        <v>202</v>
      </c>
      <c r="B28" s="95"/>
      <c r="C28" s="95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1:12" x14ac:dyDescent="0.3">
      <c r="A29" s="103"/>
      <c r="B29" s="103"/>
      <c r="C29" s="103"/>
      <c r="D29" s="103"/>
      <c r="E29" s="103"/>
      <c r="F29" s="116"/>
      <c r="G29" s="103"/>
      <c r="H29" s="103"/>
      <c r="I29" s="103"/>
      <c r="J29" s="103"/>
      <c r="K29" s="103"/>
      <c r="L29" s="103"/>
    </row>
    <row r="30" spans="1:12" x14ac:dyDescent="0.3">
      <c r="A30" s="103"/>
      <c r="B30" s="103"/>
      <c r="C30" s="103"/>
      <c r="D30" s="103"/>
      <c r="E30" s="104"/>
      <c r="F30" s="104"/>
      <c r="G30" s="104"/>
      <c r="H30" s="103"/>
      <c r="I30" s="103"/>
      <c r="J30" s="103"/>
      <c r="K30" s="103"/>
      <c r="L30" s="103"/>
    </row>
    <row r="31" spans="1:12" x14ac:dyDescent="0.3">
      <c r="A31" s="103"/>
      <c r="B31" s="103"/>
      <c r="C31" s="103"/>
      <c r="D31" s="103"/>
      <c r="E31" s="104"/>
      <c r="F31" s="229"/>
      <c r="G31" s="229"/>
      <c r="H31" s="103"/>
      <c r="I31" s="103"/>
      <c r="J31" s="103"/>
      <c r="K31" s="103"/>
      <c r="L31" s="103"/>
    </row>
    <row r="32" spans="1:12" x14ac:dyDescent="0.3">
      <c r="A32" s="103"/>
      <c r="B32" s="103"/>
      <c r="C32" s="103"/>
      <c r="D32" s="103"/>
      <c r="E32" s="104"/>
      <c r="F32" s="229"/>
      <c r="G32" s="229"/>
      <c r="H32" s="103"/>
      <c r="I32" s="103"/>
      <c r="J32" s="103"/>
      <c r="K32" s="103"/>
      <c r="L32" s="103"/>
    </row>
    <row r="33" spans="1:12" x14ac:dyDescent="0.3">
      <c r="A33" s="103"/>
      <c r="B33" s="103"/>
      <c r="C33" s="103"/>
      <c r="D33" s="103"/>
      <c r="E33" s="104"/>
      <c r="F33" s="229"/>
      <c r="G33" s="229"/>
      <c r="H33" s="103"/>
      <c r="I33" s="103"/>
      <c r="J33" s="103"/>
      <c r="K33" s="103"/>
      <c r="L33" s="103"/>
    </row>
    <row r="34" spans="1:12" x14ac:dyDescent="0.3">
      <c r="A34" s="103"/>
      <c r="B34" s="103"/>
      <c r="C34" s="103"/>
      <c r="D34" s="103"/>
      <c r="E34" s="104"/>
      <c r="F34" s="229"/>
      <c r="G34" s="229"/>
      <c r="H34" s="103"/>
      <c r="I34" s="103"/>
      <c r="J34" s="103"/>
      <c r="K34" s="103"/>
      <c r="L34" s="103"/>
    </row>
    <row r="35" spans="1:12" x14ac:dyDescent="0.3">
      <c r="A35" s="103"/>
      <c r="B35" s="103"/>
      <c r="C35" s="103"/>
      <c r="D35" s="103"/>
      <c r="E35" s="230"/>
      <c r="F35" s="229"/>
      <c r="G35" s="229"/>
      <c r="H35" s="103"/>
      <c r="I35" s="103"/>
      <c r="J35" s="103"/>
      <c r="K35" s="103"/>
      <c r="L35" s="103"/>
    </row>
    <row r="36" spans="1:12" x14ac:dyDescent="0.3">
      <c r="A36" s="103"/>
      <c r="B36" s="103"/>
      <c r="C36" s="103"/>
      <c r="D36" s="103"/>
      <c r="E36" s="104"/>
      <c r="F36" s="229"/>
      <c r="G36" s="229"/>
      <c r="H36" s="103"/>
      <c r="I36" s="103"/>
      <c r="J36" s="103"/>
      <c r="K36" s="103"/>
      <c r="L36" s="103"/>
    </row>
    <row r="37" spans="1:12" x14ac:dyDescent="0.3">
      <c r="A37" s="103"/>
      <c r="B37" s="103"/>
      <c r="C37" s="103"/>
      <c r="D37" s="103"/>
      <c r="E37" s="104"/>
      <c r="F37" s="104"/>
      <c r="G37" s="104"/>
      <c r="H37" s="120"/>
      <c r="I37" s="103"/>
      <c r="J37" s="103"/>
      <c r="K37" s="103"/>
      <c r="L37" s="103"/>
    </row>
    <row r="38" spans="1:12" x14ac:dyDescent="0.3">
      <c r="A38" s="103"/>
      <c r="B38" s="103"/>
      <c r="C38" s="103"/>
      <c r="D38" s="103"/>
      <c r="E38" s="104"/>
      <c r="F38" s="103"/>
      <c r="G38" s="103"/>
      <c r="H38" s="103"/>
      <c r="I38" s="103"/>
      <c r="J38" s="103"/>
      <c r="K38" s="103"/>
      <c r="L38" s="103"/>
    </row>
    <row r="39" spans="1:12" x14ac:dyDescent="0.3">
      <c r="A39" s="103"/>
      <c r="B39" s="103"/>
      <c r="C39" s="103"/>
      <c r="D39" s="103"/>
      <c r="E39" s="104"/>
      <c r="F39" s="103"/>
      <c r="G39" s="103"/>
      <c r="H39" s="103"/>
      <c r="I39" s="103"/>
      <c r="J39" s="103"/>
      <c r="K39" s="103"/>
      <c r="L39" s="103"/>
    </row>
    <row r="40" spans="1:12" x14ac:dyDescent="0.3">
      <c r="A40" s="103"/>
      <c r="B40" s="103"/>
      <c r="C40" s="103"/>
      <c r="D40" s="103"/>
      <c r="E40" s="104"/>
      <c r="F40" s="103"/>
      <c r="G40" s="103"/>
      <c r="H40" s="103"/>
      <c r="I40" s="103"/>
      <c r="J40" s="103"/>
      <c r="K40" s="103"/>
      <c r="L40" s="103"/>
    </row>
    <row r="41" spans="1:12" x14ac:dyDescent="0.3">
      <c r="A41" s="103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1:12" x14ac:dyDescent="0.3">
      <c r="A42" s="103"/>
      <c r="B42" s="103"/>
      <c r="C42" s="103"/>
    </row>
  </sheetData>
  <mergeCells count="3">
    <mergeCell ref="E2:F2"/>
    <mergeCell ref="E6:F6"/>
    <mergeCell ref="E15:F15"/>
  </mergeCells>
  <conditionalFormatting sqref="G26">
    <cfRule type="expression" dxfId="2" priority="1">
      <formula>$G$26&lt;30%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B37F3-B98F-4306-BA3A-CFFADA5F365B}">
  <sheetPr>
    <tabColor theme="9"/>
  </sheetPr>
  <dimension ref="A1:L41"/>
  <sheetViews>
    <sheetView topLeftCell="A3" zoomScaleNormal="100" workbookViewId="0">
      <selection activeCell="G7" sqref="G7"/>
    </sheetView>
  </sheetViews>
  <sheetFormatPr defaultRowHeight="14.4" x14ac:dyDescent="0.3"/>
  <cols>
    <col min="1" max="1" width="40.109375" bestFit="1" customWidth="1"/>
    <col min="2" max="2" width="13.5546875" customWidth="1"/>
    <col min="3" max="3" width="14.88671875" bestFit="1" customWidth="1"/>
    <col min="5" max="5" width="15.44140625" bestFit="1" customWidth="1"/>
    <col min="6" max="6" width="17.5546875" bestFit="1" customWidth="1"/>
    <col min="7" max="7" width="13.44140625" customWidth="1"/>
    <col min="8" max="8" width="15.44140625" bestFit="1" customWidth="1"/>
    <col min="9" max="9" width="16" bestFit="1" customWidth="1"/>
    <col min="10" max="10" width="11.33203125" customWidth="1"/>
    <col min="12" max="12" width="10.33203125" bestFit="1" customWidth="1"/>
    <col min="13" max="13" width="10.5546875" bestFit="1" customWidth="1"/>
  </cols>
  <sheetData>
    <row r="1" spans="1:12" ht="18" x14ac:dyDescent="0.35">
      <c r="A1" s="63" t="s">
        <v>158</v>
      </c>
      <c r="B1" s="63"/>
      <c r="C1" s="198" t="s">
        <v>271</v>
      </c>
      <c r="D1" s="103"/>
      <c r="E1" s="103"/>
      <c r="F1" s="103"/>
      <c r="G1" s="103"/>
      <c r="H1" s="104" t="s">
        <v>169</v>
      </c>
      <c r="I1" s="105" t="s">
        <v>170</v>
      </c>
      <c r="J1" s="103"/>
      <c r="K1" s="103"/>
      <c r="L1" s="103"/>
    </row>
    <row r="2" spans="1:12" ht="18" x14ac:dyDescent="0.35">
      <c r="A2" s="103"/>
      <c r="B2" s="103"/>
      <c r="C2" s="103"/>
      <c r="D2" s="103"/>
      <c r="E2" s="312" t="s">
        <v>159</v>
      </c>
      <c r="F2" s="313"/>
      <c r="G2" s="103"/>
      <c r="H2" s="75" t="s">
        <v>171</v>
      </c>
      <c r="I2" s="76">
        <v>15.63</v>
      </c>
      <c r="J2" s="77"/>
      <c r="K2" s="103"/>
      <c r="L2" s="103"/>
    </row>
    <row r="3" spans="1:12" x14ac:dyDescent="0.3">
      <c r="A3" s="103"/>
      <c r="B3" s="103"/>
      <c r="C3" s="103"/>
      <c r="D3" s="103"/>
      <c r="E3" s="121"/>
      <c r="F3" s="104"/>
      <c r="G3" s="103"/>
      <c r="H3" s="79">
        <v>40</v>
      </c>
      <c r="I3" s="80">
        <f>I2*H3</f>
        <v>625.20000000000005</v>
      </c>
      <c r="J3" s="81" t="s">
        <v>174</v>
      </c>
      <c r="K3" s="103"/>
      <c r="L3" s="103"/>
    </row>
    <row r="4" spans="1:12" x14ac:dyDescent="0.3">
      <c r="A4" s="104" t="s">
        <v>165</v>
      </c>
      <c r="B4" s="104" t="s">
        <v>281</v>
      </c>
      <c r="C4" s="104" t="s">
        <v>272</v>
      </c>
      <c r="D4" s="103"/>
      <c r="E4" s="103"/>
      <c r="F4" s="104" t="s">
        <v>8</v>
      </c>
      <c r="G4" s="219"/>
      <c r="H4" s="79">
        <v>5</v>
      </c>
      <c r="I4" s="80">
        <f>(I2*1.5)*H4</f>
        <v>117.22499999999999</v>
      </c>
      <c r="J4" s="81" t="s">
        <v>177</v>
      </c>
      <c r="K4" s="103"/>
      <c r="L4" s="103"/>
    </row>
    <row r="5" spans="1:12" ht="18" x14ac:dyDescent="0.35">
      <c r="A5" s="70" t="s">
        <v>273</v>
      </c>
      <c r="B5" s="201" t="s">
        <v>282</v>
      </c>
      <c r="C5" s="71">
        <v>60</v>
      </c>
      <c r="D5" s="103"/>
      <c r="E5" s="72" t="s">
        <v>289</v>
      </c>
      <c r="F5" s="73">
        <v>175</v>
      </c>
      <c r="G5" s="103"/>
      <c r="H5" s="79"/>
      <c r="I5" s="83"/>
      <c r="J5" s="81"/>
      <c r="K5" s="103"/>
      <c r="L5" s="103"/>
    </row>
    <row r="6" spans="1:12" x14ac:dyDescent="0.3">
      <c r="A6" s="70" t="s">
        <v>279</v>
      </c>
      <c r="B6" s="201" t="s">
        <v>282</v>
      </c>
      <c r="C6" s="71">
        <v>120</v>
      </c>
      <c r="D6" s="103"/>
      <c r="E6" s="314" t="s">
        <v>2</v>
      </c>
      <c r="F6" s="314"/>
      <c r="G6" s="103"/>
      <c r="H6" s="79" t="s">
        <v>182</v>
      </c>
      <c r="I6" s="80">
        <f>I3+I4</f>
        <v>742.42500000000007</v>
      </c>
      <c r="J6" s="81" t="s">
        <v>182</v>
      </c>
      <c r="K6" s="103"/>
      <c r="L6" s="103"/>
    </row>
    <row r="7" spans="1:12" ht="18" x14ac:dyDescent="0.35">
      <c r="A7" s="70" t="s">
        <v>285</v>
      </c>
      <c r="B7" s="201" t="s">
        <v>4</v>
      </c>
      <c r="C7" s="71">
        <v>78</v>
      </c>
      <c r="D7" s="103"/>
      <c r="E7" s="72" t="s">
        <v>316</v>
      </c>
      <c r="F7" s="78">
        <v>80</v>
      </c>
      <c r="G7" s="103"/>
      <c r="H7" s="79" t="s">
        <v>184</v>
      </c>
      <c r="I7" s="80">
        <f>I6+(I6*J7)</f>
        <v>853.78875000000005</v>
      </c>
      <c r="J7" s="87">
        <v>0.15</v>
      </c>
      <c r="K7" s="103"/>
      <c r="L7" s="103"/>
    </row>
    <row r="8" spans="1:12" ht="18" x14ac:dyDescent="0.35">
      <c r="A8" s="70" t="s">
        <v>320</v>
      </c>
      <c r="B8" s="201" t="s">
        <v>8</v>
      </c>
      <c r="C8" s="71">
        <v>0.71</v>
      </c>
      <c r="D8" s="103"/>
      <c r="E8" s="72" t="s">
        <v>321</v>
      </c>
      <c r="F8" s="78">
        <v>0.71</v>
      </c>
      <c r="G8" s="103"/>
      <c r="H8" s="79"/>
      <c r="I8" s="83"/>
      <c r="J8" s="89"/>
      <c r="K8" s="103"/>
      <c r="L8" s="103"/>
    </row>
    <row r="9" spans="1:12" ht="18" x14ac:dyDescent="0.35">
      <c r="A9" s="70"/>
      <c r="B9" s="201"/>
      <c r="C9" s="71"/>
      <c r="D9" s="103"/>
      <c r="E9" s="72" t="s">
        <v>322</v>
      </c>
      <c r="F9" s="232">
        <f>(((((5/2)*1.6)*F5)/27)*1.2)</f>
        <v>31.111111111111111</v>
      </c>
      <c r="G9" s="103"/>
      <c r="H9" s="79" t="s">
        <v>189</v>
      </c>
      <c r="I9" s="83" t="s">
        <v>190</v>
      </c>
      <c r="J9" s="89" t="s">
        <v>161</v>
      </c>
      <c r="K9" s="103"/>
      <c r="L9" s="103"/>
    </row>
    <row r="10" spans="1:12" ht="18" x14ac:dyDescent="0.35">
      <c r="A10" s="70"/>
      <c r="B10" s="201"/>
      <c r="C10" s="71"/>
      <c r="D10" s="103"/>
      <c r="E10" s="72" t="s">
        <v>181</v>
      </c>
      <c r="F10" s="114">
        <v>0.02</v>
      </c>
      <c r="G10" s="103"/>
      <c r="H10" s="79">
        <v>2</v>
      </c>
      <c r="I10" s="80">
        <f>I7*H10</f>
        <v>1707.5775000000001</v>
      </c>
      <c r="J10" s="91">
        <f t="shared" ref="J10:J11" si="0">I10/6</f>
        <v>284.59625</v>
      </c>
      <c r="K10" s="103"/>
      <c r="L10" s="103"/>
    </row>
    <row r="11" spans="1:12" x14ac:dyDescent="0.3">
      <c r="A11" s="70"/>
      <c r="B11" s="201"/>
      <c r="C11" s="71"/>
      <c r="D11" s="103"/>
      <c r="E11" s="106"/>
      <c r="F11" s="107"/>
      <c r="G11" s="103"/>
      <c r="H11" s="79">
        <v>3</v>
      </c>
      <c r="I11" s="80">
        <f>I7*H11</f>
        <v>2561.36625</v>
      </c>
      <c r="J11" s="91">
        <f t="shared" si="0"/>
        <v>426.89437500000003</v>
      </c>
      <c r="K11" s="103"/>
      <c r="L11" s="103"/>
    </row>
    <row r="12" spans="1:12" x14ac:dyDescent="0.3">
      <c r="A12" s="70"/>
      <c r="B12" s="201"/>
      <c r="C12" s="71"/>
      <c r="D12" s="103"/>
      <c r="E12" s="316" t="s">
        <v>277</v>
      </c>
      <c r="F12" s="316"/>
      <c r="G12" s="103"/>
      <c r="H12" s="79">
        <v>4</v>
      </c>
      <c r="I12" s="80">
        <f>I7*H12</f>
        <v>3415.1550000000002</v>
      </c>
      <c r="J12" s="91">
        <f>I12/6</f>
        <v>569.1925</v>
      </c>
      <c r="K12" s="103"/>
      <c r="L12" s="103"/>
    </row>
    <row r="13" spans="1:12" x14ac:dyDescent="0.3">
      <c r="A13" s="70"/>
      <c r="B13" s="201"/>
      <c r="C13" s="71"/>
      <c r="D13" s="103"/>
      <c r="E13" s="88" t="s">
        <v>316</v>
      </c>
      <c r="F13" s="90">
        <f>(((((5/2)*1.6)*F5)/27)*1.2)*F7</f>
        <v>2488.8888888888887</v>
      </c>
      <c r="G13" s="103"/>
      <c r="H13" s="92">
        <v>5</v>
      </c>
      <c r="I13" s="93">
        <f>I7*H13</f>
        <v>4268.9437500000004</v>
      </c>
      <c r="J13" s="94">
        <f>I13/6</f>
        <v>711.49062500000002</v>
      </c>
      <c r="K13" s="103"/>
      <c r="L13" s="103"/>
    </row>
    <row r="14" spans="1:12" x14ac:dyDescent="0.3">
      <c r="A14" s="70"/>
      <c r="B14" s="201"/>
      <c r="C14" s="71"/>
      <c r="D14" s="103"/>
      <c r="E14" s="88" t="s">
        <v>321</v>
      </c>
      <c r="F14" s="90">
        <f>F5*F8</f>
        <v>124.25</v>
      </c>
      <c r="G14" s="104" t="s">
        <v>237</v>
      </c>
      <c r="H14" s="103"/>
      <c r="I14" s="103"/>
      <c r="J14" s="104"/>
      <c r="K14" s="103"/>
      <c r="L14" s="103"/>
    </row>
    <row r="15" spans="1:12" x14ac:dyDescent="0.3">
      <c r="A15" s="70"/>
      <c r="B15" s="201"/>
      <c r="C15" s="71"/>
      <c r="D15" s="103"/>
      <c r="E15" s="88" t="s">
        <v>181</v>
      </c>
      <c r="F15" s="90">
        <f>SUM(F13:F14)*F10</f>
        <v>52.262777777777778</v>
      </c>
      <c r="G15" s="108">
        <f>F5/G19</f>
        <v>1.25</v>
      </c>
      <c r="H15" s="103"/>
      <c r="I15" s="103"/>
      <c r="J15" s="103"/>
      <c r="K15" s="103"/>
      <c r="L15" s="103"/>
    </row>
    <row r="16" spans="1:12" x14ac:dyDescent="0.3">
      <c r="A16" s="70"/>
      <c r="B16" s="201"/>
      <c r="C16" s="71"/>
      <c r="D16" s="103"/>
      <c r="E16" s="88" t="s">
        <v>170</v>
      </c>
      <c r="F16" s="90">
        <f>ROUNDUP(F5/G19,0)*J12</f>
        <v>1138.385</v>
      </c>
      <c r="G16" s="231"/>
      <c r="H16" s="103"/>
      <c r="I16" s="103"/>
      <c r="J16" s="103"/>
      <c r="K16" s="103"/>
      <c r="L16" s="103"/>
    </row>
    <row r="17" spans="1:12" x14ac:dyDescent="0.3">
      <c r="A17" s="70"/>
      <c r="B17" s="201"/>
      <c r="C17" s="71"/>
      <c r="D17" s="103"/>
      <c r="E17" s="88" t="s">
        <v>196</v>
      </c>
      <c r="F17" s="71">
        <f>ROUNDUP(F5/G19,0)*100</f>
        <v>200</v>
      </c>
      <c r="G17" s="103"/>
      <c r="H17" s="103"/>
      <c r="I17" s="103" t="s">
        <v>274</v>
      </c>
      <c r="J17" s="103"/>
      <c r="K17" s="103"/>
      <c r="L17" s="103"/>
    </row>
    <row r="18" spans="1:12" x14ac:dyDescent="0.3">
      <c r="A18" s="70"/>
      <c r="B18" s="201"/>
      <c r="C18" s="71"/>
      <c r="D18" s="103"/>
      <c r="E18" s="88" t="s">
        <v>198</v>
      </c>
      <c r="F18" s="90">
        <f>F15+F16+F17+F14+F13</f>
        <v>4003.7866666666664</v>
      </c>
      <c r="G18" s="104" t="s">
        <v>240</v>
      </c>
      <c r="H18" s="103" t="s">
        <v>275</v>
      </c>
      <c r="I18" s="103" t="s">
        <v>276</v>
      </c>
      <c r="J18" s="103"/>
      <c r="K18" s="103"/>
      <c r="L18" s="103"/>
    </row>
    <row r="19" spans="1:12" x14ac:dyDescent="0.3">
      <c r="A19" s="70"/>
      <c r="B19" s="201"/>
      <c r="C19" s="71"/>
      <c r="D19" s="103"/>
      <c r="E19" s="104"/>
      <c r="F19" s="103"/>
      <c r="G19" s="67">
        <v>140</v>
      </c>
      <c r="H19" s="103"/>
      <c r="I19" s="103"/>
      <c r="J19" s="103"/>
      <c r="K19" s="103"/>
      <c r="L19" s="103"/>
    </row>
    <row r="20" spans="1:12" ht="18" x14ac:dyDescent="0.35">
      <c r="A20" s="115"/>
      <c r="B20" s="202"/>
      <c r="C20" s="71"/>
      <c r="D20" s="103"/>
      <c r="E20" s="72" t="s">
        <v>201</v>
      </c>
      <c r="F20" s="97">
        <v>75</v>
      </c>
      <c r="G20" s="113">
        <v>50</v>
      </c>
      <c r="H20" s="103"/>
      <c r="I20" s="103"/>
      <c r="J20" s="103"/>
      <c r="K20" s="103"/>
      <c r="L20" s="103"/>
    </row>
    <row r="21" spans="1:12" ht="18" x14ac:dyDescent="0.35">
      <c r="A21" s="103"/>
      <c r="B21" s="103"/>
      <c r="C21" s="103"/>
      <c r="D21" s="103"/>
      <c r="E21" s="72" t="s">
        <v>203</v>
      </c>
      <c r="F21" s="98">
        <f>F5*F20</f>
        <v>13125</v>
      </c>
      <c r="G21" s="104" t="s">
        <v>258</v>
      </c>
      <c r="H21" s="103" t="s">
        <v>161</v>
      </c>
      <c r="I21" s="103"/>
      <c r="J21" s="103"/>
      <c r="K21" s="103"/>
      <c r="L21" s="103"/>
    </row>
    <row r="22" spans="1:12" ht="18" x14ac:dyDescent="0.35">
      <c r="A22" s="95" t="s">
        <v>197</v>
      </c>
      <c r="B22" s="95"/>
      <c r="C22" s="95"/>
      <c r="D22" s="103"/>
      <c r="E22" s="239" t="s">
        <v>205</v>
      </c>
      <c r="F22" s="240">
        <f>F21-F18</f>
        <v>9121.2133333333331</v>
      </c>
      <c r="G22" s="101">
        <f>F22/F21</f>
        <v>0.69494958730158729</v>
      </c>
      <c r="H22" s="103"/>
      <c r="I22" s="103"/>
      <c r="J22" s="103"/>
      <c r="K22" s="103"/>
      <c r="L22" s="103"/>
    </row>
    <row r="23" spans="1:12" ht="18" x14ac:dyDescent="0.35">
      <c r="A23" s="96" t="s">
        <v>199</v>
      </c>
      <c r="B23" s="96"/>
      <c r="C23" s="95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1:12" ht="18" x14ac:dyDescent="0.35">
      <c r="A24" s="95" t="s">
        <v>200</v>
      </c>
      <c r="B24" s="95"/>
      <c r="C24" s="95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1:12" ht="18" x14ac:dyDescent="0.35">
      <c r="A25" s="95" t="s">
        <v>202</v>
      </c>
      <c r="B25" s="95"/>
      <c r="C25" s="95"/>
      <c r="D25" s="103"/>
      <c r="E25" s="103"/>
      <c r="F25" s="116"/>
      <c r="G25" s="103"/>
      <c r="H25" s="103"/>
      <c r="I25" s="103"/>
      <c r="J25" s="103"/>
      <c r="K25" s="103"/>
      <c r="L25" s="103"/>
    </row>
    <row r="26" spans="1:12" x14ac:dyDescent="0.3">
      <c r="A26" s="103"/>
      <c r="B26" s="103"/>
      <c r="C26" s="103"/>
      <c r="D26" s="103"/>
      <c r="E26" s="104"/>
      <c r="F26" s="104"/>
      <c r="G26" s="104"/>
      <c r="H26" s="103"/>
      <c r="I26" s="103"/>
      <c r="J26" s="103"/>
      <c r="K26" s="103"/>
      <c r="L26" s="103"/>
    </row>
    <row r="27" spans="1:12" x14ac:dyDescent="0.3">
      <c r="A27" s="103"/>
      <c r="B27" s="103"/>
      <c r="C27" s="103"/>
      <c r="D27" s="103"/>
      <c r="E27" s="104"/>
      <c r="F27" s="229"/>
      <c r="G27" s="229"/>
      <c r="H27" s="103"/>
      <c r="I27" s="103"/>
      <c r="J27" s="103"/>
      <c r="K27" s="103"/>
      <c r="L27" s="103"/>
    </row>
    <row r="28" spans="1:12" x14ac:dyDescent="0.3">
      <c r="A28" s="103"/>
      <c r="B28" s="103"/>
      <c r="C28" s="103"/>
      <c r="D28" s="103"/>
      <c r="E28" s="104"/>
      <c r="F28" s="229"/>
      <c r="G28" s="229"/>
      <c r="H28" s="103"/>
      <c r="I28" s="103"/>
      <c r="J28" s="103"/>
      <c r="K28" s="103"/>
      <c r="L28" s="103"/>
    </row>
    <row r="29" spans="1:12" x14ac:dyDescent="0.3">
      <c r="A29" s="103"/>
      <c r="B29" s="103"/>
      <c r="C29" s="103"/>
      <c r="D29" s="103"/>
      <c r="E29" s="104"/>
      <c r="F29" s="229"/>
      <c r="G29" s="229"/>
      <c r="H29" s="103"/>
      <c r="I29" s="103"/>
      <c r="J29" s="103"/>
      <c r="K29" s="103"/>
      <c r="L29" s="103"/>
    </row>
    <row r="30" spans="1:12" x14ac:dyDescent="0.3">
      <c r="A30" s="103"/>
      <c r="B30" s="103"/>
      <c r="C30" s="103"/>
      <c r="D30" s="103"/>
      <c r="E30" s="104"/>
      <c r="F30" s="229"/>
      <c r="G30" s="229"/>
      <c r="H30" s="103"/>
      <c r="I30" s="103"/>
      <c r="J30" s="103"/>
      <c r="K30" s="103"/>
      <c r="L30" s="103"/>
    </row>
    <row r="31" spans="1:12" x14ac:dyDescent="0.3">
      <c r="A31" s="103"/>
      <c r="B31" s="103"/>
      <c r="C31" s="103"/>
      <c r="D31" s="103"/>
      <c r="E31" s="230"/>
      <c r="F31" s="229"/>
      <c r="G31" s="229"/>
      <c r="H31" s="103"/>
      <c r="I31" s="103"/>
      <c r="J31" s="103"/>
      <c r="K31" s="103"/>
      <c r="L31" s="103"/>
    </row>
    <row r="32" spans="1:12" x14ac:dyDescent="0.3">
      <c r="A32" s="103"/>
      <c r="B32" s="103"/>
      <c r="C32" s="103"/>
      <c r="D32" s="103"/>
      <c r="E32" s="104"/>
      <c r="F32" s="229"/>
      <c r="G32" s="229"/>
      <c r="H32" s="103"/>
      <c r="I32" s="103"/>
      <c r="J32" s="103"/>
      <c r="K32" s="103"/>
      <c r="L32" s="103"/>
    </row>
    <row r="33" spans="1:12" x14ac:dyDescent="0.3">
      <c r="A33" s="103"/>
      <c r="B33" s="103"/>
      <c r="C33" s="103"/>
      <c r="D33" s="103"/>
      <c r="E33" s="104"/>
      <c r="F33" s="104"/>
      <c r="G33" s="104"/>
      <c r="H33" s="103"/>
      <c r="I33" s="103"/>
      <c r="J33" s="103"/>
      <c r="K33" s="103"/>
      <c r="L33" s="103"/>
    </row>
    <row r="34" spans="1:12" x14ac:dyDescent="0.3">
      <c r="A34" s="103"/>
      <c r="B34" s="103"/>
      <c r="C34" s="103"/>
      <c r="D34" s="103"/>
      <c r="E34" s="104"/>
      <c r="F34" s="103"/>
      <c r="G34" s="103"/>
      <c r="H34" s="103"/>
      <c r="I34" s="103"/>
      <c r="J34" s="103"/>
      <c r="K34" s="103"/>
      <c r="L34" s="103"/>
    </row>
    <row r="35" spans="1:12" x14ac:dyDescent="0.3">
      <c r="A35" s="103"/>
      <c r="B35" s="103"/>
      <c r="C35" s="103"/>
      <c r="D35" s="103"/>
      <c r="E35" s="104"/>
      <c r="F35" s="103"/>
      <c r="G35" s="103"/>
      <c r="H35" s="103"/>
      <c r="I35" s="103"/>
      <c r="J35" s="103"/>
      <c r="K35" s="103"/>
      <c r="L35" s="103"/>
    </row>
    <row r="36" spans="1:12" x14ac:dyDescent="0.3">
      <c r="A36" s="103"/>
      <c r="B36" s="103"/>
      <c r="C36" s="103"/>
      <c r="D36" s="103"/>
      <c r="E36" s="104"/>
      <c r="F36" s="103"/>
      <c r="G36" s="103"/>
      <c r="H36" s="103"/>
      <c r="I36" s="103"/>
      <c r="J36" s="103"/>
      <c r="K36" s="103"/>
      <c r="L36" s="103"/>
    </row>
    <row r="37" spans="1:12" x14ac:dyDescent="0.3">
      <c r="A37" s="103"/>
      <c r="B37" s="103"/>
      <c r="C37" s="103"/>
      <c r="D37" s="103"/>
      <c r="E37" s="103"/>
      <c r="F37" s="103"/>
      <c r="G37" s="103"/>
      <c r="H37" s="120"/>
      <c r="I37" s="103"/>
      <c r="J37" s="103"/>
      <c r="K37" s="103"/>
      <c r="L37" s="103"/>
    </row>
    <row r="38" spans="1:12" x14ac:dyDescent="0.3">
      <c r="A38" s="103"/>
      <c r="B38" s="103"/>
      <c r="C38" s="103"/>
      <c r="D38" s="103"/>
      <c r="H38" s="103"/>
      <c r="I38" s="103"/>
      <c r="J38" s="103"/>
      <c r="K38" s="103"/>
      <c r="L38" s="103"/>
    </row>
    <row r="39" spans="1:12" x14ac:dyDescent="0.3">
      <c r="A39" s="103"/>
      <c r="B39" s="103"/>
      <c r="C39" s="103"/>
      <c r="D39" s="103"/>
      <c r="H39" s="103"/>
      <c r="I39" s="103"/>
      <c r="J39" s="103"/>
      <c r="K39" s="103"/>
      <c r="L39" s="103"/>
    </row>
    <row r="40" spans="1:12" x14ac:dyDescent="0.3">
      <c r="D40" s="103"/>
      <c r="H40" s="103"/>
      <c r="I40" s="103"/>
      <c r="J40" s="103"/>
      <c r="K40" s="103"/>
      <c r="L40" s="103"/>
    </row>
    <row r="41" spans="1:12" x14ac:dyDescent="0.3">
      <c r="D41" s="103"/>
      <c r="H41" s="103"/>
      <c r="I41" s="103"/>
      <c r="J41" s="103"/>
      <c r="K41" s="103"/>
      <c r="L41" s="103"/>
    </row>
  </sheetData>
  <mergeCells count="3">
    <mergeCell ref="E2:F2"/>
    <mergeCell ref="E6:F6"/>
    <mergeCell ref="E12:F12"/>
  </mergeCells>
  <conditionalFormatting sqref="G22">
    <cfRule type="expression" dxfId="1" priority="1">
      <formula>$G$22&lt;30%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1F6F7-949E-43F3-9B14-08CCAED61A99}">
  <sheetPr>
    <tabColor theme="9"/>
  </sheetPr>
  <dimension ref="A1:S45"/>
  <sheetViews>
    <sheetView zoomScaleNormal="100" workbookViewId="0">
      <selection activeCell="I24" sqref="I24"/>
    </sheetView>
  </sheetViews>
  <sheetFormatPr defaultRowHeight="14.4" x14ac:dyDescent="0.3"/>
  <cols>
    <col min="1" max="1" width="40.109375" bestFit="1" customWidth="1"/>
    <col min="2" max="2" width="13.5546875" customWidth="1"/>
    <col min="3" max="3" width="14.88671875" bestFit="1" customWidth="1"/>
    <col min="4" max="4" width="5.88671875" customWidth="1"/>
    <col min="6" max="6" width="15.44140625" bestFit="1" customWidth="1"/>
    <col min="7" max="7" width="19.109375" customWidth="1"/>
    <col min="8" max="8" width="13.44140625" customWidth="1"/>
    <col min="9" max="9" width="15.44140625" bestFit="1" customWidth="1"/>
    <col min="10" max="10" width="16" bestFit="1" customWidth="1"/>
    <col min="11" max="11" width="11.33203125" customWidth="1"/>
    <col min="13" max="13" width="10.33203125" bestFit="1" customWidth="1"/>
    <col min="14" max="14" width="10.5546875" bestFit="1" customWidth="1"/>
  </cols>
  <sheetData>
    <row r="1" spans="1:13" ht="18" x14ac:dyDescent="0.35">
      <c r="A1" s="63" t="s">
        <v>158</v>
      </c>
      <c r="B1" s="63"/>
      <c r="C1" s="198" t="s">
        <v>271</v>
      </c>
      <c r="D1" s="103"/>
      <c r="E1" s="103"/>
      <c r="F1" s="103"/>
      <c r="G1" s="103"/>
      <c r="H1" s="103"/>
      <c r="I1" s="104" t="s">
        <v>169</v>
      </c>
      <c r="J1" s="105" t="s">
        <v>170</v>
      </c>
      <c r="K1" s="103"/>
      <c r="L1" s="103"/>
      <c r="M1" s="103"/>
    </row>
    <row r="2" spans="1:13" ht="18" x14ac:dyDescent="0.35">
      <c r="A2" s="103"/>
      <c r="B2" s="103"/>
      <c r="C2" s="103"/>
      <c r="D2" s="103"/>
      <c r="E2" s="103"/>
      <c r="F2" s="312" t="s">
        <v>159</v>
      </c>
      <c r="G2" s="313"/>
      <c r="H2" s="103"/>
      <c r="I2" s="75" t="s">
        <v>171</v>
      </c>
      <c r="J2" s="76">
        <v>15.63</v>
      </c>
      <c r="K2" s="77"/>
      <c r="L2" s="103"/>
      <c r="M2" s="103"/>
    </row>
    <row r="3" spans="1:13" x14ac:dyDescent="0.3">
      <c r="A3" s="103"/>
      <c r="B3" s="103"/>
      <c r="C3" s="103"/>
      <c r="D3" s="103"/>
      <c r="E3" s="103"/>
      <c r="F3" s="121" t="s">
        <v>7</v>
      </c>
      <c r="G3" s="116" t="s">
        <v>328</v>
      </c>
      <c r="H3" s="103"/>
      <c r="I3" s="79">
        <v>40</v>
      </c>
      <c r="J3" s="80">
        <f>J2*I3</f>
        <v>625.20000000000005</v>
      </c>
      <c r="K3" s="81" t="s">
        <v>174</v>
      </c>
      <c r="L3" s="103"/>
      <c r="M3" s="103"/>
    </row>
    <row r="4" spans="1:13" x14ac:dyDescent="0.3">
      <c r="A4" s="104" t="s">
        <v>165</v>
      </c>
      <c r="B4" s="104" t="s">
        <v>281</v>
      </c>
      <c r="C4" s="104" t="s">
        <v>272</v>
      </c>
      <c r="D4" s="103"/>
      <c r="E4" s="103"/>
      <c r="F4" s="103"/>
      <c r="G4" s="67" t="s">
        <v>283</v>
      </c>
      <c r="H4" s="219"/>
      <c r="I4" s="79">
        <v>5</v>
      </c>
      <c r="J4" s="80">
        <f>(J2*1.5)*I4</f>
        <v>117.22499999999999</v>
      </c>
      <c r="K4" s="81" t="s">
        <v>177</v>
      </c>
      <c r="L4" s="103"/>
      <c r="M4" s="103"/>
    </row>
    <row r="5" spans="1:13" ht="18" x14ac:dyDescent="0.35">
      <c r="A5" s="70" t="s">
        <v>330</v>
      </c>
      <c r="B5" s="201" t="s">
        <v>282</v>
      </c>
      <c r="C5" s="71">
        <v>70</v>
      </c>
      <c r="D5" s="103"/>
      <c r="E5" s="103"/>
      <c r="F5" s="72" t="s">
        <v>289</v>
      </c>
      <c r="G5" s="73">
        <v>45</v>
      </c>
      <c r="H5" s="103"/>
      <c r="I5" s="79"/>
      <c r="J5" s="83"/>
      <c r="K5" s="81"/>
      <c r="L5" s="103"/>
      <c r="M5" s="103"/>
    </row>
    <row r="6" spans="1:13" x14ac:dyDescent="0.3">
      <c r="A6" s="70" t="s">
        <v>279</v>
      </c>
      <c r="B6" s="201" t="s">
        <v>282</v>
      </c>
      <c r="C6" s="71">
        <v>70</v>
      </c>
      <c r="D6" s="103"/>
      <c r="E6" s="103"/>
      <c r="F6" s="314" t="s">
        <v>2</v>
      </c>
      <c r="G6" s="314"/>
      <c r="H6" s="103"/>
      <c r="I6" s="79" t="s">
        <v>182</v>
      </c>
      <c r="J6" s="80">
        <f>J3+J4</f>
        <v>742.42500000000007</v>
      </c>
      <c r="K6" s="81" t="s">
        <v>182</v>
      </c>
      <c r="L6" s="103"/>
      <c r="M6" s="103"/>
    </row>
    <row r="7" spans="1:13" ht="18" x14ac:dyDescent="0.35">
      <c r="A7" s="70" t="s">
        <v>280</v>
      </c>
      <c r="B7" s="201" t="s">
        <v>283</v>
      </c>
      <c r="C7" s="71">
        <v>20</v>
      </c>
      <c r="D7" s="103"/>
      <c r="E7" s="103"/>
      <c r="F7" s="72" t="s">
        <v>280</v>
      </c>
      <c r="G7" s="78"/>
      <c r="H7" s="103"/>
      <c r="I7" s="79" t="s">
        <v>184</v>
      </c>
      <c r="J7" s="80">
        <f>J6+(J6*K7)</f>
        <v>853.78875000000005</v>
      </c>
      <c r="K7" s="87">
        <v>0.15</v>
      </c>
      <c r="L7" s="103"/>
      <c r="M7" s="103"/>
    </row>
    <row r="8" spans="1:13" ht="18" x14ac:dyDescent="0.35">
      <c r="A8" s="70" t="s">
        <v>342</v>
      </c>
      <c r="B8" s="201" t="s">
        <v>21</v>
      </c>
      <c r="C8" s="71">
        <v>3</v>
      </c>
      <c r="D8" s="103"/>
      <c r="E8" s="103"/>
      <c r="F8" s="72" t="s">
        <v>329</v>
      </c>
      <c r="G8" s="78">
        <v>70</v>
      </c>
      <c r="H8" s="103"/>
      <c r="I8" s="79"/>
      <c r="J8" s="83"/>
      <c r="K8" s="89"/>
      <c r="L8" s="103"/>
      <c r="M8" s="103"/>
    </row>
    <row r="9" spans="1:13" ht="18" x14ac:dyDescent="0.35">
      <c r="A9" s="70" t="s">
        <v>286</v>
      </c>
      <c r="B9" s="201" t="s">
        <v>283</v>
      </c>
      <c r="C9" s="71">
        <v>13</v>
      </c>
      <c r="D9" s="103"/>
      <c r="E9" s="103"/>
      <c r="F9" s="72" t="s">
        <v>342</v>
      </c>
      <c r="G9" s="78"/>
      <c r="H9" s="103"/>
      <c r="I9" s="79" t="s">
        <v>189</v>
      </c>
      <c r="J9" s="83" t="s">
        <v>190</v>
      </c>
      <c r="K9" s="89" t="s">
        <v>161</v>
      </c>
      <c r="L9" s="103"/>
      <c r="M9" s="103"/>
    </row>
    <row r="10" spans="1:13" ht="18" x14ac:dyDescent="0.35">
      <c r="A10" s="70"/>
      <c r="B10" s="201"/>
      <c r="C10" s="71"/>
      <c r="D10" s="103"/>
      <c r="E10" s="103"/>
      <c r="F10" s="72" t="s">
        <v>324</v>
      </c>
      <c r="G10" s="78">
        <v>0.08</v>
      </c>
      <c r="H10" s="103"/>
      <c r="I10" s="79">
        <v>2</v>
      </c>
      <c r="J10" s="80">
        <f>J7*I10</f>
        <v>1707.5775000000001</v>
      </c>
      <c r="K10" s="91">
        <f t="shared" ref="K10:K11" si="0">J10/6</f>
        <v>284.59625</v>
      </c>
      <c r="L10" s="103"/>
      <c r="M10" s="103"/>
    </row>
    <row r="11" spans="1:13" ht="18" x14ac:dyDescent="0.35">
      <c r="A11" s="70"/>
      <c r="B11" s="201"/>
      <c r="C11" s="71"/>
      <c r="D11" s="103"/>
      <c r="E11" s="103"/>
      <c r="F11" s="72" t="s">
        <v>323</v>
      </c>
      <c r="G11" s="243">
        <f>IF(G4="SY",ROUNDUP(G5*1.4,0),IF(G4="CY",ROUNDUP(G5*1.2,0)))</f>
        <v>54</v>
      </c>
      <c r="H11" s="104" t="s">
        <v>237</v>
      </c>
      <c r="I11" s="79">
        <v>3</v>
      </c>
      <c r="J11" s="80">
        <f>J7*I11</f>
        <v>2561.36625</v>
      </c>
      <c r="K11" s="91">
        <f t="shared" si="0"/>
        <v>426.89437500000003</v>
      </c>
      <c r="L11" s="103"/>
      <c r="M11" s="103"/>
    </row>
    <row r="12" spans="1:13" x14ac:dyDescent="0.3">
      <c r="A12" s="70" t="s">
        <v>185</v>
      </c>
      <c r="B12" s="201" t="s">
        <v>21</v>
      </c>
      <c r="C12" s="71">
        <v>0.08</v>
      </c>
      <c r="D12" s="103"/>
      <c r="E12" s="103"/>
      <c r="F12" s="106"/>
      <c r="G12" s="107"/>
      <c r="H12" s="108">
        <f>G5/H16</f>
        <v>0.45</v>
      </c>
      <c r="I12" s="79">
        <v>4</v>
      </c>
      <c r="J12" s="80">
        <f>J7*I12</f>
        <v>3415.1550000000002</v>
      </c>
      <c r="K12" s="91">
        <f>J12/6</f>
        <v>569.1925</v>
      </c>
      <c r="L12" s="103"/>
      <c r="M12" s="103"/>
    </row>
    <row r="13" spans="1:13" x14ac:dyDescent="0.3">
      <c r="A13" s="70"/>
      <c r="B13" s="201"/>
      <c r="C13" s="71"/>
      <c r="D13" s="103"/>
      <c r="E13" s="103"/>
      <c r="F13" s="316" t="s">
        <v>277</v>
      </c>
      <c r="G13" s="316"/>
      <c r="H13" s="231"/>
      <c r="I13" s="92">
        <v>5</v>
      </c>
      <c r="J13" s="93">
        <f>J7*I13</f>
        <v>4268.9437500000004</v>
      </c>
      <c r="K13" s="94">
        <f>J13/6</f>
        <v>711.49062500000002</v>
      </c>
      <c r="L13" s="103"/>
      <c r="M13" s="103"/>
    </row>
    <row r="14" spans="1:13" x14ac:dyDescent="0.3">
      <c r="A14" s="70"/>
      <c r="B14" s="201"/>
      <c r="C14" s="71"/>
      <c r="D14" s="103"/>
      <c r="E14" s="103"/>
      <c r="F14" s="88" t="s">
        <v>280</v>
      </c>
      <c r="G14" s="90">
        <f>G7*G5</f>
        <v>0</v>
      </c>
      <c r="H14" s="103"/>
      <c r="I14" s="103"/>
      <c r="J14" s="103"/>
      <c r="K14" s="104"/>
      <c r="L14" s="103"/>
      <c r="M14" s="103"/>
    </row>
    <row r="15" spans="1:13" x14ac:dyDescent="0.3">
      <c r="A15" s="70"/>
      <c r="B15" s="201"/>
      <c r="C15" s="71"/>
      <c r="D15" s="103"/>
      <c r="E15" s="103"/>
      <c r="F15" s="88" t="s">
        <v>342</v>
      </c>
      <c r="G15" s="90">
        <f>G9*G5</f>
        <v>0</v>
      </c>
      <c r="H15" s="104" t="s">
        <v>240</v>
      </c>
      <c r="I15" s="103"/>
      <c r="J15" s="103"/>
      <c r="K15" s="103"/>
      <c r="L15" s="103"/>
      <c r="M15" s="103"/>
    </row>
    <row r="16" spans="1:13" x14ac:dyDescent="0.3">
      <c r="A16" s="70"/>
      <c r="B16" s="201"/>
      <c r="C16" s="71"/>
      <c r="D16" s="103"/>
      <c r="E16" s="103"/>
      <c r="F16" s="88" t="s">
        <v>317</v>
      </c>
      <c r="G16" s="90">
        <f>G11*G8</f>
        <v>3780</v>
      </c>
      <c r="H16" s="67">
        <v>100</v>
      </c>
      <c r="I16" s="103" t="s">
        <v>161</v>
      </c>
      <c r="J16" s="103"/>
      <c r="K16" s="103"/>
      <c r="L16" s="103"/>
      <c r="M16" s="103"/>
    </row>
    <row r="17" spans="1:19" x14ac:dyDescent="0.3">
      <c r="A17" s="70"/>
      <c r="B17" s="201"/>
      <c r="C17" s="71"/>
      <c r="D17" s="103"/>
      <c r="E17" s="103"/>
      <c r="F17" s="88" t="s">
        <v>324</v>
      </c>
      <c r="G17" s="90">
        <f>J29*G10</f>
        <v>160</v>
      </c>
      <c r="H17" s="113">
        <v>50</v>
      </c>
      <c r="I17" s="103"/>
      <c r="J17" s="103" t="s">
        <v>274</v>
      </c>
      <c r="K17" s="103"/>
      <c r="L17" s="103"/>
      <c r="M17" s="103"/>
    </row>
    <row r="18" spans="1:19" x14ac:dyDescent="0.3">
      <c r="A18" s="70"/>
      <c r="B18" s="201"/>
      <c r="C18" s="71"/>
      <c r="D18" s="103"/>
      <c r="E18" s="103"/>
      <c r="F18" s="88" t="s">
        <v>170</v>
      </c>
      <c r="G18" s="90">
        <f>ROUNDUP((G5/H16)*K12,0)</f>
        <v>257</v>
      </c>
      <c r="H18" s="104" t="s">
        <v>258</v>
      </c>
      <c r="I18" s="103"/>
      <c r="J18" s="103" t="s">
        <v>275</v>
      </c>
      <c r="K18" s="103" t="s">
        <v>276</v>
      </c>
      <c r="L18" s="103"/>
      <c r="M18" s="103"/>
    </row>
    <row r="19" spans="1:19" x14ac:dyDescent="0.3">
      <c r="A19" s="70"/>
      <c r="B19" s="201"/>
      <c r="C19" s="71"/>
      <c r="D19" s="103"/>
      <c r="E19" s="103"/>
      <c r="F19" s="88" t="s">
        <v>196</v>
      </c>
      <c r="G19" s="71">
        <f>ROUNDUP(G5/H16,0)*100</f>
        <v>100</v>
      </c>
      <c r="H19" s="103"/>
      <c r="I19" s="103"/>
      <c r="J19" s="103"/>
      <c r="K19" s="103"/>
      <c r="L19" s="103"/>
      <c r="M19" s="103"/>
    </row>
    <row r="20" spans="1:19" x14ac:dyDescent="0.3">
      <c r="A20" s="70"/>
      <c r="B20" s="201"/>
      <c r="C20" s="71"/>
      <c r="D20" s="103"/>
      <c r="E20" s="103"/>
      <c r="F20" s="88" t="s">
        <v>198</v>
      </c>
      <c r="G20" s="90">
        <f>G18+G19+G14+G16</f>
        <v>4137</v>
      </c>
      <c r="H20" s="103"/>
      <c r="I20" s="103"/>
      <c r="J20" s="103"/>
      <c r="K20" s="103"/>
      <c r="L20" s="103"/>
      <c r="M20" s="103"/>
    </row>
    <row r="21" spans="1:19" x14ac:dyDescent="0.3">
      <c r="A21" s="70"/>
      <c r="B21" s="201"/>
      <c r="C21" s="71"/>
      <c r="D21" s="103"/>
      <c r="E21" s="103"/>
      <c r="F21" s="104"/>
      <c r="G21" s="103"/>
      <c r="H21" s="103"/>
      <c r="I21" s="103"/>
      <c r="J21" s="103"/>
      <c r="K21" s="103"/>
      <c r="L21" s="103"/>
      <c r="M21" s="103"/>
    </row>
    <row r="22" spans="1:19" ht="18" x14ac:dyDescent="0.35">
      <c r="A22" s="70"/>
      <c r="B22" s="201"/>
      <c r="C22" s="71"/>
      <c r="D22" s="103"/>
      <c r="E22" s="103"/>
      <c r="F22" s="72" t="s">
        <v>201</v>
      </c>
      <c r="G22" s="97">
        <v>130</v>
      </c>
      <c r="H22" s="101">
        <f>G24/G23</f>
        <v>0.2928205128205128</v>
      </c>
      <c r="I22" s="103"/>
      <c r="J22" s="103"/>
      <c r="K22" s="103"/>
      <c r="L22" s="103"/>
      <c r="M22" s="103"/>
    </row>
    <row r="23" spans="1:19" ht="18" x14ac:dyDescent="0.35">
      <c r="A23" s="115"/>
      <c r="B23" s="202"/>
      <c r="C23" s="71"/>
      <c r="D23" s="103"/>
      <c r="E23" s="103"/>
      <c r="F23" s="72" t="s">
        <v>203</v>
      </c>
      <c r="G23" s="98">
        <f>G5*G22</f>
        <v>5850</v>
      </c>
      <c r="H23" s="103"/>
      <c r="I23" s="103"/>
      <c r="J23" s="219"/>
      <c r="K23" s="219"/>
      <c r="L23" s="219"/>
      <c r="M23" s="103"/>
    </row>
    <row r="24" spans="1:19" ht="18" x14ac:dyDescent="0.35">
      <c r="A24" s="103"/>
      <c r="B24" s="103"/>
      <c r="C24" s="103"/>
      <c r="D24" s="103"/>
      <c r="E24" s="103"/>
      <c r="F24" s="239" t="s">
        <v>205</v>
      </c>
      <c r="G24" s="240">
        <f>G23-G20</f>
        <v>1713</v>
      </c>
      <c r="H24" s="103"/>
      <c r="I24" s="103"/>
      <c r="J24" s="219"/>
      <c r="K24" s="103"/>
      <c r="L24" s="103"/>
      <c r="M24" s="103"/>
    </row>
    <row r="25" spans="1:19" ht="18" x14ac:dyDescent="0.35">
      <c r="A25" s="95" t="s">
        <v>197</v>
      </c>
      <c r="B25" s="95"/>
      <c r="C25" s="95"/>
      <c r="D25" s="103"/>
      <c r="E25" s="103"/>
      <c r="F25" s="103"/>
      <c r="G25" s="103"/>
      <c r="H25" s="103"/>
      <c r="I25" s="103"/>
      <c r="J25" s="103"/>
      <c r="K25" s="103"/>
      <c r="L25" s="103"/>
      <c r="M25" s="103"/>
    </row>
    <row r="26" spans="1:19" ht="18" x14ac:dyDescent="0.35">
      <c r="A26" s="96" t="s">
        <v>199</v>
      </c>
      <c r="B26" s="96"/>
      <c r="C26" s="95"/>
      <c r="D26" s="103"/>
      <c r="E26" s="103"/>
      <c r="F26" s="103"/>
      <c r="G26" s="103"/>
      <c r="H26" s="103"/>
      <c r="I26" s="103"/>
      <c r="J26" s="103"/>
      <c r="K26" s="103"/>
      <c r="L26" s="103"/>
      <c r="M26" s="103"/>
    </row>
    <row r="27" spans="1:19" ht="18" x14ac:dyDescent="0.35">
      <c r="A27" s="95" t="s">
        <v>200</v>
      </c>
      <c r="B27" s="95"/>
      <c r="C27" s="95"/>
      <c r="D27" s="103"/>
      <c r="E27" s="103"/>
      <c r="F27" s="103"/>
      <c r="G27" s="116"/>
      <c r="H27" s="103"/>
      <c r="I27" s="103"/>
      <c r="J27" s="103"/>
      <c r="K27" s="103"/>
      <c r="L27" s="103"/>
      <c r="M27" s="103"/>
    </row>
    <row r="28" spans="1:19" ht="18" x14ac:dyDescent="0.35">
      <c r="A28" s="95" t="s">
        <v>202</v>
      </c>
      <c r="B28" s="95"/>
      <c r="C28" s="95"/>
      <c r="D28" s="103"/>
      <c r="E28" s="103"/>
      <c r="F28" s="117" t="s">
        <v>325</v>
      </c>
      <c r="G28" s="117" t="s">
        <v>326</v>
      </c>
      <c r="H28" s="117" t="s">
        <v>327</v>
      </c>
      <c r="I28" s="242" t="s">
        <v>283</v>
      </c>
      <c r="J28" s="242" t="s">
        <v>21</v>
      </c>
      <c r="K28" s="103" t="s">
        <v>345</v>
      </c>
      <c r="L28" s="103"/>
      <c r="M28" s="103"/>
      <c r="S28" t="s">
        <v>21</v>
      </c>
    </row>
    <row r="29" spans="1:19" x14ac:dyDescent="0.3">
      <c r="A29" s="103"/>
      <c r="B29" s="103"/>
      <c r="C29" s="103"/>
      <c r="D29" s="103"/>
      <c r="E29" s="103"/>
      <c r="F29" s="225">
        <v>100</v>
      </c>
      <c r="G29" s="241">
        <v>20</v>
      </c>
      <c r="H29" s="241">
        <v>10</v>
      </c>
      <c r="I29" s="225">
        <f>ROUNDUP((F29*G29*(H29/12)/27),0)</f>
        <v>62</v>
      </c>
      <c r="J29" s="225">
        <v>2000</v>
      </c>
      <c r="K29" s="103"/>
      <c r="L29" s="103"/>
      <c r="M29" s="103"/>
      <c r="S29" t="s">
        <v>283</v>
      </c>
    </row>
    <row r="30" spans="1:19" x14ac:dyDescent="0.3">
      <c r="A30" s="103"/>
      <c r="B30" s="103"/>
      <c r="C30" s="103"/>
      <c r="D30" s="103"/>
      <c r="E30" s="103"/>
      <c r="F30" s="219"/>
      <c r="G30" s="247"/>
      <c r="H30" s="247"/>
      <c r="I30" s="103"/>
      <c r="J30" s="103"/>
      <c r="K30" s="103"/>
      <c r="L30" s="103"/>
      <c r="M30" s="103"/>
      <c r="S30" t="s">
        <v>102</v>
      </c>
    </row>
    <row r="31" spans="1:19" x14ac:dyDescent="0.3">
      <c r="A31" s="103"/>
      <c r="B31" s="103"/>
      <c r="C31" s="103"/>
      <c r="D31" s="103"/>
      <c r="E31" s="103"/>
      <c r="F31" s="219"/>
      <c r="G31" s="248"/>
      <c r="H31" s="247"/>
      <c r="I31" s="103"/>
      <c r="J31" s="103"/>
      <c r="K31" s="103"/>
      <c r="L31" s="103"/>
      <c r="M31" s="103"/>
    </row>
    <row r="32" spans="1:19" x14ac:dyDescent="0.3">
      <c r="A32" s="103"/>
      <c r="B32" s="103"/>
      <c r="C32" s="103"/>
      <c r="D32" s="103"/>
      <c r="E32" s="103"/>
      <c r="F32" s="104"/>
      <c r="G32" s="229"/>
      <c r="H32" s="229"/>
      <c r="I32" s="103"/>
      <c r="J32" s="103"/>
      <c r="K32" s="103"/>
      <c r="L32" s="103"/>
      <c r="M32" s="103"/>
    </row>
    <row r="33" spans="1:13" x14ac:dyDescent="0.3">
      <c r="A33" s="103"/>
      <c r="B33" s="103"/>
      <c r="C33" s="103"/>
      <c r="D33" s="103"/>
      <c r="E33" s="254" t="s">
        <v>341</v>
      </c>
      <c r="F33" s="117" t="s">
        <v>331</v>
      </c>
      <c r="G33" s="117" t="s">
        <v>332</v>
      </c>
      <c r="H33" s="244" t="s">
        <v>335</v>
      </c>
      <c r="I33" s="103"/>
      <c r="J33" s="103"/>
      <c r="K33" s="103"/>
      <c r="L33" s="103"/>
      <c r="M33" s="103"/>
    </row>
    <row r="34" spans="1:13" x14ac:dyDescent="0.3">
      <c r="A34" s="103"/>
      <c r="B34" s="103"/>
      <c r="C34" s="103"/>
      <c r="D34" s="103"/>
      <c r="E34">
        <v>50.4</v>
      </c>
      <c r="F34" s="245">
        <v>509</v>
      </c>
      <c r="G34" s="246">
        <v>453.6</v>
      </c>
      <c r="H34" s="246">
        <v>12</v>
      </c>
      <c r="I34" s="103" t="s">
        <v>336</v>
      </c>
      <c r="J34" s="103"/>
      <c r="K34" s="103"/>
      <c r="L34" s="103"/>
      <c r="M34" s="103"/>
    </row>
    <row r="35" spans="1:13" x14ac:dyDescent="0.3">
      <c r="A35" s="103"/>
      <c r="B35" s="103"/>
      <c r="C35" s="103"/>
      <c r="D35" s="103"/>
      <c r="E35" s="255">
        <f>E34*9</f>
        <v>453.59999999999997</v>
      </c>
      <c r="F35" s="249">
        <f>ROUNDUP(F34/43560,1)</f>
        <v>0.1</v>
      </c>
      <c r="G35" s="250">
        <f>ROUNDUP(G34/9,0)</f>
        <v>51</v>
      </c>
      <c r="H35" s="250">
        <f>ROUNDUP(G34*(H34/12)/27,0)</f>
        <v>17</v>
      </c>
      <c r="I35" s="103"/>
      <c r="J35" s="103"/>
      <c r="K35" s="103"/>
      <c r="L35" s="103"/>
      <c r="M35" s="103"/>
    </row>
    <row r="36" spans="1:13" x14ac:dyDescent="0.3">
      <c r="A36" s="103"/>
      <c r="B36" s="103"/>
      <c r="C36" s="103"/>
      <c r="D36" s="103"/>
      <c r="E36" s="256"/>
      <c r="F36" s="104"/>
      <c r="G36" s="229"/>
      <c r="H36" s="229"/>
      <c r="I36" s="103"/>
      <c r="J36" s="103"/>
      <c r="K36" s="103"/>
      <c r="L36" s="103"/>
      <c r="M36" s="103"/>
    </row>
    <row r="37" spans="1:13" x14ac:dyDescent="0.3">
      <c r="A37" s="103"/>
      <c r="B37" s="103"/>
      <c r="C37" s="103"/>
      <c r="D37" s="103"/>
      <c r="E37" s="103"/>
      <c r="F37" s="104"/>
      <c r="G37" s="104"/>
      <c r="H37" s="104"/>
      <c r="I37" s="103"/>
      <c r="J37" s="103"/>
      <c r="K37" s="103"/>
      <c r="L37" s="103"/>
      <c r="M37" s="103"/>
    </row>
    <row r="38" spans="1:13" x14ac:dyDescent="0.3">
      <c r="A38" s="103"/>
      <c r="B38" s="103"/>
      <c r="C38" s="103"/>
      <c r="D38" s="103"/>
      <c r="E38" s="103"/>
      <c r="F38" s="104"/>
      <c r="G38" s="103"/>
      <c r="H38" s="103"/>
      <c r="I38" s="103"/>
      <c r="J38" s="103"/>
      <c r="K38" s="103"/>
      <c r="L38" s="103"/>
      <c r="M38" s="103"/>
    </row>
    <row r="39" spans="1:13" x14ac:dyDescent="0.3">
      <c r="A39" s="103"/>
      <c r="B39" s="103"/>
      <c r="C39" s="103"/>
      <c r="D39" s="103"/>
      <c r="E39" s="103"/>
      <c r="F39" s="104"/>
      <c r="G39" s="103"/>
      <c r="H39" s="103"/>
      <c r="I39" s="120"/>
      <c r="J39" s="103"/>
      <c r="K39" s="103"/>
      <c r="L39" s="103"/>
      <c r="M39" s="103"/>
    </row>
    <row r="40" spans="1:13" x14ac:dyDescent="0.3">
      <c r="A40" s="103"/>
      <c r="B40" s="103"/>
      <c r="C40" s="103"/>
      <c r="D40" s="103"/>
      <c r="E40" s="103"/>
      <c r="F40" s="104"/>
      <c r="G40" s="103"/>
      <c r="H40" s="103"/>
      <c r="I40" s="103"/>
      <c r="J40" s="103"/>
      <c r="K40" s="103"/>
      <c r="L40" s="103"/>
      <c r="M40" s="103"/>
    </row>
    <row r="41" spans="1:13" x14ac:dyDescent="0.3">
      <c r="A41" s="103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</row>
    <row r="42" spans="1:13" x14ac:dyDescent="0.3">
      <c r="A42" s="103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</row>
    <row r="43" spans="1:13" x14ac:dyDescent="0.3">
      <c r="E43" s="103"/>
      <c r="F43" s="103"/>
      <c r="G43" s="103"/>
      <c r="H43" s="103"/>
      <c r="I43" s="103"/>
      <c r="J43" s="103"/>
      <c r="K43" s="103"/>
    </row>
    <row r="44" spans="1:13" x14ac:dyDescent="0.3">
      <c r="E44" s="103"/>
      <c r="F44" s="103"/>
      <c r="G44" s="103"/>
      <c r="H44" s="103"/>
      <c r="I44" s="103"/>
      <c r="J44" s="103"/>
    </row>
    <row r="45" spans="1:13" x14ac:dyDescent="0.3">
      <c r="E45" s="103"/>
    </row>
  </sheetData>
  <mergeCells count="3">
    <mergeCell ref="F2:G2"/>
    <mergeCell ref="F6:G6"/>
    <mergeCell ref="F13:G13"/>
  </mergeCells>
  <conditionalFormatting sqref="H22">
    <cfRule type="expression" dxfId="0" priority="1">
      <formula>$H$22&lt;30%</formula>
    </cfRule>
  </conditionalFormatting>
  <dataValidations count="1">
    <dataValidation type="list" allowBlank="1" showInputMessage="1" showErrorMessage="1" sqref="G4" xr:uid="{050A85FF-459C-484A-8882-BF1A7A015B9A}">
      <formula1>$S$28:$S$29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435E4-7003-4081-9563-A2159FB63C8A}">
  <dimension ref="A2:H15"/>
  <sheetViews>
    <sheetView workbookViewId="0">
      <selection activeCell="F19" sqref="F19"/>
    </sheetView>
  </sheetViews>
  <sheetFormatPr defaultRowHeight="14.4" x14ac:dyDescent="0.3"/>
  <sheetData>
    <row r="2" spans="1:8" x14ac:dyDescent="0.3">
      <c r="A2" s="331" t="s">
        <v>12</v>
      </c>
      <c r="B2" s="331"/>
      <c r="C2" s="331"/>
      <c r="D2" s="331"/>
      <c r="F2" s="332" t="s">
        <v>25</v>
      </c>
      <c r="G2" s="332"/>
      <c r="H2" s="332"/>
    </row>
    <row r="3" spans="1:8" x14ac:dyDescent="0.3">
      <c r="A3" s="331"/>
      <c r="B3" s="331"/>
      <c r="C3" s="331"/>
      <c r="D3" s="331"/>
      <c r="F3" s="332"/>
      <c r="G3" s="332"/>
      <c r="H3" s="332"/>
    </row>
    <row r="4" spans="1:8" x14ac:dyDescent="0.3">
      <c r="A4" s="331"/>
      <c r="B4" s="331"/>
      <c r="C4" s="331"/>
      <c r="D4" s="331"/>
      <c r="F4" s="332"/>
      <c r="G4" s="332"/>
      <c r="H4" s="332"/>
    </row>
    <row r="5" spans="1:8" x14ac:dyDescent="0.3">
      <c r="A5" s="331"/>
      <c r="B5" s="331"/>
      <c r="C5" s="331"/>
      <c r="D5" s="331"/>
      <c r="F5" s="332"/>
      <c r="G5" s="332"/>
      <c r="H5" s="332"/>
    </row>
    <row r="6" spans="1:8" x14ac:dyDescent="0.3">
      <c r="A6" s="331"/>
      <c r="B6" s="331"/>
      <c r="C6" s="331"/>
      <c r="D6" s="331"/>
      <c r="F6" s="332"/>
      <c r="G6" s="332"/>
      <c r="H6" s="332"/>
    </row>
    <row r="7" spans="1:8" x14ac:dyDescent="0.3">
      <c r="A7" s="331"/>
      <c r="B7" s="331"/>
      <c r="C7" s="331"/>
      <c r="D7" s="331"/>
      <c r="F7" s="332"/>
      <c r="G7" s="332"/>
      <c r="H7" s="332"/>
    </row>
    <row r="8" spans="1:8" ht="96.75" customHeight="1" x14ac:dyDescent="0.3">
      <c r="A8" s="331"/>
      <c r="B8" s="331"/>
      <c r="C8" s="331"/>
      <c r="D8" s="331"/>
      <c r="F8" s="332"/>
      <c r="G8" s="332"/>
      <c r="H8" s="332"/>
    </row>
    <row r="10" spans="1:8" x14ac:dyDescent="0.3">
      <c r="A10" s="318" t="s">
        <v>12</v>
      </c>
      <c r="B10" s="319"/>
      <c r="C10" s="319"/>
      <c r="D10" s="319"/>
      <c r="E10" s="319"/>
      <c r="F10" s="319"/>
      <c r="G10" s="319"/>
      <c r="H10" s="320"/>
    </row>
    <row r="11" spans="1:8" ht="105.75" customHeight="1" x14ac:dyDescent="0.3">
      <c r="A11" s="321"/>
      <c r="B11" s="322"/>
      <c r="C11" s="322"/>
      <c r="D11" s="322"/>
      <c r="E11" s="322"/>
      <c r="F11" s="322"/>
      <c r="G11" s="322"/>
      <c r="H11" s="323"/>
    </row>
    <row r="13" spans="1:8" x14ac:dyDescent="0.3">
      <c r="A13" s="324" t="s">
        <v>13</v>
      </c>
      <c r="B13" s="324"/>
      <c r="C13" s="324"/>
      <c r="D13" s="324"/>
      <c r="E13" s="324"/>
      <c r="F13" s="324"/>
      <c r="G13" s="324"/>
      <c r="H13" s="324"/>
    </row>
    <row r="14" spans="1:8" x14ac:dyDescent="0.3">
      <c r="A14" s="325" t="s">
        <v>14</v>
      </c>
      <c r="B14" s="326"/>
      <c r="C14" s="326"/>
      <c r="D14" s="326"/>
      <c r="E14" s="326"/>
      <c r="F14" s="326"/>
      <c r="G14" s="326"/>
      <c r="H14" s="327"/>
    </row>
    <row r="15" spans="1:8" ht="100.5" customHeight="1" x14ac:dyDescent="0.3">
      <c r="A15" s="328" t="s">
        <v>15</v>
      </c>
      <c r="B15" s="329"/>
      <c r="C15" s="329"/>
      <c r="D15" s="329"/>
      <c r="E15" s="329"/>
      <c r="F15" s="329"/>
      <c r="G15" s="329"/>
      <c r="H15" s="330"/>
    </row>
  </sheetData>
  <mergeCells count="6">
    <mergeCell ref="A10:H11"/>
    <mergeCell ref="A13:H13"/>
    <mergeCell ref="A14:H14"/>
    <mergeCell ref="A15:H15"/>
    <mergeCell ref="A2:D8"/>
    <mergeCell ref="F2:H8"/>
  </mergeCells>
  <pageMargins left="0.7" right="0.7" top="0.75" bottom="0.75" header="0.3" footer="0.3"/>
  <pageSetup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Bid </vt:lpstr>
      <vt:lpstr>Fence Calc</vt:lpstr>
      <vt:lpstr>Hydromulch Calc</vt:lpstr>
      <vt:lpstr>Seeding Calc</vt:lpstr>
      <vt:lpstr>Sod</vt:lpstr>
      <vt:lpstr>Matting Calc</vt:lpstr>
      <vt:lpstr>Rock Filter Dam</vt:lpstr>
      <vt:lpstr>Aggregate Area</vt:lpstr>
      <vt:lpstr>Notes</vt:lpstr>
      <vt:lpstr>BMP</vt:lpstr>
      <vt:lpstr>Seed</vt:lpstr>
      <vt:lpstr>Matting</vt:lpstr>
      <vt:lpstr>pricebook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Rachael Alwagfi</dc:creator>
  <cp:lastModifiedBy>Joshua King</cp:lastModifiedBy>
  <cp:lastPrinted>2025-08-25T15:00:23Z</cp:lastPrinted>
  <dcterms:created xsi:type="dcterms:W3CDTF">2020-07-24T13:07:48Z</dcterms:created>
  <dcterms:modified xsi:type="dcterms:W3CDTF">2025-09-03T13:58:30Z</dcterms:modified>
</cp:coreProperties>
</file>