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ikeCarpenter\Dropbox\Carpe Diem Innovations\FPA Cert\AFP Cases\4 Class session\Class 4 - Applied FP&amp;A\"/>
    </mc:Choice>
  </mc:AlternateContent>
  <xr:revisionPtr revIDLastSave="0" documentId="13_ncr:1_{D5761B31-7061-4F7A-AB7C-C337BE9DEF52}" xr6:coauthVersionLast="47" xr6:coauthVersionMax="47" xr10:uidLastSave="{00000000-0000-0000-0000-000000000000}"/>
  <bookViews>
    <workbookView xWindow="-120" yWindow="-120" windowWidth="29040" windowHeight="15840" firstSheet="3" activeTab="6" xr2:uid="{00000000-000D-0000-FFFF-FFFF00000000}"/>
  </bookViews>
  <sheets>
    <sheet name="P&amp;L" sheetId="1" state="hidden" r:id="rId1"/>
    <sheet name="BS" sheetId="2" state="hidden" r:id="rId2"/>
    <sheet name="CF" sheetId="3" state="hidden" r:id="rId3"/>
    <sheet name="P&amp;L Answer" sheetId="4" r:id="rId4"/>
    <sheet name="BS Answer" sheetId="5" r:id="rId5"/>
    <sheet name="CF Answer" sheetId="6" r:id="rId6"/>
    <sheet name="Ratios Case" sheetId="8" r:id="rId7"/>
    <sheet name="Ratios - Answer" sheetId="7" state="hidden" r:id="rId8"/>
  </sheets>
  <definedNames>
    <definedName name="_xlnm.Print_Titles" localSheetId="7">'Ratios - Answer'!$1:$5</definedName>
    <definedName name="_xlnm.Print_Titles" localSheetId="6">'Ratios Case'!$1:$5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5" l="1"/>
  <c r="F42" i="5"/>
  <c r="G41" i="5"/>
  <c r="F41" i="5"/>
  <c r="D36" i="5"/>
  <c r="C36" i="5"/>
  <c r="G36" i="5" s="1"/>
  <c r="B36" i="5"/>
  <c r="G35" i="5"/>
  <c r="F35" i="5"/>
  <c r="G34" i="5"/>
  <c r="F34" i="5"/>
  <c r="D31" i="5"/>
  <c r="C31" i="5"/>
  <c r="B31" i="5"/>
  <c r="G30" i="5"/>
  <c r="F30" i="5"/>
  <c r="G29" i="5"/>
  <c r="F29" i="5"/>
  <c r="G28" i="5"/>
  <c r="F28" i="5"/>
  <c r="G27" i="5"/>
  <c r="F27" i="5"/>
  <c r="G20" i="5"/>
  <c r="F20" i="5"/>
  <c r="D18" i="5"/>
  <c r="C18" i="5"/>
  <c r="G18" i="5" s="1"/>
  <c r="B18" i="5"/>
  <c r="G17" i="5"/>
  <c r="F17" i="5"/>
  <c r="G16" i="5"/>
  <c r="F16" i="5"/>
  <c r="G14" i="5"/>
  <c r="D14" i="5"/>
  <c r="D22" i="5" s="1"/>
  <c r="C14" i="5"/>
  <c r="B14" i="5"/>
  <c r="B22" i="5" s="1"/>
  <c r="G13" i="5"/>
  <c r="F13" i="5"/>
  <c r="G12" i="5"/>
  <c r="F12" i="5"/>
  <c r="G11" i="5"/>
  <c r="F11" i="5"/>
  <c r="G10" i="5"/>
  <c r="F10" i="5"/>
  <c r="H26" i="4"/>
  <c r="G26" i="4"/>
  <c r="F26" i="4"/>
  <c r="H21" i="4"/>
  <c r="G21" i="4"/>
  <c r="F21" i="4"/>
  <c r="D16" i="4"/>
  <c r="C16" i="4"/>
  <c r="B16" i="4"/>
  <c r="H15" i="4"/>
  <c r="G15" i="4"/>
  <c r="F15" i="4"/>
  <c r="D12" i="4"/>
  <c r="D13" i="4" s="1"/>
  <c r="C12" i="4"/>
  <c r="C18" i="4" s="1"/>
  <c r="B12" i="4"/>
  <c r="B18" i="4" s="1"/>
  <c r="H10" i="4"/>
  <c r="G10" i="4"/>
  <c r="F10" i="4"/>
  <c r="H8" i="4"/>
  <c r="G8" i="4"/>
  <c r="F8" i="4"/>
  <c r="F31" i="5" l="1"/>
  <c r="G31" i="5"/>
  <c r="F14" i="5"/>
  <c r="B38" i="5"/>
  <c r="F18" i="5"/>
  <c r="C38" i="5"/>
  <c r="D38" i="5"/>
  <c r="C22" i="5"/>
  <c r="F22" i="5" s="1"/>
  <c r="F36" i="5"/>
  <c r="C19" i="4"/>
  <c r="C23" i="4"/>
  <c r="G18" i="4"/>
  <c r="F18" i="4"/>
  <c r="B19" i="4"/>
  <c r="B23" i="4"/>
  <c r="H12" i="4"/>
  <c r="F12" i="4"/>
  <c r="B13" i="4"/>
  <c r="G12" i="4"/>
  <c r="C13" i="4"/>
  <c r="D18" i="4"/>
  <c r="E69" i="7"/>
  <c r="D69" i="7"/>
  <c r="C69" i="7"/>
  <c r="E65" i="7"/>
  <c r="D65" i="7"/>
  <c r="E33" i="7"/>
  <c r="E34" i="7" s="1"/>
  <c r="D33" i="7"/>
  <c r="D34" i="7" s="1"/>
  <c r="E31" i="7"/>
  <c r="E32" i="7" s="1"/>
  <c r="D31" i="7"/>
  <c r="D32" i="7" s="1"/>
  <c r="E29" i="7"/>
  <c r="E30" i="7" s="1"/>
  <c r="D29" i="7"/>
  <c r="D30" i="7" s="1"/>
  <c r="F38" i="5" l="1"/>
  <c r="G38" i="5"/>
  <c r="G22" i="5"/>
  <c r="D19" i="4"/>
  <c r="D23" i="4"/>
  <c r="H18" i="4"/>
  <c r="B28" i="4"/>
  <c r="F23" i="4"/>
  <c r="B24" i="4"/>
  <c r="C28" i="4"/>
  <c r="G23" i="4"/>
  <c r="C24" i="4"/>
  <c r="E35" i="7"/>
  <c r="D35" i="7"/>
  <c r="C39" i="6"/>
  <c r="C41" i="6" s="1"/>
  <c r="B39" i="6"/>
  <c r="C38" i="6" s="1"/>
  <c r="B38" i="6"/>
  <c r="C12" i="6"/>
  <c r="B12" i="6"/>
  <c r="B44" i="5"/>
  <c r="C32" i="6"/>
  <c r="C35" i="6" s="1"/>
  <c r="B32" i="6"/>
  <c r="B35" i="6" s="1"/>
  <c r="C27" i="6"/>
  <c r="B27" i="6"/>
  <c r="C20" i="6"/>
  <c r="B20" i="6"/>
  <c r="C19" i="6"/>
  <c r="B19" i="6"/>
  <c r="C18" i="6"/>
  <c r="B18" i="6"/>
  <c r="C26" i="6"/>
  <c r="B26" i="6"/>
  <c r="C25" i="6"/>
  <c r="B25" i="6"/>
  <c r="C17" i="6"/>
  <c r="B17" i="6"/>
  <c r="C16" i="6"/>
  <c r="B16" i="6"/>
  <c r="C15" i="6"/>
  <c r="B15" i="6"/>
  <c r="C29" i="4" l="1"/>
  <c r="C31" i="4"/>
  <c r="G31" i="4" s="1"/>
  <c r="G28" i="4"/>
  <c r="B31" i="4"/>
  <c r="F31" i="4" s="1"/>
  <c r="F28" i="4"/>
  <c r="B29" i="4"/>
  <c r="H23" i="4"/>
  <c r="D28" i="4"/>
  <c r="D24" i="4"/>
  <c r="E37" i="7"/>
  <c r="C15" i="7"/>
  <c r="C68" i="7"/>
  <c r="C14" i="7"/>
  <c r="D8" i="7"/>
  <c r="D9" i="7"/>
  <c r="E38" i="7"/>
  <c r="E13" i="7"/>
  <c r="E9" i="7"/>
  <c r="E8" i="7"/>
  <c r="B46" i="5"/>
  <c r="B48" i="5" s="1"/>
  <c r="C10" i="7"/>
  <c r="D43" i="7"/>
  <c r="D10" i="7"/>
  <c r="E43" i="7"/>
  <c r="E10" i="7"/>
  <c r="B29" i="6"/>
  <c r="C43" i="7"/>
  <c r="C29" i="6"/>
  <c r="C9" i="7"/>
  <c r="D38" i="7"/>
  <c r="C8" i="7"/>
  <c r="D37" i="7"/>
  <c r="B41" i="6"/>
  <c r="B34" i="4" l="1"/>
  <c r="F34" i="4"/>
  <c r="B39" i="4"/>
  <c r="B35" i="4"/>
  <c r="D29" i="4"/>
  <c r="H28" i="4"/>
  <c r="D31" i="4"/>
  <c r="H31" i="4" s="1"/>
  <c r="C34" i="4"/>
  <c r="E71" i="7"/>
  <c r="E44" i="7"/>
  <c r="D36" i="7"/>
  <c r="C13" i="7"/>
  <c r="D52" i="7"/>
  <c r="D16" i="7"/>
  <c r="D26" i="7"/>
  <c r="D25" i="7"/>
  <c r="D45" i="7"/>
  <c r="C44" i="7"/>
  <c r="C71" i="7"/>
  <c r="E36" i="7"/>
  <c r="D13" i="7"/>
  <c r="D44" i="7"/>
  <c r="D71" i="7"/>
  <c r="C46" i="7"/>
  <c r="D46" i="7"/>
  <c r="C39" i="4" l="1"/>
  <c r="C35" i="4"/>
  <c r="G34" i="4"/>
  <c r="D34" i="4"/>
  <c r="E52" i="7"/>
  <c r="E26" i="7"/>
  <c r="E16" i="7"/>
  <c r="E25" i="7"/>
  <c r="E45" i="7"/>
  <c r="C52" i="7"/>
  <c r="C26" i="7"/>
  <c r="C45" i="7"/>
  <c r="C25" i="7"/>
  <c r="C56" i="7"/>
  <c r="D56" i="7"/>
  <c r="E46" i="7"/>
  <c r="D39" i="4" l="1"/>
  <c r="D35" i="4"/>
  <c r="H34" i="4"/>
  <c r="C47" i="7"/>
  <c r="C53" i="7"/>
  <c r="D18" i="7"/>
  <c r="D59" i="7"/>
  <c r="D53" i="7"/>
  <c r="D48" i="7"/>
  <c r="D47" i="7"/>
  <c r="C44" i="2"/>
  <c r="E56" i="7"/>
  <c r="C43" i="5"/>
  <c r="B8" i="6"/>
  <c r="B22" i="6" s="1"/>
  <c r="C66" i="7" l="1"/>
  <c r="C67" i="7"/>
  <c r="E18" i="7"/>
  <c r="E59" i="7"/>
  <c r="E53" i="7"/>
  <c r="E48" i="7"/>
  <c r="E47" i="7"/>
  <c r="D17" i="7"/>
  <c r="D19" i="7" s="1"/>
  <c r="D67" i="7"/>
  <c r="D66" i="7"/>
  <c r="D58" i="7"/>
  <c r="D70" i="7"/>
  <c r="D44" i="2"/>
  <c r="F43" i="5"/>
  <c r="C44" i="5"/>
  <c r="D50" i="7" s="1"/>
  <c r="D43" i="5"/>
  <c r="C8" i="6"/>
  <c r="C22" i="6" s="1"/>
  <c r="E17" i="7" l="1"/>
  <c r="E19" i="7" s="1"/>
  <c r="E66" i="7"/>
  <c r="E67" i="7"/>
  <c r="E70" i="7"/>
  <c r="E58" i="7"/>
  <c r="D68" i="7"/>
  <c r="D14" i="7"/>
  <c r="D15" i="7"/>
  <c r="D57" i="7"/>
  <c r="D55" i="7" s="1"/>
  <c r="D49" i="7"/>
  <c r="C46" i="5"/>
  <c r="F44" i="5"/>
  <c r="D44" i="5"/>
  <c r="G43" i="5"/>
  <c r="E68" i="7" l="1"/>
  <c r="E14" i="7"/>
  <c r="E15" i="7"/>
  <c r="E49" i="7"/>
  <c r="E57" i="7"/>
  <c r="E55" i="7" s="1"/>
  <c r="E50" i="7"/>
  <c r="G44" i="5"/>
  <c r="D46" i="5"/>
  <c r="F46" i="5"/>
  <c r="C48" i="5"/>
  <c r="F48" i="5" s="1"/>
  <c r="G46" i="5" l="1"/>
  <c r="D48" i="5"/>
  <c r="G48" i="5" s="1"/>
</calcChain>
</file>

<file path=xl/sharedStrings.xml><?xml version="1.0" encoding="utf-8"?>
<sst xmlns="http://schemas.openxmlformats.org/spreadsheetml/2006/main" count="589" uniqueCount="264">
  <si>
    <t>P&amp;L</t>
  </si>
  <si>
    <t>Revenue</t>
  </si>
  <si>
    <t>COGS</t>
  </si>
  <si>
    <t>Gross Profit</t>
  </si>
  <si>
    <t>Gross Margin</t>
  </si>
  <si>
    <t>SG&amp;A</t>
  </si>
  <si>
    <t>EBITDA</t>
  </si>
  <si>
    <t>D&amp;A</t>
  </si>
  <si>
    <t>EBIT</t>
  </si>
  <si>
    <t>Interest</t>
  </si>
  <si>
    <t>Profit Before Tax</t>
  </si>
  <si>
    <t>Tax Expense</t>
  </si>
  <si>
    <t xml:space="preserve">Net Income </t>
  </si>
  <si>
    <t>Shares Outstanding</t>
  </si>
  <si>
    <t>EPS</t>
  </si>
  <si>
    <t>($M)</t>
  </si>
  <si>
    <t>% of Revenue</t>
  </si>
  <si>
    <t>Tax Rate</t>
  </si>
  <si>
    <t>Absolute</t>
  </si>
  <si>
    <t>Common Size (% of Revenue)</t>
  </si>
  <si>
    <t>Calculate the Absolute and Common Size P&amp;L for cells in yellow</t>
  </si>
  <si>
    <t>Fin Statement Case - P&amp;L</t>
  </si>
  <si>
    <t xml:space="preserve">Fin Statement Case - Balance Sheet </t>
  </si>
  <si>
    <t>Balance Sheet Year Ending</t>
  </si>
  <si>
    <t>Cash and Cash Equivalents</t>
  </si>
  <si>
    <t>Accounts Receivable</t>
  </si>
  <si>
    <t>Inventory</t>
  </si>
  <si>
    <t>Other Current Assets</t>
  </si>
  <si>
    <t>Total Current Assets</t>
  </si>
  <si>
    <t>Change from</t>
  </si>
  <si>
    <t>FY15 to FY16</t>
  </si>
  <si>
    <t>FY16 to FY17</t>
  </si>
  <si>
    <t>Gross PP&amp;E</t>
  </si>
  <si>
    <t>Accumulated Depreciation</t>
  </si>
  <si>
    <t>Net PP&amp;E</t>
  </si>
  <si>
    <t>Other Non-Current Assets</t>
  </si>
  <si>
    <t>Calculate the Balance Sheet cells in yellow</t>
  </si>
  <si>
    <t>Total Assets</t>
  </si>
  <si>
    <t>ASSETS</t>
  </si>
  <si>
    <t>Current Assets</t>
  </si>
  <si>
    <t>Current Liabilities</t>
  </si>
  <si>
    <t>Accounts Payable</t>
  </si>
  <si>
    <t>Current Portion of LT Debt</t>
  </si>
  <si>
    <t>Accrued Expenses</t>
  </si>
  <si>
    <t>Income Taxes and Other</t>
  </si>
  <si>
    <t>Total Current Liabilities</t>
  </si>
  <si>
    <t>Long Term Liabilities</t>
  </si>
  <si>
    <t>Deferred Income Taxes and Other</t>
  </si>
  <si>
    <t>Long Term Debt</t>
  </si>
  <si>
    <t>Total LT Liabilities</t>
  </si>
  <si>
    <t>Total Liabilities</t>
  </si>
  <si>
    <t>LIABILITIES AND SHAREHOLDERS EQUITY</t>
  </si>
  <si>
    <t>S/H Equity</t>
  </si>
  <si>
    <t>Common Stock</t>
  </si>
  <si>
    <t>Additional Paid in Capital</t>
  </si>
  <si>
    <t>Retained Earnings</t>
  </si>
  <si>
    <t>Total S/H Equity</t>
  </si>
  <si>
    <t>Total Liabilities Plus S/H Equity</t>
  </si>
  <si>
    <t>Check</t>
  </si>
  <si>
    <t>Fin Statement Case - Statement of Cash Flow</t>
  </si>
  <si>
    <t>Statement of Cash Flows Year Ending</t>
  </si>
  <si>
    <t>Cash Flows from Operations</t>
  </si>
  <si>
    <t>Net Income</t>
  </si>
  <si>
    <t>Source</t>
  </si>
  <si>
    <t>Adj. to NI to get Cash Flow</t>
  </si>
  <si>
    <t>Non-Cash Items</t>
  </si>
  <si>
    <t>+ Depreciation and Amortization</t>
  </si>
  <si>
    <t>Changes in Working Capital</t>
  </si>
  <si>
    <t>Decrease/(Increase) in A/R</t>
  </si>
  <si>
    <t>Decrease/(Increase) in Inventory</t>
  </si>
  <si>
    <t>Decrease/(Increase) in Other Current Assets</t>
  </si>
  <si>
    <t>Increase/(Decrease) in A/P</t>
  </si>
  <si>
    <t>Increase/(Decrease) in Accrued Expenses</t>
  </si>
  <si>
    <t>Increase/(Decrease) in Income Taxes and Other</t>
  </si>
  <si>
    <t>Change in B/S.  Beware of Sign!</t>
  </si>
  <si>
    <t xml:space="preserve">Change in B/S. </t>
  </si>
  <si>
    <t>Net Cash Flow from Operations</t>
  </si>
  <si>
    <t>Cash Flow from Investing</t>
  </si>
  <si>
    <t>CapEx Spend</t>
  </si>
  <si>
    <t>Decrease/(Increase) in Other Non-Current Assets</t>
  </si>
  <si>
    <t>Increase/(Decrease) in Deferred Income Taxes and Other</t>
  </si>
  <si>
    <t>Net Cash Flow from Investing</t>
  </si>
  <si>
    <t>Calc</t>
  </si>
  <si>
    <t>Calc Total</t>
  </si>
  <si>
    <t>Cash Flow from Financing</t>
  </si>
  <si>
    <t>Increase/(Decrease) in LT Debt [ Source / (Use) ] of Cash ]</t>
  </si>
  <si>
    <t>Change in B/S. Beware of 2 lines!</t>
  </si>
  <si>
    <t>Less Dividends Paid</t>
  </si>
  <si>
    <t>Input</t>
  </si>
  <si>
    <t>Net Cash Flow from Financing</t>
  </si>
  <si>
    <t>Summary</t>
  </si>
  <si>
    <t>Beginning Cash</t>
  </si>
  <si>
    <t>Ending Cash</t>
  </si>
  <si>
    <t>Minimum Cash Balance</t>
  </si>
  <si>
    <t>Excess (Required) Cash</t>
  </si>
  <si>
    <t>BS Cash Line</t>
  </si>
  <si>
    <t>Calculate the Statement of Cash Flow cells in yellow, and give source (P&amp;L, B/S, Change in B/S, Calc)</t>
  </si>
  <si>
    <t>Change in Retained Earnings = NI + Dividends for that year</t>
  </si>
  <si>
    <t>Liquidity</t>
  </si>
  <si>
    <t>Current Ratio</t>
  </si>
  <si>
    <t>Current Assets/Current Liabilities</t>
  </si>
  <si>
    <t>Definition</t>
  </si>
  <si>
    <t>Quick Ratio</t>
  </si>
  <si>
    <t>Cash Ratio</t>
  </si>
  <si>
    <t>Ratio Case</t>
  </si>
  <si>
    <t>Value</t>
  </si>
  <si>
    <t>(Current Assets - Inventories - Other Current Assets)/Current Liabililties</t>
  </si>
  <si>
    <t xml:space="preserve">(Cash + Cash Equivalents + Mkt Securities)/Current Liabilities </t>
  </si>
  <si>
    <t>Comment</t>
  </si>
  <si>
    <t>Most used.  Least stringent.  Look for values 0.5 - 2.</t>
  </si>
  <si>
    <t>Also called acid test ratio.  Removes less liquid assets.  Ideal above 1</t>
  </si>
  <si>
    <t>No Marketable Securities in the case.  
Bank likes &gt;1 as debts can be paid with cash</t>
  </si>
  <si>
    <t>Total Debt/Total Assets</t>
  </si>
  <si>
    <t>Debt to Total Assets</t>
  </si>
  <si>
    <t>Lower debt generally less risk</t>
  </si>
  <si>
    <t>Debt to Equity</t>
  </si>
  <si>
    <t>Total Debt/Shareholders Equity</t>
  </si>
  <si>
    <t>Lower value indicates less use of leverage</t>
  </si>
  <si>
    <t>LT Debt to Equity</t>
  </si>
  <si>
    <t>Long Term Debt/Shareholders Equity</t>
  </si>
  <si>
    <t>Useful for comparisons within an industry</t>
  </si>
  <si>
    <t>Degree of Operating Leverage</t>
  </si>
  <si>
    <t>Degree of Total Leverage</t>
  </si>
  <si>
    <t>Interest Coverage</t>
  </si>
  <si>
    <t>Cash Coverage</t>
  </si>
  <si>
    <t>Degree of Financial Leverage (1)</t>
  </si>
  <si>
    <t>Degree of Financial Leverage (2)</t>
  </si>
  <si>
    <t>% Change in EPS/% Change in EBIT   OR</t>
  </si>
  <si>
    <t>% Change in NI/% Change in EBIT</t>
  </si>
  <si>
    <t>(EBIT + Depreciation)/Interest Expense</t>
  </si>
  <si>
    <t>N/A</t>
  </si>
  <si>
    <t>Measures profit impact from revenue changes</t>
  </si>
  <si>
    <t>Leverage*</t>
  </si>
  <si>
    <t>** EBITDA often subsituted for EBIT on leverage ratios as it minimize financing effects (buy vs lease)</t>
  </si>
  <si>
    <t xml:space="preserve">% Change in EBIT**/% Change in Sales </t>
  </si>
  <si>
    <t>Same as EPS since sharecount constant</t>
  </si>
  <si>
    <t>Good for earnings impact analysis when cap structure changes</t>
  </si>
  <si>
    <t>% Change in EPS/% Change in Sales; OR DOL * DFL</t>
  </si>
  <si>
    <t xml:space="preserve">EBIT/Interest Expense.  Also called times interest earned.  </t>
  </si>
  <si>
    <t>Coverage Ratios</t>
  </si>
  <si>
    <t>* Debt Leverage Ratios often express as %</t>
  </si>
  <si>
    <t>Single value indicating total risk for org (business + financing)</t>
  </si>
  <si>
    <t>Measures ST ability to make interest payment.  Below 2.5 concerning.</t>
  </si>
  <si>
    <t>Measures ST ability to make interest payment.  Below 1.5 concerning.</t>
  </si>
  <si>
    <t>Activity/Efficiency Ratios</t>
  </si>
  <si>
    <t>Average A/R Turnover</t>
  </si>
  <si>
    <t>Average Inventory Turnover</t>
  </si>
  <si>
    <t>Average A/P Turnover</t>
  </si>
  <si>
    <t>Cash Conversion Cycle</t>
  </si>
  <si>
    <t>Average Asset Turnover</t>
  </si>
  <si>
    <t>Average Fixed Asset Turnover</t>
  </si>
  <si>
    <t>Average Working Capital Turnover</t>
  </si>
  <si>
    <t>Net Credit Sales/Average A/R</t>
  </si>
  <si>
    <t>(Average A/R)/(Net Credit Sales) * # days in period</t>
  </si>
  <si>
    <t>COGS / Average Inventory</t>
  </si>
  <si>
    <t>(Average Inventory/COGS) * # days in period</t>
  </si>
  <si>
    <t>COGS / Average A/P</t>
  </si>
  <si>
    <t>(Average A/P)/ COGS) * # days in period</t>
  </si>
  <si>
    <t>Days Sales Outstanding (DSO)</t>
  </si>
  <si>
    <t>Days Inventory Outstanding (DIO)</t>
  </si>
  <si>
    <t>Days Payable Outstanding (DPO)</t>
  </si>
  <si>
    <t>DIO + DSO - DPO</t>
  </si>
  <si>
    <t>Revenue / Average Total Assets</t>
  </si>
  <si>
    <t>Revenue / Average Fixed Assets OR Revenue / Average Net PPE</t>
  </si>
  <si>
    <t>Separate out credit sales if possible</t>
  </si>
  <si>
    <t xml:space="preserve">Compare acctg (LIFO vs. FIFO) if cmoparing companies.  
Sometimes can use YE balance instead of average.  </t>
  </si>
  <si>
    <t>Use reciprocal of A/R Turnover to start</t>
  </si>
  <si>
    <t>Days is unit.  Not a ratio.</t>
  </si>
  <si>
    <t>Higher value, more quiker suppliers paid.  Need context to interpret.</t>
  </si>
  <si>
    <t>Average Days to Pay Supplier.  Generally longer the better.</t>
  </si>
  <si>
    <t>Measures time to sell inventory, collect receivable and pay payable</t>
  </si>
  <si>
    <t>Measures amount of revenue per dollar of assets</t>
  </si>
  <si>
    <t>Used more in manufacturing businesses.  Wrong in book?</t>
  </si>
  <si>
    <t>Measures money used to fund operations vs. sales generated</t>
  </si>
  <si>
    <t>Revenue / Average Working Capital***</t>
  </si>
  <si>
    <t xml:space="preserve">*** Working Capital  = Current Assets - Current Liabilities </t>
  </si>
  <si>
    <t>Current Liabilities = Total Current Liabilities - Current portion of LTD</t>
  </si>
  <si>
    <t>Profitability Ratios</t>
  </si>
  <si>
    <t>EBITDA Margin</t>
  </si>
  <si>
    <t>EBIT Margin</t>
  </si>
  <si>
    <t>Pretax Profit Margin</t>
  </si>
  <si>
    <t>ROE (Dupont)</t>
  </si>
  <si>
    <t>Return on Investment (ROI)</t>
  </si>
  <si>
    <t>Return on Capital Employed (ROCE)</t>
  </si>
  <si>
    <t>Earnings Per Share - Basic (EPS)</t>
  </si>
  <si>
    <t>EBITDA / Revenue</t>
  </si>
  <si>
    <t>EBIT / Revenue</t>
  </si>
  <si>
    <t>(Revenue - COGS) / Revenue</t>
  </si>
  <si>
    <t>Income Before Tax / Revenue</t>
  </si>
  <si>
    <t>Sometimes called PBT (profit before tax)</t>
  </si>
  <si>
    <t>Net Income / Revenue</t>
  </si>
  <si>
    <t>Return on Average Assets (ROA)</t>
  </si>
  <si>
    <t>Return on Average Equity (ROE)</t>
  </si>
  <si>
    <t>Net Income / Average Total Assets</t>
  </si>
  <si>
    <t>Net Income / Average Shareholders Equity</t>
  </si>
  <si>
    <t>ROE decomposed to:
 (NI / Revenue) x (Revenue / Avg Total Assets) x (Avg Total Assets / Avg Equity )</t>
  </si>
  <si>
    <t>Gain from investment/Cost from investment - 1</t>
  </si>
  <si>
    <t>(Net Income - Preferred Dividends)/Weighted Avg Shares Outstanding</t>
  </si>
  <si>
    <t>Free Cash Flow</t>
  </si>
  <si>
    <t>Cash Flow from Operations - CapEx + interest expense * (1 - tax rate)</t>
  </si>
  <si>
    <t>Free Cash Flow to Equity</t>
  </si>
  <si>
    <t>NI - Change in CapEx - Change in NWC + Change in Debt</t>
  </si>
  <si>
    <t>Gross Margin*</t>
  </si>
  <si>
    <t>*Notice difference between Margin a % and Profit a $</t>
  </si>
  <si>
    <t>Measures how well org controls its cash based OpEx</t>
  </si>
  <si>
    <t>Measures how well org controls its variable costs</t>
  </si>
  <si>
    <t>Measures purely operations related expenses</t>
  </si>
  <si>
    <t>Net Profit Margin</t>
  </si>
  <si>
    <t>Measures profit after every expense considered</t>
  </si>
  <si>
    <t>Measures how well org uses its resources</t>
  </si>
  <si>
    <t>Measures effectiveness from S/H perspective</t>
  </si>
  <si>
    <t>Tries to find "why" of ROE.  See imbedded math.</t>
  </si>
  <si>
    <t>For specific investment rather than entire org</t>
  </si>
  <si>
    <t>Measure versus equity return required to finance capital</t>
  </si>
  <si>
    <t>EBIT / (Total Assets - Current Liabilities).  Other formulas exist.</t>
  </si>
  <si>
    <t>Measures profit for each share of common stock.  No preferred dividends</t>
  </si>
  <si>
    <t>(Net Income - Preferred Dividends + Convertible Preferred Dividend + Conv. Bond after tax interest) /
(Weighted Avg Shares Outstanding + Diluted Shares)</t>
  </si>
  <si>
    <t>Economic Profit (EVA)</t>
  </si>
  <si>
    <t>NOPAT - (Capital x WACC).  Other definitions too</t>
  </si>
  <si>
    <t>For more complex capital structures (ex. Bonds convert to stock)</t>
  </si>
  <si>
    <t>Value created only if returns above cost of capital.  
Assume 10% Cost of Capital.  
Capital = avg of LTD + Current portion of LTD + Equity</t>
  </si>
  <si>
    <t>NOPAT</t>
  </si>
  <si>
    <t>Capital</t>
  </si>
  <si>
    <t>Book value of $29,904 for 2017 may be wrong</t>
  </si>
  <si>
    <t>Other formulas as well.  Beware of sign on CapEx</t>
  </si>
  <si>
    <t>Book value may be wrong.  Pay attention to signs.</t>
  </si>
  <si>
    <t>Market Ratios</t>
  </si>
  <si>
    <t>Dividend Yield</t>
  </si>
  <si>
    <t>Earnings Yield</t>
  </si>
  <si>
    <t>Price to Earnings</t>
  </si>
  <si>
    <t>Price to Book</t>
  </si>
  <si>
    <t>Price to Sales</t>
  </si>
  <si>
    <t>Price to Cash Flow</t>
  </si>
  <si>
    <t>Price to EBITDA</t>
  </si>
  <si>
    <t>EBITDA Multiple</t>
  </si>
  <si>
    <t>EPS / Stock Price Per Share</t>
  </si>
  <si>
    <t>Annual Dividends Per Share / Stock Price Per Share</t>
  </si>
  <si>
    <t>Stock Price Per Share / EPS</t>
  </si>
  <si>
    <t>Stock Price Per Share / Book Value Per Share</t>
  </si>
  <si>
    <t>Stock Price Per Share / Total Sales Per Share</t>
  </si>
  <si>
    <t>Stock Price Per Share / Operating Cash Flow Value Per Share</t>
  </si>
  <si>
    <t>Stock Price Per Share / EBITDA Per Share</t>
  </si>
  <si>
    <t>Enterprise Value (EV) / EBITDA</t>
  </si>
  <si>
    <t>Assume stock price of $50/share</t>
  </si>
  <si>
    <t>Stock Price ($/share)</t>
  </si>
  <si>
    <t>Inverse of P/E ratio</t>
  </si>
  <si>
    <t>Very common ratio</t>
  </si>
  <si>
    <t>More intangible the assets (ex. Brand), higher the P/Book ratio</t>
  </si>
  <si>
    <t>Used for industry comparisons.  Minimal acctg impact.</t>
  </si>
  <si>
    <t>Less common.  Seen in some industries where cash flow &gt; earnings</t>
  </si>
  <si>
    <t>Easier to compare underlying businesses with large CapEx</t>
  </si>
  <si>
    <t>EV = Market Value of Equity + Market Value of Debt</t>
  </si>
  <si>
    <t>Ratio</t>
  </si>
  <si>
    <t>Calculate the cells in yellow</t>
  </si>
  <si>
    <t>$ Change from</t>
  </si>
  <si>
    <t xml:space="preserve">Compare acctg (LIFO vs. FIFO) if comparing companies.  
Sometimes can use YE balance instead of average.  </t>
  </si>
  <si>
    <t>Higher value, more quicker suppliers paid.  Need context to interpret.</t>
  </si>
  <si>
    <t>Earnings Per Share - Diluted (EPS)</t>
  </si>
  <si>
    <t>Weighted Avg Shares Outstanding</t>
  </si>
  <si>
    <t>FY17 to FY18</t>
  </si>
  <si>
    <t>FY18 to FY19</t>
  </si>
  <si>
    <t>Fin Statement Case - Statement of Cash Flow Answer</t>
  </si>
  <si>
    <t>Fin Statement Case - Balance Sheet Answer</t>
  </si>
  <si>
    <t>Fin Statement Case - P&amp;L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</si>
</sst>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0.0"/>
    <numFmt numFmtId="168" formatCode="_(* #,##0.0_);_(* \(#,##0.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2" applyNumberFormat="1" applyFont="1"/>
    <xf numFmtId="0" fontId="4" fillId="0" borderId="0" xfId="0" applyFont="1"/>
    <xf numFmtId="165" fontId="5" fillId="0" borderId="0" xfId="3" applyNumberFormat="1" applyFont="1"/>
    <xf numFmtId="0" fontId="0" fillId="0" borderId="0" xfId="0" applyAlignment="1">
      <alignment horizontal="left" indent="1"/>
    </xf>
    <xf numFmtId="0" fontId="5" fillId="0" borderId="0" xfId="0" applyFont="1" applyAlignment="1">
      <alignment horizontal="left" indent="1"/>
    </xf>
    <xf numFmtId="0" fontId="6" fillId="0" borderId="0" xfId="0" applyFont="1"/>
    <xf numFmtId="0" fontId="0" fillId="0" borderId="0" xfId="0" applyFont="1"/>
    <xf numFmtId="164" fontId="0" fillId="2" borderId="0" xfId="2" applyNumberFormat="1" applyFont="1" applyFill="1"/>
    <xf numFmtId="165" fontId="5" fillId="2" borderId="0" xfId="3" applyNumberFormat="1" applyFont="1" applyFill="1"/>
    <xf numFmtId="166" fontId="4" fillId="0" borderId="0" xfId="1" applyNumberFormat="1" applyFont="1"/>
    <xf numFmtId="44" fontId="0" fillId="2" borderId="0" xfId="2" applyFont="1" applyFill="1"/>
    <xf numFmtId="9" fontId="0" fillId="2" borderId="0" xfId="3" applyFont="1" applyFill="1"/>
    <xf numFmtId="0" fontId="2" fillId="0" borderId="0" xfId="0" applyFont="1" applyAlignment="1">
      <alignment horizontal="center"/>
    </xf>
    <xf numFmtId="164" fontId="2" fillId="0" borderId="0" xfId="0" applyNumberFormat="1" applyFont="1"/>
    <xf numFmtId="164" fontId="4" fillId="0" borderId="1" xfId="2" applyNumberFormat="1" applyFont="1" applyBorder="1"/>
    <xf numFmtId="0" fontId="2" fillId="0" borderId="0" xfId="0" applyFont="1" applyAlignment="1">
      <alignment horizontal="left"/>
    </xf>
    <xf numFmtId="164" fontId="4" fillId="0" borderId="0" xfId="2" applyNumberFormat="1" applyFont="1" applyFill="1" applyBorder="1"/>
    <xf numFmtId="164" fontId="4" fillId="0" borderId="1" xfId="2" applyNumberFormat="1" applyFont="1" applyFill="1" applyBorder="1"/>
    <xf numFmtId="0" fontId="0" fillId="0" borderId="0" xfId="0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2" fillId="0" borderId="0" xfId="0" applyFont="1" applyAlignment="1"/>
    <xf numFmtId="164" fontId="0" fillId="2" borderId="0" xfId="0" applyNumberFormat="1" applyFill="1"/>
    <xf numFmtId="164" fontId="0" fillId="2" borderId="1" xfId="0" applyNumberFormat="1" applyFill="1" applyBorder="1"/>
    <xf numFmtId="164" fontId="2" fillId="2" borderId="0" xfId="0" applyNumberFormat="1" applyFont="1" applyFill="1"/>
    <xf numFmtId="164" fontId="2" fillId="2" borderId="2" xfId="0" applyNumberFormat="1" applyFont="1" applyFill="1" applyBorder="1"/>
    <xf numFmtId="164" fontId="0" fillId="2" borderId="0" xfId="0" applyNumberFormat="1" applyFont="1" applyFill="1"/>
    <xf numFmtId="164" fontId="2" fillId="2" borderId="3" xfId="0" applyNumberFormat="1" applyFont="1" applyFill="1" applyBorder="1"/>
    <xf numFmtId="0" fontId="0" fillId="2" borderId="0" xfId="0" applyFill="1"/>
    <xf numFmtId="0" fontId="0" fillId="0" borderId="0" xfId="0" applyAlignment="1">
      <alignment horizontal="left" indent="2"/>
    </xf>
    <xf numFmtId="0" fontId="0" fillId="0" borderId="0" xfId="0" quotePrefix="1" applyAlignment="1">
      <alignment horizontal="left" indent="2"/>
    </xf>
    <xf numFmtId="0" fontId="2" fillId="0" borderId="0" xfId="0" applyFont="1" applyBorder="1" applyAlignment="1">
      <alignment horizontal="left" indent="2"/>
    </xf>
    <xf numFmtId="164" fontId="2" fillId="2" borderId="4" xfId="0" applyNumberFormat="1" applyFont="1" applyFill="1" applyBorder="1"/>
    <xf numFmtId="164" fontId="0" fillId="2" borderId="2" xfId="0" applyNumberFormat="1" applyFill="1" applyBorder="1"/>
    <xf numFmtId="0" fontId="0" fillId="0" borderId="0" xfId="0" applyFill="1"/>
    <xf numFmtId="0" fontId="0" fillId="0" borderId="0" xfId="0" applyFont="1" applyFill="1"/>
    <xf numFmtId="0" fontId="2" fillId="0" borderId="0" xfId="0" applyFont="1" applyFill="1" applyAlignment="1"/>
    <xf numFmtId="0" fontId="3" fillId="0" borderId="0" xfId="0" applyFont="1" applyFill="1"/>
    <xf numFmtId="164" fontId="0" fillId="0" borderId="0" xfId="0" applyNumberFormat="1" applyFill="1"/>
    <xf numFmtId="164" fontId="2" fillId="0" borderId="0" xfId="0" applyNumberFormat="1" applyFont="1" applyFill="1" applyBorder="1"/>
    <xf numFmtId="164" fontId="4" fillId="0" borderId="0" xfId="2" applyNumberFormat="1" applyFont="1" applyFill="1"/>
    <xf numFmtId="164" fontId="0" fillId="0" borderId="0" xfId="0" applyNumberFormat="1" applyFill="1" applyBorder="1"/>
    <xf numFmtId="164" fontId="1" fillId="0" borderId="1" xfId="2" applyNumberFormat="1" applyFont="1" applyBorder="1"/>
    <xf numFmtId="0" fontId="7" fillId="0" borderId="0" xfId="0" applyFont="1"/>
    <xf numFmtId="2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2" fontId="0" fillId="0" borderId="0" xfId="0" applyNumberFormat="1" applyFill="1"/>
    <xf numFmtId="167" fontId="0" fillId="2" borderId="0" xfId="0" applyNumberFormat="1" applyFill="1"/>
    <xf numFmtId="1" fontId="0" fillId="2" borderId="0" xfId="0" applyNumberFormat="1" applyFill="1"/>
    <xf numFmtId="165" fontId="0" fillId="2" borderId="0" xfId="3" applyNumberFormat="1" applyFont="1" applyFill="1"/>
    <xf numFmtId="168" fontId="0" fillId="2" borderId="0" xfId="1" applyNumberFormat="1" applyFont="1" applyFill="1"/>
    <xf numFmtId="166" fontId="0" fillId="2" borderId="0" xfId="1" applyNumberFormat="1" applyFont="1" applyFill="1"/>
    <xf numFmtId="165" fontId="8" fillId="0" borderId="0" xfId="3" applyNumberFormat="1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3" borderId="0" xfId="0" applyFont="1" applyFill="1"/>
    <xf numFmtId="0" fontId="2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9"/>
  <sheetViews>
    <sheetView topLeftCell="A12" workbookViewId="0">
      <selection activeCell="F8" sqref="F8"/>
    </sheetView>
  </sheetViews>
  <sheetFormatPr defaultRowHeight="15" x14ac:dyDescent="0.25"/>
  <cols>
    <col min="1" max="1" width="18.5703125" customWidth="1"/>
    <col min="2" max="4" width="11.140625" bestFit="1" customWidth="1"/>
  </cols>
  <sheetData>
    <row r="1" spans="1:8" ht="18.75" x14ac:dyDescent="0.3">
      <c r="A1" s="8" t="s">
        <v>21</v>
      </c>
    </row>
    <row r="2" spans="1:8" ht="18.75" x14ac:dyDescent="0.3">
      <c r="A2" s="8"/>
    </row>
    <row r="3" spans="1:8" x14ac:dyDescent="0.25">
      <c r="A3" s="1" t="s">
        <v>20</v>
      </c>
      <c r="B3" s="9"/>
      <c r="C3" s="9"/>
      <c r="D3" s="9"/>
    </row>
    <row r="5" spans="1:8" x14ac:dyDescent="0.25">
      <c r="A5" s="1" t="s">
        <v>0</v>
      </c>
    </row>
    <row r="6" spans="1:8" x14ac:dyDescent="0.25">
      <c r="A6" t="s">
        <v>15</v>
      </c>
      <c r="B6" s="59" t="s">
        <v>18</v>
      </c>
      <c r="C6" s="59"/>
      <c r="D6" s="59"/>
      <c r="F6" s="59" t="s">
        <v>19</v>
      </c>
      <c r="G6" s="59"/>
      <c r="H6" s="59"/>
    </row>
    <row r="7" spans="1:8" x14ac:dyDescent="0.25">
      <c r="B7" s="2">
        <v>2015</v>
      </c>
      <c r="C7" s="2">
        <v>2016</v>
      </c>
      <c r="D7" s="2">
        <v>2017</v>
      </c>
      <c r="F7" s="2">
        <v>2015</v>
      </c>
      <c r="G7" s="2">
        <v>2016</v>
      </c>
      <c r="H7" s="2">
        <v>2017</v>
      </c>
    </row>
    <row r="8" spans="1:8" x14ac:dyDescent="0.25">
      <c r="A8" t="s">
        <v>1</v>
      </c>
      <c r="B8" s="3">
        <v>33669</v>
      </c>
      <c r="C8" s="3">
        <v>46227</v>
      </c>
      <c r="D8" s="3">
        <v>56206</v>
      </c>
      <c r="F8" s="14"/>
      <c r="G8" s="14"/>
      <c r="H8" s="14"/>
    </row>
    <row r="9" spans="1:8" x14ac:dyDescent="0.25">
      <c r="B9" s="4"/>
      <c r="C9" s="4"/>
      <c r="D9" s="4"/>
    </row>
    <row r="10" spans="1:8" x14ac:dyDescent="0.25">
      <c r="A10" t="s">
        <v>2</v>
      </c>
      <c r="B10" s="3">
        <v>21673</v>
      </c>
      <c r="C10" s="3">
        <v>32647</v>
      </c>
      <c r="D10" s="3">
        <v>36161</v>
      </c>
      <c r="F10" s="14"/>
      <c r="G10" s="14"/>
      <c r="H10" s="14"/>
    </row>
    <row r="12" spans="1:8" x14ac:dyDescent="0.25">
      <c r="A12" t="s">
        <v>3</v>
      </c>
      <c r="B12" s="10"/>
      <c r="C12" s="10"/>
      <c r="D12" s="10"/>
      <c r="F12" s="14"/>
      <c r="G12" s="14"/>
      <c r="H12" s="14"/>
    </row>
    <row r="13" spans="1:8" x14ac:dyDescent="0.25">
      <c r="A13" s="7" t="s">
        <v>4</v>
      </c>
      <c r="B13" s="11"/>
      <c r="C13" s="11"/>
      <c r="D13" s="11"/>
    </row>
    <row r="15" spans="1:8" x14ac:dyDescent="0.25">
      <c r="A15" t="s">
        <v>5</v>
      </c>
      <c r="B15" s="3">
        <v>7320</v>
      </c>
      <c r="C15" s="3">
        <v>9847</v>
      </c>
      <c r="D15" s="3">
        <v>13694</v>
      </c>
      <c r="F15" s="14"/>
      <c r="G15" s="14"/>
      <c r="H15" s="14"/>
    </row>
    <row r="16" spans="1:8" x14ac:dyDescent="0.25">
      <c r="A16" s="7" t="s">
        <v>16</v>
      </c>
      <c r="B16" s="11"/>
      <c r="C16" s="11"/>
      <c r="D16" s="11"/>
    </row>
    <row r="17" spans="1:8" x14ac:dyDescent="0.25">
      <c r="A17" s="7"/>
      <c r="B17" s="5"/>
      <c r="C17" s="5"/>
      <c r="D17" s="5"/>
    </row>
    <row r="18" spans="1:8" x14ac:dyDescent="0.25">
      <c r="A18" t="s">
        <v>6</v>
      </c>
      <c r="B18" s="10"/>
      <c r="C18" s="10"/>
      <c r="D18" s="10"/>
      <c r="F18" s="14"/>
      <c r="G18" s="14"/>
      <c r="H18" s="14"/>
    </row>
    <row r="19" spans="1:8" x14ac:dyDescent="0.25">
      <c r="A19" s="7" t="s">
        <v>16</v>
      </c>
      <c r="B19" s="11"/>
      <c r="C19" s="11"/>
      <c r="D19" s="11"/>
    </row>
    <row r="20" spans="1:8" x14ac:dyDescent="0.25">
      <c r="A20" s="7"/>
      <c r="B20" s="5"/>
      <c r="C20" s="5"/>
      <c r="D20" s="5"/>
    </row>
    <row r="21" spans="1:8" x14ac:dyDescent="0.25">
      <c r="A21" t="s">
        <v>7</v>
      </c>
      <c r="B21" s="3">
        <v>870</v>
      </c>
      <c r="C21" s="3">
        <v>1207</v>
      </c>
      <c r="D21" s="3">
        <v>1510</v>
      </c>
      <c r="F21" s="14"/>
      <c r="G21" s="14"/>
      <c r="H21" s="14"/>
    </row>
    <row r="23" spans="1:8" x14ac:dyDescent="0.25">
      <c r="A23" t="s">
        <v>8</v>
      </c>
      <c r="B23" s="10"/>
      <c r="C23" s="10"/>
      <c r="D23" s="10"/>
      <c r="F23" s="14"/>
      <c r="G23" s="14"/>
      <c r="H23" s="14"/>
    </row>
    <row r="24" spans="1:8" x14ac:dyDescent="0.25">
      <c r="A24" s="7" t="s">
        <v>16</v>
      </c>
      <c r="B24" s="11"/>
      <c r="C24" s="11"/>
      <c r="D24" s="11"/>
    </row>
    <row r="25" spans="1:8" x14ac:dyDescent="0.25">
      <c r="A25" s="7"/>
      <c r="B25" s="5"/>
      <c r="C25" s="5"/>
      <c r="D25" s="5"/>
    </row>
    <row r="26" spans="1:8" x14ac:dyDescent="0.25">
      <c r="A26" t="s">
        <v>9</v>
      </c>
      <c r="B26" s="3">
        <v>525</v>
      </c>
      <c r="C26" s="3">
        <v>611</v>
      </c>
      <c r="D26" s="3">
        <v>684</v>
      </c>
      <c r="F26" s="14"/>
      <c r="G26" s="14"/>
      <c r="H26" s="14"/>
    </row>
    <row r="28" spans="1:8" x14ac:dyDescent="0.25">
      <c r="A28" t="s">
        <v>10</v>
      </c>
      <c r="B28" s="10"/>
      <c r="C28" s="10"/>
      <c r="D28" s="10"/>
      <c r="F28" s="14"/>
      <c r="G28" s="14"/>
      <c r="H28" s="14"/>
    </row>
    <row r="29" spans="1:8" x14ac:dyDescent="0.25">
      <c r="A29" s="7" t="s">
        <v>16</v>
      </c>
      <c r="B29" s="11"/>
      <c r="C29" s="11"/>
      <c r="D29" s="11"/>
    </row>
    <row r="30" spans="1:8" x14ac:dyDescent="0.25">
      <c r="A30" s="7"/>
      <c r="B30" s="5"/>
      <c r="C30" s="5"/>
      <c r="D30" s="5"/>
    </row>
    <row r="31" spans="1:8" x14ac:dyDescent="0.25">
      <c r="A31" t="s">
        <v>11</v>
      </c>
      <c r="B31" s="10"/>
      <c r="C31" s="10"/>
      <c r="D31" s="10"/>
      <c r="F31" s="14"/>
      <c r="G31" s="14"/>
      <c r="H31" s="14"/>
    </row>
    <row r="32" spans="1:8" x14ac:dyDescent="0.25">
      <c r="A32" s="7" t="s">
        <v>17</v>
      </c>
      <c r="B32" s="11"/>
      <c r="C32" s="11"/>
      <c r="D32" s="11"/>
    </row>
    <row r="33" spans="1:8" x14ac:dyDescent="0.25">
      <c r="A33" s="7"/>
      <c r="B33" s="5"/>
    </row>
    <row r="34" spans="1:8" x14ac:dyDescent="0.25">
      <c r="A34" t="s">
        <v>12</v>
      </c>
      <c r="B34" s="10"/>
      <c r="C34" s="10"/>
      <c r="D34" s="10"/>
      <c r="F34" s="14"/>
      <c r="G34" s="14"/>
      <c r="H34" s="14"/>
    </row>
    <row r="35" spans="1:8" x14ac:dyDescent="0.25">
      <c r="A35" s="7" t="s">
        <v>16</v>
      </c>
      <c r="B35" s="11"/>
      <c r="C35" s="11"/>
      <c r="D35" s="11"/>
    </row>
    <row r="36" spans="1:8" x14ac:dyDescent="0.25">
      <c r="A36" s="7"/>
      <c r="B36" s="5"/>
      <c r="C36" s="5"/>
      <c r="D36" s="5"/>
    </row>
    <row r="37" spans="1:8" x14ac:dyDescent="0.25">
      <c r="A37" t="s">
        <v>13</v>
      </c>
      <c r="B37" s="12">
        <v>1000</v>
      </c>
      <c r="C37" s="12">
        <v>1000</v>
      </c>
      <c r="D37" s="12">
        <v>1000</v>
      </c>
    </row>
    <row r="39" spans="1:8" x14ac:dyDescent="0.25">
      <c r="A39" t="s">
        <v>14</v>
      </c>
      <c r="B39" s="13"/>
      <c r="C39" s="13"/>
      <c r="D39" s="13"/>
    </row>
  </sheetData>
  <mergeCells count="2">
    <mergeCell ref="B6:D6"/>
    <mergeCell ref="F6:H6"/>
  </mergeCells>
  <pageMargins left="0.7" right="0.7" top="0.75" bottom="0.75" header="0.3" footer="0.3"/>
  <pageSetup scale="8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9"/>
  <sheetViews>
    <sheetView topLeftCell="A21" workbookViewId="0">
      <selection activeCell="B1" sqref="B1"/>
    </sheetView>
  </sheetViews>
  <sheetFormatPr defaultRowHeight="15" x14ac:dyDescent="0.25"/>
  <cols>
    <col min="1" max="1" width="30.140625" customWidth="1"/>
    <col min="2" max="3" width="9.85546875" customWidth="1"/>
    <col min="4" max="4" width="10.42578125" customWidth="1"/>
    <col min="5" max="5" width="4.5703125" customWidth="1"/>
    <col min="6" max="6" width="12.28515625" customWidth="1"/>
    <col min="7" max="7" width="11.5703125" customWidth="1"/>
  </cols>
  <sheetData>
    <row r="1" spans="1:7" ht="18.75" x14ac:dyDescent="0.3">
      <c r="A1" s="8" t="s">
        <v>22</v>
      </c>
    </row>
    <row r="2" spans="1:7" ht="18.75" x14ac:dyDescent="0.3">
      <c r="A2" s="8"/>
    </row>
    <row r="3" spans="1:7" x14ac:dyDescent="0.25">
      <c r="A3" s="1" t="s">
        <v>36</v>
      </c>
      <c r="B3" s="9"/>
      <c r="C3" s="9"/>
      <c r="D3" s="9"/>
      <c r="E3" s="9"/>
    </row>
    <row r="5" spans="1:7" x14ac:dyDescent="0.25">
      <c r="A5" s="1" t="s">
        <v>23</v>
      </c>
    </row>
    <row r="6" spans="1:7" x14ac:dyDescent="0.25">
      <c r="A6" t="s">
        <v>15</v>
      </c>
      <c r="B6" s="23"/>
      <c r="C6" s="23"/>
      <c r="D6" s="23"/>
      <c r="E6" s="15"/>
      <c r="F6" s="59" t="s">
        <v>29</v>
      </c>
      <c r="G6" s="59"/>
    </row>
    <row r="7" spans="1:7" x14ac:dyDescent="0.25">
      <c r="B7" s="2">
        <v>2015</v>
      </c>
      <c r="C7" s="2">
        <v>2016</v>
      </c>
      <c r="D7" s="2">
        <v>2017</v>
      </c>
      <c r="E7" s="2"/>
      <c r="F7" s="2" t="s">
        <v>30</v>
      </c>
      <c r="G7" s="2" t="s">
        <v>31</v>
      </c>
    </row>
    <row r="8" spans="1:7" x14ac:dyDescent="0.25">
      <c r="A8" s="1" t="s">
        <v>38</v>
      </c>
      <c r="B8" s="2"/>
      <c r="C8" s="2"/>
      <c r="D8" s="2"/>
      <c r="E8" s="2"/>
      <c r="F8" s="2"/>
      <c r="G8" s="2"/>
    </row>
    <row r="9" spans="1:7" x14ac:dyDescent="0.25">
      <c r="A9" s="1"/>
      <c r="B9" s="2"/>
      <c r="C9" s="2"/>
      <c r="D9" s="2"/>
      <c r="E9" s="2"/>
      <c r="F9" s="2"/>
      <c r="G9" s="2"/>
    </row>
    <row r="10" spans="1:7" x14ac:dyDescent="0.25">
      <c r="A10" s="1" t="s">
        <v>39</v>
      </c>
      <c r="B10" s="2"/>
      <c r="C10" s="2"/>
      <c r="D10" s="2"/>
      <c r="E10" s="2"/>
      <c r="F10" s="2"/>
      <c r="G10" s="2"/>
    </row>
    <row r="11" spans="1:7" x14ac:dyDescent="0.25">
      <c r="A11" s="6" t="s">
        <v>24</v>
      </c>
      <c r="B11" s="3">
        <v>682</v>
      </c>
      <c r="C11" s="3">
        <v>3515</v>
      </c>
      <c r="D11" s="3">
        <v>6807</v>
      </c>
      <c r="E11" s="3"/>
      <c r="F11" s="24"/>
      <c r="G11" s="24"/>
    </row>
    <row r="12" spans="1:7" x14ac:dyDescent="0.25">
      <c r="A12" s="6" t="s">
        <v>25</v>
      </c>
      <c r="B12" s="3">
        <v>5008</v>
      </c>
      <c r="C12" s="3">
        <v>5083</v>
      </c>
      <c r="D12" s="3">
        <v>6082</v>
      </c>
      <c r="E12" s="3"/>
      <c r="F12" s="24"/>
      <c r="G12" s="24"/>
    </row>
    <row r="13" spans="1:7" x14ac:dyDescent="0.25">
      <c r="A13" s="6" t="s">
        <v>26</v>
      </c>
      <c r="B13" s="3">
        <v>4284</v>
      </c>
      <c r="C13" s="3">
        <v>4984</v>
      </c>
      <c r="D13" s="3">
        <v>6460</v>
      </c>
      <c r="E13" s="3"/>
      <c r="F13" s="24"/>
      <c r="G13" s="24"/>
    </row>
    <row r="14" spans="1:7" x14ac:dyDescent="0.25">
      <c r="A14" s="6" t="s">
        <v>27</v>
      </c>
      <c r="B14" s="17">
        <v>766</v>
      </c>
      <c r="C14" s="17">
        <v>2167</v>
      </c>
      <c r="D14" s="17">
        <v>1468</v>
      </c>
      <c r="E14" s="3"/>
      <c r="F14" s="25"/>
      <c r="G14" s="25"/>
    </row>
    <row r="15" spans="1:7" x14ac:dyDescent="0.25">
      <c r="A15" s="1" t="s">
        <v>28</v>
      </c>
      <c r="B15" s="26"/>
      <c r="C15" s="26"/>
      <c r="D15" s="26"/>
      <c r="E15" s="16"/>
      <c r="F15" s="26"/>
      <c r="G15" s="26"/>
    </row>
    <row r="17" spans="1:7" x14ac:dyDescent="0.25">
      <c r="A17" s="6" t="s">
        <v>32</v>
      </c>
      <c r="B17" s="19">
        <v>18842</v>
      </c>
      <c r="C17" s="19">
        <v>21868</v>
      </c>
      <c r="D17" s="19">
        <v>26726</v>
      </c>
      <c r="F17" s="24"/>
      <c r="G17" s="24"/>
    </row>
    <row r="18" spans="1:7" x14ac:dyDescent="0.25">
      <c r="A18" s="6" t="s">
        <v>33</v>
      </c>
      <c r="B18" s="20">
        <v>5066</v>
      </c>
      <c r="C18" s="20">
        <v>6273</v>
      </c>
      <c r="D18" s="20">
        <v>7783</v>
      </c>
      <c r="F18" s="25"/>
      <c r="G18" s="25"/>
    </row>
    <row r="19" spans="1:7" x14ac:dyDescent="0.25">
      <c r="A19" s="18" t="s">
        <v>34</v>
      </c>
      <c r="B19" s="26"/>
      <c r="C19" s="26"/>
      <c r="D19" s="26"/>
      <c r="F19" s="26"/>
      <c r="G19" s="26"/>
    </row>
    <row r="21" spans="1:7" x14ac:dyDescent="0.25">
      <c r="A21" s="9" t="s">
        <v>35</v>
      </c>
      <c r="B21" s="19">
        <v>1224</v>
      </c>
      <c r="C21" s="19">
        <v>1642</v>
      </c>
      <c r="D21" s="19">
        <v>1813</v>
      </c>
      <c r="E21" s="9"/>
      <c r="F21" s="28"/>
      <c r="G21" s="28"/>
    </row>
    <row r="23" spans="1:7" ht="15.75" thickBot="1" x14ac:dyDescent="0.3">
      <c r="A23" s="1" t="s">
        <v>37</v>
      </c>
      <c r="B23" s="27"/>
      <c r="C23" s="27"/>
      <c r="D23" s="27"/>
      <c r="F23" s="27"/>
      <c r="G23" s="27"/>
    </row>
    <row r="24" spans="1:7" ht="15.75" thickTop="1" x14ac:dyDescent="0.25"/>
    <row r="25" spans="1:7" x14ac:dyDescent="0.25">
      <c r="A25" s="1" t="s">
        <v>51</v>
      </c>
    </row>
    <row r="27" spans="1:7" x14ac:dyDescent="0.25">
      <c r="A27" s="1" t="s">
        <v>40</v>
      </c>
      <c r="B27" s="2"/>
      <c r="C27" s="2"/>
      <c r="D27" s="2"/>
      <c r="E27" s="2"/>
      <c r="F27" s="2"/>
      <c r="G27" s="2"/>
    </row>
    <row r="28" spans="1:7" x14ac:dyDescent="0.25">
      <c r="A28" s="6" t="s">
        <v>41</v>
      </c>
      <c r="B28" s="3">
        <v>4215</v>
      </c>
      <c r="C28" s="3">
        <v>5451</v>
      </c>
      <c r="D28" s="3">
        <v>6934</v>
      </c>
      <c r="E28" s="3"/>
      <c r="F28" s="24"/>
      <c r="G28" s="24"/>
    </row>
    <row r="29" spans="1:7" x14ac:dyDescent="0.25">
      <c r="A29" s="6" t="s">
        <v>42</v>
      </c>
      <c r="B29" s="3">
        <v>879</v>
      </c>
      <c r="C29" s="3">
        <v>1016</v>
      </c>
      <c r="D29" s="3">
        <v>606</v>
      </c>
      <c r="E29" s="3"/>
      <c r="F29" s="24"/>
      <c r="G29" s="24"/>
    </row>
    <row r="30" spans="1:7" x14ac:dyDescent="0.25">
      <c r="A30" s="6" t="s">
        <v>43</v>
      </c>
      <c r="B30" s="3">
        <v>1390</v>
      </c>
      <c r="C30" s="3">
        <v>1416</v>
      </c>
      <c r="D30" s="3">
        <v>1959</v>
      </c>
      <c r="E30" s="3"/>
      <c r="F30" s="24"/>
      <c r="G30" s="24"/>
    </row>
    <row r="31" spans="1:7" x14ac:dyDescent="0.25">
      <c r="A31" s="6" t="s">
        <v>44</v>
      </c>
      <c r="B31" s="17">
        <v>287</v>
      </c>
      <c r="C31" s="17">
        <v>1327</v>
      </c>
      <c r="D31" s="17">
        <v>364</v>
      </c>
      <c r="E31" s="3"/>
      <c r="F31" s="25"/>
      <c r="G31" s="25"/>
    </row>
    <row r="32" spans="1:7" x14ac:dyDescent="0.25">
      <c r="A32" s="1" t="s">
        <v>45</v>
      </c>
      <c r="B32" s="26"/>
      <c r="C32" s="26"/>
      <c r="D32" s="26"/>
      <c r="E32" s="16"/>
      <c r="F32" s="26"/>
      <c r="G32" s="26"/>
    </row>
    <row r="34" spans="1:7" x14ac:dyDescent="0.25">
      <c r="A34" s="1" t="s">
        <v>46</v>
      </c>
      <c r="B34" s="2"/>
      <c r="C34" s="2"/>
      <c r="D34" s="2"/>
      <c r="E34" s="2"/>
      <c r="F34" s="2"/>
      <c r="G34" s="2"/>
    </row>
    <row r="35" spans="1:7" x14ac:dyDescent="0.25">
      <c r="A35" s="6" t="s">
        <v>47</v>
      </c>
      <c r="B35" s="3">
        <v>1305</v>
      </c>
      <c r="C35" s="3">
        <v>1996</v>
      </c>
      <c r="D35" s="3">
        <v>2412</v>
      </c>
      <c r="E35" s="3"/>
      <c r="F35" s="24"/>
      <c r="G35" s="24"/>
    </row>
    <row r="36" spans="1:7" x14ac:dyDescent="0.25">
      <c r="A36" s="6" t="s">
        <v>48</v>
      </c>
      <c r="B36" s="17">
        <v>9167</v>
      </c>
      <c r="C36" s="17">
        <v>12193</v>
      </c>
      <c r="D36" s="17">
        <v>17051</v>
      </c>
      <c r="E36" s="3"/>
      <c r="F36" s="25"/>
      <c r="G36" s="25"/>
    </row>
    <row r="37" spans="1:7" x14ac:dyDescent="0.25">
      <c r="A37" s="1" t="s">
        <v>49</v>
      </c>
      <c r="B37" s="26"/>
      <c r="C37" s="26"/>
      <c r="D37" s="26"/>
      <c r="E37" s="16"/>
      <c r="F37" s="26"/>
      <c r="G37" s="26"/>
    </row>
    <row r="38" spans="1:7" x14ac:dyDescent="0.25">
      <c r="A38" s="1"/>
      <c r="B38" s="16"/>
      <c r="C38" s="16"/>
      <c r="D38" s="16"/>
      <c r="E38" s="16"/>
      <c r="F38" s="16"/>
      <c r="G38" s="16"/>
    </row>
    <row r="39" spans="1:7" x14ac:dyDescent="0.25">
      <c r="A39" s="1" t="s">
        <v>50</v>
      </c>
      <c r="B39" s="29"/>
      <c r="C39" s="29"/>
      <c r="D39" s="29"/>
      <c r="F39" s="29"/>
      <c r="G39" s="29"/>
    </row>
    <row r="41" spans="1:7" x14ac:dyDescent="0.25">
      <c r="A41" s="1" t="s">
        <v>52</v>
      </c>
    </row>
    <row r="42" spans="1:7" x14ac:dyDescent="0.25">
      <c r="A42" s="21" t="s">
        <v>53</v>
      </c>
      <c r="B42" s="3">
        <v>68</v>
      </c>
      <c r="C42" s="3">
        <v>68</v>
      </c>
      <c r="D42" s="3">
        <v>68</v>
      </c>
      <c r="F42" s="24"/>
      <c r="G42" s="24"/>
    </row>
    <row r="43" spans="1:7" x14ac:dyDescent="0.25">
      <c r="A43" s="21" t="s">
        <v>54</v>
      </c>
      <c r="B43" s="3">
        <v>1130</v>
      </c>
      <c r="C43" s="3">
        <v>1130</v>
      </c>
      <c r="D43" s="3">
        <v>1130</v>
      </c>
      <c r="F43" s="24"/>
      <c r="G43" s="24"/>
    </row>
    <row r="44" spans="1:7" x14ac:dyDescent="0.25">
      <c r="A44" s="6" t="s">
        <v>55</v>
      </c>
      <c r="B44" s="17">
        <v>7299</v>
      </c>
      <c r="C44" s="44">
        <f>B44+'P&amp;L'!C34+CF!B34</f>
        <v>7049</v>
      </c>
      <c r="D44" s="44">
        <f>C44+'P&amp;L'!D34+CF!C34</f>
        <v>6799</v>
      </c>
      <c r="F44" s="25"/>
      <c r="G44" s="25"/>
    </row>
    <row r="45" spans="1:7" x14ac:dyDescent="0.25">
      <c r="A45" s="18" t="s">
        <v>56</v>
      </c>
      <c r="B45" s="29"/>
      <c r="C45" s="29"/>
      <c r="D45" s="29"/>
      <c r="F45" s="29"/>
      <c r="G45" s="29"/>
    </row>
    <row r="47" spans="1:7" ht="15.75" thickBot="1" x14ac:dyDescent="0.3">
      <c r="A47" s="18" t="s">
        <v>57</v>
      </c>
      <c r="B47" s="27"/>
      <c r="C47" s="27"/>
      <c r="D47" s="27"/>
      <c r="F47" s="27"/>
      <c r="G47" s="27"/>
    </row>
    <row r="48" spans="1:7" ht="15.75" thickTop="1" x14ac:dyDescent="0.25"/>
    <row r="49" spans="1:7" x14ac:dyDescent="0.25">
      <c r="A49" s="6" t="s">
        <v>58</v>
      </c>
      <c r="B49" s="26"/>
      <c r="C49" s="26"/>
      <c r="D49" s="26"/>
      <c r="E49" s="1"/>
      <c r="F49" s="26"/>
      <c r="G49" s="26"/>
    </row>
  </sheetData>
  <mergeCells count="1">
    <mergeCell ref="F6:G6"/>
  </mergeCells>
  <pageMargins left="0.7" right="0.7" top="0.75" bottom="0.75" header="0.3" footer="0.3"/>
  <pageSetup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42"/>
  <sheetViews>
    <sheetView topLeftCell="A23" workbookViewId="0">
      <selection activeCell="A8" sqref="A8"/>
    </sheetView>
  </sheetViews>
  <sheetFormatPr defaultRowHeight="15" x14ac:dyDescent="0.25"/>
  <cols>
    <col min="1" max="1" width="58.85546875" bestFit="1" customWidth="1"/>
    <col min="4" max="4" width="3.140625" style="36" customWidth="1"/>
    <col min="5" max="5" width="22.85546875" customWidth="1"/>
  </cols>
  <sheetData>
    <row r="1" spans="1:5" ht="18.75" x14ac:dyDescent="0.3">
      <c r="A1" s="8" t="s">
        <v>59</v>
      </c>
    </row>
    <row r="2" spans="1:5" ht="18.75" x14ac:dyDescent="0.3">
      <c r="A2" s="8"/>
    </row>
    <row r="3" spans="1:5" x14ac:dyDescent="0.25">
      <c r="A3" s="1" t="s">
        <v>96</v>
      </c>
      <c r="B3" s="9"/>
      <c r="C3" s="9"/>
      <c r="D3" s="37"/>
    </row>
    <row r="5" spans="1:5" x14ac:dyDescent="0.25">
      <c r="A5" s="1" t="s">
        <v>60</v>
      </c>
    </row>
    <row r="6" spans="1:5" x14ac:dyDescent="0.25">
      <c r="A6" t="s">
        <v>15</v>
      </c>
      <c r="B6" s="23"/>
      <c r="C6" s="23"/>
      <c r="D6" s="38"/>
    </row>
    <row r="7" spans="1:5" x14ac:dyDescent="0.25">
      <c r="B7" s="2">
        <v>2016</v>
      </c>
      <c r="C7" s="2">
        <v>2017</v>
      </c>
      <c r="D7" s="39"/>
      <c r="E7" s="2" t="s">
        <v>63</v>
      </c>
    </row>
    <row r="8" spans="1:5" x14ac:dyDescent="0.25">
      <c r="A8" s="1" t="s">
        <v>61</v>
      </c>
    </row>
    <row r="9" spans="1:5" x14ac:dyDescent="0.25">
      <c r="A9" s="6" t="s">
        <v>62</v>
      </c>
      <c r="B9" s="24"/>
      <c r="C9" s="24"/>
      <c r="D9" s="40"/>
      <c r="E9" s="30"/>
    </row>
    <row r="11" spans="1:5" x14ac:dyDescent="0.25">
      <c r="A11" t="s">
        <v>64</v>
      </c>
    </row>
    <row r="12" spans="1:5" x14ac:dyDescent="0.25">
      <c r="A12" s="6" t="s">
        <v>65</v>
      </c>
    </row>
    <row r="13" spans="1:5" x14ac:dyDescent="0.25">
      <c r="A13" s="32" t="s">
        <v>66</v>
      </c>
      <c r="B13" s="24"/>
      <c r="C13" s="24"/>
      <c r="D13" s="40"/>
      <c r="E13" s="30"/>
    </row>
    <row r="15" spans="1:5" x14ac:dyDescent="0.25">
      <c r="A15" s="6" t="s">
        <v>67</v>
      </c>
    </row>
    <row r="16" spans="1:5" x14ac:dyDescent="0.25">
      <c r="A16" s="31" t="s">
        <v>68</v>
      </c>
      <c r="B16" s="24"/>
      <c r="C16" s="24"/>
      <c r="D16" s="40"/>
      <c r="E16" s="30"/>
    </row>
    <row r="17" spans="1:5" x14ac:dyDescent="0.25">
      <c r="A17" s="31" t="s">
        <v>69</v>
      </c>
      <c r="B17" s="24"/>
      <c r="C17" s="24"/>
      <c r="D17" s="40"/>
      <c r="E17" s="30"/>
    </row>
    <row r="18" spans="1:5" x14ac:dyDescent="0.25">
      <c r="A18" s="31" t="s">
        <v>70</v>
      </c>
      <c r="B18" s="24"/>
      <c r="C18" s="24"/>
      <c r="D18" s="40"/>
      <c r="E18" s="30"/>
    </row>
    <row r="19" spans="1:5" x14ac:dyDescent="0.25">
      <c r="A19" s="31" t="s">
        <v>71</v>
      </c>
      <c r="B19" s="24"/>
      <c r="C19" s="24"/>
      <c r="D19" s="40"/>
      <c r="E19" s="30"/>
    </row>
    <row r="20" spans="1:5" x14ac:dyDescent="0.25">
      <c r="A20" s="31" t="s">
        <v>72</v>
      </c>
      <c r="B20" s="24"/>
      <c r="C20" s="24"/>
      <c r="D20" s="40"/>
      <c r="E20" s="30"/>
    </row>
    <row r="21" spans="1:5" x14ac:dyDescent="0.25">
      <c r="A21" s="31" t="s">
        <v>73</v>
      </c>
      <c r="B21" s="24"/>
      <c r="C21" s="24"/>
      <c r="D21" s="40"/>
      <c r="E21" s="30"/>
    </row>
    <row r="23" spans="1:5" x14ac:dyDescent="0.25">
      <c r="A23" s="33" t="s">
        <v>76</v>
      </c>
      <c r="B23" s="34"/>
      <c r="C23" s="34"/>
      <c r="D23" s="41"/>
      <c r="E23" s="30"/>
    </row>
    <row r="25" spans="1:5" x14ac:dyDescent="0.25">
      <c r="A25" s="1" t="s">
        <v>77</v>
      </c>
    </row>
    <row r="26" spans="1:5" x14ac:dyDescent="0.25">
      <c r="A26" s="6" t="s">
        <v>78</v>
      </c>
      <c r="B26" s="24"/>
      <c r="C26" s="24"/>
      <c r="D26" s="40"/>
      <c r="E26" s="30"/>
    </row>
    <row r="27" spans="1:5" x14ac:dyDescent="0.25">
      <c r="A27" s="31" t="s">
        <v>79</v>
      </c>
      <c r="B27" s="24"/>
      <c r="C27" s="24"/>
      <c r="D27" s="40"/>
      <c r="E27" s="30"/>
    </row>
    <row r="28" spans="1:5" x14ac:dyDescent="0.25">
      <c r="A28" s="31" t="s">
        <v>80</v>
      </c>
      <c r="B28" s="24"/>
      <c r="C28" s="24"/>
      <c r="D28" s="40"/>
      <c r="E28" s="30"/>
    </row>
    <row r="30" spans="1:5" x14ac:dyDescent="0.25">
      <c r="A30" s="22" t="s">
        <v>81</v>
      </c>
      <c r="B30" s="34"/>
      <c r="C30" s="34"/>
      <c r="D30" s="41"/>
      <c r="E30" s="30"/>
    </row>
    <row r="32" spans="1:5" x14ac:dyDescent="0.25">
      <c r="A32" s="1" t="s">
        <v>84</v>
      </c>
    </row>
    <row r="33" spans="1:5" x14ac:dyDescent="0.25">
      <c r="A33" s="6" t="s">
        <v>85</v>
      </c>
      <c r="B33" s="24"/>
      <c r="C33" s="24"/>
      <c r="D33" s="40"/>
      <c r="E33" s="30"/>
    </row>
    <row r="34" spans="1:5" x14ac:dyDescent="0.25">
      <c r="A34" s="6" t="s">
        <v>87</v>
      </c>
      <c r="B34" s="3">
        <v>-250</v>
      </c>
      <c r="C34" s="3">
        <v>-250</v>
      </c>
      <c r="D34" s="42"/>
      <c r="E34" t="s">
        <v>88</v>
      </c>
    </row>
    <row r="35" spans="1:5" x14ac:dyDescent="0.25">
      <c r="B35" s="3"/>
      <c r="C35" s="3"/>
      <c r="D35" s="42"/>
    </row>
    <row r="36" spans="1:5" x14ac:dyDescent="0.25">
      <c r="A36" s="22" t="s">
        <v>89</v>
      </c>
      <c r="B36" s="34"/>
      <c r="C36" s="34"/>
      <c r="D36" s="41"/>
      <c r="E36" s="30"/>
    </row>
    <row r="38" spans="1:5" x14ac:dyDescent="0.25">
      <c r="A38" s="1" t="s">
        <v>90</v>
      </c>
    </row>
    <row r="39" spans="1:5" x14ac:dyDescent="0.25">
      <c r="A39" t="s">
        <v>91</v>
      </c>
      <c r="B39" s="24"/>
      <c r="C39" s="24"/>
      <c r="D39" s="40"/>
      <c r="E39" s="30"/>
    </row>
    <row r="40" spans="1:5" ht="15.75" thickBot="1" x14ac:dyDescent="0.3">
      <c r="A40" t="s">
        <v>92</v>
      </c>
      <c r="B40" s="35"/>
      <c r="C40" s="35"/>
      <c r="D40" s="43"/>
      <c r="E40" s="30"/>
    </row>
    <row r="41" spans="1:5" ht="15.75" thickTop="1" x14ac:dyDescent="0.25">
      <c r="A41" t="s">
        <v>93</v>
      </c>
      <c r="B41" s="3">
        <v>250</v>
      </c>
      <c r="C41" s="3">
        <v>250</v>
      </c>
      <c r="D41" s="42"/>
      <c r="E41" s="30" t="s">
        <v>88</v>
      </c>
    </row>
    <row r="42" spans="1:5" x14ac:dyDescent="0.25">
      <c r="A42" t="s">
        <v>94</v>
      </c>
      <c r="B42" s="24"/>
      <c r="C42" s="24"/>
      <c r="D42" s="40"/>
      <c r="E42" s="30"/>
    </row>
  </sheetData>
  <pageMargins left="0.7" right="0.7" top="0.75" bottom="0.75" header="0.3" footer="0.3"/>
  <pageSetup scale="8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41"/>
  <sheetViews>
    <sheetView workbookViewId="0">
      <selection activeCell="I4" sqref="I4"/>
    </sheetView>
  </sheetViews>
  <sheetFormatPr defaultRowHeight="15" x14ac:dyDescent="0.25"/>
  <cols>
    <col min="1" max="1" width="28.5703125" customWidth="1"/>
    <col min="2" max="4" width="11.140625" bestFit="1" customWidth="1"/>
  </cols>
  <sheetData>
    <row r="1" spans="1:8" ht="18.75" x14ac:dyDescent="0.3">
      <c r="A1" s="8" t="s">
        <v>263</v>
      </c>
    </row>
    <row r="2" spans="1:8" ht="18.75" x14ac:dyDescent="0.3">
      <c r="A2" s="8"/>
    </row>
    <row r="3" spans="1:8" x14ac:dyDescent="0.25">
      <c r="A3" s="1" t="s">
        <v>20</v>
      </c>
      <c r="B3" s="9"/>
      <c r="C3" s="9"/>
      <c r="D3" s="9"/>
    </row>
    <row r="6" spans="1:8" x14ac:dyDescent="0.25">
      <c r="A6" s="56" t="s">
        <v>0</v>
      </c>
      <c r="B6" s="60" t="s">
        <v>18</v>
      </c>
      <c r="C6" s="60"/>
      <c r="D6" s="60"/>
      <c r="F6" s="60" t="s">
        <v>19</v>
      </c>
      <c r="G6" s="60"/>
      <c r="H6" s="60"/>
    </row>
    <row r="7" spans="1:8" x14ac:dyDescent="0.25">
      <c r="A7" s="58" t="s">
        <v>15</v>
      </c>
      <c r="B7" s="56">
        <v>2017</v>
      </c>
      <c r="C7" s="56">
        <v>2018</v>
      </c>
      <c r="D7" s="56">
        <v>2019</v>
      </c>
      <c r="F7" s="56">
        <v>2017</v>
      </c>
      <c r="G7" s="56">
        <v>2018</v>
      </c>
      <c r="H7" s="56">
        <v>2019</v>
      </c>
    </row>
    <row r="8" spans="1:8" x14ac:dyDescent="0.25">
      <c r="A8" t="s">
        <v>1</v>
      </c>
      <c r="B8" s="3">
        <v>33669</v>
      </c>
      <c r="C8" s="3">
        <v>46227</v>
      </c>
      <c r="D8" s="3">
        <v>56206</v>
      </c>
      <c r="F8" s="14">
        <f>B8/B$8</f>
        <v>1</v>
      </c>
      <c r="G8" s="14">
        <f t="shared" ref="G8:H8" si="0">C8/C$8</f>
        <v>1</v>
      </c>
      <c r="H8" s="14">
        <f t="shared" si="0"/>
        <v>1</v>
      </c>
    </row>
    <row r="9" spans="1:8" x14ac:dyDescent="0.25">
      <c r="B9" s="4"/>
      <c r="C9" s="4"/>
      <c r="D9" s="4"/>
    </row>
    <row r="10" spans="1:8" x14ac:dyDescent="0.25">
      <c r="A10" t="s">
        <v>2</v>
      </c>
      <c r="B10" s="3">
        <v>21673</v>
      </c>
      <c r="C10" s="3">
        <v>32647</v>
      </c>
      <c r="D10" s="3">
        <v>36161</v>
      </c>
      <c r="F10" s="14">
        <f>B10/B$8</f>
        <v>0.6437078618313582</v>
      </c>
      <c r="G10" s="14">
        <f t="shared" ref="G10:H10" si="1">C10/C$8</f>
        <v>0.706232288489411</v>
      </c>
      <c r="H10" s="14">
        <f t="shared" si="1"/>
        <v>0.64336547699533853</v>
      </c>
    </row>
    <row r="12" spans="1:8" x14ac:dyDescent="0.25">
      <c r="A12" t="s">
        <v>3</v>
      </c>
      <c r="B12" s="10">
        <f>B8-B10</f>
        <v>11996</v>
      </c>
      <c r="C12" s="10">
        <f t="shared" ref="C12:D12" si="2">C8-C10</f>
        <v>13580</v>
      </c>
      <c r="D12" s="10">
        <f t="shared" si="2"/>
        <v>20045</v>
      </c>
      <c r="F12" s="14">
        <f>B12/B$8</f>
        <v>0.3562921381686418</v>
      </c>
      <c r="G12" s="14">
        <f t="shared" ref="G12:H12" si="3">C12/C$8</f>
        <v>0.29376771151058906</v>
      </c>
      <c r="H12" s="14">
        <f t="shared" si="3"/>
        <v>0.35663452300466142</v>
      </c>
    </row>
    <row r="13" spans="1:8" x14ac:dyDescent="0.25">
      <c r="A13" s="7" t="s">
        <v>4</v>
      </c>
      <c r="B13" s="11">
        <f>B12/B$8</f>
        <v>0.3562921381686418</v>
      </c>
      <c r="C13" s="11">
        <f t="shared" ref="C13:D13" si="4">C12/C$8</f>
        <v>0.29376771151058906</v>
      </c>
      <c r="D13" s="11">
        <f t="shared" si="4"/>
        <v>0.35663452300466142</v>
      </c>
    </row>
    <row r="15" spans="1:8" x14ac:dyDescent="0.25">
      <c r="A15" t="s">
        <v>5</v>
      </c>
      <c r="B15" s="3">
        <v>7320</v>
      </c>
      <c r="C15" s="3">
        <v>9847</v>
      </c>
      <c r="D15" s="3">
        <v>13694</v>
      </c>
      <c r="F15" s="14">
        <f>B15/B$8</f>
        <v>0.21741067450770737</v>
      </c>
      <c r="G15" s="14">
        <f t="shared" ref="G15:H15" si="5">C15/C$8</f>
        <v>0.21301403941419517</v>
      </c>
      <c r="H15" s="14">
        <f t="shared" si="5"/>
        <v>0.24363946909582607</v>
      </c>
    </row>
    <row r="16" spans="1:8" x14ac:dyDescent="0.25">
      <c r="A16" s="7" t="s">
        <v>16</v>
      </c>
      <c r="B16" s="11">
        <f>B15/B$8</f>
        <v>0.21741067450770737</v>
      </c>
      <c r="C16" s="11">
        <f t="shared" ref="C16:D16" si="6">C15/C$8</f>
        <v>0.21301403941419517</v>
      </c>
      <c r="D16" s="11">
        <f t="shared" si="6"/>
        <v>0.24363946909582607</v>
      </c>
    </row>
    <row r="17" spans="1:8" x14ac:dyDescent="0.25">
      <c r="A17" s="7"/>
      <c r="B17" s="5"/>
      <c r="C17" s="5"/>
      <c r="D17" s="5"/>
    </row>
    <row r="18" spans="1:8" x14ac:dyDescent="0.25">
      <c r="A18" t="s">
        <v>6</v>
      </c>
      <c r="B18" s="10">
        <f>B12-B15</f>
        <v>4676</v>
      </c>
      <c r="C18" s="10">
        <f t="shared" ref="C18:D18" si="7">C12-C15</f>
        <v>3733</v>
      </c>
      <c r="D18" s="10">
        <f t="shared" si="7"/>
        <v>6351</v>
      </c>
      <c r="F18" s="14">
        <f>B18/B$8</f>
        <v>0.1388814636609344</v>
      </c>
      <c r="G18" s="14">
        <f t="shared" ref="G18:H18" si="8">C18/C$8</f>
        <v>8.0753672096393878E-2</v>
      </c>
      <c r="H18" s="14">
        <f t="shared" si="8"/>
        <v>0.11299505390883535</v>
      </c>
    </row>
    <row r="19" spans="1:8" x14ac:dyDescent="0.25">
      <c r="A19" s="7" t="s">
        <v>16</v>
      </c>
      <c r="B19" s="11">
        <f>B18/B$8</f>
        <v>0.1388814636609344</v>
      </c>
      <c r="C19" s="11">
        <f t="shared" ref="C19:D19" si="9">C18/C$8</f>
        <v>8.0753672096393878E-2</v>
      </c>
      <c r="D19" s="11">
        <f t="shared" si="9"/>
        <v>0.11299505390883535</v>
      </c>
    </row>
    <row r="20" spans="1:8" x14ac:dyDescent="0.25">
      <c r="A20" s="7"/>
      <c r="B20" s="5"/>
      <c r="C20" s="5"/>
      <c r="D20" s="5"/>
    </row>
    <row r="21" spans="1:8" x14ac:dyDescent="0.25">
      <c r="A21" t="s">
        <v>7</v>
      </c>
      <c r="B21" s="3">
        <v>870</v>
      </c>
      <c r="C21" s="3">
        <v>1207</v>
      </c>
      <c r="D21" s="3">
        <v>1510</v>
      </c>
      <c r="F21" s="14">
        <f>B21/B$8</f>
        <v>2.5839793281653745E-2</v>
      </c>
      <c r="G21" s="14">
        <f t="shared" ref="G21:H21" si="10">C21/C$8</f>
        <v>2.6110281869902871E-2</v>
      </c>
      <c r="H21" s="14">
        <f t="shared" si="10"/>
        <v>2.6865459203643739E-2</v>
      </c>
    </row>
    <row r="23" spans="1:8" x14ac:dyDescent="0.25">
      <c r="A23" t="s">
        <v>8</v>
      </c>
      <c r="B23" s="10">
        <f>B18-B21</f>
        <v>3806</v>
      </c>
      <c r="C23" s="10">
        <f t="shared" ref="C23:D23" si="11">C18-C21</f>
        <v>2526</v>
      </c>
      <c r="D23" s="10">
        <f t="shared" si="11"/>
        <v>4841</v>
      </c>
      <c r="F23" s="14">
        <f>B23/B$8</f>
        <v>0.11304167037928065</v>
      </c>
      <c r="G23" s="14">
        <f t="shared" ref="G23:H23" si="12">C23/C$8</f>
        <v>5.4643390226491013E-2</v>
      </c>
      <c r="H23" s="14">
        <f t="shared" si="12"/>
        <v>8.6129594705191617E-2</v>
      </c>
    </row>
    <row r="24" spans="1:8" x14ac:dyDescent="0.25">
      <c r="A24" s="7" t="s">
        <v>16</v>
      </c>
      <c r="B24" s="11">
        <f>B23/B$8</f>
        <v>0.11304167037928065</v>
      </c>
      <c r="C24" s="11">
        <f t="shared" ref="C24:D24" si="13">C23/C$8</f>
        <v>5.4643390226491013E-2</v>
      </c>
      <c r="D24" s="11">
        <f t="shared" si="13"/>
        <v>8.6129594705191617E-2</v>
      </c>
    </row>
    <row r="25" spans="1:8" x14ac:dyDescent="0.25">
      <c r="A25" s="7"/>
      <c r="B25" s="5"/>
      <c r="C25" s="5"/>
      <c r="D25" s="5"/>
    </row>
    <row r="26" spans="1:8" x14ac:dyDescent="0.25">
      <c r="A26" t="s">
        <v>9</v>
      </c>
      <c r="B26" s="3">
        <v>525</v>
      </c>
      <c r="C26" s="3">
        <v>611</v>
      </c>
      <c r="D26" s="3">
        <v>684</v>
      </c>
      <c r="F26" s="14">
        <f>B26/B$8</f>
        <v>1.5592978704446226E-2</v>
      </c>
      <c r="G26" s="14">
        <f t="shared" ref="G26:H26" si="14">C26/C$8</f>
        <v>1.3217383780041966E-2</v>
      </c>
      <c r="H26" s="14">
        <f t="shared" si="14"/>
        <v>1.2169519268405508E-2</v>
      </c>
    </row>
    <row r="28" spans="1:8" x14ac:dyDescent="0.25">
      <c r="A28" t="s">
        <v>10</v>
      </c>
      <c r="B28" s="10">
        <f>B23-B26</f>
        <v>3281</v>
      </c>
      <c r="C28" s="10">
        <f t="shared" ref="C28:D28" si="15">C23-C26</f>
        <v>1915</v>
      </c>
      <c r="D28" s="10">
        <f t="shared" si="15"/>
        <v>4157</v>
      </c>
      <c r="F28" s="14">
        <f>B28/B$8</f>
        <v>9.7448691674834415E-2</v>
      </c>
      <c r="G28" s="14">
        <f t="shared" ref="G28:H28" si="16">C28/C$8</f>
        <v>4.1426006446449046E-2</v>
      </c>
      <c r="H28" s="14">
        <f t="shared" si="16"/>
        <v>7.3960075436786107E-2</v>
      </c>
    </row>
    <row r="29" spans="1:8" x14ac:dyDescent="0.25">
      <c r="A29" s="7" t="s">
        <v>16</v>
      </c>
      <c r="B29" s="11">
        <f>B28/B$8</f>
        <v>9.7448691674834415E-2</v>
      </c>
      <c r="C29" s="11">
        <f t="shared" ref="C29:D29" si="17">C28/C$8</f>
        <v>4.1426006446449046E-2</v>
      </c>
      <c r="D29" s="11">
        <f t="shared" si="17"/>
        <v>7.3960075436786107E-2</v>
      </c>
    </row>
    <row r="30" spans="1:8" x14ac:dyDescent="0.25">
      <c r="A30" s="7"/>
      <c r="B30" s="5"/>
      <c r="C30" s="5"/>
      <c r="D30" s="5"/>
    </row>
    <row r="31" spans="1:8" x14ac:dyDescent="0.25">
      <c r="A31" t="s">
        <v>11</v>
      </c>
      <c r="B31" s="10">
        <f>B32*B28</f>
        <v>984.3</v>
      </c>
      <c r="C31" s="10">
        <f t="shared" ref="C31:D31" si="18">C32*C28</f>
        <v>574.5</v>
      </c>
      <c r="D31" s="10">
        <f t="shared" si="18"/>
        <v>1247.0999999999999</v>
      </c>
      <c r="F31" s="14">
        <f>B31/B$8</f>
        <v>2.9234607502450324E-2</v>
      </c>
      <c r="G31" s="14">
        <f t="shared" ref="G31:H31" si="19">C31/C$8</f>
        <v>1.2427801933934713E-2</v>
      </c>
      <c r="H31" s="14">
        <f t="shared" si="19"/>
        <v>2.2188022631035829E-2</v>
      </c>
    </row>
    <row r="32" spans="1:8" x14ac:dyDescent="0.25">
      <c r="A32" s="7" t="s">
        <v>17</v>
      </c>
      <c r="B32" s="55">
        <v>0.3</v>
      </c>
      <c r="C32" s="55">
        <v>0.3</v>
      </c>
      <c r="D32" s="55">
        <v>0.3</v>
      </c>
    </row>
    <row r="33" spans="1:8" x14ac:dyDescent="0.25">
      <c r="A33" s="7"/>
      <c r="B33" s="5"/>
    </row>
    <row r="34" spans="1:8" x14ac:dyDescent="0.25">
      <c r="A34" t="s">
        <v>12</v>
      </c>
      <c r="B34" s="10">
        <f>B28-B31</f>
        <v>2296.6999999999998</v>
      </c>
      <c r="C34" s="10">
        <f>C28-C31</f>
        <v>1340.5</v>
      </c>
      <c r="D34" s="10">
        <f t="shared" ref="D34" si="20">D28-D31</f>
        <v>2909.9</v>
      </c>
      <c r="F34" s="14">
        <f>B34/B$8</f>
        <v>6.8214084172384087E-2</v>
      </c>
      <c r="G34" s="14">
        <f t="shared" ref="G34:H34" si="21">C34/C$8</f>
        <v>2.8998204512514333E-2</v>
      </c>
      <c r="H34" s="14">
        <f t="shared" si="21"/>
        <v>5.1772052805750278E-2</v>
      </c>
    </row>
    <row r="35" spans="1:8" x14ac:dyDescent="0.25">
      <c r="A35" s="7" t="s">
        <v>16</v>
      </c>
      <c r="B35" s="11">
        <f>B34/B$8</f>
        <v>6.8214084172384087E-2</v>
      </c>
      <c r="C35" s="11">
        <f t="shared" ref="C35:D35" si="22">C34/C$8</f>
        <v>2.8998204512514333E-2</v>
      </c>
      <c r="D35" s="11">
        <f t="shared" si="22"/>
        <v>5.1772052805750278E-2</v>
      </c>
    </row>
    <row r="36" spans="1:8" x14ac:dyDescent="0.25">
      <c r="A36" s="7"/>
      <c r="B36" s="5"/>
      <c r="C36" s="5"/>
      <c r="D36" s="5"/>
    </row>
    <row r="37" spans="1:8" x14ac:dyDescent="0.25">
      <c r="A37" t="s">
        <v>258</v>
      </c>
      <c r="B37" s="12">
        <v>1000</v>
      </c>
      <c r="C37" s="12">
        <v>1000</v>
      </c>
      <c r="D37" s="12">
        <v>1000</v>
      </c>
    </row>
    <row r="39" spans="1:8" x14ac:dyDescent="0.25">
      <c r="A39" t="s">
        <v>14</v>
      </c>
      <c r="B39" s="13">
        <f>B34/B37</f>
        <v>2.2967</v>
      </c>
      <c r="C39" s="13">
        <f t="shared" ref="C39:D39" si="23">C34/C37</f>
        <v>1.3405</v>
      </c>
      <c r="D39" s="13">
        <f t="shared" si="23"/>
        <v>2.9098999999999999</v>
      </c>
    </row>
    <row r="41" spans="1:8" x14ac:dyDescent="0.25">
      <c r="A41" t="s">
        <v>244</v>
      </c>
      <c r="B41" s="3">
        <v>50</v>
      </c>
      <c r="C41" s="3">
        <v>50</v>
      </c>
      <c r="D41" s="3">
        <v>50</v>
      </c>
    </row>
  </sheetData>
  <mergeCells count="2">
    <mergeCell ref="B6:D6"/>
    <mergeCell ref="F6:H6"/>
  </mergeCells>
  <pageMargins left="0.7" right="0.7" top="0.75" bottom="0.75" header="0.3" footer="0.3"/>
  <pageSetup scale="8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48"/>
  <sheetViews>
    <sheetView workbookViewId="0">
      <selection activeCell="I7" sqref="I7"/>
    </sheetView>
  </sheetViews>
  <sheetFormatPr defaultRowHeight="15" x14ac:dyDescent="0.25"/>
  <cols>
    <col min="1" max="1" width="30.140625" customWidth="1"/>
    <col min="2" max="3" width="9.85546875" customWidth="1"/>
    <col min="4" max="4" width="10.42578125" customWidth="1"/>
    <col min="5" max="5" width="4.5703125" customWidth="1"/>
    <col min="6" max="6" width="12.28515625" customWidth="1"/>
    <col min="7" max="7" width="11.5703125" customWidth="1"/>
  </cols>
  <sheetData>
    <row r="1" spans="1:7" ht="18.75" x14ac:dyDescent="0.3">
      <c r="A1" s="8" t="s">
        <v>262</v>
      </c>
    </row>
    <row r="2" spans="1:7" ht="18.75" x14ac:dyDescent="0.3">
      <c r="A2" s="8"/>
    </row>
    <row r="3" spans="1:7" x14ac:dyDescent="0.25">
      <c r="A3" s="1" t="s">
        <v>36</v>
      </c>
      <c r="B3" s="9"/>
      <c r="C3" s="9"/>
      <c r="D3" s="9"/>
      <c r="E3" s="9"/>
    </row>
    <row r="5" spans="1:7" x14ac:dyDescent="0.25">
      <c r="A5" s="56" t="s">
        <v>23</v>
      </c>
      <c r="B5" s="60"/>
      <c r="C5" s="60"/>
      <c r="D5" s="60"/>
      <c r="F5" s="60" t="s">
        <v>254</v>
      </c>
      <c r="G5" s="60"/>
    </row>
    <row r="6" spans="1:7" x14ac:dyDescent="0.25">
      <c r="A6" s="58" t="s">
        <v>15</v>
      </c>
      <c r="B6" s="56">
        <v>2017</v>
      </c>
      <c r="C6" s="56">
        <v>2018</v>
      </c>
      <c r="D6" s="56">
        <v>2019</v>
      </c>
      <c r="F6" s="56" t="s">
        <v>259</v>
      </c>
      <c r="G6" s="56" t="s">
        <v>260</v>
      </c>
    </row>
    <row r="7" spans="1:7" x14ac:dyDescent="0.25">
      <c r="A7" s="1" t="s">
        <v>38</v>
      </c>
      <c r="B7" s="2"/>
      <c r="C7" s="2"/>
      <c r="D7" s="2"/>
      <c r="E7" s="2"/>
      <c r="F7" s="2"/>
      <c r="G7" s="2"/>
    </row>
    <row r="8" spans="1:7" x14ac:dyDescent="0.25">
      <c r="A8" s="1"/>
      <c r="B8" s="2"/>
      <c r="C8" s="2"/>
      <c r="D8" s="2"/>
      <c r="E8" s="2"/>
      <c r="F8" s="2"/>
      <c r="G8" s="2"/>
    </row>
    <row r="9" spans="1:7" x14ac:dyDescent="0.25">
      <c r="A9" s="1" t="s">
        <v>39</v>
      </c>
      <c r="B9" s="2"/>
      <c r="C9" s="2"/>
      <c r="D9" s="2"/>
      <c r="E9" s="2"/>
      <c r="F9" s="2"/>
      <c r="G9" s="2"/>
    </row>
    <row r="10" spans="1:7" x14ac:dyDescent="0.25">
      <c r="A10" s="6" t="s">
        <v>24</v>
      </c>
      <c r="B10" s="3">
        <v>682</v>
      </c>
      <c r="C10" s="3">
        <v>3515</v>
      </c>
      <c r="D10" s="3">
        <v>6807</v>
      </c>
      <c r="E10" s="3"/>
      <c r="F10" s="24">
        <f>C10-B10</f>
        <v>2833</v>
      </c>
      <c r="G10" s="24">
        <f>D10-C10</f>
        <v>3292</v>
      </c>
    </row>
    <row r="11" spans="1:7" x14ac:dyDescent="0.25">
      <c r="A11" s="6" t="s">
        <v>25</v>
      </c>
      <c r="B11" s="3">
        <v>5008</v>
      </c>
      <c r="C11" s="3">
        <v>5083</v>
      </c>
      <c r="D11" s="3">
        <v>6082</v>
      </c>
      <c r="E11" s="3"/>
      <c r="F11" s="24">
        <f t="shared" ref="F11:G14" si="0">C11-B11</f>
        <v>75</v>
      </c>
      <c r="G11" s="24">
        <f t="shared" si="0"/>
        <v>999</v>
      </c>
    </row>
    <row r="12" spans="1:7" x14ac:dyDescent="0.25">
      <c r="A12" s="6" t="s">
        <v>26</v>
      </c>
      <c r="B12" s="3">
        <v>4284</v>
      </c>
      <c r="C12" s="3">
        <v>4984</v>
      </c>
      <c r="D12" s="3">
        <v>6460</v>
      </c>
      <c r="E12" s="3"/>
      <c r="F12" s="24">
        <f t="shared" si="0"/>
        <v>700</v>
      </c>
      <c r="G12" s="24">
        <f t="shared" si="0"/>
        <v>1476</v>
      </c>
    </row>
    <row r="13" spans="1:7" x14ac:dyDescent="0.25">
      <c r="A13" s="6" t="s">
        <v>27</v>
      </c>
      <c r="B13" s="17">
        <v>766</v>
      </c>
      <c r="C13" s="17">
        <v>2167</v>
      </c>
      <c r="D13" s="17">
        <v>1468</v>
      </c>
      <c r="E13" s="3"/>
      <c r="F13" s="25">
        <f t="shared" si="0"/>
        <v>1401</v>
      </c>
      <c r="G13" s="25">
        <f t="shared" si="0"/>
        <v>-699</v>
      </c>
    </row>
    <row r="14" spans="1:7" x14ac:dyDescent="0.25">
      <c r="A14" s="1" t="s">
        <v>28</v>
      </c>
      <c r="B14" s="26">
        <f>SUM(B10:B13)</f>
        <v>10740</v>
      </c>
      <c r="C14" s="26">
        <f t="shared" ref="C14:D14" si="1">SUM(C10:C13)</f>
        <v>15749</v>
      </c>
      <c r="D14" s="26">
        <f t="shared" si="1"/>
        <v>20817</v>
      </c>
      <c r="E14" s="16"/>
      <c r="F14" s="26">
        <f t="shared" si="0"/>
        <v>5009</v>
      </c>
      <c r="G14" s="26">
        <f t="shared" si="0"/>
        <v>5068</v>
      </c>
    </row>
    <row r="16" spans="1:7" x14ac:dyDescent="0.25">
      <c r="A16" s="6" t="s">
        <v>32</v>
      </c>
      <c r="B16" s="19">
        <v>18842</v>
      </c>
      <c r="C16" s="19">
        <v>21868</v>
      </c>
      <c r="D16" s="19">
        <v>26726</v>
      </c>
      <c r="F16" s="24">
        <f t="shared" ref="F16:G18" si="2">C16-B16</f>
        <v>3026</v>
      </c>
      <c r="G16" s="24">
        <f t="shared" si="2"/>
        <v>4858</v>
      </c>
    </row>
    <row r="17" spans="1:7" x14ac:dyDescent="0.25">
      <c r="A17" s="6" t="s">
        <v>33</v>
      </c>
      <c r="B17" s="20">
        <v>5066</v>
      </c>
      <c r="C17" s="20">
        <v>6273</v>
      </c>
      <c r="D17" s="20">
        <v>7783</v>
      </c>
      <c r="F17" s="25">
        <f t="shared" si="2"/>
        <v>1207</v>
      </c>
      <c r="G17" s="25">
        <f t="shared" si="2"/>
        <v>1510</v>
      </c>
    </row>
    <row r="18" spans="1:7" x14ac:dyDescent="0.25">
      <c r="A18" s="18" t="s">
        <v>34</v>
      </c>
      <c r="B18" s="26">
        <f>B16-B17</f>
        <v>13776</v>
      </c>
      <c r="C18" s="26">
        <f>C16-C17</f>
        <v>15595</v>
      </c>
      <c r="D18" s="26">
        <f>D16-D17</f>
        <v>18943</v>
      </c>
      <c r="F18" s="26">
        <f t="shared" si="2"/>
        <v>1819</v>
      </c>
      <c r="G18" s="26">
        <f t="shared" si="2"/>
        <v>3348</v>
      </c>
    </row>
    <row r="20" spans="1:7" x14ac:dyDescent="0.25">
      <c r="A20" s="9" t="s">
        <v>35</v>
      </c>
      <c r="B20" s="19">
        <v>1224</v>
      </c>
      <c r="C20" s="19">
        <v>1642</v>
      </c>
      <c r="D20" s="19">
        <v>1813</v>
      </c>
      <c r="E20" s="9"/>
      <c r="F20" s="28">
        <f t="shared" ref="F20:G20" si="3">C20-B20</f>
        <v>418</v>
      </c>
      <c r="G20" s="28">
        <f t="shared" si="3"/>
        <v>171</v>
      </c>
    </row>
    <row r="22" spans="1:7" ht="15.75" thickBot="1" x14ac:dyDescent="0.3">
      <c r="A22" s="1" t="s">
        <v>37</v>
      </c>
      <c r="B22" s="27">
        <f>B14+B18+B20</f>
        <v>25740</v>
      </c>
      <c r="C22" s="27">
        <f t="shared" ref="C22:D22" si="4">C14+C18+C20</f>
        <v>32986</v>
      </c>
      <c r="D22" s="27">
        <f t="shared" si="4"/>
        <v>41573</v>
      </c>
      <c r="F22" s="27">
        <f t="shared" ref="F22:G22" si="5">C22-B22</f>
        <v>7246</v>
      </c>
      <c r="G22" s="27">
        <f t="shared" si="5"/>
        <v>8587</v>
      </c>
    </row>
    <row r="23" spans="1:7" ht="15.75" thickTop="1" x14ac:dyDescent="0.25"/>
    <row r="24" spans="1:7" x14ac:dyDescent="0.25">
      <c r="A24" s="1" t="s">
        <v>51</v>
      </c>
    </row>
    <row r="26" spans="1:7" x14ac:dyDescent="0.25">
      <c r="A26" s="1" t="s">
        <v>40</v>
      </c>
      <c r="B26" s="2"/>
      <c r="C26" s="2"/>
      <c r="D26" s="2"/>
      <c r="E26" s="2"/>
      <c r="F26" s="2"/>
      <c r="G26" s="2"/>
    </row>
    <row r="27" spans="1:7" x14ac:dyDescent="0.25">
      <c r="A27" s="6" t="s">
        <v>41</v>
      </c>
      <c r="B27" s="3">
        <v>4215</v>
      </c>
      <c r="C27" s="3">
        <v>5451</v>
      </c>
      <c r="D27" s="3">
        <v>6934</v>
      </c>
      <c r="E27" s="3"/>
      <c r="F27" s="24">
        <f>C27-B27</f>
        <v>1236</v>
      </c>
      <c r="G27" s="24">
        <f>D27-C27</f>
        <v>1483</v>
      </c>
    </row>
    <row r="28" spans="1:7" x14ac:dyDescent="0.25">
      <c r="A28" s="6" t="s">
        <v>42</v>
      </c>
      <c r="B28" s="3">
        <v>879</v>
      </c>
      <c r="C28" s="3">
        <v>1016</v>
      </c>
      <c r="D28" s="3">
        <v>606</v>
      </c>
      <c r="E28" s="3"/>
      <c r="F28" s="24">
        <f t="shared" ref="F28:G31" si="6">C28-B28</f>
        <v>137</v>
      </c>
      <c r="G28" s="24">
        <f t="shared" si="6"/>
        <v>-410</v>
      </c>
    </row>
    <row r="29" spans="1:7" x14ac:dyDescent="0.25">
      <c r="A29" s="6" t="s">
        <v>43</v>
      </c>
      <c r="B29" s="3">
        <v>1390</v>
      </c>
      <c r="C29" s="3">
        <v>1416</v>
      </c>
      <c r="D29" s="3">
        <v>1959</v>
      </c>
      <c r="E29" s="3"/>
      <c r="F29" s="24">
        <f t="shared" si="6"/>
        <v>26</v>
      </c>
      <c r="G29" s="24">
        <f t="shared" si="6"/>
        <v>543</v>
      </c>
    </row>
    <row r="30" spans="1:7" x14ac:dyDescent="0.25">
      <c r="A30" s="6" t="s">
        <v>44</v>
      </c>
      <c r="B30" s="17">
        <v>287</v>
      </c>
      <c r="C30" s="17">
        <v>1327</v>
      </c>
      <c r="D30" s="17">
        <v>364</v>
      </c>
      <c r="E30" s="3"/>
      <c r="F30" s="25">
        <f t="shared" si="6"/>
        <v>1040</v>
      </c>
      <c r="G30" s="25">
        <f t="shared" si="6"/>
        <v>-963</v>
      </c>
    </row>
    <row r="31" spans="1:7" x14ac:dyDescent="0.25">
      <c r="A31" s="1" t="s">
        <v>45</v>
      </c>
      <c r="B31" s="26">
        <f>SUM(B27:B30)</f>
        <v>6771</v>
      </c>
      <c r="C31" s="26">
        <f t="shared" ref="C31:D31" si="7">SUM(C27:C30)</f>
        <v>9210</v>
      </c>
      <c r="D31" s="26">
        <f t="shared" si="7"/>
        <v>9863</v>
      </c>
      <c r="E31" s="16"/>
      <c r="F31" s="26">
        <f t="shared" si="6"/>
        <v>2439</v>
      </c>
      <c r="G31" s="26">
        <f t="shared" si="6"/>
        <v>653</v>
      </c>
    </row>
    <row r="33" spans="1:8" x14ac:dyDescent="0.25">
      <c r="A33" s="1" t="s">
        <v>46</v>
      </c>
      <c r="B33" s="2"/>
      <c r="C33" s="2"/>
      <c r="D33" s="2"/>
      <c r="E33" s="2"/>
      <c r="F33" s="2"/>
      <c r="G33" s="2"/>
    </row>
    <row r="34" spans="1:8" x14ac:dyDescent="0.25">
      <c r="A34" s="6" t="s">
        <v>47</v>
      </c>
      <c r="B34" s="3">
        <v>1305</v>
      </c>
      <c r="C34" s="3">
        <v>1996</v>
      </c>
      <c r="D34" s="3">
        <v>2412</v>
      </c>
      <c r="E34" s="3"/>
      <c r="F34" s="24">
        <f>C34-B34</f>
        <v>691</v>
      </c>
      <c r="G34" s="24">
        <f>D34-C34</f>
        <v>416</v>
      </c>
    </row>
    <row r="35" spans="1:8" x14ac:dyDescent="0.25">
      <c r="A35" s="6" t="s">
        <v>48</v>
      </c>
      <c r="B35" s="17">
        <v>9167</v>
      </c>
      <c r="C35" s="17">
        <v>12192.5</v>
      </c>
      <c r="D35" s="17">
        <v>17051</v>
      </c>
      <c r="E35" s="3"/>
      <c r="F35" s="25">
        <f t="shared" ref="F35:G36" si="8">C35-B35</f>
        <v>3025.5</v>
      </c>
      <c r="G35" s="25">
        <f t="shared" si="8"/>
        <v>4858.5</v>
      </c>
    </row>
    <row r="36" spans="1:8" x14ac:dyDescent="0.25">
      <c r="A36" s="1" t="s">
        <v>49</v>
      </c>
      <c r="B36" s="26">
        <f>SUM(B34:B35)</f>
        <v>10472</v>
      </c>
      <c r="C36" s="26">
        <f>SUM(C34:C35)</f>
        <v>14188.5</v>
      </c>
      <c r="D36" s="26">
        <f>SUM(D34:D35)</f>
        <v>19463</v>
      </c>
      <c r="E36" s="16"/>
      <c r="F36" s="26">
        <f t="shared" si="8"/>
        <v>3716.5</v>
      </c>
      <c r="G36" s="26">
        <f t="shared" si="8"/>
        <v>5274.5</v>
      </c>
    </row>
    <row r="37" spans="1:8" x14ac:dyDescent="0.25">
      <c r="A37" s="1"/>
      <c r="B37" s="16"/>
      <c r="C37" s="16"/>
      <c r="D37" s="16"/>
      <c r="E37" s="16"/>
      <c r="F37" s="16"/>
      <c r="G37" s="16"/>
    </row>
    <row r="38" spans="1:8" x14ac:dyDescent="0.25">
      <c r="A38" s="1" t="s">
        <v>50</v>
      </c>
      <c r="B38" s="29">
        <f>B31+B36</f>
        <v>17243</v>
      </c>
      <c r="C38" s="29">
        <f t="shared" ref="C38:D38" si="9">C31+C36</f>
        <v>23398.5</v>
      </c>
      <c r="D38" s="29">
        <f t="shared" si="9"/>
        <v>29326</v>
      </c>
      <c r="F38" s="29">
        <f>C38-B38</f>
        <v>6155.5</v>
      </c>
      <c r="G38" s="29">
        <f>D38-C38</f>
        <v>5927.5</v>
      </c>
    </row>
    <row r="40" spans="1:8" x14ac:dyDescent="0.25">
      <c r="A40" s="1" t="s">
        <v>52</v>
      </c>
    </row>
    <row r="41" spans="1:8" x14ac:dyDescent="0.25">
      <c r="A41" s="21" t="s">
        <v>53</v>
      </c>
      <c r="B41" s="3">
        <v>68</v>
      </c>
      <c r="C41" s="3">
        <v>68</v>
      </c>
      <c r="D41" s="3">
        <v>68</v>
      </c>
      <c r="F41" s="24">
        <f t="shared" ref="F41:G42" si="10">C41-B41</f>
        <v>0</v>
      </c>
      <c r="G41" s="24">
        <f t="shared" si="10"/>
        <v>0</v>
      </c>
    </row>
    <row r="42" spans="1:8" x14ac:dyDescent="0.25">
      <c r="A42" s="21" t="s">
        <v>54</v>
      </c>
      <c r="B42" s="3">
        <v>1130</v>
      </c>
      <c r="C42" s="3">
        <v>1130</v>
      </c>
      <c r="D42" s="3">
        <v>1130</v>
      </c>
      <c r="F42" s="24">
        <f t="shared" si="10"/>
        <v>0</v>
      </c>
      <c r="G42" s="24">
        <f t="shared" si="10"/>
        <v>0</v>
      </c>
    </row>
    <row r="43" spans="1:8" x14ac:dyDescent="0.25">
      <c r="A43" s="6" t="s">
        <v>55</v>
      </c>
      <c r="B43" s="17">
        <v>7299</v>
      </c>
      <c r="C43" s="44">
        <f>B43+'P&amp;L Answer'!C34+'CF Answer'!B33</f>
        <v>8389.5</v>
      </c>
      <c r="D43" s="44">
        <f>C43+'P&amp;L Answer'!D34+'CF Answer'!C33</f>
        <v>11049.4</v>
      </c>
      <c r="F43" s="25">
        <f t="shared" ref="F43:G44" si="11">C43-B43</f>
        <v>1090.5</v>
      </c>
      <c r="G43" s="25">
        <f t="shared" si="11"/>
        <v>2659.8999999999996</v>
      </c>
      <c r="H43" t="s">
        <v>97</v>
      </c>
    </row>
    <row r="44" spans="1:8" x14ac:dyDescent="0.25">
      <c r="A44" s="18" t="s">
        <v>56</v>
      </c>
      <c r="B44" s="29">
        <f>SUM(B41:B43)</f>
        <v>8497</v>
      </c>
      <c r="C44" s="29">
        <f t="shared" ref="C44:D44" si="12">SUM(C41:C43)</f>
        <v>9587.5</v>
      </c>
      <c r="D44" s="29">
        <f t="shared" si="12"/>
        <v>12247.4</v>
      </c>
      <c r="F44" s="29">
        <f t="shared" si="11"/>
        <v>1090.5</v>
      </c>
      <c r="G44" s="29">
        <f t="shared" si="11"/>
        <v>2659.8999999999996</v>
      </c>
    </row>
    <row r="46" spans="1:8" ht="15.75" thickBot="1" x14ac:dyDescent="0.3">
      <c r="A46" s="18" t="s">
        <v>57</v>
      </c>
      <c r="B46" s="27">
        <f>B44+B38</f>
        <v>25740</v>
      </c>
      <c r="C46" s="27">
        <f t="shared" ref="C46:D46" si="13">C44+C38</f>
        <v>32986</v>
      </c>
      <c r="D46" s="27">
        <f t="shared" si="13"/>
        <v>41573.4</v>
      </c>
      <c r="F46" s="27">
        <f t="shared" ref="F46:G46" si="14">C46-B46</f>
        <v>7246</v>
      </c>
      <c r="G46" s="27">
        <f t="shared" si="14"/>
        <v>8587.4000000000015</v>
      </c>
    </row>
    <row r="47" spans="1:8" ht="15.75" thickTop="1" x14ac:dyDescent="0.25"/>
    <row r="48" spans="1:8" x14ac:dyDescent="0.25">
      <c r="A48" s="6" t="s">
        <v>58</v>
      </c>
      <c r="B48" s="26">
        <f>B46-B22</f>
        <v>0</v>
      </c>
      <c r="C48" s="26">
        <f t="shared" ref="C48:D48" si="15">C46-C22</f>
        <v>0</v>
      </c>
      <c r="D48" s="26">
        <f t="shared" si="15"/>
        <v>0.40000000000145519</v>
      </c>
      <c r="E48" s="1"/>
      <c r="F48" s="26">
        <f t="shared" ref="F48:G48" si="16">C48-B48</f>
        <v>0</v>
      </c>
      <c r="G48" s="26">
        <f t="shared" si="16"/>
        <v>0.40000000000145519</v>
      </c>
    </row>
  </sheetData>
  <mergeCells count="2">
    <mergeCell ref="B5:D5"/>
    <mergeCell ref="F5:G5"/>
  </mergeCells>
  <pageMargins left="0.7" right="0.7" top="0.75" bottom="0.75" header="0.3" footer="0.3"/>
  <pageSetup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41"/>
  <sheetViews>
    <sheetView workbookViewId="0">
      <selection activeCell="E14" sqref="E14"/>
    </sheetView>
  </sheetViews>
  <sheetFormatPr defaultRowHeight="15" x14ac:dyDescent="0.25"/>
  <cols>
    <col min="1" max="1" width="58.85546875" bestFit="1" customWidth="1"/>
    <col min="4" max="4" width="3.140625" style="36" customWidth="1"/>
    <col min="5" max="5" width="22.85546875" customWidth="1"/>
  </cols>
  <sheetData>
    <row r="1" spans="1:5" ht="18.75" x14ac:dyDescent="0.3">
      <c r="A1" s="8" t="s">
        <v>261</v>
      </c>
    </row>
    <row r="2" spans="1:5" ht="18.75" x14ac:dyDescent="0.3">
      <c r="A2" s="8"/>
    </row>
    <row r="3" spans="1:5" x14ac:dyDescent="0.25">
      <c r="A3" s="1" t="s">
        <v>96</v>
      </c>
      <c r="B3" s="9"/>
      <c r="C3" s="9"/>
      <c r="D3" s="37"/>
    </row>
    <row r="5" spans="1:5" x14ac:dyDescent="0.25">
      <c r="A5" s="56" t="s">
        <v>60</v>
      </c>
      <c r="B5" s="57"/>
      <c r="C5" s="57"/>
      <c r="D5" s="57"/>
      <c r="E5" s="57"/>
    </row>
    <row r="6" spans="1:5" x14ac:dyDescent="0.25">
      <c r="A6" s="58" t="s">
        <v>15</v>
      </c>
      <c r="B6" s="56">
        <v>2018</v>
      </c>
      <c r="C6" s="56">
        <v>2019</v>
      </c>
      <c r="D6" s="56"/>
      <c r="E6" s="56" t="s">
        <v>63</v>
      </c>
    </row>
    <row r="7" spans="1:5" x14ac:dyDescent="0.25">
      <c r="A7" s="1" t="s">
        <v>61</v>
      </c>
    </row>
    <row r="8" spans="1:5" x14ac:dyDescent="0.25">
      <c r="A8" s="6" t="s">
        <v>62</v>
      </c>
      <c r="B8" s="24">
        <f>'P&amp;L Answer'!C34</f>
        <v>1340.5</v>
      </c>
      <c r="C8" s="24">
        <f>'P&amp;L Answer'!D34</f>
        <v>2909.9</v>
      </c>
      <c r="D8" s="40"/>
      <c r="E8" s="30" t="s">
        <v>0</v>
      </c>
    </row>
    <row r="10" spans="1:5" x14ac:dyDescent="0.25">
      <c r="A10" t="s">
        <v>64</v>
      </c>
    </row>
    <row r="11" spans="1:5" x14ac:dyDescent="0.25">
      <c r="A11" s="6" t="s">
        <v>65</v>
      </c>
    </row>
    <row r="12" spans="1:5" x14ac:dyDescent="0.25">
      <c r="A12" s="32" t="s">
        <v>66</v>
      </c>
      <c r="B12" s="24">
        <f>'P&amp;L Answer'!C21</f>
        <v>1207</v>
      </c>
      <c r="C12" s="24">
        <f>'P&amp;L Answer'!D21</f>
        <v>1510</v>
      </c>
      <c r="D12" s="40"/>
      <c r="E12" s="30" t="s">
        <v>0</v>
      </c>
    </row>
    <row r="14" spans="1:5" x14ac:dyDescent="0.25">
      <c r="A14" s="6" t="s">
        <v>67</v>
      </c>
    </row>
    <row r="15" spans="1:5" x14ac:dyDescent="0.25">
      <c r="A15" s="31" t="s">
        <v>68</v>
      </c>
      <c r="B15" s="24">
        <f>-'BS Answer'!F11</f>
        <v>-75</v>
      </c>
      <c r="C15" s="24">
        <f>-'BS Answer'!G11</f>
        <v>-999</v>
      </c>
      <c r="D15" s="40"/>
      <c r="E15" s="30" t="s">
        <v>74</v>
      </c>
    </row>
    <row r="16" spans="1:5" x14ac:dyDescent="0.25">
      <c r="A16" s="31" t="s">
        <v>69</v>
      </c>
      <c r="B16" s="24">
        <f>-'BS Answer'!F12</f>
        <v>-700</v>
      </c>
      <c r="C16" s="24">
        <f>-'BS Answer'!G12</f>
        <v>-1476</v>
      </c>
      <c r="D16" s="40"/>
      <c r="E16" s="30" t="s">
        <v>74</v>
      </c>
    </row>
    <row r="17" spans="1:5" x14ac:dyDescent="0.25">
      <c r="A17" s="31" t="s">
        <v>70</v>
      </c>
      <c r="B17" s="24">
        <f>-'BS Answer'!F13</f>
        <v>-1401</v>
      </c>
      <c r="C17" s="24">
        <f>-'BS Answer'!G13</f>
        <v>699</v>
      </c>
      <c r="D17" s="40"/>
      <c r="E17" s="30" t="s">
        <v>74</v>
      </c>
    </row>
    <row r="18" spans="1:5" x14ac:dyDescent="0.25">
      <c r="A18" s="31" t="s">
        <v>71</v>
      </c>
      <c r="B18" s="24">
        <f>'BS Answer'!F27</f>
        <v>1236</v>
      </c>
      <c r="C18" s="24">
        <f>'BS Answer'!G27</f>
        <v>1483</v>
      </c>
      <c r="D18" s="40"/>
      <c r="E18" s="30" t="s">
        <v>75</v>
      </c>
    </row>
    <row r="19" spans="1:5" x14ac:dyDescent="0.25">
      <c r="A19" s="31" t="s">
        <v>72</v>
      </c>
      <c r="B19" s="24">
        <f>'BS Answer'!F29</f>
        <v>26</v>
      </c>
      <c r="C19" s="24">
        <f>'BS Answer'!G29</f>
        <v>543</v>
      </c>
      <c r="D19" s="40"/>
      <c r="E19" s="30" t="s">
        <v>75</v>
      </c>
    </row>
    <row r="20" spans="1:5" x14ac:dyDescent="0.25">
      <c r="A20" s="31" t="s">
        <v>73</v>
      </c>
      <c r="B20" s="24">
        <f>'BS Answer'!F30</f>
        <v>1040</v>
      </c>
      <c r="C20" s="24">
        <f>'BS Answer'!G30</f>
        <v>-963</v>
      </c>
      <c r="D20" s="40"/>
      <c r="E20" s="30" t="s">
        <v>75</v>
      </c>
    </row>
    <row r="22" spans="1:5" x14ac:dyDescent="0.25">
      <c r="A22" s="33" t="s">
        <v>76</v>
      </c>
      <c r="B22" s="34">
        <f>SUM(B8:B20)</f>
        <v>2673.5</v>
      </c>
      <c r="C22" s="34">
        <f>SUM(C8:C20)</f>
        <v>3706.8999999999996</v>
      </c>
      <c r="D22" s="41"/>
      <c r="E22" s="30" t="s">
        <v>83</v>
      </c>
    </row>
    <row r="24" spans="1:5" x14ac:dyDescent="0.25">
      <c r="A24" s="1" t="s">
        <v>77</v>
      </c>
    </row>
    <row r="25" spans="1:5" x14ac:dyDescent="0.25">
      <c r="A25" s="6" t="s">
        <v>78</v>
      </c>
      <c r="B25" s="24">
        <f>-'BS Answer'!F16</f>
        <v>-3026</v>
      </c>
      <c r="C25" s="24">
        <f>-'BS Answer'!G16</f>
        <v>-4858</v>
      </c>
      <c r="D25" s="40"/>
      <c r="E25" s="30" t="s">
        <v>74</v>
      </c>
    </row>
    <row r="26" spans="1:5" x14ac:dyDescent="0.25">
      <c r="A26" s="31" t="s">
        <v>79</v>
      </c>
      <c r="B26" s="24">
        <f>-'BS Answer'!F20</f>
        <v>-418</v>
      </c>
      <c r="C26" s="24">
        <f>-'BS Answer'!G20</f>
        <v>-171</v>
      </c>
      <c r="D26" s="40"/>
      <c r="E26" s="30" t="s">
        <v>74</v>
      </c>
    </row>
    <row r="27" spans="1:5" x14ac:dyDescent="0.25">
      <c r="A27" s="31" t="s">
        <v>80</v>
      </c>
      <c r="B27" s="24">
        <f>'BS Answer'!F34</f>
        <v>691</v>
      </c>
      <c r="C27" s="24">
        <f>'BS Answer'!G34</f>
        <v>416</v>
      </c>
      <c r="D27" s="40"/>
      <c r="E27" s="30" t="s">
        <v>75</v>
      </c>
    </row>
    <row r="29" spans="1:5" x14ac:dyDescent="0.25">
      <c r="A29" s="22" t="s">
        <v>81</v>
      </c>
      <c r="B29" s="34">
        <f>SUM(B25:B27)</f>
        <v>-2753</v>
      </c>
      <c r="C29" s="34">
        <f t="shared" ref="C29" si="0">SUM(C25:C27)</f>
        <v>-4613</v>
      </c>
      <c r="D29" s="41"/>
      <c r="E29" s="30" t="s">
        <v>83</v>
      </c>
    </row>
    <row r="31" spans="1:5" x14ac:dyDescent="0.25">
      <c r="A31" s="1" t="s">
        <v>84</v>
      </c>
    </row>
    <row r="32" spans="1:5" x14ac:dyDescent="0.25">
      <c r="A32" s="6" t="s">
        <v>85</v>
      </c>
      <c r="B32" s="24">
        <f>'BS Answer'!F35+'BS Answer'!F28</f>
        <v>3162.5</v>
      </c>
      <c r="C32" s="24">
        <f>'BS Answer'!G35+'BS Answer'!G28</f>
        <v>4448.5</v>
      </c>
      <c r="D32" s="40"/>
      <c r="E32" s="30" t="s">
        <v>86</v>
      </c>
    </row>
    <row r="33" spans="1:5" x14ac:dyDescent="0.25">
      <c r="A33" s="6" t="s">
        <v>87</v>
      </c>
      <c r="B33" s="3">
        <v>-250</v>
      </c>
      <c r="C33" s="3">
        <v>-250</v>
      </c>
      <c r="D33" s="42"/>
      <c r="E33" t="s">
        <v>88</v>
      </c>
    </row>
    <row r="34" spans="1:5" x14ac:dyDescent="0.25">
      <c r="B34" s="3"/>
      <c r="C34" s="3"/>
      <c r="D34" s="42"/>
    </row>
    <row r="35" spans="1:5" x14ac:dyDescent="0.25">
      <c r="A35" s="22" t="s">
        <v>89</v>
      </c>
      <c r="B35" s="34">
        <f>B32+B33</f>
        <v>2912.5</v>
      </c>
      <c r="C35" s="34">
        <f t="shared" ref="C35" si="1">C32+C33</f>
        <v>4198.5</v>
      </c>
      <c r="D35" s="41"/>
      <c r="E35" s="30" t="s">
        <v>83</v>
      </c>
    </row>
    <row r="37" spans="1:5" x14ac:dyDescent="0.25">
      <c r="A37" s="1" t="s">
        <v>90</v>
      </c>
    </row>
    <row r="38" spans="1:5" x14ac:dyDescent="0.25">
      <c r="A38" t="s">
        <v>91</v>
      </c>
      <c r="B38" s="24">
        <f>'BS Answer'!B10</f>
        <v>682</v>
      </c>
      <c r="C38" s="24">
        <f>B39</f>
        <v>3515</v>
      </c>
      <c r="D38" s="40"/>
      <c r="E38" s="30" t="s">
        <v>95</v>
      </c>
    </row>
    <row r="39" spans="1:5" ht="15.75" thickBot="1" x14ac:dyDescent="0.3">
      <c r="A39" t="s">
        <v>92</v>
      </c>
      <c r="B39" s="35">
        <f>'BS Answer'!C10</f>
        <v>3515</v>
      </c>
      <c r="C39" s="35">
        <f>'BS Answer'!D10</f>
        <v>6807</v>
      </c>
      <c r="D39" s="43"/>
      <c r="E39" s="30" t="s">
        <v>95</v>
      </c>
    </row>
    <row r="40" spans="1:5" ht="15.75" thickTop="1" x14ac:dyDescent="0.25">
      <c r="A40" t="s">
        <v>93</v>
      </c>
      <c r="B40" s="3">
        <v>250</v>
      </c>
      <c r="C40" s="3">
        <v>250</v>
      </c>
      <c r="D40" s="42"/>
      <c r="E40" t="s">
        <v>88</v>
      </c>
    </row>
    <row r="41" spans="1:5" x14ac:dyDescent="0.25">
      <c r="A41" t="s">
        <v>94</v>
      </c>
      <c r="B41" s="24">
        <f>B39-B40</f>
        <v>3265</v>
      </c>
      <c r="C41" s="24">
        <f>C39-C40</f>
        <v>6557</v>
      </c>
      <c r="D41" s="40"/>
      <c r="E41" s="30" t="s">
        <v>82</v>
      </c>
    </row>
  </sheetData>
  <pageMargins left="0.7" right="0.7" top="0.75" bottom="0.75" header="0.3" footer="0.3"/>
  <pageSetup scale="8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72"/>
  <sheetViews>
    <sheetView tabSelected="1" zoomScaleNormal="100" workbookViewId="0">
      <selection activeCell="A10" sqref="A10"/>
    </sheetView>
  </sheetViews>
  <sheetFormatPr defaultRowHeight="15" x14ac:dyDescent="0.25"/>
  <cols>
    <col min="1" max="1" width="33.5703125" customWidth="1"/>
    <col min="2" max="2" width="65.7109375" customWidth="1"/>
    <col min="3" max="3" width="14.5703125" customWidth="1"/>
    <col min="4" max="4" width="13.140625" customWidth="1"/>
    <col min="5" max="5" width="10.42578125" bestFit="1" customWidth="1"/>
    <col min="6" max="6" width="58.140625" bestFit="1" customWidth="1"/>
  </cols>
  <sheetData>
    <row r="1" spans="1:6" ht="15.75" x14ac:dyDescent="0.25">
      <c r="A1" s="45" t="s">
        <v>104</v>
      </c>
    </row>
    <row r="2" spans="1:6" ht="15.75" x14ac:dyDescent="0.25">
      <c r="A2" s="45"/>
    </row>
    <row r="3" spans="1:6" x14ac:dyDescent="0.25">
      <c r="A3" s="1" t="s">
        <v>253</v>
      </c>
    </row>
    <row r="4" spans="1:6" x14ac:dyDescent="0.25">
      <c r="C4" s="59" t="s">
        <v>105</v>
      </c>
      <c r="D4" s="59"/>
      <c r="E4" s="59"/>
    </row>
    <row r="5" spans="1:6" x14ac:dyDescent="0.25">
      <c r="A5" s="1" t="s">
        <v>252</v>
      </c>
      <c r="B5" s="1" t="s">
        <v>101</v>
      </c>
      <c r="C5" s="2">
        <v>2017</v>
      </c>
      <c r="D5" s="2">
        <v>2018</v>
      </c>
      <c r="E5" s="2">
        <v>2019</v>
      </c>
      <c r="F5" s="2" t="s">
        <v>108</v>
      </c>
    </row>
    <row r="6" spans="1:6" x14ac:dyDescent="0.25">
      <c r="A6" s="1"/>
      <c r="B6" s="1"/>
      <c r="C6" s="2"/>
      <c r="D6" s="2"/>
      <c r="E6" s="2"/>
      <c r="F6" s="2"/>
    </row>
    <row r="7" spans="1:6" x14ac:dyDescent="0.25">
      <c r="A7" s="1" t="s">
        <v>98</v>
      </c>
      <c r="B7" s="1"/>
      <c r="C7" s="2"/>
      <c r="D7" s="2"/>
      <c r="E7" s="2"/>
      <c r="F7" s="2"/>
    </row>
    <row r="8" spans="1:6" x14ac:dyDescent="0.25">
      <c r="A8" s="6" t="s">
        <v>99</v>
      </c>
      <c r="B8" t="s">
        <v>100</v>
      </c>
      <c r="C8" s="46"/>
      <c r="D8" s="46"/>
      <c r="E8" s="46"/>
      <c r="F8" t="s">
        <v>109</v>
      </c>
    </row>
    <row r="9" spans="1:6" x14ac:dyDescent="0.25">
      <c r="A9" s="6" t="s">
        <v>102</v>
      </c>
      <c r="B9" t="s">
        <v>106</v>
      </c>
      <c r="C9" s="46"/>
      <c r="D9" s="46"/>
      <c r="E9" s="46"/>
      <c r="F9" t="s">
        <v>110</v>
      </c>
    </row>
    <row r="10" spans="1:6" ht="30" x14ac:dyDescent="0.25">
      <c r="A10" s="6" t="s">
        <v>103</v>
      </c>
      <c r="B10" t="s">
        <v>107</v>
      </c>
      <c r="C10" s="46"/>
      <c r="D10" s="46"/>
      <c r="E10" s="46"/>
      <c r="F10" s="47" t="s">
        <v>111</v>
      </c>
    </row>
    <row r="12" spans="1:6" x14ac:dyDescent="0.25">
      <c r="A12" s="1" t="s">
        <v>132</v>
      </c>
    </row>
    <row r="13" spans="1:6" x14ac:dyDescent="0.25">
      <c r="A13" s="6" t="s">
        <v>113</v>
      </c>
      <c r="B13" t="s">
        <v>112</v>
      </c>
      <c r="C13" s="14"/>
      <c r="D13" s="14"/>
      <c r="E13" s="14"/>
      <c r="F13" t="s">
        <v>114</v>
      </c>
    </row>
    <row r="14" spans="1:6" x14ac:dyDescent="0.25">
      <c r="A14" s="6" t="s">
        <v>115</v>
      </c>
      <c r="B14" t="s">
        <v>116</v>
      </c>
      <c r="C14" s="14"/>
      <c r="D14" s="14"/>
      <c r="E14" s="14"/>
      <c r="F14" t="s">
        <v>117</v>
      </c>
    </row>
    <row r="15" spans="1:6" x14ac:dyDescent="0.25">
      <c r="A15" s="6" t="s">
        <v>118</v>
      </c>
      <c r="B15" t="s">
        <v>119</v>
      </c>
      <c r="C15" s="46"/>
      <c r="D15" s="46"/>
      <c r="E15" s="46"/>
      <c r="F15" t="s">
        <v>120</v>
      </c>
    </row>
    <row r="16" spans="1:6" x14ac:dyDescent="0.25">
      <c r="A16" s="6" t="s">
        <v>121</v>
      </c>
      <c r="B16" t="s">
        <v>134</v>
      </c>
      <c r="C16" s="49" t="s">
        <v>130</v>
      </c>
      <c r="D16" s="46"/>
      <c r="E16" s="46"/>
      <c r="F16" t="s">
        <v>131</v>
      </c>
    </row>
    <row r="17" spans="1:6" x14ac:dyDescent="0.25">
      <c r="A17" s="6" t="s">
        <v>125</v>
      </c>
      <c r="B17" s="47" t="s">
        <v>127</v>
      </c>
      <c r="C17" s="49" t="s">
        <v>130</v>
      </c>
      <c r="D17" s="46"/>
      <c r="E17" s="46"/>
      <c r="F17" t="s">
        <v>136</v>
      </c>
    </row>
    <row r="18" spans="1:6" x14ac:dyDescent="0.25">
      <c r="A18" s="6" t="s">
        <v>126</v>
      </c>
      <c r="B18" t="s">
        <v>128</v>
      </c>
      <c r="C18" s="49" t="s">
        <v>130</v>
      </c>
      <c r="D18" s="46"/>
      <c r="E18" s="46"/>
      <c r="F18" t="s">
        <v>135</v>
      </c>
    </row>
    <row r="19" spans="1:6" x14ac:dyDescent="0.25">
      <c r="A19" s="6" t="s">
        <v>122</v>
      </c>
      <c r="B19" t="s">
        <v>137</v>
      </c>
      <c r="C19" s="49" t="s">
        <v>130</v>
      </c>
      <c r="D19" s="46"/>
      <c r="E19" s="46"/>
      <c r="F19" t="s">
        <v>141</v>
      </c>
    </row>
    <row r="20" spans="1:6" x14ac:dyDescent="0.25">
      <c r="A20" s="6"/>
      <c r="C20" s="49"/>
      <c r="D20" s="49"/>
      <c r="E20" s="49"/>
    </row>
    <row r="21" spans="1:6" x14ac:dyDescent="0.25">
      <c r="A21" s="6" t="s">
        <v>140</v>
      </c>
    </row>
    <row r="22" spans="1:6" x14ac:dyDescent="0.25">
      <c r="A22" s="6" t="s">
        <v>133</v>
      </c>
    </row>
    <row r="23" spans="1:6" x14ac:dyDescent="0.25">
      <c r="A23" s="6"/>
    </row>
    <row r="24" spans="1:6" x14ac:dyDescent="0.25">
      <c r="A24" s="18" t="s">
        <v>139</v>
      </c>
    </row>
    <row r="25" spans="1:6" x14ac:dyDescent="0.25">
      <c r="A25" s="6" t="s">
        <v>123</v>
      </c>
      <c r="B25" t="s">
        <v>138</v>
      </c>
      <c r="C25" s="46"/>
      <c r="D25" s="46"/>
      <c r="E25" s="46"/>
      <c r="F25" t="s">
        <v>142</v>
      </c>
    </row>
    <row r="26" spans="1:6" x14ac:dyDescent="0.25">
      <c r="A26" s="6" t="s">
        <v>124</v>
      </c>
      <c r="B26" s="48" t="s">
        <v>129</v>
      </c>
      <c r="C26" s="46"/>
      <c r="D26" s="46"/>
      <c r="E26" s="46"/>
      <c r="F26" t="s">
        <v>143</v>
      </c>
    </row>
    <row r="27" spans="1:6" x14ac:dyDescent="0.25">
      <c r="A27" s="6"/>
      <c r="B27" s="48"/>
    </row>
    <row r="28" spans="1:6" x14ac:dyDescent="0.25">
      <c r="A28" s="1" t="s">
        <v>144</v>
      </c>
    </row>
    <row r="29" spans="1:6" x14ac:dyDescent="0.25">
      <c r="A29" s="6" t="s">
        <v>145</v>
      </c>
      <c r="B29" t="s">
        <v>152</v>
      </c>
      <c r="C29" s="49" t="s">
        <v>130</v>
      </c>
      <c r="D29" s="50"/>
      <c r="E29" s="50"/>
      <c r="F29" t="s">
        <v>164</v>
      </c>
    </row>
    <row r="30" spans="1:6" x14ac:dyDescent="0.25">
      <c r="A30" s="6" t="s">
        <v>158</v>
      </c>
      <c r="B30" t="s">
        <v>153</v>
      </c>
      <c r="C30" s="49" t="s">
        <v>130</v>
      </c>
      <c r="D30" s="51"/>
      <c r="E30" s="51"/>
      <c r="F30" t="s">
        <v>166</v>
      </c>
    </row>
    <row r="31" spans="1:6" ht="30" x14ac:dyDescent="0.25">
      <c r="A31" s="6" t="s">
        <v>146</v>
      </c>
      <c r="B31" t="s">
        <v>154</v>
      </c>
      <c r="C31" s="49" t="s">
        <v>130</v>
      </c>
      <c r="D31" s="50"/>
      <c r="E31" s="50"/>
      <c r="F31" s="47" t="s">
        <v>165</v>
      </c>
    </row>
    <row r="32" spans="1:6" x14ac:dyDescent="0.25">
      <c r="A32" s="6" t="s">
        <v>159</v>
      </c>
      <c r="B32" t="s">
        <v>155</v>
      </c>
      <c r="C32" s="49" t="s">
        <v>130</v>
      </c>
      <c r="D32" s="51"/>
      <c r="E32" s="51"/>
      <c r="F32" t="s">
        <v>167</v>
      </c>
    </row>
    <row r="33" spans="1:6" x14ac:dyDescent="0.25">
      <c r="A33" s="6" t="s">
        <v>147</v>
      </c>
      <c r="B33" t="s">
        <v>156</v>
      </c>
      <c r="C33" s="49" t="s">
        <v>130</v>
      </c>
      <c r="D33" s="50"/>
      <c r="E33" s="50"/>
      <c r="F33" t="s">
        <v>168</v>
      </c>
    </row>
    <row r="34" spans="1:6" x14ac:dyDescent="0.25">
      <c r="A34" s="6" t="s">
        <v>160</v>
      </c>
      <c r="B34" t="s">
        <v>157</v>
      </c>
      <c r="C34" s="49" t="s">
        <v>130</v>
      </c>
      <c r="D34" s="51"/>
      <c r="E34" s="51"/>
      <c r="F34" t="s">
        <v>169</v>
      </c>
    </row>
    <row r="35" spans="1:6" x14ac:dyDescent="0.25">
      <c r="A35" s="6" t="s">
        <v>148</v>
      </c>
      <c r="B35" t="s">
        <v>161</v>
      </c>
      <c r="C35" s="49" t="s">
        <v>130</v>
      </c>
      <c r="D35" s="51"/>
      <c r="E35" s="51"/>
      <c r="F35" t="s">
        <v>170</v>
      </c>
    </row>
    <row r="36" spans="1:6" x14ac:dyDescent="0.25">
      <c r="A36" s="6" t="s">
        <v>149</v>
      </c>
      <c r="B36" t="s">
        <v>162</v>
      </c>
      <c r="C36" s="49" t="s">
        <v>130</v>
      </c>
      <c r="D36" s="50"/>
      <c r="E36" s="50"/>
      <c r="F36" t="s">
        <v>171</v>
      </c>
    </row>
    <row r="37" spans="1:6" x14ac:dyDescent="0.25">
      <c r="A37" s="6" t="s">
        <v>150</v>
      </c>
      <c r="B37" t="s">
        <v>163</v>
      </c>
      <c r="C37" s="49" t="s">
        <v>130</v>
      </c>
      <c r="D37" s="50"/>
      <c r="E37" s="50"/>
      <c r="F37" t="s">
        <v>172</v>
      </c>
    </row>
    <row r="38" spans="1:6" x14ac:dyDescent="0.25">
      <c r="A38" s="6" t="s">
        <v>151</v>
      </c>
      <c r="B38" t="s">
        <v>174</v>
      </c>
      <c r="C38" s="49" t="s">
        <v>130</v>
      </c>
      <c r="D38" s="46"/>
      <c r="E38" s="46"/>
      <c r="F38" t="s">
        <v>173</v>
      </c>
    </row>
    <row r="39" spans="1:6" x14ac:dyDescent="0.25">
      <c r="B39" t="s">
        <v>175</v>
      </c>
    </row>
    <row r="40" spans="1:6" x14ac:dyDescent="0.25">
      <c r="B40" t="s">
        <v>176</v>
      </c>
    </row>
    <row r="42" spans="1:6" x14ac:dyDescent="0.25">
      <c r="A42" s="1" t="s">
        <v>177</v>
      </c>
    </row>
    <row r="43" spans="1:6" x14ac:dyDescent="0.25">
      <c r="A43" s="6" t="s">
        <v>202</v>
      </c>
      <c r="B43" t="s">
        <v>187</v>
      </c>
      <c r="C43" s="52"/>
      <c r="D43" s="52"/>
      <c r="E43" s="52"/>
      <c r="F43" t="s">
        <v>205</v>
      </c>
    </row>
    <row r="44" spans="1:6" x14ac:dyDescent="0.25">
      <c r="A44" s="6" t="s">
        <v>178</v>
      </c>
      <c r="B44" t="s">
        <v>185</v>
      </c>
      <c r="C44" s="52"/>
      <c r="D44" s="52"/>
      <c r="E44" s="52"/>
      <c r="F44" t="s">
        <v>204</v>
      </c>
    </row>
    <row r="45" spans="1:6" x14ac:dyDescent="0.25">
      <c r="A45" s="6" t="s">
        <v>179</v>
      </c>
      <c r="B45" t="s">
        <v>186</v>
      </c>
      <c r="C45" s="52"/>
      <c r="D45" s="52"/>
      <c r="E45" s="52"/>
      <c r="F45" t="s">
        <v>206</v>
      </c>
    </row>
    <row r="46" spans="1:6" x14ac:dyDescent="0.25">
      <c r="A46" s="6" t="s">
        <v>180</v>
      </c>
      <c r="B46" t="s">
        <v>188</v>
      </c>
      <c r="C46" s="52"/>
      <c r="D46" s="52"/>
      <c r="E46" s="52"/>
      <c r="F46" t="s">
        <v>189</v>
      </c>
    </row>
    <row r="47" spans="1:6" x14ac:dyDescent="0.25">
      <c r="A47" s="6" t="s">
        <v>207</v>
      </c>
      <c r="B47" t="s">
        <v>190</v>
      </c>
      <c r="C47" s="52"/>
      <c r="D47" s="52"/>
      <c r="E47" s="52"/>
      <c r="F47" t="s">
        <v>208</v>
      </c>
    </row>
    <row r="48" spans="1:6" x14ac:dyDescent="0.25">
      <c r="A48" s="6" t="s">
        <v>191</v>
      </c>
      <c r="B48" t="s">
        <v>193</v>
      </c>
      <c r="C48" s="49" t="s">
        <v>130</v>
      </c>
      <c r="D48" s="52"/>
      <c r="E48" s="52"/>
      <c r="F48" t="s">
        <v>209</v>
      </c>
    </row>
    <row r="49" spans="1:6" x14ac:dyDescent="0.25">
      <c r="A49" s="6" t="s">
        <v>192</v>
      </c>
      <c r="B49" t="s">
        <v>194</v>
      </c>
      <c r="C49" s="49" t="s">
        <v>130</v>
      </c>
      <c r="D49" s="52"/>
      <c r="E49" s="52"/>
      <c r="F49" t="s">
        <v>210</v>
      </c>
    </row>
    <row r="50" spans="1:6" ht="45" x14ac:dyDescent="0.25">
      <c r="A50" s="6" t="s">
        <v>181</v>
      </c>
      <c r="B50" s="47" t="s">
        <v>195</v>
      </c>
      <c r="C50" s="49" t="s">
        <v>130</v>
      </c>
      <c r="D50" s="52"/>
      <c r="E50" s="52"/>
      <c r="F50" t="s">
        <v>211</v>
      </c>
    </row>
    <row r="51" spans="1:6" x14ac:dyDescent="0.25">
      <c r="A51" s="6" t="s">
        <v>182</v>
      </c>
      <c r="B51" t="s">
        <v>196</v>
      </c>
      <c r="C51" s="49" t="s">
        <v>130</v>
      </c>
      <c r="D51" s="49" t="s">
        <v>130</v>
      </c>
      <c r="E51" s="49" t="s">
        <v>130</v>
      </c>
      <c r="F51" t="s">
        <v>212</v>
      </c>
    </row>
    <row r="52" spans="1:6" x14ac:dyDescent="0.25">
      <c r="A52" s="6" t="s">
        <v>183</v>
      </c>
      <c r="B52" t="s">
        <v>214</v>
      </c>
      <c r="C52" s="52"/>
      <c r="D52" s="52"/>
      <c r="E52" s="52"/>
      <c r="F52" t="s">
        <v>213</v>
      </c>
    </row>
    <row r="53" spans="1:6" x14ac:dyDescent="0.25">
      <c r="A53" s="6" t="s">
        <v>184</v>
      </c>
      <c r="B53" t="s">
        <v>197</v>
      </c>
      <c r="C53" s="13"/>
      <c r="D53" s="13"/>
      <c r="E53" s="13"/>
      <c r="F53" t="s">
        <v>215</v>
      </c>
    </row>
    <row r="54" spans="1:6" ht="45" x14ac:dyDescent="0.25">
      <c r="A54" s="6" t="s">
        <v>257</v>
      </c>
      <c r="B54" s="47" t="s">
        <v>216</v>
      </c>
      <c r="C54" s="49" t="s">
        <v>130</v>
      </c>
      <c r="D54" s="49" t="s">
        <v>130</v>
      </c>
      <c r="E54" s="49" t="s">
        <v>130</v>
      </c>
      <c r="F54" s="49" t="s">
        <v>219</v>
      </c>
    </row>
    <row r="55" spans="1:6" ht="45" x14ac:dyDescent="0.25">
      <c r="A55" s="6" t="s">
        <v>217</v>
      </c>
      <c r="B55" t="s">
        <v>218</v>
      </c>
      <c r="C55" s="49" t="s">
        <v>130</v>
      </c>
      <c r="D55" s="54"/>
      <c r="E55" s="51"/>
      <c r="F55" s="47" t="s">
        <v>220</v>
      </c>
    </row>
    <row r="56" spans="1:6" x14ac:dyDescent="0.25">
      <c r="A56" s="6"/>
      <c r="B56" s="6" t="s">
        <v>221</v>
      </c>
      <c r="C56" s="54"/>
      <c r="D56" s="54"/>
      <c r="E56" s="54"/>
      <c r="F56" s="47"/>
    </row>
    <row r="57" spans="1:6" x14ac:dyDescent="0.25">
      <c r="A57" s="6"/>
      <c r="B57" s="6" t="s">
        <v>222</v>
      </c>
      <c r="C57" s="49" t="s">
        <v>130</v>
      </c>
      <c r="D57" s="54"/>
      <c r="E57" s="54"/>
      <c r="F57" s="47" t="s">
        <v>223</v>
      </c>
    </row>
    <row r="58" spans="1:6" x14ac:dyDescent="0.25">
      <c r="A58" s="6" t="s">
        <v>198</v>
      </c>
      <c r="B58" t="s">
        <v>199</v>
      </c>
      <c r="C58" s="49" t="s">
        <v>130</v>
      </c>
      <c r="D58" s="54"/>
      <c r="E58" s="54"/>
      <c r="F58" s="47" t="s">
        <v>224</v>
      </c>
    </row>
    <row r="59" spans="1:6" x14ac:dyDescent="0.25">
      <c r="A59" s="6" t="s">
        <v>200</v>
      </c>
      <c r="B59" t="s">
        <v>201</v>
      </c>
      <c r="C59" s="49" t="s">
        <v>130</v>
      </c>
      <c r="D59" s="54"/>
      <c r="E59" s="54"/>
      <c r="F59" s="47" t="s">
        <v>225</v>
      </c>
    </row>
    <row r="62" spans="1:6" x14ac:dyDescent="0.25">
      <c r="A62" t="s">
        <v>203</v>
      </c>
    </row>
    <row r="64" spans="1:6" x14ac:dyDescent="0.25">
      <c r="A64" s="1" t="s">
        <v>226</v>
      </c>
    </row>
    <row r="65" spans="1:6" x14ac:dyDescent="0.25">
      <c r="A65" s="6" t="s">
        <v>227</v>
      </c>
      <c r="B65" t="s">
        <v>236</v>
      </c>
      <c r="C65" s="49" t="s">
        <v>130</v>
      </c>
      <c r="D65" s="52"/>
      <c r="E65" s="52"/>
      <c r="F65" t="s">
        <v>243</v>
      </c>
    </row>
    <row r="66" spans="1:6" x14ac:dyDescent="0.25">
      <c r="A66" s="6" t="s">
        <v>228</v>
      </c>
      <c r="B66" t="s">
        <v>235</v>
      </c>
      <c r="C66" s="52"/>
      <c r="D66" s="52"/>
      <c r="E66" s="52"/>
      <c r="F66" t="s">
        <v>245</v>
      </c>
    </row>
    <row r="67" spans="1:6" x14ac:dyDescent="0.25">
      <c r="A67" s="6" t="s">
        <v>229</v>
      </c>
      <c r="B67" t="s">
        <v>237</v>
      </c>
      <c r="C67" s="53"/>
      <c r="D67" s="53"/>
      <c r="E67" s="53"/>
      <c r="F67" t="s">
        <v>246</v>
      </c>
    </row>
    <row r="68" spans="1:6" x14ac:dyDescent="0.25">
      <c r="A68" s="6" t="s">
        <v>230</v>
      </c>
      <c r="B68" t="s">
        <v>238</v>
      </c>
      <c r="C68" s="50"/>
      <c r="D68" s="50"/>
      <c r="E68" s="50"/>
      <c r="F68" t="s">
        <v>247</v>
      </c>
    </row>
    <row r="69" spans="1:6" x14ac:dyDescent="0.25">
      <c r="A69" s="6" t="s">
        <v>231</v>
      </c>
      <c r="B69" t="s">
        <v>239</v>
      </c>
      <c r="C69" s="50"/>
      <c r="D69" s="50"/>
      <c r="E69" s="50"/>
      <c r="F69" t="s">
        <v>248</v>
      </c>
    </row>
    <row r="70" spans="1:6" x14ac:dyDescent="0.25">
      <c r="A70" s="6" t="s">
        <v>232</v>
      </c>
      <c r="B70" t="s">
        <v>240</v>
      </c>
      <c r="C70" t="s">
        <v>130</v>
      </c>
      <c r="D70" s="50"/>
      <c r="E70" s="50"/>
      <c r="F70" t="s">
        <v>249</v>
      </c>
    </row>
    <row r="71" spans="1:6" x14ac:dyDescent="0.25">
      <c r="A71" s="6" t="s">
        <v>233</v>
      </c>
      <c r="B71" t="s">
        <v>241</v>
      </c>
      <c r="C71" s="50"/>
      <c r="D71" s="50"/>
      <c r="E71" s="50"/>
      <c r="F71" t="s">
        <v>250</v>
      </c>
    </row>
    <row r="72" spans="1:6" x14ac:dyDescent="0.25">
      <c r="A72" s="6" t="s">
        <v>234</v>
      </c>
      <c r="B72" t="s">
        <v>242</v>
      </c>
      <c r="C72" t="s">
        <v>130</v>
      </c>
      <c r="D72" t="s">
        <v>130</v>
      </c>
      <c r="E72" t="s">
        <v>130</v>
      </c>
      <c r="F72" t="s">
        <v>251</v>
      </c>
    </row>
  </sheetData>
  <mergeCells count="1">
    <mergeCell ref="C4:E4"/>
  </mergeCells>
  <pageMargins left="0.7" right="0.7" top="0.75" bottom="0.75" header="0.3" footer="0.3"/>
  <pageSetup scale="59" fitToHeight="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72"/>
  <sheetViews>
    <sheetView topLeftCell="A64" zoomScaleNormal="100" workbookViewId="0">
      <selection activeCell="C68" sqref="C68"/>
    </sheetView>
  </sheetViews>
  <sheetFormatPr defaultRowHeight="15" x14ac:dyDescent="0.25"/>
  <cols>
    <col min="1" max="1" width="33.5703125" customWidth="1"/>
    <col min="2" max="2" width="65.7109375" customWidth="1"/>
    <col min="3" max="3" width="14.5703125" customWidth="1"/>
    <col min="4" max="4" width="13.140625" customWidth="1"/>
    <col min="5" max="5" width="10.42578125" bestFit="1" customWidth="1"/>
    <col min="6" max="6" width="58.140625" bestFit="1" customWidth="1"/>
  </cols>
  <sheetData>
    <row r="1" spans="1:6" ht="15.75" x14ac:dyDescent="0.25">
      <c r="A1" s="45" t="s">
        <v>104</v>
      </c>
    </row>
    <row r="2" spans="1:6" ht="15.75" x14ac:dyDescent="0.25">
      <c r="A2" s="45"/>
    </row>
    <row r="3" spans="1:6" x14ac:dyDescent="0.25">
      <c r="A3" s="1" t="s">
        <v>253</v>
      </c>
    </row>
    <row r="4" spans="1:6" x14ac:dyDescent="0.25">
      <c r="C4" s="59" t="s">
        <v>105</v>
      </c>
      <c r="D4" s="59"/>
      <c r="E4" s="59"/>
    </row>
    <row r="5" spans="1:6" x14ac:dyDescent="0.25">
      <c r="A5" s="1" t="s">
        <v>252</v>
      </c>
      <c r="B5" s="1" t="s">
        <v>101</v>
      </c>
      <c r="C5" s="2">
        <v>2017</v>
      </c>
      <c r="D5" s="2">
        <v>2018</v>
      </c>
      <c r="E5" s="2">
        <v>2019</v>
      </c>
      <c r="F5" s="2" t="s">
        <v>108</v>
      </c>
    </row>
    <row r="6" spans="1:6" x14ac:dyDescent="0.25">
      <c r="A6" s="1"/>
      <c r="B6" s="1"/>
      <c r="C6" s="2"/>
      <c r="D6" s="2"/>
      <c r="E6" s="2"/>
      <c r="F6" s="2"/>
    </row>
    <row r="7" spans="1:6" x14ac:dyDescent="0.25">
      <c r="A7" s="1" t="s">
        <v>98</v>
      </c>
      <c r="B7" s="1"/>
      <c r="C7" s="2"/>
      <c r="D7" s="2"/>
      <c r="E7" s="2"/>
      <c r="F7" s="2"/>
    </row>
    <row r="8" spans="1:6" x14ac:dyDescent="0.25">
      <c r="A8" s="6" t="s">
        <v>99</v>
      </c>
      <c r="B8" t="s">
        <v>100</v>
      </c>
      <c r="C8" s="46">
        <f>'BS Answer'!B14/'BS Answer'!B31</f>
        <v>1.5861763402747009</v>
      </c>
      <c r="D8" s="46">
        <f>'BS Answer'!C14/'BS Answer'!C31</f>
        <v>1.7099891422366993</v>
      </c>
      <c r="E8" s="46">
        <f>'BS Answer'!D14/'BS Answer'!D31</f>
        <v>2.1106154314103214</v>
      </c>
      <c r="F8" t="s">
        <v>109</v>
      </c>
    </row>
    <row r="9" spans="1:6" x14ac:dyDescent="0.25">
      <c r="A9" s="6" t="s">
        <v>102</v>
      </c>
      <c r="B9" t="s">
        <v>106</v>
      </c>
      <c r="C9" s="46">
        <f>('BS Answer'!B14-'BS Answer'!B13-'BS Answer'!B12)/'BS Answer'!B31</f>
        <v>0.8403485452665781</v>
      </c>
      <c r="D9" s="46">
        <f>('BS Answer'!C14-'BS Answer'!C13-'BS Answer'!C12)/'BS Answer'!C31</f>
        <v>0.93355048859934853</v>
      </c>
      <c r="E9" s="46">
        <f>('BS Answer'!D14-'BS Answer'!D13-'BS Answer'!D12)/'BS Answer'!D31</f>
        <v>1.3068032038933388</v>
      </c>
      <c r="F9" t="s">
        <v>110</v>
      </c>
    </row>
    <row r="10" spans="1:6" ht="30" x14ac:dyDescent="0.25">
      <c r="A10" s="6" t="s">
        <v>103</v>
      </c>
      <c r="B10" t="s">
        <v>107</v>
      </c>
      <c r="C10" s="46">
        <f>'BS Answer'!B10/'BS Answer'!B31</f>
        <v>0.1007236744941663</v>
      </c>
      <c r="D10" s="46">
        <f>'BS Answer'!C10/'BS Answer'!C31</f>
        <v>0.38165038002171553</v>
      </c>
      <c r="E10" s="46">
        <f>'BS Answer'!D10/'BS Answer'!D31</f>
        <v>0.69015512521545164</v>
      </c>
      <c r="F10" s="47" t="s">
        <v>111</v>
      </c>
    </row>
    <row r="12" spans="1:6" x14ac:dyDescent="0.25">
      <c r="A12" s="1" t="s">
        <v>132</v>
      </c>
    </row>
    <row r="13" spans="1:6" x14ac:dyDescent="0.25">
      <c r="A13" s="6" t="s">
        <v>113</v>
      </c>
      <c r="B13" t="s">
        <v>112</v>
      </c>
      <c r="C13" s="14">
        <f>('BS Answer'!B35+'BS Answer'!B28)/'BS Answer'!B22</f>
        <v>0.39028749028749027</v>
      </c>
      <c r="D13" s="14">
        <f>('BS Answer'!C35+'BS Answer'!C28)/'BS Answer'!C22</f>
        <v>0.40042745407142422</v>
      </c>
      <c r="E13" s="14">
        <f>('BS Answer'!D35+'BS Answer'!D28)/'BS Answer'!D22</f>
        <v>0.42472277680225146</v>
      </c>
      <c r="F13" t="s">
        <v>114</v>
      </c>
    </row>
    <row r="14" spans="1:6" x14ac:dyDescent="0.25">
      <c r="A14" s="6" t="s">
        <v>115</v>
      </c>
      <c r="B14" t="s">
        <v>116</v>
      </c>
      <c r="C14" s="14">
        <f>('BS Answer'!B35+'BS Answer'!B28)/'BS Answer'!B44</f>
        <v>1.1822996351653525</v>
      </c>
      <c r="D14" s="14">
        <f>('BS Answer'!C35+'BS Answer'!C28)/'BS Answer'!C44</f>
        <v>1.3776792698826597</v>
      </c>
      <c r="E14" s="14">
        <f>('BS Answer'!D35+'BS Answer'!D28)/'BS Answer'!D44</f>
        <v>1.4416937472443132</v>
      </c>
      <c r="F14" t="s">
        <v>117</v>
      </c>
    </row>
    <row r="15" spans="1:6" x14ac:dyDescent="0.25">
      <c r="A15" s="6" t="s">
        <v>118</v>
      </c>
      <c r="B15" t="s">
        <v>119</v>
      </c>
      <c r="C15" s="46">
        <f>'BS Answer'!B35/'BS Answer'!B44</f>
        <v>1.0788513593032836</v>
      </c>
      <c r="D15" s="46">
        <f>'BS Answer'!C35/'BS Answer'!C44</f>
        <v>1.2717079530638853</v>
      </c>
      <c r="E15" s="46">
        <f>'BS Answer'!D35/'BS Answer'!D44</f>
        <v>1.39221385763509</v>
      </c>
      <c r="F15" t="s">
        <v>120</v>
      </c>
    </row>
    <row r="16" spans="1:6" x14ac:dyDescent="0.25">
      <c r="A16" s="6" t="s">
        <v>121</v>
      </c>
      <c r="B16" t="s">
        <v>134</v>
      </c>
      <c r="C16" s="49" t="s">
        <v>130</v>
      </c>
      <c r="D16" s="46">
        <f>(('P&amp;L Answer'!C$23/'P&amp;L Answer'!B$23)-1)/('P&amp;L Answer'!C8/'P&amp;L Answer'!B8-1)</f>
        <v>-0.90167686046047457</v>
      </c>
      <c r="E16" s="46">
        <f>(('P&amp;L Answer'!D$23/'P&amp;L Answer'!C$23)-1)/('P&amp;L Answer'!D8/'P&amp;L Answer'!C8-1)</f>
        <v>4.2454754747439916</v>
      </c>
      <c r="F16" t="s">
        <v>131</v>
      </c>
    </row>
    <row r="17" spans="1:6" x14ac:dyDescent="0.25">
      <c r="A17" s="6" t="s">
        <v>125</v>
      </c>
      <c r="B17" s="47" t="s">
        <v>127</v>
      </c>
      <c r="C17" s="49" t="s">
        <v>130</v>
      </c>
      <c r="D17" s="46">
        <f>('P&amp;L Answer'!C39/'P&amp;L Answer'!B39-1)/('P&amp;L Answer'!C$23/'P&amp;L Answer'!B$23-1)</f>
        <v>1.2379505105150868</v>
      </c>
      <c r="E17" s="46">
        <f>('P&amp;L Answer'!D39/'P&amp;L Answer'!C39-1)/('P&amp;L Answer'!D$23/'P&amp;L Answer'!C$23-1)</f>
        <v>1.2774655019765522</v>
      </c>
      <c r="F17" t="s">
        <v>136</v>
      </c>
    </row>
    <row r="18" spans="1:6" x14ac:dyDescent="0.25">
      <c r="A18" s="6" t="s">
        <v>126</v>
      </c>
      <c r="B18" t="s">
        <v>128</v>
      </c>
      <c r="C18" s="49" t="s">
        <v>130</v>
      </c>
      <c r="D18" s="46">
        <f>('P&amp;L Answer'!C34/'P&amp;L Answer'!B34-1)/('P&amp;L Answer'!C$23/'P&amp;L Answer'!B$23-1)</f>
        <v>1.2379505105150868</v>
      </c>
      <c r="E18" s="46">
        <f>('P&amp;L Answer'!D34/'P&amp;L Answer'!C34-1)/('P&amp;L Answer'!D$23/'P&amp;L Answer'!C$23-1)</f>
        <v>1.2774655019765522</v>
      </c>
      <c r="F18" t="s">
        <v>135</v>
      </c>
    </row>
    <row r="19" spans="1:6" x14ac:dyDescent="0.25">
      <c r="A19" s="6" t="s">
        <v>122</v>
      </c>
      <c r="B19" t="s">
        <v>137</v>
      </c>
      <c r="C19" s="49" t="s">
        <v>130</v>
      </c>
      <c r="D19" s="46">
        <f>D16*D17</f>
        <v>-1.116231329726685</v>
      </c>
      <c r="E19" s="46">
        <f>E16*E17</f>
        <v>5.4234484584729747</v>
      </c>
      <c r="F19" t="s">
        <v>141</v>
      </c>
    </row>
    <row r="20" spans="1:6" x14ac:dyDescent="0.25">
      <c r="A20" s="6"/>
      <c r="C20" s="49"/>
      <c r="D20" s="49"/>
      <c r="E20" s="49"/>
    </row>
    <row r="21" spans="1:6" x14ac:dyDescent="0.25">
      <c r="A21" s="6" t="s">
        <v>140</v>
      </c>
    </row>
    <row r="22" spans="1:6" x14ac:dyDescent="0.25">
      <c r="A22" s="6" t="s">
        <v>133</v>
      </c>
    </row>
    <row r="23" spans="1:6" x14ac:dyDescent="0.25">
      <c r="A23" s="6"/>
    </row>
    <row r="24" spans="1:6" x14ac:dyDescent="0.25">
      <c r="A24" s="18" t="s">
        <v>139</v>
      </c>
    </row>
    <row r="25" spans="1:6" x14ac:dyDescent="0.25">
      <c r="A25" s="6" t="s">
        <v>123</v>
      </c>
      <c r="B25" t="s">
        <v>138</v>
      </c>
      <c r="C25" s="46">
        <f>'P&amp;L Answer'!B23/'P&amp;L Answer'!B26</f>
        <v>7.2495238095238097</v>
      </c>
      <c r="D25" s="46">
        <f>'P&amp;L Answer'!C23/'P&amp;L Answer'!C26</f>
        <v>4.1342062193126026</v>
      </c>
      <c r="E25" s="46">
        <f>'P&amp;L Answer'!D23/'P&amp;L Answer'!D26</f>
        <v>7.0774853801169595</v>
      </c>
      <c r="F25" t="s">
        <v>142</v>
      </c>
    </row>
    <row r="26" spans="1:6" x14ac:dyDescent="0.25">
      <c r="A26" s="6" t="s">
        <v>124</v>
      </c>
      <c r="B26" s="48" t="s">
        <v>129</v>
      </c>
      <c r="C26" s="46">
        <f>('P&amp;L Answer'!B23+'P&amp;L Answer'!B21)/'P&amp;L Answer'!B26</f>
        <v>8.9066666666666663</v>
      </c>
      <c r="D26" s="46">
        <f>('P&amp;L Answer'!C23+'P&amp;L Answer'!C21)/'P&amp;L Answer'!C26</f>
        <v>6.1096563011456633</v>
      </c>
      <c r="E26" s="46">
        <f>('P&amp;L Answer'!D23+'P&amp;L Answer'!D21)/'P&amp;L Answer'!D26</f>
        <v>9.2850877192982448</v>
      </c>
      <c r="F26" t="s">
        <v>143</v>
      </c>
    </row>
    <row r="27" spans="1:6" x14ac:dyDescent="0.25">
      <c r="A27" s="6"/>
      <c r="B27" s="48"/>
    </row>
    <row r="28" spans="1:6" x14ac:dyDescent="0.25">
      <c r="A28" s="1" t="s">
        <v>144</v>
      </c>
    </row>
    <row r="29" spans="1:6" x14ac:dyDescent="0.25">
      <c r="A29" s="6" t="s">
        <v>145</v>
      </c>
      <c r="B29" t="s">
        <v>152</v>
      </c>
      <c r="C29" s="49" t="s">
        <v>130</v>
      </c>
      <c r="D29" s="50">
        <f>'P&amp;L Answer'!C8/(AVERAGE('BS Answer'!B11:C11))</f>
        <v>9.1620255673372313</v>
      </c>
      <c r="E29" s="50">
        <f>'P&amp;L Answer'!D8/(AVERAGE('BS Answer'!C11:D11))</f>
        <v>10.068248992386923</v>
      </c>
      <c r="F29" t="s">
        <v>164</v>
      </c>
    </row>
    <row r="30" spans="1:6" x14ac:dyDescent="0.25">
      <c r="A30" s="6" t="s">
        <v>158</v>
      </c>
      <c r="B30" t="s">
        <v>153</v>
      </c>
      <c r="C30" s="49" t="s">
        <v>130</v>
      </c>
      <c r="D30" s="51">
        <f>1/D29*365</f>
        <v>39.838352045341466</v>
      </c>
      <c r="E30" s="51">
        <f>1/E29*365</f>
        <v>36.252579795751345</v>
      </c>
      <c r="F30" t="s">
        <v>166</v>
      </c>
    </row>
    <row r="31" spans="1:6" ht="30" x14ac:dyDescent="0.25">
      <c r="A31" s="6" t="s">
        <v>146</v>
      </c>
      <c r="B31" t="s">
        <v>154</v>
      </c>
      <c r="C31" s="49" t="s">
        <v>130</v>
      </c>
      <c r="D31" s="50">
        <f>'P&amp;L Answer'!C10/(AVERAGE('BS Answer'!B12:C12))</f>
        <v>7.0451014242555026</v>
      </c>
      <c r="E31" s="50">
        <f>'P&amp;L Answer'!D10/(AVERAGE('BS Answer'!C12:D12))</f>
        <v>6.3196434813002451</v>
      </c>
      <c r="F31" s="47" t="s">
        <v>255</v>
      </c>
    </row>
    <row r="32" spans="1:6" x14ac:dyDescent="0.25">
      <c r="A32" s="6" t="s">
        <v>159</v>
      </c>
      <c r="B32" t="s">
        <v>155</v>
      </c>
      <c r="C32" s="49" t="s">
        <v>130</v>
      </c>
      <c r="D32" s="51">
        <f>1/D31*365</f>
        <v>51.809048304591549</v>
      </c>
      <c r="E32" s="51">
        <f>1/E31*365</f>
        <v>57.756422665302395</v>
      </c>
      <c r="F32" t="s">
        <v>167</v>
      </c>
    </row>
    <row r="33" spans="1:6" x14ac:dyDescent="0.25">
      <c r="A33" s="6" t="s">
        <v>147</v>
      </c>
      <c r="B33" t="s">
        <v>156</v>
      </c>
      <c r="C33" s="49" t="s">
        <v>130</v>
      </c>
      <c r="D33" s="50">
        <f>'P&amp;L Answer'!C10/(AVERAGE('BS Answer'!B27:C27))</f>
        <v>6.7550175874198217</v>
      </c>
      <c r="E33" s="50">
        <f>'P&amp;L Answer'!D10/(AVERAGE('BS Answer'!C27:D27))</f>
        <v>5.8394832458619295</v>
      </c>
      <c r="F33" t="s">
        <v>256</v>
      </c>
    </row>
    <row r="34" spans="1:6" x14ac:dyDescent="0.25">
      <c r="A34" s="6" t="s">
        <v>160</v>
      </c>
      <c r="B34" t="s">
        <v>157</v>
      </c>
      <c r="C34" s="49" t="s">
        <v>130</v>
      </c>
      <c r="D34" s="51">
        <f>1/D33*365</f>
        <v>54.033908169203912</v>
      </c>
      <c r="E34" s="51">
        <f>1/E33*365</f>
        <v>62.505530820497221</v>
      </c>
      <c r="F34" t="s">
        <v>169</v>
      </c>
    </row>
    <row r="35" spans="1:6" x14ac:dyDescent="0.25">
      <c r="A35" s="6" t="s">
        <v>148</v>
      </c>
      <c r="B35" t="s">
        <v>161</v>
      </c>
      <c r="C35" s="49" t="s">
        <v>130</v>
      </c>
      <c r="D35" s="51">
        <f>D32+D30-D34</f>
        <v>37.613492180729097</v>
      </c>
      <c r="E35" s="51">
        <f>E32+E30-E34</f>
        <v>31.503471640556519</v>
      </c>
      <c r="F35" t="s">
        <v>170</v>
      </c>
    </row>
    <row r="36" spans="1:6" x14ac:dyDescent="0.25">
      <c r="A36" s="6" t="s">
        <v>149</v>
      </c>
      <c r="B36" t="s">
        <v>162</v>
      </c>
      <c r="C36" s="49" t="s">
        <v>130</v>
      </c>
      <c r="D36" s="50">
        <f>'P&amp;L Answer'!C8/(AVERAGE('BS Answer'!B22,'BS Answer'!C22))</f>
        <v>1.5743282362156454</v>
      </c>
      <c r="E36" s="50">
        <f>'P&amp;L Answer'!D8/(AVERAGE('BS Answer'!C22,'BS Answer'!D22))</f>
        <v>1.5076918950093214</v>
      </c>
      <c r="F36" t="s">
        <v>171</v>
      </c>
    </row>
    <row r="37" spans="1:6" x14ac:dyDescent="0.25">
      <c r="A37" s="6" t="s">
        <v>150</v>
      </c>
      <c r="B37" t="s">
        <v>163</v>
      </c>
      <c r="C37" s="49" t="s">
        <v>130</v>
      </c>
      <c r="D37" s="50">
        <f>'P&amp;L Answer'!C8/(AVERAGE('BS Answer'!B18:C18))</f>
        <v>3.1477988492049982</v>
      </c>
      <c r="E37" s="50">
        <f>'P&amp;L Answer'!D8/(AVERAGE('BS Answer'!C18:D18))</f>
        <v>3.2547339162661415</v>
      </c>
      <c r="F37" t="s">
        <v>172</v>
      </c>
    </row>
    <row r="38" spans="1:6" x14ac:dyDescent="0.25">
      <c r="A38" s="6" t="s">
        <v>151</v>
      </c>
      <c r="B38" t="s">
        <v>174</v>
      </c>
      <c r="C38" s="49" t="s">
        <v>130</v>
      </c>
      <c r="D38" s="46">
        <f>'P&amp;L'!C8/((AVERAGE('BS Answer'!B14:C14))-(AVERAGE('BS Answer'!B31:C31)-AVERAGE('BS Answer'!B28:C28)))</f>
        <v>7.4541643150850598</v>
      </c>
      <c r="E38" s="46">
        <f>'P&amp;L'!D8/((AVERAGE('BS Answer'!C14:D14))-(AVERAGE('BS Answer'!C31:D31)-AVERAGE('BS Answer'!C28:D28)))</f>
        <v>5.8808265759874443</v>
      </c>
      <c r="F38" t="s">
        <v>173</v>
      </c>
    </row>
    <row r="39" spans="1:6" x14ac:dyDescent="0.25">
      <c r="B39" t="s">
        <v>175</v>
      </c>
    </row>
    <row r="40" spans="1:6" x14ac:dyDescent="0.25">
      <c r="B40" t="s">
        <v>176</v>
      </c>
    </row>
    <row r="42" spans="1:6" x14ac:dyDescent="0.25">
      <c r="A42" s="1" t="s">
        <v>177</v>
      </c>
    </row>
    <row r="43" spans="1:6" x14ac:dyDescent="0.25">
      <c r="A43" s="6" t="s">
        <v>202</v>
      </c>
      <c r="B43" t="s">
        <v>187</v>
      </c>
      <c r="C43" s="52">
        <f>'P&amp;L Answer'!B12/'P&amp;L Answer'!B$8</f>
        <v>0.3562921381686418</v>
      </c>
      <c r="D43" s="52">
        <f>'P&amp;L Answer'!C12/'P&amp;L Answer'!C$8</f>
        <v>0.29376771151058906</v>
      </c>
      <c r="E43" s="52">
        <f>'P&amp;L Answer'!D12/'P&amp;L Answer'!D$8</f>
        <v>0.35663452300466142</v>
      </c>
      <c r="F43" t="s">
        <v>205</v>
      </c>
    </row>
    <row r="44" spans="1:6" x14ac:dyDescent="0.25">
      <c r="A44" s="6" t="s">
        <v>178</v>
      </c>
      <c r="B44" t="s">
        <v>185</v>
      </c>
      <c r="C44" s="52">
        <f>'P&amp;L Answer'!B18/'P&amp;L Answer'!B$8</f>
        <v>0.1388814636609344</v>
      </c>
      <c r="D44" s="52">
        <f>'P&amp;L Answer'!C18/'P&amp;L Answer'!C$8</f>
        <v>8.0753672096393878E-2</v>
      </c>
      <c r="E44" s="52">
        <f>'P&amp;L Answer'!D18/'P&amp;L Answer'!D$8</f>
        <v>0.11299505390883535</v>
      </c>
      <c r="F44" t="s">
        <v>204</v>
      </c>
    </row>
    <row r="45" spans="1:6" x14ac:dyDescent="0.25">
      <c r="A45" s="6" t="s">
        <v>179</v>
      </c>
      <c r="B45" t="s">
        <v>186</v>
      </c>
      <c r="C45" s="52">
        <f>'P&amp;L Answer'!B23/'P&amp;L Answer'!B$8</f>
        <v>0.11304167037928065</v>
      </c>
      <c r="D45" s="52">
        <f>'P&amp;L Answer'!C23/'P&amp;L Answer'!C$8</f>
        <v>5.4643390226491013E-2</v>
      </c>
      <c r="E45" s="52">
        <f>'P&amp;L Answer'!D23/'P&amp;L Answer'!D$8</f>
        <v>8.6129594705191617E-2</v>
      </c>
      <c r="F45" t="s">
        <v>206</v>
      </c>
    </row>
    <row r="46" spans="1:6" x14ac:dyDescent="0.25">
      <c r="A46" s="6" t="s">
        <v>180</v>
      </c>
      <c r="B46" t="s">
        <v>188</v>
      </c>
      <c r="C46" s="52">
        <f>'P&amp;L Answer'!B28/'P&amp;L Answer'!B$8</f>
        <v>9.7448691674834415E-2</v>
      </c>
      <c r="D46" s="52">
        <f>'P&amp;L Answer'!C28/'P&amp;L Answer'!C$8</f>
        <v>4.1426006446449046E-2</v>
      </c>
      <c r="E46" s="52">
        <f>'P&amp;L Answer'!D28/'P&amp;L Answer'!D$8</f>
        <v>7.3960075436786107E-2</v>
      </c>
      <c r="F46" t="s">
        <v>189</v>
      </c>
    </row>
    <row r="47" spans="1:6" x14ac:dyDescent="0.25">
      <c r="A47" s="6" t="s">
        <v>207</v>
      </c>
      <c r="B47" t="s">
        <v>190</v>
      </c>
      <c r="C47" s="52">
        <f>'P&amp;L Answer'!B34/'P&amp;L Answer'!B$8</f>
        <v>6.8214084172384087E-2</v>
      </c>
      <c r="D47" s="52">
        <f>'P&amp;L Answer'!C34/'P&amp;L Answer'!C$8</f>
        <v>2.8998204512514333E-2</v>
      </c>
      <c r="E47" s="52">
        <f>'P&amp;L Answer'!D34/'P&amp;L Answer'!D$8</f>
        <v>5.1772052805750278E-2</v>
      </c>
      <c r="F47" t="s">
        <v>208</v>
      </c>
    </row>
    <row r="48" spans="1:6" x14ac:dyDescent="0.25">
      <c r="A48" s="6" t="s">
        <v>191</v>
      </c>
      <c r="B48" t="s">
        <v>193</v>
      </c>
      <c r="C48" s="49" t="s">
        <v>130</v>
      </c>
      <c r="D48" s="52">
        <f>'P&amp;L Answer'!C34/(AVERAGE('BS Answer'!B22:C22))</f>
        <v>4.5652692163607261E-2</v>
      </c>
      <c r="E48" s="52">
        <f>'P&amp;L Answer'!D34/(AVERAGE('BS Answer'!C22:D22))</f>
        <v>7.8056304403224294E-2</v>
      </c>
      <c r="F48" t="s">
        <v>209</v>
      </c>
    </row>
    <row r="49" spans="1:6" x14ac:dyDescent="0.25">
      <c r="A49" s="6" t="s">
        <v>192</v>
      </c>
      <c r="B49" t="s">
        <v>194</v>
      </c>
      <c r="C49" s="49" t="s">
        <v>130</v>
      </c>
      <c r="D49" s="52">
        <f>'P&amp;L Answer'!C34/(AVERAGE('BS Answer'!B44:C44))</f>
        <v>0.14824850009676796</v>
      </c>
      <c r="E49" s="52">
        <f>'P&amp;L Answer'!D34/(AVERAGE('BS Answer'!C44:D44))</f>
        <v>0.26653659966384091</v>
      </c>
      <c r="F49" t="s">
        <v>210</v>
      </c>
    </row>
    <row r="50" spans="1:6" ht="45" x14ac:dyDescent="0.25">
      <c r="A50" s="6" t="s">
        <v>181</v>
      </c>
      <c r="B50" s="47" t="s">
        <v>195</v>
      </c>
      <c r="C50" s="49" t="s">
        <v>130</v>
      </c>
      <c r="D50" s="52">
        <f>D47*D36*AVERAGE('BS Answer'!B22:C22)/AVERAGE('BS Answer'!B44:C44)</f>
        <v>0.14824850009676796</v>
      </c>
      <c r="E50" s="52">
        <f>E47*E36*AVERAGE('BS Answer'!C22:D22)/AVERAGE('BS Answer'!C44:D44)</f>
        <v>0.26653659966384091</v>
      </c>
      <c r="F50" t="s">
        <v>211</v>
      </c>
    </row>
    <row r="51" spans="1:6" x14ac:dyDescent="0.25">
      <c r="A51" s="6" t="s">
        <v>182</v>
      </c>
      <c r="B51" t="s">
        <v>196</v>
      </c>
      <c r="C51" s="49" t="s">
        <v>130</v>
      </c>
      <c r="D51" s="49" t="s">
        <v>130</v>
      </c>
      <c r="E51" s="49" t="s">
        <v>130</v>
      </c>
      <c r="F51" t="s">
        <v>212</v>
      </c>
    </row>
    <row r="52" spans="1:6" x14ac:dyDescent="0.25">
      <c r="A52" s="6" t="s">
        <v>183</v>
      </c>
      <c r="B52" t="s">
        <v>214</v>
      </c>
      <c r="C52" s="52">
        <f>'P&amp;L Answer'!B23/('BS Answer'!B22-'BS Answer'!B31)</f>
        <v>0.20064315462069693</v>
      </c>
      <c r="D52" s="52">
        <f>'P&amp;L Answer'!C23/('BS Answer'!C22-'BS Answer'!C31)</f>
        <v>0.10624158815612382</v>
      </c>
      <c r="E52" s="52">
        <f>'P&amp;L Answer'!D23/('BS Answer'!D22-'BS Answer'!D31)</f>
        <v>0.15266477451907914</v>
      </c>
      <c r="F52" t="s">
        <v>213</v>
      </c>
    </row>
    <row r="53" spans="1:6" x14ac:dyDescent="0.25">
      <c r="A53" s="6" t="s">
        <v>184</v>
      </c>
      <c r="B53" t="s">
        <v>197</v>
      </c>
      <c r="C53" s="13">
        <f>'P&amp;L Answer'!B34/'P&amp;L Answer'!B37</f>
        <v>2.2967</v>
      </c>
      <c r="D53" s="13">
        <f>'P&amp;L Answer'!C34/'P&amp;L Answer'!C37</f>
        <v>1.3405</v>
      </c>
      <c r="E53" s="13">
        <f>'P&amp;L Answer'!D34/'P&amp;L Answer'!D37</f>
        <v>2.9098999999999999</v>
      </c>
      <c r="F53" t="s">
        <v>215</v>
      </c>
    </row>
    <row r="54" spans="1:6" ht="45" x14ac:dyDescent="0.25">
      <c r="A54" s="6" t="s">
        <v>257</v>
      </c>
      <c r="B54" s="47" t="s">
        <v>216</v>
      </c>
      <c r="C54" s="49" t="s">
        <v>130</v>
      </c>
      <c r="D54" s="49" t="s">
        <v>130</v>
      </c>
      <c r="E54" s="49" t="s">
        <v>130</v>
      </c>
      <c r="F54" s="49" t="s">
        <v>219</v>
      </c>
    </row>
    <row r="55" spans="1:6" ht="45" x14ac:dyDescent="0.25">
      <c r="A55" s="6" t="s">
        <v>217</v>
      </c>
      <c r="B55" t="s">
        <v>218</v>
      </c>
      <c r="C55" s="49" t="s">
        <v>130</v>
      </c>
      <c r="D55" s="54">
        <f>D56-(D57*0.1)</f>
        <v>-298.75000000000045</v>
      </c>
      <c r="E55" s="51">
        <f>E56-(E57*0.1)</f>
        <v>753.67999999999938</v>
      </c>
      <c r="F55" s="47" t="s">
        <v>220</v>
      </c>
    </row>
    <row r="56" spans="1:6" x14ac:dyDescent="0.25">
      <c r="A56" s="6"/>
      <c r="B56" s="6" t="s">
        <v>221</v>
      </c>
      <c r="C56" s="54">
        <f>'P&amp;L Answer'!B23*(1-'P&amp;L Answer'!B32)</f>
        <v>2664.2</v>
      </c>
      <c r="D56" s="54">
        <f>'P&amp;L Answer'!C23*(1-'P&amp;L Answer'!C32)</f>
        <v>1768.1999999999998</v>
      </c>
      <c r="E56" s="54">
        <f>'P&amp;L Answer'!D23*(1-'P&amp;L Answer'!D32)</f>
        <v>3388.7</v>
      </c>
      <c r="F56" s="47"/>
    </row>
    <row r="57" spans="1:6" x14ac:dyDescent="0.25">
      <c r="A57" s="6"/>
      <c r="B57" s="6" t="s">
        <v>222</v>
      </c>
      <c r="C57" s="49" t="s">
        <v>130</v>
      </c>
      <c r="D57" s="54">
        <f>AVERAGE(('BS Answer'!B28+'BS Answer'!B35+'BS Answer'!B44),('BS Answer'!C28+'BS Answer'!C35+'BS Answer'!C44))</f>
        <v>20669.5</v>
      </c>
      <c r="E57" s="54">
        <f>AVERAGE(('BS Answer'!C28+'BS Answer'!C35+'BS Answer'!C44),('BS Answer'!D28+'BS Answer'!D35+'BS Answer'!D44))</f>
        <v>26350.2</v>
      </c>
      <c r="F57" s="47"/>
    </row>
    <row r="58" spans="1:6" x14ac:dyDescent="0.25">
      <c r="A58" s="6" t="s">
        <v>198</v>
      </c>
      <c r="B58" t="s">
        <v>199</v>
      </c>
      <c r="C58" s="49" t="s">
        <v>130</v>
      </c>
      <c r="D58" s="54">
        <f>'CF Answer'!B22+('P&amp;L Answer'!C26*(1-'P&amp;L Answer'!C32))+'CF Answer'!B25</f>
        <v>75.199999999999818</v>
      </c>
      <c r="E58" s="54">
        <f>'CF Answer'!C22+('P&amp;L Answer'!D26*(1-'P&amp;L Answer'!D32))+'CF Answer'!C25</f>
        <v>-672.30000000000018</v>
      </c>
      <c r="F58" s="47" t="s">
        <v>224</v>
      </c>
    </row>
    <row r="59" spans="1:6" x14ac:dyDescent="0.25">
      <c r="A59" s="6" t="s">
        <v>200</v>
      </c>
      <c r="B59" t="s">
        <v>201</v>
      </c>
      <c r="C59" s="49" t="s">
        <v>130</v>
      </c>
      <c r="D59" s="54">
        <f>'P&amp;L Answer'!C34+'CF Answer'!B25-SUM('CF Answer'!B15:B20)+'CF Answer'!B32</f>
        <v>1351</v>
      </c>
      <c r="E59" s="54">
        <f>'P&amp;L Answer'!D34+'CF Answer'!C25-SUM('CF Answer'!C15:C20)+'CF Answer'!C32</f>
        <v>3213.4</v>
      </c>
      <c r="F59" s="47" t="s">
        <v>225</v>
      </c>
    </row>
    <row r="62" spans="1:6" x14ac:dyDescent="0.25">
      <c r="A62" t="s">
        <v>203</v>
      </c>
    </row>
    <row r="64" spans="1:6" x14ac:dyDescent="0.25">
      <c r="A64" s="1" t="s">
        <v>226</v>
      </c>
    </row>
    <row r="65" spans="1:6" x14ac:dyDescent="0.25">
      <c r="A65" s="6" t="s">
        <v>227</v>
      </c>
      <c r="B65" t="s">
        <v>236</v>
      </c>
      <c r="C65" s="49" t="s">
        <v>130</v>
      </c>
      <c r="D65" s="52">
        <f>(-'CF Answer'!B33/'P&amp;L Answer'!C37)/'P&amp;L Answer'!C41</f>
        <v>5.0000000000000001E-3</v>
      </c>
      <c r="E65" s="52">
        <f>(-'CF Answer'!C33/'P&amp;L Answer'!D37)/'P&amp;L Answer'!D41</f>
        <v>5.0000000000000001E-3</v>
      </c>
      <c r="F65" t="s">
        <v>243</v>
      </c>
    </row>
    <row r="66" spans="1:6" x14ac:dyDescent="0.25">
      <c r="A66" s="6" t="s">
        <v>228</v>
      </c>
      <c r="B66" t="s">
        <v>235</v>
      </c>
      <c r="C66" s="52">
        <f>'P&amp;L Answer'!B39/'P&amp;L Answer'!B41</f>
        <v>4.5934000000000003E-2</v>
      </c>
      <c r="D66" s="52">
        <f>'P&amp;L Answer'!C39/'P&amp;L Answer'!C41</f>
        <v>2.681E-2</v>
      </c>
      <c r="E66" s="52">
        <f>'P&amp;L Answer'!D39/'P&amp;L Answer'!D41</f>
        <v>5.8198E-2</v>
      </c>
      <c r="F66" t="s">
        <v>245</v>
      </c>
    </row>
    <row r="67" spans="1:6" x14ac:dyDescent="0.25">
      <c r="A67" s="6" t="s">
        <v>229</v>
      </c>
      <c r="B67" t="s">
        <v>237</v>
      </c>
      <c r="C67" s="53">
        <f>'P&amp;L Answer'!B41/'P&amp;L Answer'!B39</f>
        <v>21.770366177559108</v>
      </c>
      <c r="D67" s="53">
        <f>'P&amp;L Answer'!C41/'P&amp;L Answer'!C39</f>
        <v>37.299515106303616</v>
      </c>
      <c r="E67" s="53">
        <f>'P&amp;L Answer'!D41/'P&amp;L Answer'!D39</f>
        <v>17.182721055706381</v>
      </c>
      <c r="F67" t="s">
        <v>246</v>
      </c>
    </row>
    <row r="68" spans="1:6" x14ac:dyDescent="0.25">
      <c r="A68" s="6" t="s">
        <v>230</v>
      </c>
      <c r="B68" t="s">
        <v>238</v>
      </c>
      <c r="C68" s="50">
        <f>'P&amp;L Answer'!B41/('BS Answer'!B44/'P&amp;L Answer'!B37)</f>
        <v>5.8844297987525014</v>
      </c>
      <c r="D68" s="50">
        <f>'P&amp;L Answer'!C41/('BS Answer'!C44/'P&amp;L Answer'!C37)</f>
        <v>5.2151238591916558</v>
      </c>
      <c r="E68" s="50">
        <f>'P&amp;L Answer'!D41/('BS Answer'!D44/'P&amp;L Answer'!D37)</f>
        <v>4.0824991426751804</v>
      </c>
      <c r="F68" t="s">
        <v>247</v>
      </c>
    </row>
    <row r="69" spans="1:6" x14ac:dyDescent="0.25">
      <c r="A69" s="6" t="s">
        <v>231</v>
      </c>
      <c r="B69" t="s">
        <v>239</v>
      </c>
      <c r="C69" s="50">
        <f>'P&amp;L Answer'!B41/('P&amp;L Answer'!B8/'P&amp;L Answer'!B37)</f>
        <v>1.4850455908996407</v>
      </c>
      <c r="D69" s="50">
        <f>'P&amp;L Answer'!C41/('P&amp;L Answer'!C8/'P&amp;L Answer'!C37)</f>
        <v>1.0816189672702101</v>
      </c>
      <c r="E69" s="50">
        <f>'P&amp;L Answer'!D41/('P&amp;L Answer'!D8/'P&amp;L Answer'!D37)</f>
        <v>0.88958474184250791</v>
      </c>
      <c r="F69" t="s">
        <v>248</v>
      </c>
    </row>
    <row r="70" spans="1:6" x14ac:dyDescent="0.25">
      <c r="A70" s="6" t="s">
        <v>232</v>
      </c>
      <c r="B70" t="s">
        <v>240</v>
      </c>
      <c r="C70" t="s">
        <v>130</v>
      </c>
      <c r="D70" s="50">
        <f>'P&amp;L Answer'!C41/('CF Answer'!B22/'P&amp;L Answer'!C37)</f>
        <v>18.702075930428276</v>
      </c>
      <c r="E70" s="50">
        <f>'P&amp;L Answer'!D41/('CF Answer'!C22/'P&amp;L Answer'!D37)</f>
        <v>13.488359545712052</v>
      </c>
      <c r="F70" t="s">
        <v>249</v>
      </c>
    </row>
    <row r="71" spans="1:6" x14ac:dyDescent="0.25">
      <c r="A71" s="6" t="s">
        <v>233</v>
      </c>
      <c r="B71" t="s">
        <v>241</v>
      </c>
      <c r="C71" s="50">
        <f>'P&amp;L Answer'!B41/('P&amp;L Answer'!B18/'P&amp;L Answer'!B37)</f>
        <v>10.692899914456801</v>
      </c>
      <c r="D71" s="50">
        <f>'P&amp;L Answer'!C41/('P&amp;L Answer'!C18/'P&amp;L Answer'!C37)</f>
        <v>13.394053040450039</v>
      </c>
      <c r="E71" s="50">
        <f>'P&amp;L Answer'!D41/('P&amp;L Answer'!D18/'P&amp;L Answer'!D37)</f>
        <v>7.8727759407967248</v>
      </c>
      <c r="F71" t="s">
        <v>250</v>
      </c>
    </row>
    <row r="72" spans="1:6" x14ac:dyDescent="0.25">
      <c r="A72" s="6" t="s">
        <v>234</v>
      </c>
      <c r="B72" t="s">
        <v>242</v>
      </c>
      <c r="C72" t="s">
        <v>130</v>
      </c>
      <c r="D72" t="s">
        <v>130</v>
      </c>
      <c r="E72" t="s">
        <v>130</v>
      </c>
      <c r="F72" t="s">
        <v>251</v>
      </c>
    </row>
  </sheetData>
  <mergeCells count="1">
    <mergeCell ref="C4:E4"/>
  </mergeCells>
  <pageMargins left="0.7" right="0.7" top="0.75" bottom="0.75" header="0.3" footer="0.3"/>
  <pageSetup scale="59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P&amp;L</vt:lpstr>
      <vt:lpstr>BS</vt:lpstr>
      <vt:lpstr>CF</vt:lpstr>
      <vt:lpstr>P&amp;L Answer</vt:lpstr>
      <vt:lpstr>BS Answer</vt:lpstr>
      <vt:lpstr>CF Answer</vt:lpstr>
      <vt:lpstr>Ratios Case</vt:lpstr>
      <vt:lpstr>Ratios - Answer</vt:lpstr>
      <vt:lpstr>'Ratios - Answer'!Print_Titles</vt:lpstr>
      <vt:lpstr>'Ratios Case'!Print_Titles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Carpenter</dc:creator>
  <cp:lastModifiedBy>Mike Carpenter</cp:lastModifiedBy>
  <cp:lastPrinted>2017-05-14T15:55:16Z</cp:lastPrinted>
  <dcterms:created xsi:type="dcterms:W3CDTF">2017-05-13T17:14:33Z</dcterms:created>
  <dcterms:modified xsi:type="dcterms:W3CDTF">2021-07-26T13:22:47Z</dcterms:modified>
</cp:coreProperties>
</file>