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7580CDFB-8C51-4005-9CED-A1D1D6FE2083}" xr6:coauthVersionLast="47" xr6:coauthVersionMax="47" xr10:uidLastSave="{00000000-0000-0000-0000-000000000000}"/>
  <bookViews>
    <workbookView xWindow="-110" yWindow="-110" windowWidth="19420" windowHeight="10420" tabRatio="955" activeTab="12" xr2:uid="{00000000-000D-0000-FFFF-FFFF00000000}"/>
  </bookViews>
  <sheets>
    <sheet name="2014Budget" sheetId="7" r:id="rId1"/>
    <sheet name="BudgetInputs" sheetId="8" r:id="rId2"/>
    <sheet name="Sales-Mix VarCalcs" sheetId="9" r:id="rId3"/>
    <sheet name="Sales-Mix Variance" sheetId="10" r:id="rId4"/>
    <sheet name="Sales-Quantity Variance" sheetId="11" r:id="rId5"/>
    <sheet name="Selling-Price Variance" sheetId="20" r:id="rId6"/>
    <sheet name="DLVarianceCalcs" sheetId="12" r:id="rId7"/>
    <sheet name="DLPriceVariance" sheetId="13" r:id="rId8"/>
    <sheet name="DLEfficiencyVariance" sheetId="14" r:id="rId9"/>
    <sheet name="VOHVarianceCalcs" sheetId="15" r:id="rId10"/>
    <sheet name="VOHSpendingVariance" sheetId="16" r:id="rId11"/>
    <sheet name="VOHEfficiencyVariance" sheetId="17" r:id="rId12"/>
    <sheet name="Waterfall Chart" sheetId="19" r:id="rId13"/>
  </sheets>
  <calcPr calcId="191029"/>
</workbook>
</file>

<file path=xl/calcChain.xml><?xml version="1.0" encoding="utf-8"?>
<calcChain xmlns="http://schemas.openxmlformats.org/spreadsheetml/2006/main">
  <c r="G4" i="20" l="1"/>
  <c r="I4" i="20" s="1"/>
  <c r="G3" i="20"/>
  <c r="I3" i="20" s="1"/>
  <c r="J4" i="20"/>
  <c r="J3" i="20"/>
  <c r="E4" i="20"/>
  <c r="E3" i="20"/>
  <c r="C4" i="20"/>
  <c r="C3" i="20"/>
  <c r="I5" i="20" s="1"/>
  <c r="L4" i="15" l="1"/>
  <c r="L3" i="15"/>
  <c r="J11" i="7"/>
  <c r="D11" i="7"/>
  <c r="I12" i="8"/>
  <c r="H12" i="8"/>
  <c r="C12" i="8"/>
  <c r="B12" i="8"/>
  <c r="G4" i="12"/>
  <c r="G3" i="12"/>
  <c r="F4" i="12"/>
  <c r="F3" i="12"/>
  <c r="D4" i="12"/>
  <c r="D3" i="12"/>
  <c r="C4" i="12"/>
  <c r="C3" i="12"/>
  <c r="I11" i="8"/>
  <c r="H11" i="8"/>
  <c r="C11" i="8"/>
  <c r="B11" i="8"/>
  <c r="G4" i="15" l="1"/>
  <c r="G3" i="15"/>
  <c r="F4" i="15"/>
  <c r="F3" i="15"/>
  <c r="S9" i="15"/>
  <c r="R9" i="15"/>
  <c r="S8" i="15"/>
  <c r="R8" i="15"/>
  <c r="D4" i="15"/>
  <c r="C4" i="15"/>
  <c r="D3" i="15"/>
  <c r="C3" i="15"/>
  <c r="I3" i="15" s="1"/>
  <c r="G4" i="14"/>
  <c r="G3" i="14"/>
  <c r="E4" i="13"/>
  <c r="E3" i="13"/>
  <c r="C4" i="13"/>
  <c r="C3" i="13"/>
  <c r="I4" i="12"/>
  <c r="I3" i="12"/>
  <c r="J4" i="12"/>
  <c r="J3" i="12"/>
  <c r="M4" i="12"/>
  <c r="M3" i="12"/>
  <c r="L4" i="12"/>
  <c r="O4" i="12" s="1"/>
  <c r="L3" i="12"/>
  <c r="J9" i="12"/>
  <c r="J8" i="12"/>
  <c r="I9" i="12"/>
  <c r="I8" i="12"/>
  <c r="S4" i="12" l="1"/>
  <c r="S3" i="12"/>
  <c r="S5" i="12" s="1"/>
  <c r="R3" i="12"/>
  <c r="J4" i="13"/>
  <c r="C3" i="17"/>
  <c r="G3" i="16"/>
  <c r="J3" i="13"/>
  <c r="J3" i="15"/>
  <c r="E3" i="17" s="1"/>
  <c r="C4" i="14"/>
  <c r="G4" i="13"/>
  <c r="I4" i="13" s="1"/>
  <c r="U4" i="12"/>
  <c r="O3" i="12"/>
  <c r="P3" i="12"/>
  <c r="P4" i="12"/>
  <c r="J4" i="15"/>
  <c r="I4" i="15"/>
  <c r="G4" i="16" s="1"/>
  <c r="R4" i="12"/>
  <c r="R5" i="12" s="1"/>
  <c r="I8" i="9"/>
  <c r="I7" i="9"/>
  <c r="I4" i="9"/>
  <c r="I3" i="9"/>
  <c r="C4" i="9"/>
  <c r="C3" i="9"/>
  <c r="H13" i="8"/>
  <c r="E3" i="9" s="1"/>
  <c r="I13" i="8"/>
  <c r="E4" i="9" s="1"/>
  <c r="C13" i="8"/>
  <c r="E8" i="9" s="1"/>
  <c r="B13" i="8"/>
  <c r="E7" i="9" s="1"/>
  <c r="C8" i="9"/>
  <c r="C7" i="9"/>
  <c r="I8" i="7"/>
  <c r="I7" i="7"/>
  <c r="H8" i="7"/>
  <c r="H7" i="7"/>
  <c r="C8" i="7"/>
  <c r="C7" i="7"/>
  <c r="B7" i="7"/>
  <c r="R8" i="12" s="1"/>
  <c r="B8" i="7"/>
  <c r="R3" i="15" s="1"/>
  <c r="G15" i="8"/>
  <c r="F12" i="8"/>
  <c r="E12" i="8"/>
  <c r="F11" i="8"/>
  <c r="E11" i="8"/>
  <c r="F4" i="8"/>
  <c r="F4" i="7" s="1"/>
  <c r="E4" i="8"/>
  <c r="E4" i="7" s="1"/>
  <c r="F3" i="8"/>
  <c r="E3" i="8"/>
  <c r="H5" i="7"/>
  <c r="I5" i="7"/>
  <c r="I4" i="7"/>
  <c r="H4" i="7"/>
  <c r="C5" i="7"/>
  <c r="B5" i="7"/>
  <c r="C4" i="7"/>
  <c r="B4" i="7"/>
  <c r="I3" i="7"/>
  <c r="H3" i="7"/>
  <c r="C3" i="7"/>
  <c r="B3" i="7"/>
  <c r="E13" i="8" l="1"/>
  <c r="E7" i="7"/>
  <c r="S8" i="12" s="1"/>
  <c r="E8" i="8"/>
  <c r="M3" i="15" s="1"/>
  <c r="F7" i="7"/>
  <c r="S9" i="12" s="1"/>
  <c r="F8" i="8"/>
  <c r="M4" i="15" s="1"/>
  <c r="K3" i="17"/>
  <c r="G8" i="9"/>
  <c r="G11" i="7"/>
  <c r="U11" i="7" s="1"/>
  <c r="F13" i="8"/>
  <c r="X5" i="7"/>
  <c r="R4" i="7"/>
  <c r="W4" i="7"/>
  <c r="G4" i="9"/>
  <c r="I4" i="10" s="1"/>
  <c r="E3" i="7"/>
  <c r="K3" i="7" s="1"/>
  <c r="E5" i="7"/>
  <c r="Q5" i="7" s="1"/>
  <c r="S4" i="7"/>
  <c r="AB11" i="7"/>
  <c r="E8" i="7"/>
  <c r="G3" i="9"/>
  <c r="I3" i="11" s="1"/>
  <c r="X3" i="7"/>
  <c r="M4" i="7"/>
  <c r="Q4" i="7"/>
  <c r="X7" i="7"/>
  <c r="W5" i="7"/>
  <c r="G7" i="9"/>
  <c r="K7" i="9" s="1"/>
  <c r="X4" i="7"/>
  <c r="I5" i="9"/>
  <c r="L4" i="7"/>
  <c r="E4" i="17"/>
  <c r="O3" i="15"/>
  <c r="C3" i="16" s="1"/>
  <c r="C3" i="14"/>
  <c r="G3" i="13"/>
  <c r="U3" i="12"/>
  <c r="Y7" i="7"/>
  <c r="R9" i="12"/>
  <c r="J7" i="7"/>
  <c r="W3" i="7"/>
  <c r="W8" i="7"/>
  <c r="AA11" i="7"/>
  <c r="Z3" i="7"/>
  <c r="K4" i="7"/>
  <c r="N4" i="7"/>
  <c r="T4" i="7"/>
  <c r="Z8" i="7"/>
  <c r="R4" i="15"/>
  <c r="W7" i="7"/>
  <c r="Y4" i="7"/>
  <c r="X8" i="7"/>
  <c r="Z4" i="7"/>
  <c r="K8" i="9"/>
  <c r="O4" i="15"/>
  <c r="C4" i="16" s="1"/>
  <c r="C4" i="17"/>
  <c r="E4" i="14"/>
  <c r="J4" i="14" s="1"/>
  <c r="V4" i="12"/>
  <c r="E3" i="14"/>
  <c r="V3" i="12"/>
  <c r="I9" i="9"/>
  <c r="F5" i="7"/>
  <c r="N5" i="7" s="1"/>
  <c r="F8" i="7"/>
  <c r="T8" i="7" s="1"/>
  <c r="Y3" i="7"/>
  <c r="Y5" i="7"/>
  <c r="Y8" i="7"/>
  <c r="Z7" i="7"/>
  <c r="F3" i="7"/>
  <c r="Z5" i="7"/>
  <c r="B9" i="7"/>
  <c r="D8" i="7"/>
  <c r="L5" i="15" s="1"/>
  <c r="C9" i="7"/>
  <c r="D7" i="7"/>
  <c r="R10" i="12" s="1"/>
  <c r="J8" i="7"/>
  <c r="H9" i="7"/>
  <c r="H10" i="7" s="1"/>
  <c r="I9" i="7"/>
  <c r="I10" i="7" s="1"/>
  <c r="M7" i="7"/>
  <c r="T7" i="7"/>
  <c r="S7" i="7"/>
  <c r="N7" i="7"/>
  <c r="J3" i="7"/>
  <c r="J5" i="7"/>
  <c r="B2" i="19" s="1"/>
  <c r="D3" i="7"/>
  <c r="D5" i="7"/>
  <c r="S3" i="15" l="1"/>
  <c r="AB3" i="7"/>
  <c r="L8" i="7"/>
  <c r="K7" i="7"/>
  <c r="R8" i="7"/>
  <c r="R3" i="7"/>
  <c r="L3" i="7"/>
  <c r="O11" i="7"/>
  <c r="V11" i="7"/>
  <c r="P11" i="7"/>
  <c r="R5" i="7"/>
  <c r="Q7" i="7"/>
  <c r="G7" i="7"/>
  <c r="S10" i="12" s="1"/>
  <c r="K5" i="7"/>
  <c r="B4" i="19"/>
  <c r="L7" i="7"/>
  <c r="R7" i="7"/>
  <c r="P3" i="15"/>
  <c r="G3" i="17" s="1"/>
  <c r="Q3" i="7"/>
  <c r="K4" i="9"/>
  <c r="I3" i="10"/>
  <c r="K3" i="9"/>
  <c r="L5" i="7"/>
  <c r="I4" i="11"/>
  <c r="J9" i="7"/>
  <c r="J10" i="7" s="1"/>
  <c r="J12" i="7" s="1"/>
  <c r="G5" i="7"/>
  <c r="P5" i="7" s="1"/>
  <c r="J5" i="20" s="1"/>
  <c r="E9" i="7"/>
  <c r="Q9" i="7" s="1"/>
  <c r="K8" i="7"/>
  <c r="Q8" i="7"/>
  <c r="K9" i="9"/>
  <c r="B10" i="7"/>
  <c r="W9" i="7"/>
  <c r="X9" i="7"/>
  <c r="S8" i="7"/>
  <c r="M7" i="9"/>
  <c r="E3" i="10" s="1"/>
  <c r="C3" i="11"/>
  <c r="C4" i="10"/>
  <c r="C4" i="11"/>
  <c r="C3" i="10"/>
  <c r="K4" i="14"/>
  <c r="I3" i="13"/>
  <c r="I5" i="13"/>
  <c r="E3" i="11"/>
  <c r="E4" i="11"/>
  <c r="M4" i="9"/>
  <c r="M3" i="9"/>
  <c r="M8" i="7"/>
  <c r="K4" i="17"/>
  <c r="J8" i="14"/>
  <c r="J5" i="14"/>
  <c r="K3" i="14"/>
  <c r="J3" i="14"/>
  <c r="N8" i="7"/>
  <c r="M8" i="9"/>
  <c r="AA3" i="7"/>
  <c r="C10" i="7"/>
  <c r="Y9" i="7"/>
  <c r="Z9" i="7"/>
  <c r="S3" i="7"/>
  <c r="T3" i="7"/>
  <c r="AB5" i="7"/>
  <c r="AA5" i="7"/>
  <c r="G3" i="7"/>
  <c r="O3" i="7" s="1"/>
  <c r="F9" i="7"/>
  <c r="F10" i="7" s="1"/>
  <c r="T10" i="7" s="1"/>
  <c r="G8" i="7"/>
  <c r="M5" i="15" s="1"/>
  <c r="D9" i="7"/>
  <c r="AB7" i="7"/>
  <c r="AA7" i="7"/>
  <c r="AB8" i="7"/>
  <c r="AA8" i="7"/>
  <c r="N3" i="7"/>
  <c r="M3" i="7"/>
  <c r="S5" i="7"/>
  <c r="T5" i="7"/>
  <c r="M5" i="7"/>
  <c r="L3" i="11" l="1"/>
  <c r="K5" i="9"/>
  <c r="U5" i="7"/>
  <c r="C2" i="19" s="1"/>
  <c r="C3" i="19" s="1"/>
  <c r="O5" i="7"/>
  <c r="D2" i="19" s="1"/>
  <c r="D5" i="19" s="1"/>
  <c r="O7" i="7"/>
  <c r="P7" i="7"/>
  <c r="K8" i="14" s="1"/>
  <c r="V7" i="7"/>
  <c r="L9" i="7"/>
  <c r="U7" i="7"/>
  <c r="K9" i="7"/>
  <c r="K5" i="14"/>
  <c r="V5" i="7"/>
  <c r="J7" i="14"/>
  <c r="J5" i="13"/>
  <c r="K7" i="14" s="1"/>
  <c r="E3" i="16"/>
  <c r="I3" i="16" s="1"/>
  <c r="U8" i="7"/>
  <c r="M9" i="7"/>
  <c r="E10" i="7"/>
  <c r="R10" i="7" s="1"/>
  <c r="R9" i="7"/>
  <c r="G9" i="7"/>
  <c r="V9" i="7" s="1"/>
  <c r="V8" i="7"/>
  <c r="N9" i="7"/>
  <c r="P8" i="7"/>
  <c r="K11" i="17" s="1"/>
  <c r="O8" i="7"/>
  <c r="J11" i="17" s="1"/>
  <c r="M9" i="9"/>
  <c r="E4" i="10"/>
  <c r="G3" i="11"/>
  <c r="K3" i="11" s="1"/>
  <c r="M5" i="9"/>
  <c r="G3" i="10"/>
  <c r="K3" i="10" s="1"/>
  <c r="L4" i="11"/>
  <c r="S4" i="15"/>
  <c r="P4" i="15"/>
  <c r="X10" i="7"/>
  <c r="W10" i="7"/>
  <c r="T9" i="7"/>
  <c r="J3" i="17"/>
  <c r="G4" i="10"/>
  <c r="K4" i="10" s="1"/>
  <c r="G4" i="11"/>
  <c r="S9" i="7"/>
  <c r="U3" i="7"/>
  <c r="V3" i="7"/>
  <c r="P3" i="7"/>
  <c r="D10" i="7"/>
  <c r="AB9" i="7"/>
  <c r="AA9" i="7"/>
  <c r="N10" i="7"/>
  <c r="Z10" i="7"/>
  <c r="Y10" i="7"/>
  <c r="S10" i="7"/>
  <c r="M10" i="7"/>
  <c r="J3" i="16" l="1"/>
  <c r="D3" i="19"/>
  <c r="E4" i="19" s="1"/>
  <c r="D6" i="19"/>
  <c r="L10" i="7"/>
  <c r="Q10" i="7"/>
  <c r="C5" i="19"/>
  <c r="C6" i="19"/>
  <c r="U9" i="7"/>
  <c r="K5" i="11"/>
  <c r="L5" i="11" s="1"/>
  <c r="O9" i="7"/>
  <c r="K5" i="10"/>
  <c r="K7" i="11" s="1"/>
  <c r="K8" i="17"/>
  <c r="K8" i="11"/>
  <c r="G10" i="7"/>
  <c r="V10" i="7" s="1"/>
  <c r="P9" i="7"/>
  <c r="K10" i="7"/>
  <c r="L3" i="10"/>
  <c r="L4" i="10"/>
  <c r="K4" i="11"/>
  <c r="G4" i="17"/>
  <c r="E4" i="16"/>
  <c r="D12" i="7"/>
  <c r="AB10" i="7"/>
  <c r="AA10" i="7"/>
  <c r="L5" i="10" l="1"/>
  <c r="L7" i="11" s="1"/>
  <c r="L8" i="11" s="1"/>
  <c r="E2" i="19"/>
  <c r="U10" i="7"/>
  <c r="G12" i="7"/>
  <c r="V12" i="7" s="1"/>
  <c r="O10" i="7"/>
  <c r="P10" i="7"/>
  <c r="J4" i="17"/>
  <c r="J5" i="17"/>
  <c r="J8" i="17"/>
  <c r="I4" i="16"/>
  <c r="J4" i="16"/>
  <c r="I5" i="16"/>
  <c r="AB12" i="7"/>
  <c r="AA12" i="7"/>
  <c r="J5" i="16" l="1"/>
  <c r="K5" i="17"/>
  <c r="J7" i="17"/>
  <c r="K7" i="17"/>
  <c r="P12" i="7"/>
  <c r="O12" i="7"/>
  <c r="U12" i="7"/>
</calcChain>
</file>

<file path=xl/sharedStrings.xml><?xml version="1.0" encoding="utf-8"?>
<sst xmlns="http://schemas.openxmlformats.org/spreadsheetml/2006/main" count="261" uniqueCount="130">
  <si>
    <t>=</t>
  </si>
  <si>
    <t>Price/Unit</t>
  </si>
  <si>
    <t>Actual Results</t>
  </si>
  <si>
    <t>Copper</t>
  </si>
  <si>
    <t>Gold</t>
  </si>
  <si>
    <t>Total</t>
  </si>
  <si>
    <t>Flexible Budget</t>
  </si>
  <si>
    <t>Static Budget</t>
  </si>
  <si>
    <t>Units Sold in MTs</t>
  </si>
  <si>
    <t>Variable Costs</t>
  </si>
  <si>
    <t xml:space="preserve">     Direct Labor</t>
  </si>
  <si>
    <t xml:space="preserve">     Variable overhead</t>
  </si>
  <si>
    <t xml:space="preserve">          Total Variable Costs</t>
  </si>
  <si>
    <t>Contribution Margin</t>
  </si>
  <si>
    <t>Fixed Overhead</t>
  </si>
  <si>
    <t>Operating Income</t>
  </si>
  <si>
    <t>Revenues (US$Millions)</t>
  </si>
  <si>
    <t>Panama Mine Division</t>
  </si>
  <si>
    <t>2014 Budget</t>
  </si>
  <si>
    <t>Price/unit</t>
  </si>
  <si>
    <t>2014 Budget Inputs</t>
  </si>
  <si>
    <t xml:space="preserve">     Total</t>
  </si>
  <si>
    <t>Budgeted Copper</t>
  </si>
  <si>
    <t>Budgeted Gold</t>
  </si>
  <si>
    <t>Actual Copper</t>
  </si>
  <si>
    <t>Actual Gold</t>
  </si>
  <si>
    <t>−</t>
  </si>
  <si>
    <t>Sales Volume
 in Units</t>
  </si>
  <si>
    <t>×</t>
  </si>
  <si>
    <t>Contribution
Margin</t>
  </si>
  <si>
    <t>Sales Mix
(% of Total Sales Volume)</t>
  </si>
  <si>
    <r>
      <t xml:space="preserve">Panama Mine Division
</t>
    </r>
    <r>
      <rPr>
        <sz val="11"/>
        <color theme="1"/>
        <rFont val="Calibri"/>
        <family val="2"/>
        <scheme val="minor"/>
      </rPr>
      <t>2014 Sales-Mix Variance Analysis</t>
    </r>
  </si>
  <si>
    <t xml:space="preserve">     Total Sales-Mix Variance</t>
  </si>
  <si>
    <t>Actual Units of All Products Sold</t>
  </si>
  <si>
    <r>
      <rPr>
        <sz val="22"/>
        <color theme="1"/>
        <rFont val="Calibri"/>
        <family val="2"/>
        <scheme val="minor"/>
      </rPr>
      <t>)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×</t>
    </r>
  </si>
  <si>
    <r>
      <t xml:space="preserve">×   </t>
    </r>
    <r>
      <rPr>
        <sz val="22"/>
        <color theme="1"/>
        <rFont val="Calibri"/>
        <family val="2"/>
      </rPr>
      <t>(</t>
    </r>
  </si>
  <si>
    <t>Actual 
Sales-Mix %</t>
  </si>
  <si>
    <t>Budgeted Sales-Mix %</t>
  </si>
  <si>
    <t>Sales-Mix Variance</t>
  </si>
  <si>
    <r>
      <t xml:space="preserve">Flexible-Budget Variances
(Actual </t>
    </r>
    <r>
      <rPr>
        <b/>
        <sz val="11"/>
        <color theme="1"/>
        <rFont val="Calibri"/>
        <family val="2"/>
      </rPr>
      <t>− Flexible)</t>
    </r>
  </si>
  <si>
    <r>
      <t xml:space="preserve">Sales-Volume Variances
(Flexible </t>
    </r>
    <r>
      <rPr>
        <b/>
        <sz val="11"/>
        <color theme="1"/>
        <rFont val="Calibri"/>
        <family val="2"/>
      </rPr>
      <t>− Static)</t>
    </r>
  </si>
  <si>
    <r>
      <t xml:space="preserve">Static-Budget Variances
(Actual </t>
    </r>
    <r>
      <rPr>
        <b/>
        <sz val="11"/>
        <color theme="1"/>
        <rFont val="Calibri"/>
        <family val="2"/>
      </rPr>
      <t>− Static)</t>
    </r>
  </si>
  <si>
    <r>
      <t xml:space="preserve">Panama Mine Division
</t>
    </r>
    <r>
      <rPr>
        <sz val="11"/>
        <color theme="1"/>
        <rFont val="Calibri"/>
        <family val="2"/>
        <scheme val="minor"/>
      </rPr>
      <t>2014 Sales-Quantity Variance Analysis</t>
    </r>
  </si>
  <si>
    <t xml:space="preserve">     Total Sales-Quantity Variance</t>
  </si>
  <si>
    <t>(</t>
  </si>
  <si>
    <t xml:space="preserve">×  </t>
  </si>
  <si>
    <t>Sales-Quantity Variance</t>
  </si>
  <si>
    <t>Actual Sales Volume for All Units</t>
  </si>
  <si>
    <t>Budgeted Sales Volume for All Units</t>
  </si>
  <si>
    <t xml:space="preserve">Actual  </t>
  </si>
  <si>
    <t>Error checks from 2014 Budget</t>
  </si>
  <si>
    <t xml:space="preserve">Actual </t>
  </si>
  <si>
    <t>Actual Units</t>
  </si>
  <si>
    <t>Actual</t>
  </si>
  <si>
    <t xml:space="preserve">     Total DL cost</t>
  </si>
  <si>
    <t>Total Costs</t>
  </si>
  <si>
    <t>Total Hours</t>
  </si>
  <si>
    <t>From 2014 Budget</t>
  </si>
  <si>
    <t>Budget</t>
  </si>
  <si>
    <t>Flex-Budget</t>
  </si>
  <si>
    <t>Copper Direct Labor</t>
  </si>
  <si>
    <t>Gold Direct Labor</t>
  </si>
  <si>
    <t>Actual Price of Input</t>
  </si>
  <si>
    <t>Budgeted Price of Input</t>
  </si>
  <si>
    <t>Price (Rate) Variance</t>
  </si>
  <si>
    <t>Actual Quantity of Input Used</t>
  </si>
  <si>
    <t>Budgeted Quantity of Input for Flex-Budget Output</t>
  </si>
  <si>
    <t>Efficiency Variance</t>
  </si>
  <si>
    <t>hours</t>
  </si>
  <si>
    <t>per hour</t>
  </si>
  <si>
    <r>
      <t xml:space="preserve">Panama Mine Division
</t>
    </r>
    <r>
      <rPr>
        <sz val="11"/>
        <color theme="1"/>
        <rFont val="Calibri"/>
        <family val="2"/>
        <scheme val="minor"/>
      </rPr>
      <t>2014 DL Efficiency 
Variance Analysis</t>
    </r>
  </si>
  <si>
    <r>
      <t xml:space="preserve">Panama Mine Division
</t>
    </r>
    <r>
      <rPr>
        <sz val="11"/>
        <color theme="1"/>
        <rFont val="Calibri"/>
        <family val="2"/>
        <scheme val="minor"/>
      </rPr>
      <t>2014 DL Price 
Variance Analysis</t>
    </r>
  </si>
  <si>
    <t>Error check (flex-budget variance from budget)</t>
  </si>
  <si>
    <r>
      <rPr>
        <b/>
        <sz val="11"/>
        <color theme="1"/>
        <rFont val="Calibri"/>
        <family val="2"/>
        <scheme val="minor"/>
      </rPr>
      <t>Panama Mine Division</t>
    </r>
    <r>
      <rPr>
        <sz val="11"/>
        <color theme="1"/>
        <rFont val="Calibri"/>
        <family val="2"/>
        <scheme val="minor"/>
      </rPr>
      <t xml:space="preserve">
Worksheet for </t>
    </r>
  </si>
  <si>
    <t>2014 DL Variances</t>
  </si>
  <si>
    <r>
      <t xml:space="preserve">Panama Mine Division
</t>
    </r>
    <r>
      <rPr>
        <sz val="11"/>
        <color theme="1"/>
        <rFont val="Calibri"/>
        <family val="2"/>
        <scheme val="minor"/>
      </rPr>
      <t>2014 VOH Spending 
Variance Analysis</t>
    </r>
  </si>
  <si>
    <t>Copper VOH</t>
  </si>
  <si>
    <t>Gold VOH</t>
  </si>
  <si>
    <r>
      <t xml:space="preserve">Panama Mine Division
</t>
    </r>
    <r>
      <rPr>
        <sz val="11"/>
        <color theme="1"/>
        <rFont val="Calibri"/>
        <family val="2"/>
        <scheme val="minor"/>
      </rPr>
      <t>2014 VOH Efficiency 
Variance Analysis</t>
    </r>
  </si>
  <si>
    <t>Total Cost Driver (DLH)</t>
  </si>
  <si>
    <t>2014 VOH Variances</t>
  </si>
  <si>
    <t xml:space="preserve">     Total VOH cost</t>
  </si>
  <si>
    <t>VOH Cost/DLH</t>
  </si>
  <si>
    <t>VOH Spending Variance</t>
  </si>
  <si>
    <t xml:space="preserve">     Total VOH Spending Variance</t>
  </si>
  <si>
    <t>Actual Quantity of VOH Cost Driver</t>
  </si>
  <si>
    <t>Flexible Budgeted Quantity of VOH Cost Driver</t>
  </si>
  <si>
    <t>Budgeted VOH Cost per Unit of Cost Driver (VOH/DLH)</t>
  </si>
  <si>
    <t xml:space="preserve">     Total VOH Efficiency Variance</t>
  </si>
  <si>
    <t xml:space="preserve">     Variable Overhead</t>
  </si>
  <si>
    <t>Variable Costs/Unit</t>
  </si>
  <si>
    <t>Direct Labor Hours/Unit</t>
  </si>
  <si>
    <r>
      <t xml:space="preserve">Panama Mine Division
</t>
    </r>
    <r>
      <rPr>
        <sz val="11"/>
        <color theme="1"/>
        <rFont val="Calibri"/>
        <family val="2"/>
        <scheme val="minor"/>
      </rPr>
      <t>2014 Sales-Mix Variance Calculations</t>
    </r>
  </si>
  <si>
    <t>Variable Overhead</t>
  </si>
  <si>
    <t>Contribution 
Margin/Unit</t>
  </si>
  <si>
    <t>Total Variable 
Cost/Unit</t>
  </si>
  <si>
    <t>Budgeted Contribution Margin/Unit</t>
  </si>
  <si>
    <t>Average DLH Rate/Unit</t>
  </si>
  <si>
    <t>Direct Labor Hours (DLH)/Unit</t>
  </si>
  <si>
    <t>Hours x Rate/Unit</t>
  </si>
  <si>
    <t xml:space="preserve">     Total Direct Labor Price Variance</t>
  </si>
  <si>
    <t xml:space="preserve">     Total Direct Labor Efficiency Variance</t>
  </si>
  <si>
    <t>Variable Overhead Cost Driver/Unit: DLH/Unit</t>
  </si>
  <si>
    <t>VOH Cost/Unit</t>
  </si>
  <si>
    <t xml:space="preserve">     Total VOH</t>
  </si>
  <si>
    <t>Actual VOH Cost per Cost Driver Unit (VOH Cost/DLH)</t>
  </si>
  <si>
    <t>Budgeted VOH Cost per Cost Driver Unit (DLH)</t>
  </si>
  <si>
    <t>Actual Quantity of Input (Hours)</t>
  </si>
  <si>
    <t xml:space="preserve">     Total Direct Labor Cost</t>
  </si>
  <si>
    <t>Direct Labor Cost/Unit</t>
  </si>
  <si>
    <t>Values</t>
  </si>
  <si>
    <t>Hidden</t>
  </si>
  <si>
    <t>Favorable</t>
  </si>
  <si>
    <t>Unfavorable</t>
  </si>
  <si>
    <t>2014 Budgeted Revenue</t>
  </si>
  <si>
    <t>Sales-Volume Variance</t>
  </si>
  <si>
    <t>Flexible-Budget Variance</t>
  </si>
  <si>
    <t>Base Values</t>
  </si>
  <si>
    <t>Direct Hourly Rate</t>
  </si>
  <si>
    <t xml:space="preserve">          Total Sales-Volume Variance</t>
  </si>
  <si>
    <t xml:space="preserve">          Total VOH Flexible-Budget Variance</t>
  </si>
  <si>
    <t xml:space="preserve">          Total Direct Labor Flexible-Budget Variance</t>
  </si>
  <si>
    <t>2014 Actual Revenue</t>
  </si>
  <si>
    <r>
      <t xml:space="preserve">Panama Mine Division
</t>
    </r>
    <r>
      <rPr>
        <sz val="11"/>
        <color theme="1"/>
        <rFont val="Calibri"/>
        <family val="2"/>
        <scheme val="minor"/>
      </rPr>
      <t>2014 Selling-Price Variance Analysis</t>
    </r>
  </si>
  <si>
    <t>Actual Selling Price per Unit</t>
  </si>
  <si>
    <t>Budgeted Selling Price per Unit</t>
  </si>
  <si>
    <t>Actual Units Sold</t>
  </si>
  <si>
    <t>Selling-Price Variance</t>
  </si>
  <si>
    <r>
      <t xml:space="preserve">     </t>
    </r>
    <r>
      <rPr>
        <b/>
        <sz val="11"/>
        <color theme="1"/>
        <rFont val="Calibri"/>
        <family val="2"/>
        <scheme val="minor"/>
      </rPr>
      <t>Total Selling-Price Variance</t>
    </r>
  </si>
  <si>
    <t>All amounts in US$ millions except prices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</si>
</sst>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.00"/>
    <numFmt numFmtId="166" formatCode="#,##0.0"/>
    <numFmt numFmtId="167" formatCode="&quot;$&quot;#,##0.0"/>
    <numFmt numFmtId="168" formatCode="&quot;$&quot;#,##0.0_);[Red]\(&quot;$&quot;#,##0.0\)"/>
    <numFmt numFmtId="169" formatCode="#,##0.0_);[Red]\(#,##0.0\)"/>
    <numFmt numFmtId="170" formatCode="&quot;$&quot;#,##0"/>
    <numFmt numFmtId="171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5" fillId="3" borderId="1" applyNumberFormat="0" applyAlignment="0" applyProtection="0"/>
    <xf numFmtId="0" fontId="6" fillId="2" borderId="1" applyNumberFormat="0" applyAlignment="0" applyProtection="0"/>
    <xf numFmtId="0" fontId="4" fillId="4" borderId="7" applyNumberFormat="0" applyAlignment="0" applyProtection="0"/>
  </cellStyleXfs>
  <cellXfs count="68">
    <xf numFmtId="0" fontId="0" fillId="0" borderId="0" xfId="0"/>
    <xf numFmtId="8" fontId="0" fillId="0" borderId="0" xfId="0" applyNumberFormat="1"/>
    <xf numFmtId="0" fontId="1" fillId="0" borderId="0" xfId="0" applyFont="1"/>
    <xf numFmtId="168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7" fontId="0" fillId="0" borderId="0" xfId="0" applyNumberFormat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5" fillId="3" borderId="1" xfId="1"/>
    <xf numFmtId="3" fontId="5" fillId="3" borderId="1" xfId="1" applyNumberFormat="1"/>
    <xf numFmtId="6" fontId="5" fillId="3" borderId="1" xfId="1" applyNumberFormat="1"/>
    <xf numFmtId="166" fontId="0" fillId="0" borderId="0" xfId="0" applyNumberFormat="1"/>
    <xf numFmtId="0" fontId="5" fillId="0" borderId="0" xfId="1" applyFill="1" applyBorder="1"/>
    <xf numFmtId="0" fontId="6" fillId="2" borderId="1" xfId="2"/>
    <xf numFmtId="6" fontId="6" fillId="2" borderId="1" xfId="2" applyNumberFormat="1"/>
    <xf numFmtId="3" fontId="6" fillId="2" borderId="1" xfId="2" applyNumberFormat="1"/>
    <xf numFmtId="6" fontId="0" fillId="0" borderId="3" xfId="0" applyNumberFormat="1" applyBorder="1"/>
    <xf numFmtId="168" fontId="0" fillId="0" borderId="2" xfId="0" applyNumberFormat="1" applyBorder="1"/>
    <xf numFmtId="167" fontId="0" fillId="0" borderId="2" xfId="0" applyNumberFormat="1" applyBorder="1"/>
    <xf numFmtId="167" fontId="0" fillId="0" borderId="4" xfId="0" applyNumberFormat="1" applyBorder="1"/>
    <xf numFmtId="170" fontId="0" fillId="0" borderId="0" xfId="0" applyNumberFormat="1"/>
    <xf numFmtId="164" fontId="5" fillId="3" borderId="1" xfId="1" applyNumberFormat="1"/>
    <xf numFmtId="167" fontId="0" fillId="0" borderId="5" xfId="0" applyNumberFormat="1" applyBorder="1"/>
    <xf numFmtId="170" fontId="0" fillId="0" borderId="3" xfId="0" applyNumberFormat="1" applyBorder="1"/>
    <xf numFmtId="167" fontId="0" fillId="0" borderId="6" xfId="0" applyNumberFormat="1" applyBorder="1"/>
    <xf numFmtId="0" fontId="1" fillId="0" borderId="0" xfId="0" applyFont="1" applyAlignment="1">
      <alignment wrapText="1"/>
    </xf>
    <xf numFmtId="6" fontId="6" fillId="0" borderId="0" xfId="2" applyNumberFormat="1" applyFill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70" fontId="4" fillId="4" borderId="7" xfId="3" applyNumberFormat="1"/>
    <xf numFmtId="6" fontId="4" fillId="4" borderId="7" xfId="3" applyNumberFormat="1"/>
    <xf numFmtId="4" fontId="5" fillId="3" borderId="1" xfId="1" applyNumberFormat="1"/>
    <xf numFmtId="8" fontId="6" fillId="2" borderId="1" xfId="2" applyNumberFormat="1"/>
    <xf numFmtId="170" fontId="6" fillId="2" borderId="1" xfId="2" applyNumberFormat="1"/>
    <xf numFmtId="2" fontId="5" fillId="3" borderId="1" xfId="1" applyNumberFormat="1"/>
    <xf numFmtId="8" fontId="5" fillId="3" borderId="1" xfId="1" applyNumberFormat="1"/>
    <xf numFmtId="165" fontId="6" fillId="2" borderId="1" xfId="2" applyNumberFormat="1"/>
    <xf numFmtId="2" fontId="6" fillId="2" borderId="1" xfId="2" applyNumberFormat="1"/>
    <xf numFmtId="4" fontId="6" fillId="2" borderId="1" xfId="2" applyNumberFormat="1"/>
    <xf numFmtId="6" fontId="6" fillId="2" borderId="9" xfId="2" applyNumberFormat="1" applyBorder="1"/>
    <xf numFmtId="6" fontId="6" fillId="2" borderId="8" xfId="2" applyNumberFormat="1" applyBorder="1"/>
    <xf numFmtId="170" fontId="6" fillId="2" borderId="8" xfId="2" applyNumberFormat="1" applyBorder="1"/>
    <xf numFmtId="169" fontId="6" fillId="2" borderId="1" xfId="2" applyNumberFormat="1"/>
    <xf numFmtId="169" fontId="6" fillId="2" borderId="9" xfId="2" applyNumberFormat="1" applyBorder="1"/>
    <xf numFmtId="169" fontId="6" fillId="2" borderId="8" xfId="2" applyNumberFormat="1" applyBorder="1"/>
    <xf numFmtId="166" fontId="6" fillId="2" borderId="1" xfId="2" applyNumberFormat="1"/>
    <xf numFmtId="0" fontId="6" fillId="2" borderId="9" xfId="2" applyBorder="1"/>
    <xf numFmtId="166" fontId="6" fillId="2" borderId="8" xfId="2" applyNumberFormat="1" applyBorder="1"/>
    <xf numFmtId="171" fontId="6" fillId="2" borderId="1" xfId="2" applyNumberFormat="1"/>
    <xf numFmtId="171" fontId="6" fillId="2" borderId="9" xfId="2" applyNumberFormat="1" applyBorder="1"/>
    <xf numFmtId="171" fontId="6" fillId="2" borderId="8" xfId="2" applyNumberFormat="1" applyBorder="1"/>
    <xf numFmtId="170" fontId="6" fillId="2" borderId="9" xfId="2" applyNumberForma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Chart'!$B$3:$E$3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240.77500000000001</c:v>
                </c:pt>
                <c:pt idx="2">
                  <c:v>313.61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E83-B239-C8BC7370510E}"/>
            </c:ext>
          </c:extLst>
        </c:ser>
        <c:ser>
          <c:idx val="1"/>
          <c:order val="1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Chart'!$B$4:$E$4</c:f>
              <c:numCache>
                <c:formatCode>"$"#,##0_);[Red]\("$"#,##0\)</c:formatCode>
                <c:ptCount val="4"/>
                <c:pt idx="0">
                  <c:v>240.77500000000001</c:v>
                </c:pt>
                <c:pt idx="1">
                  <c:v>0</c:v>
                </c:pt>
                <c:pt idx="2">
                  <c:v>0</c:v>
                </c:pt>
                <c:pt idx="3">
                  <c:v>313.61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4E83-B239-C8BC7370510E}"/>
            </c:ext>
          </c:extLst>
        </c:ser>
        <c:ser>
          <c:idx val="2"/>
          <c:order val="2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Chart'!$B$5:$E$5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81.277500000000003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D-4E83-B239-C8BC7370510E}"/>
            </c:ext>
          </c:extLst>
        </c:ser>
        <c:ser>
          <c:idx val="3"/>
          <c:order val="3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Chart'!$B$6:$E$6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8.4424999999999955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D-4E83-B239-C8BC7370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93248"/>
        <c:axId val="161993808"/>
      </c:barChart>
      <c:catAx>
        <c:axId val="16199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993808"/>
        <c:crosses val="autoZero"/>
        <c:auto val="0"/>
        <c:lblAlgn val="ctr"/>
        <c:lblOffset val="100"/>
        <c:noMultiLvlLbl val="0"/>
      </c:catAx>
      <c:valAx>
        <c:axId val="16199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6199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167640</xdr:rowOff>
    </xdr:from>
    <xdr:to>
      <xdr:col>5</xdr:col>
      <xdr:colOff>53340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workbookViewId="0"/>
  </sheetViews>
  <sheetFormatPr defaultRowHeight="14.5" x14ac:dyDescent="0.35"/>
  <cols>
    <col min="1" max="1" width="21.54296875" customWidth="1"/>
    <col min="2" max="2" width="7.26953125" customWidth="1"/>
    <col min="3" max="3" width="11.453125" customWidth="1"/>
    <col min="4" max="4" width="8" customWidth="1"/>
    <col min="5" max="5" width="7.1796875" customWidth="1"/>
    <col min="6" max="6" width="11.453125" customWidth="1"/>
    <col min="7" max="7" width="8" customWidth="1"/>
    <col min="8" max="8" width="7.1796875" customWidth="1"/>
    <col min="9" max="9" width="11.453125" customWidth="1"/>
    <col min="10" max="10" width="8" customWidth="1"/>
    <col min="11" max="11" width="7.1796875" customWidth="1"/>
    <col min="12" max="12" width="2.26953125" customWidth="1"/>
    <col min="13" max="13" width="8.453125" customWidth="1"/>
    <col min="14" max="14" width="2.26953125" customWidth="1"/>
    <col min="15" max="15" width="5.54296875" customWidth="1"/>
    <col min="16" max="16" width="2.26953125" customWidth="1"/>
    <col min="17" max="17" width="7.1796875" customWidth="1"/>
    <col min="18" max="18" width="2.26953125" customWidth="1"/>
    <col min="19" max="19" width="5.54296875" customWidth="1"/>
    <col min="20" max="20" width="2.26953125" customWidth="1"/>
    <col min="21" max="21" width="7" customWidth="1"/>
    <col min="22" max="22" width="2.26953125" customWidth="1"/>
    <col min="24" max="24" width="2.26953125" bestFit="1" customWidth="1"/>
    <col min="26" max="26" width="2.26953125" bestFit="1" customWidth="1"/>
    <col min="28" max="28" width="2.26953125" bestFit="1" customWidth="1"/>
  </cols>
  <sheetData>
    <row r="1" spans="1:28" ht="27" customHeight="1" x14ac:dyDescent="0.35">
      <c r="A1" s="2" t="s">
        <v>17</v>
      </c>
      <c r="B1" s="66" t="s">
        <v>2</v>
      </c>
      <c r="C1" s="66"/>
      <c r="D1" s="66"/>
      <c r="E1" s="66" t="s">
        <v>6</v>
      </c>
      <c r="F1" s="66"/>
      <c r="G1" s="66"/>
      <c r="H1" s="66" t="s">
        <v>7</v>
      </c>
      <c r="I1" s="66"/>
      <c r="J1" s="66"/>
      <c r="K1" s="65" t="s">
        <v>39</v>
      </c>
      <c r="L1" s="66"/>
      <c r="M1" s="67"/>
      <c r="N1" s="67"/>
      <c r="O1" s="67"/>
      <c r="Q1" s="65" t="s">
        <v>40</v>
      </c>
      <c r="R1" s="66"/>
      <c r="S1" s="66"/>
      <c r="T1" s="66"/>
      <c r="U1" s="66"/>
      <c r="V1" s="7"/>
      <c r="W1" s="65" t="s">
        <v>41</v>
      </c>
      <c r="X1" s="66"/>
      <c r="Y1" s="66"/>
      <c r="Z1" s="66"/>
      <c r="AA1" s="66"/>
    </row>
    <row r="2" spans="1:28" x14ac:dyDescent="0.35">
      <c r="A2" t="s">
        <v>18</v>
      </c>
      <c r="B2" s="12" t="s">
        <v>3</v>
      </c>
      <c r="C2" s="12" t="s">
        <v>4</v>
      </c>
      <c r="D2" s="12" t="s">
        <v>5</v>
      </c>
      <c r="E2" s="12" t="s">
        <v>3</v>
      </c>
      <c r="F2" s="12" t="s">
        <v>4</v>
      </c>
      <c r="G2" s="12" t="s">
        <v>5</v>
      </c>
      <c r="H2" s="12" t="s">
        <v>3</v>
      </c>
      <c r="I2" s="12" t="s">
        <v>4</v>
      </c>
      <c r="J2" s="12" t="s">
        <v>5</v>
      </c>
      <c r="K2" s="12" t="s">
        <v>3</v>
      </c>
      <c r="L2" s="12"/>
      <c r="M2" s="12" t="s">
        <v>4</v>
      </c>
      <c r="N2" s="12"/>
      <c r="O2" s="12" t="s">
        <v>5</v>
      </c>
      <c r="Q2" s="12" t="s">
        <v>3</v>
      </c>
      <c r="R2" s="12"/>
      <c r="S2" s="12" t="s">
        <v>4</v>
      </c>
      <c r="T2" s="12"/>
      <c r="U2" s="12" t="s">
        <v>5</v>
      </c>
      <c r="V2" s="12"/>
      <c r="W2" s="12" t="s">
        <v>3</v>
      </c>
      <c r="X2" s="12"/>
      <c r="Y2" s="12" t="s">
        <v>4</v>
      </c>
      <c r="Z2" s="12"/>
      <c r="AA2" s="12" t="s">
        <v>5</v>
      </c>
    </row>
    <row r="3" spans="1:28" x14ac:dyDescent="0.35">
      <c r="A3" s="2" t="s">
        <v>8</v>
      </c>
      <c r="B3" s="10">
        <f>BudgetInputs!B3</f>
        <v>24750</v>
      </c>
      <c r="C3">
        <f>BudgetInputs!C3</f>
        <v>2.2000000000000002</v>
      </c>
      <c r="D3" s="16">
        <f>B3+C3</f>
        <v>24752.2</v>
      </c>
      <c r="E3" s="10">
        <f>BudgetInputs!E3</f>
        <v>24750</v>
      </c>
      <c r="F3">
        <f>BudgetInputs!F3</f>
        <v>2.2000000000000002</v>
      </c>
      <c r="G3" s="16">
        <f>E3+F3</f>
        <v>24752.2</v>
      </c>
      <c r="H3" s="10">
        <f>BudgetInputs!H3</f>
        <v>22500</v>
      </c>
      <c r="I3" s="4">
        <f>BudgetInputs!I3</f>
        <v>1</v>
      </c>
      <c r="J3" s="16">
        <f>H3+I3</f>
        <v>22501</v>
      </c>
      <c r="K3" s="8">
        <f>ABS($B3-$E3)</f>
        <v>0</v>
      </c>
      <c r="L3" t="str">
        <f>IF($B3=$E3,"",(IF($B3&gt;$E3, "F", "U")))</f>
        <v/>
      </c>
      <c r="M3" s="8">
        <f>ABS($C3-$F3)</f>
        <v>0</v>
      </c>
      <c r="N3" t="str">
        <f>IF($C3=$F3,"",(IF($C3&gt;$F3, "F", "U")))</f>
        <v/>
      </c>
      <c r="O3" s="8">
        <f>ABS($D3-$G3)</f>
        <v>0</v>
      </c>
      <c r="P3" t="str">
        <f>IF($D3=$G3,"",(IF($D3&gt;$G3, "F", "U")))</f>
        <v/>
      </c>
      <c r="Q3" s="10">
        <f>$E3-$H3</f>
        <v>2250</v>
      </c>
      <c r="R3" t="str">
        <f>IF($E3=$H3,"",(IF($E3&gt;$H3, "F", "U")))</f>
        <v>F</v>
      </c>
      <c r="S3" s="16">
        <f>ABS($F3-$I3)</f>
        <v>1.2000000000000002</v>
      </c>
      <c r="T3" t="str">
        <f>IF($F3=$I3,"",(IF($F3&gt;$I3, "F", "U")))</f>
        <v>F</v>
      </c>
      <c r="U3" s="16">
        <f>ABS($G3-$J3)</f>
        <v>2251.2000000000007</v>
      </c>
      <c r="V3" t="str">
        <f>IF($G3=$J3,"",(IF($G3&gt;$J3, "F", "U")))</f>
        <v>F</v>
      </c>
      <c r="W3" s="10">
        <f>ABS($B3-$H3)</f>
        <v>2250</v>
      </c>
      <c r="X3" t="str">
        <f>IF($B3=$H3,"",(IF($B3&gt;$H3, "F", "U")))</f>
        <v>F</v>
      </c>
      <c r="Y3" s="16">
        <f>ABS($C3-$I3)</f>
        <v>1.2000000000000002</v>
      </c>
      <c r="Z3" t="str">
        <f>IF($C3=$I3,"",(IF($C3&gt;$I3, "F", "U")))</f>
        <v>F</v>
      </c>
      <c r="AA3" s="16">
        <f>ABS($D3-$J3)</f>
        <v>2251.2000000000007</v>
      </c>
      <c r="AB3" t="str">
        <f>IF($D3=$J3,"",(IF($D3&gt;$J3, "F", "U")))</f>
        <v>F</v>
      </c>
    </row>
    <row r="4" spans="1:28" ht="15" thickBot="1" x14ac:dyDescent="0.4">
      <c r="A4" s="2" t="s">
        <v>1</v>
      </c>
      <c r="B4" s="21">
        <f>BudgetInputs!B4</f>
        <v>8120</v>
      </c>
      <c r="C4" s="21">
        <f>BudgetInputs!C4</f>
        <v>51200000</v>
      </c>
      <c r="D4" s="6"/>
      <c r="E4" s="21">
        <f>BudgetInputs!E4</f>
        <v>8390</v>
      </c>
      <c r="F4" s="21">
        <f>BudgetInputs!F4</f>
        <v>52000000</v>
      </c>
      <c r="H4" s="21">
        <f>BudgetInputs!H4</f>
        <v>8390</v>
      </c>
      <c r="I4" s="21">
        <f>BudgetInputs!I4</f>
        <v>52000000</v>
      </c>
      <c r="K4" s="28">
        <f>ABS($B4-$E4)</f>
        <v>270</v>
      </c>
      <c r="L4" t="str">
        <f>IF($B4=$E4, "", (IF($B4&gt;$E4, "F", "U")))</f>
        <v>U</v>
      </c>
      <c r="M4" s="28">
        <f>ABS($C4-$F4)</f>
        <v>800000</v>
      </c>
      <c r="N4" t="str">
        <f>IF($C4=$F4, "", (IF($C4&gt;$F4, "F", "U")))</f>
        <v>U</v>
      </c>
      <c r="O4" s="8"/>
      <c r="Q4" s="28">
        <f>$E4-$H4</f>
        <v>0</v>
      </c>
      <c r="R4" t="str">
        <f>IF($E4=$H4, "", (IF($E4&gt;$H4, "F", "U")))</f>
        <v/>
      </c>
      <c r="S4" s="28">
        <f>ABS($F4-$I4)</f>
        <v>0</v>
      </c>
      <c r="T4" t="str">
        <f>IF($F4=$I4, "", (IF($F4&gt;$I4, "F", "U")))</f>
        <v/>
      </c>
      <c r="U4" s="25"/>
      <c r="W4" s="28">
        <f>ABS($B4-$H4)</f>
        <v>270</v>
      </c>
      <c r="X4" t="str">
        <f>IF($B4=$H4, "", (IF($B4&gt;$H4, "F", "U")))</f>
        <v>U</v>
      </c>
      <c r="Y4" s="28">
        <f>ABS($C4-$I4)</f>
        <v>800000</v>
      </c>
      <c r="Z4" t="str">
        <f>IF($C4=$I4, "", (IF($C4&gt;$I4, "F", "U")))</f>
        <v>U</v>
      </c>
      <c r="AA4" s="16"/>
    </row>
    <row r="5" spans="1:28" ht="15" thickTop="1" x14ac:dyDescent="0.35">
      <c r="A5" s="2" t="s">
        <v>16</v>
      </c>
      <c r="B5" s="22">
        <f>BudgetInputs!B3*(BudgetInputs!B4/1000000)</f>
        <v>200.97</v>
      </c>
      <c r="C5" s="22">
        <f>BudgetInputs!C3*(BudgetInputs!C4/1000000)</f>
        <v>112.64000000000001</v>
      </c>
      <c r="D5" s="22">
        <f>B5+C5</f>
        <v>313.61</v>
      </c>
      <c r="E5" s="22">
        <f>BudgetInputs!E3*(BudgetInputs!E4/1000000)</f>
        <v>207.6525</v>
      </c>
      <c r="F5" s="22">
        <f>BudgetInputs!F3*(BudgetInputs!F4/1000000)</f>
        <v>114.4</v>
      </c>
      <c r="G5" s="22">
        <f>E5+F5</f>
        <v>322.05250000000001</v>
      </c>
      <c r="H5" s="22">
        <f>BudgetInputs!H3*(BudgetInputs!H4/1000000)</f>
        <v>188.77500000000001</v>
      </c>
      <c r="I5" s="22">
        <f>BudgetInputs!I3*(BudgetInputs!I4/1000000)</f>
        <v>52</v>
      </c>
      <c r="J5" s="22">
        <f>H5+I5</f>
        <v>240.77500000000001</v>
      </c>
      <c r="K5" s="8">
        <f>ABS($B5-$E5)</f>
        <v>6.6825000000000045</v>
      </c>
      <c r="L5" t="str">
        <f>IF($B5=$E5, "", (IF($B5&gt;$E5, "F", "U")))</f>
        <v>U</v>
      </c>
      <c r="M5" s="8">
        <f>ABS($C5-$F5)</f>
        <v>1.7599999999999909</v>
      </c>
      <c r="N5" t="str">
        <f>IF($C5=$F5, "", (IF($C5&gt;$F5, "F", "U")))</f>
        <v>U</v>
      </c>
      <c r="O5" s="8">
        <f>ABS($D5-$G5)</f>
        <v>8.4424999999999955</v>
      </c>
      <c r="P5" t="str">
        <f>IF($D5=$G5, "", (IF($D5&gt;$G5, "F", "U")))</f>
        <v>U</v>
      </c>
      <c r="Q5" s="8">
        <f>$E5-$H5</f>
        <v>18.877499999999998</v>
      </c>
      <c r="R5" t="str">
        <f>IF($E5=$H5, "", (IF($E5&gt;$H5, "F", "U")))</f>
        <v>F</v>
      </c>
      <c r="S5" s="8">
        <f>ABS($F5-$I5)</f>
        <v>62.400000000000006</v>
      </c>
      <c r="T5" t="str">
        <f>IF($F5=$I5, "", (IF($F5&gt;$I5, "F", "U")))</f>
        <v>F</v>
      </c>
      <c r="U5" s="8">
        <f>ABS($G5-$J5)</f>
        <v>81.277500000000003</v>
      </c>
      <c r="V5" t="str">
        <f>IF($G5=$J5, "", (IF($G5&gt;$J5, "F", "U")))</f>
        <v>F</v>
      </c>
      <c r="W5" s="29">
        <f>ABS($B5-$H5)</f>
        <v>12.194999999999993</v>
      </c>
      <c r="X5" t="str">
        <f>IF($B5=$H5, "", (IF($B5&gt;$H5, "F", "U")))</f>
        <v>F</v>
      </c>
      <c r="Y5" s="29">
        <f>ABS($C5-$I5)</f>
        <v>60.640000000000015</v>
      </c>
      <c r="Z5" t="str">
        <f>IF($C5=$I5, "", (IF($C5&gt;$I5, "F", "U")))</f>
        <v>F</v>
      </c>
      <c r="AA5" s="23">
        <f>ABS($D5-$J5)</f>
        <v>72.835000000000008</v>
      </c>
      <c r="AB5" t="str">
        <f>IF($D5=$J5, "", (IF($D5&gt;$J5, "F", "U")))</f>
        <v>F</v>
      </c>
    </row>
    <row r="6" spans="1:28" x14ac:dyDescent="0.35">
      <c r="A6" s="2" t="s">
        <v>9</v>
      </c>
      <c r="K6" s="8"/>
      <c r="M6" s="8"/>
      <c r="O6" s="8"/>
      <c r="Q6" s="8"/>
      <c r="S6" s="8"/>
      <c r="U6" s="8"/>
      <c r="W6" s="8"/>
      <c r="Y6" s="8"/>
      <c r="AA6" s="8"/>
    </row>
    <row r="7" spans="1:28" x14ac:dyDescent="0.35">
      <c r="A7" s="2" t="s">
        <v>10</v>
      </c>
      <c r="B7" s="8">
        <f>(BudgetInputs!B3*BudgetInputs!B11)/1000000</f>
        <v>24.205500000000001</v>
      </c>
      <c r="C7" s="8">
        <f>(BudgetInputs!C3*BudgetInputs!C11)/1000000</f>
        <v>7.9999987320000008</v>
      </c>
      <c r="D7" s="8">
        <f>B7+C7</f>
        <v>32.205498732000002</v>
      </c>
      <c r="E7" s="8">
        <f>(BudgetInputs!E3*BudgetInputs!E11)/1000000</f>
        <v>24.972750000000001</v>
      </c>
      <c r="F7" s="8">
        <f>(BudgetInputs!F3*BudgetInputs!F11)/1000000</f>
        <v>6.8200000000000012</v>
      </c>
      <c r="G7" s="8">
        <f>E7+F7</f>
        <v>31.792750000000002</v>
      </c>
      <c r="H7" s="8">
        <f>(BudgetInputs!H3*BudgetInputs!H11)/1000000</f>
        <v>22.702500000000001</v>
      </c>
      <c r="I7" s="8">
        <f>(BudgetInputs!I3*BudgetInputs!I11)/1000000</f>
        <v>3.1</v>
      </c>
      <c r="J7" s="8">
        <f>H7+I7</f>
        <v>25.802500000000002</v>
      </c>
      <c r="K7" s="8">
        <f>ABS($B7-$E7)</f>
        <v>0.76725000000000065</v>
      </c>
      <c r="L7" t="str">
        <f>IF($B7=$E7, "", (IF($B7&lt;$E7, "F", "U")))</f>
        <v>F</v>
      </c>
      <c r="M7" s="8">
        <f>ABS($C7-$F7)</f>
        <v>1.1799987319999996</v>
      </c>
      <c r="N7" t="str">
        <f>IF($C7=$F7, "", (IF($C7&lt;$F7, "F", "U")))</f>
        <v>U</v>
      </c>
      <c r="O7" s="8">
        <f t="shared" ref="O7:O12" si="0">ABS($D7-$G7)</f>
        <v>0.41274873200000073</v>
      </c>
      <c r="P7" t="str">
        <f>IF($D7=$G7, "", (IF($D7&lt;$G7, "F", "U")))</f>
        <v>U</v>
      </c>
      <c r="Q7" s="8">
        <f>$E7-$H7</f>
        <v>2.2702500000000008</v>
      </c>
      <c r="R7" t="str">
        <f>IF($E7=$H7, "", (IF($E7&lt;$H7, "F", "U")))</f>
        <v>U</v>
      </c>
      <c r="S7" s="8">
        <f>ABS($F7-$I7)</f>
        <v>3.7200000000000011</v>
      </c>
      <c r="T7" t="str">
        <f>IF($F7=$I7, "", (IF($F7&lt;$I7, "F", "U")))</f>
        <v>U</v>
      </c>
      <c r="U7" s="8">
        <f t="shared" ref="U7:U12" si="1">ABS($G7-$J7)</f>
        <v>5.9902499999999996</v>
      </c>
      <c r="V7" t="str">
        <f>IF($G7=$J7, "", (IF($G7&lt;$J7, "F", "U")))</f>
        <v>U</v>
      </c>
      <c r="W7" s="8">
        <f>ABS($B7-$H7)</f>
        <v>1.5030000000000001</v>
      </c>
      <c r="X7" t="str">
        <f>IF($B7=$H7, "", (IF($B7&lt;$H7, "F", "U")))</f>
        <v>U</v>
      </c>
      <c r="Y7" s="8">
        <f>ABS($C7-$I7)</f>
        <v>4.8999987320000002</v>
      </c>
      <c r="Z7" t="str">
        <f>IF($C7=$I7, "", (IF($C7&lt;$I7, "F", "U")))</f>
        <v>U</v>
      </c>
      <c r="AA7" s="8">
        <f t="shared" ref="AA7:AA12" si="2">ABS($D7-$J7)</f>
        <v>6.4029987320000004</v>
      </c>
      <c r="AB7" t="str">
        <f>IF($D7=$J7, "", (IF($D7&lt;$J7, "F", "U")))</f>
        <v>U</v>
      </c>
    </row>
    <row r="8" spans="1:28" x14ac:dyDescent="0.35">
      <c r="A8" s="2" t="s">
        <v>11</v>
      </c>
      <c r="B8" s="23">
        <f>(BudgetInputs!B3*BudgetInputs!B12)/1000000</f>
        <v>14.0085</v>
      </c>
      <c r="C8" s="23">
        <f>(BudgetInputs!C3*BudgetInputs!C12)/1000000</f>
        <v>11.399999600000001</v>
      </c>
      <c r="D8" s="23">
        <f>B8+C8</f>
        <v>25.408499599999999</v>
      </c>
      <c r="E8" s="23">
        <f>(BudgetInputs!E3*BudgetInputs!E12)/1000000</f>
        <v>16.607250000000001</v>
      </c>
      <c r="F8" s="23">
        <f>(BudgetInputs!F3*BudgetInputs!F12)/1000000</f>
        <v>10.34</v>
      </c>
      <c r="G8" s="23">
        <f>E8+F8</f>
        <v>26.94725</v>
      </c>
      <c r="H8" s="23">
        <f>(BudgetInputs!H3*BudgetInputs!H12)/1000000</f>
        <v>15.0975</v>
      </c>
      <c r="I8" s="23">
        <f>(BudgetInputs!I3*BudgetInputs!I12)/1000000</f>
        <v>4.7</v>
      </c>
      <c r="J8" s="23">
        <f>H8+I8</f>
        <v>19.797499999999999</v>
      </c>
      <c r="K8" s="23">
        <f>ABS($B8-$E8)</f>
        <v>2.5987500000000008</v>
      </c>
      <c r="L8" t="str">
        <f>IF($B8=$E8, "", (IF($B8&lt;$E8, "F", "U")))</f>
        <v>F</v>
      </c>
      <c r="M8" s="23">
        <f>ABS($C8-$F8)</f>
        <v>1.0599996000000012</v>
      </c>
      <c r="N8" t="str">
        <f>IF($C8=$F8, "", (IF($C8&lt;$F8, "F", "U")))</f>
        <v>U</v>
      </c>
      <c r="O8" s="23">
        <f t="shared" si="0"/>
        <v>1.5387504000000014</v>
      </c>
      <c r="P8" t="str">
        <f>IF($D8=$G8, "", (IF($D8&lt;$G8, "F", "U")))</f>
        <v>F</v>
      </c>
      <c r="Q8" s="23">
        <f>$E8-$H8</f>
        <v>1.5097500000000004</v>
      </c>
      <c r="R8" t="str">
        <f>IF($E8=$H8, "", (IF($E8&lt;$H8, "F", "U")))</f>
        <v>U</v>
      </c>
      <c r="S8" s="23">
        <f>ABS($F8-$I8)</f>
        <v>5.64</v>
      </c>
      <c r="T8" t="str">
        <f>IF($F8=$I8, "", (IF($F8&lt;$I8, "F", "U")))</f>
        <v>U</v>
      </c>
      <c r="U8" s="23">
        <f t="shared" si="1"/>
        <v>7.1497500000000009</v>
      </c>
      <c r="V8" t="str">
        <f>IF($G8=$J8, "", (IF($G8&lt;$J8, "F", "U")))</f>
        <v>U</v>
      </c>
      <c r="W8" s="23">
        <f>ABS($B8-$H8)</f>
        <v>1.0890000000000004</v>
      </c>
      <c r="X8" t="str">
        <f>IF($B8=$H8, "", (IF($B8&lt;$H8, "F", "U")))</f>
        <v>F</v>
      </c>
      <c r="Y8" s="23">
        <f>ABS($C8-$I8)</f>
        <v>6.6999996000000008</v>
      </c>
      <c r="Z8" t="str">
        <f>IF($C8=$I8, "", (IF($C8&lt;$I8, "F", "U")))</f>
        <v>U</v>
      </c>
      <c r="AA8" s="23">
        <f t="shared" si="2"/>
        <v>5.6109995999999995</v>
      </c>
      <c r="AB8" t="str">
        <f>IF($D8=$J8, "", (IF($D8&lt;$J8, "F", "U")))</f>
        <v>U</v>
      </c>
    </row>
    <row r="9" spans="1:28" x14ac:dyDescent="0.35">
      <c r="A9" s="2" t="s">
        <v>12</v>
      </c>
      <c r="B9" s="24">
        <f>B$7+B$8</f>
        <v>38.213999999999999</v>
      </c>
      <c r="C9" s="24">
        <f t="shared" ref="C9:J9" si="3">C$7+C$8</f>
        <v>19.399998332000003</v>
      </c>
      <c r="D9" s="24">
        <f t="shared" si="3"/>
        <v>57.613998332000001</v>
      </c>
      <c r="E9" s="24">
        <f t="shared" si="3"/>
        <v>41.58</v>
      </c>
      <c r="F9" s="24">
        <f t="shared" si="3"/>
        <v>17.16</v>
      </c>
      <c r="G9" s="24">
        <f t="shared" si="3"/>
        <v>58.74</v>
      </c>
      <c r="H9" s="24">
        <f t="shared" si="3"/>
        <v>37.799999999999997</v>
      </c>
      <c r="I9" s="24">
        <f t="shared" si="3"/>
        <v>7.8000000000000007</v>
      </c>
      <c r="J9" s="24">
        <f t="shared" si="3"/>
        <v>45.6</v>
      </c>
      <c r="K9" s="24">
        <f>ABS($B9-$E9)</f>
        <v>3.3659999999999997</v>
      </c>
      <c r="L9" t="str">
        <f>IF($B9=$E9, "", (IF($B9&lt;$E9, "F", "U")))</f>
        <v>F</v>
      </c>
      <c r="M9" s="24">
        <f>ABS($C9-$F9)</f>
        <v>2.2399983320000025</v>
      </c>
      <c r="N9" t="str">
        <f>IF($C9=$F9, "", (IF($C9&lt;$F9, "F", "U")))</f>
        <v>U</v>
      </c>
      <c r="O9" s="24">
        <f t="shared" si="0"/>
        <v>1.1260016680000007</v>
      </c>
      <c r="P9" t="str">
        <f>IF($D9=$G9, "", (IF($D9&lt;$G9, "F", "U")))</f>
        <v>F</v>
      </c>
      <c r="Q9" s="24">
        <f>$E9-$H9</f>
        <v>3.7800000000000011</v>
      </c>
      <c r="R9" t="str">
        <f>IF($E9=$H9, "", (IF($E9&lt;$H9, "F", "U")))</f>
        <v>U</v>
      </c>
      <c r="S9" s="24">
        <f>ABS($F9-$I9)</f>
        <v>9.36</v>
      </c>
      <c r="T9" t="str">
        <f>IF($F9=$I9, "", (IF($F9&lt;$I9, "F", "U")))</f>
        <v>U</v>
      </c>
      <c r="U9" s="24">
        <f t="shared" si="1"/>
        <v>13.14</v>
      </c>
      <c r="V9" t="str">
        <f>IF($G9=$J9, "", (IF($G9&lt;$J9, "F", "U")))</f>
        <v>U</v>
      </c>
      <c r="W9" s="24">
        <f>ABS($B9-$H9)</f>
        <v>0.41400000000000148</v>
      </c>
      <c r="X9" t="str">
        <f>IF($B9=$H9, "", (IF($B9&lt;$H9, "F", "U")))</f>
        <v>U</v>
      </c>
      <c r="Y9" s="24">
        <f>ABS($C9-$I9)</f>
        <v>11.599998332000002</v>
      </c>
      <c r="Z9" t="str">
        <f>IF($C9=$I9, "", (IF($C9&lt;$I9, "F", "U")))</f>
        <v>U</v>
      </c>
      <c r="AA9" s="24">
        <f t="shared" si="2"/>
        <v>12.013998332</v>
      </c>
      <c r="AB9" t="str">
        <f>IF($D9=$J9, "", (IF($D9&lt;$J9, "F", "U")))</f>
        <v>U</v>
      </c>
    </row>
    <row r="10" spans="1:28" x14ac:dyDescent="0.35">
      <c r="A10" s="2" t="s">
        <v>13</v>
      </c>
      <c r="B10" s="8">
        <f>B$5-B$9</f>
        <v>162.756</v>
      </c>
      <c r="C10" s="8">
        <f t="shared" ref="C10:J10" si="4">C$5-C$9</f>
        <v>93.240001668000019</v>
      </c>
      <c r="D10" s="8">
        <f t="shared" si="4"/>
        <v>255.99600166800002</v>
      </c>
      <c r="E10" s="8">
        <f t="shared" si="4"/>
        <v>166.07249999999999</v>
      </c>
      <c r="F10" s="8">
        <f t="shared" si="4"/>
        <v>97.240000000000009</v>
      </c>
      <c r="G10" s="8">
        <f t="shared" si="4"/>
        <v>263.3125</v>
      </c>
      <c r="H10" s="8">
        <f t="shared" si="4"/>
        <v>150.97500000000002</v>
      </c>
      <c r="I10" s="8">
        <f t="shared" si="4"/>
        <v>44.2</v>
      </c>
      <c r="J10" s="8">
        <f t="shared" si="4"/>
        <v>195.17500000000001</v>
      </c>
      <c r="K10" s="8">
        <f>ABS($B10-$E10)</f>
        <v>3.3164999999999907</v>
      </c>
      <c r="L10" t="str">
        <f>IF($B10=$E10, "", (IF($B10&gt;$E10, "F", "U")))</f>
        <v>U</v>
      </c>
      <c r="M10" s="8">
        <f>ABS($C10-$F10)</f>
        <v>3.9999983319999899</v>
      </c>
      <c r="N10" t="str">
        <f>IF($C10=$F10, "", (IF($C10&gt;$F10, "F", "U")))</f>
        <v>U</v>
      </c>
      <c r="O10" s="8">
        <f t="shared" si="0"/>
        <v>7.3164983319999806</v>
      </c>
      <c r="P10" t="str">
        <f>IF($D10=$G10, "", (IF($D10&gt;$G10, "F", "U")))</f>
        <v>U</v>
      </c>
      <c r="Q10" s="8">
        <f>$E10-$H10</f>
        <v>15.097499999999968</v>
      </c>
      <c r="R10" t="str">
        <f>IF($E10=$H10, "", (IF($E10&gt;$H10, "F", "U")))</f>
        <v>F</v>
      </c>
      <c r="S10" s="8">
        <f>ABS($F10-$I10)</f>
        <v>53.040000000000006</v>
      </c>
      <c r="T10" t="str">
        <f>IF($F10=$I10, "", (IF($F10&gt;$I10, "F", "U")))</f>
        <v>F</v>
      </c>
      <c r="U10" s="8">
        <f t="shared" si="1"/>
        <v>68.137499999999989</v>
      </c>
      <c r="V10" t="str">
        <f>IF($G10=$J10, "", (IF($G10&gt;$J10, "F", "U")))</f>
        <v>F</v>
      </c>
      <c r="W10" s="8">
        <f>ABS($B10-$H10)</f>
        <v>11.780999999999977</v>
      </c>
      <c r="X10" t="str">
        <f>IF($B10=$H10, "", (IF($B10&gt;$H10, "F", "U")))</f>
        <v>F</v>
      </c>
      <c r="Y10" s="8">
        <f>ABS($C10-$I10)</f>
        <v>49.040001668000016</v>
      </c>
      <c r="Z10" t="str">
        <f>IF($C10=$I10, "", (IF($C10&gt;$I10, "F", "U")))</f>
        <v>F</v>
      </c>
      <c r="AA10" s="8">
        <f t="shared" si="2"/>
        <v>60.821001668000008</v>
      </c>
      <c r="AB10" t="str">
        <f>IF($D10=$J10, "", (IF($D10&gt;$J10, "F", "U")))</f>
        <v>F</v>
      </c>
    </row>
    <row r="11" spans="1:28" x14ac:dyDescent="0.35">
      <c r="A11" s="2" t="s">
        <v>14</v>
      </c>
      <c r="B11" s="8"/>
      <c r="C11" s="8"/>
      <c r="D11" s="23">
        <f>BudgetInputs!D15/1000000</f>
        <v>52</v>
      </c>
      <c r="E11" s="8"/>
      <c r="F11" s="8"/>
      <c r="G11" s="23">
        <f>BudgetInputs!G15/1000000</f>
        <v>45.6</v>
      </c>
      <c r="H11" s="8"/>
      <c r="I11" s="8"/>
      <c r="J11" s="23">
        <f>BudgetInputs!J15/1000000</f>
        <v>45.6</v>
      </c>
      <c r="K11" s="8"/>
      <c r="M11" s="8"/>
      <c r="O11" s="23">
        <f t="shared" si="0"/>
        <v>6.3999999999999986</v>
      </c>
      <c r="P11" t="str">
        <f>IF($D11=$G11, "", (IF($D11&lt;$G11, "F", "U")))</f>
        <v>U</v>
      </c>
      <c r="Q11" s="8"/>
      <c r="S11" s="8"/>
      <c r="U11" s="23">
        <f t="shared" si="1"/>
        <v>0</v>
      </c>
      <c r="V11" t="str">
        <f>IF($G11=$J11, "", (IF($G11&lt;$J11, "F", "U")))</f>
        <v/>
      </c>
      <c r="W11" s="8"/>
      <c r="Y11" s="8"/>
      <c r="AA11" s="23">
        <f t="shared" si="2"/>
        <v>6.3999999999999986</v>
      </c>
      <c r="AB11" t="str">
        <f>IF($D11=$J11, "", (IF($D11&lt;$J11, "F", "U")))</f>
        <v>U</v>
      </c>
    </row>
    <row r="12" spans="1:28" ht="15" thickBot="1" x14ac:dyDescent="0.4">
      <c r="A12" s="2" t="s">
        <v>15</v>
      </c>
      <c r="B12" s="8"/>
      <c r="C12" s="8"/>
      <c r="D12" s="27">
        <f>D10-D11</f>
        <v>203.99600166800002</v>
      </c>
      <c r="E12" s="8"/>
      <c r="F12" s="8"/>
      <c r="G12" s="27">
        <f>G10-G11</f>
        <v>217.71250000000001</v>
      </c>
      <c r="H12" s="8"/>
      <c r="I12" s="8"/>
      <c r="J12" s="27">
        <f>J10-J11</f>
        <v>149.57500000000002</v>
      </c>
      <c r="K12" s="8"/>
      <c r="M12" s="8"/>
      <c r="O12" s="27">
        <f t="shared" si="0"/>
        <v>13.716498331999986</v>
      </c>
      <c r="P12" t="str">
        <f>IF($D12=$G12, "", (IF($D12&gt;$G12, "F", "U")))</f>
        <v>U</v>
      </c>
      <c r="Q12" s="8"/>
      <c r="S12" s="8"/>
      <c r="U12" s="27">
        <f t="shared" si="1"/>
        <v>68.137499999999989</v>
      </c>
      <c r="V12" t="str">
        <f>IF($G12=$J12, "", (IF($G12&gt;$J12, "F", "U")))</f>
        <v>F</v>
      </c>
      <c r="W12" s="8"/>
      <c r="Y12" s="8"/>
      <c r="AA12" s="27">
        <f t="shared" si="2"/>
        <v>54.421001668000002</v>
      </c>
      <c r="AB12" t="str">
        <f>IF($D12=$J12, "", (IF($D12&gt;$J12, "F", "U")))</f>
        <v>F</v>
      </c>
    </row>
    <row r="13" spans="1:28" ht="15" thickTop="1" x14ac:dyDescent="0.35">
      <c r="O13" s="8"/>
    </row>
    <row r="14" spans="1:28" x14ac:dyDescent="0.35">
      <c r="A14" s="11" t="s">
        <v>129</v>
      </c>
    </row>
  </sheetData>
  <mergeCells count="6">
    <mergeCell ref="W1:AA1"/>
    <mergeCell ref="B1:D1"/>
    <mergeCell ref="E1:G1"/>
    <mergeCell ref="H1:J1"/>
    <mergeCell ref="K1:O1"/>
    <mergeCell ref="Q1:U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"/>
  <sheetViews>
    <sheetView workbookViewId="0">
      <selection activeCell="R3" sqref="R3"/>
    </sheetView>
  </sheetViews>
  <sheetFormatPr defaultRowHeight="14.5" x14ac:dyDescent="0.35"/>
  <cols>
    <col min="1" max="1" width="17.1796875" customWidth="1"/>
    <col min="2" max="2" width="0.54296875" customWidth="1"/>
    <col min="3" max="3" width="6.54296875" bestFit="1" customWidth="1"/>
    <col min="4" max="4" width="9.7265625" customWidth="1"/>
    <col min="5" max="5" width="1.54296875" customWidth="1"/>
    <col min="6" max="6" width="10" bestFit="1" customWidth="1"/>
    <col min="7" max="7" width="7.54296875" bestFit="1" customWidth="1"/>
    <col min="8" max="8" width="1.1796875" customWidth="1"/>
    <col min="9" max="9" width="9.1796875" bestFit="1" customWidth="1"/>
    <col min="10" max="10" width="9.7265625" customWidth="1"/>
    <col min="11" max="11" width="1.1796875" customWidth="1"/>
    <col min="12" max="13" width="11.1796875" bestFit="1" customWidth="1"/>
    <col min="14" max="14" width="1.1796875" customWidth="1"/>
    <col min="15" max="16" width="7.26953125" bestFit="1" customWidth="1"/>
    <col min="17" max="17" width="1.1796875" customWidth="1"/>
    <col min="18" max="19" width="10.7265625" bestFit="1" customWidth="1"/>
    <col min="20" max="20" width="9.7265625" customWidth="1"/>
  </cols>
  <sheetData>
    <row r="1" spans="1:19" ht="43.5" x14ac:dyDescent="0.35">
      <c r="A1" s="40" t="s">
        <v>73</v>
      </c>
      <c r="C1" s="65" t="s">
        <v>52</v>
      </c>
      <c r="D1" s="65"/>
      <c r="F1" s="65" t="s">
        <v>102</v>
      </c>
      <c r="G1" s="65"/>
      <c r="I1" s="66" t="s">
        <v>79</v>
      </c>
      <c r="J1" s="66"/>
      <c r="L1" s="66" t="s">
        <v>55</v>
      </c>
      <c r="M1" s="66"/>
      <c r="O1" s="66" t="s">
        <v>82</v>
      </c>
      <c r="P1" s="66"/>
      <c r="R1" s="66" t="s">
        <v>103</v>
      </c>
      <c r="S1" s="66"/>
    </row>
    <row r="2" spans="1:19" x14ac:dyDescent="0.35">
      <c r="A2" t="s">
        <v>80</v>
      </c>
      <c r="C2" s="2" t="s">
        <v>53</v>
      </c>
      <c r="D2" s="2" t="s">
        <v>59</v>
      </c>
      <c r="F2" s="2" t="s">
        <v>51</v>
      </c>
      <c r="G2" s="2" t="s">
        <v>58</v>
      </c>
      <c r="I2" s="2" t="s">
        <v>53</v>
      </c>
      <c r="J2" s="2" t="s">
        <v>59</v>
      </c>
      <c r="L2" s="2" t="s">
        <v>53</v>
      </c>
      <c r="M2" s="2" t="s">
        <v>59</v>
      </c>
      <c r="O2" s="2" t="s">
        <v>49</v>
      </c>
      <c r="P2" s="2" t="s">
        <v>58</v>
      </c>
      <c r="R2" s="2" t="s">
        <v>49</v>
      </c>
      <c r="S2" s="2" t="s">
        <v>58</v>
      </c>
    </row>
    <row r="3" spans="1:19" x14ac:dyDescent="0.35">
      <c r="A3" s="2" t="s">
        <v>3</v>
      </c>
      <c r="C3" s="20">
        <f>BudgetInputs!B3</f>
        <v>24750</v>
      </c>
      <c r="D3" s="20">
        <f>BudgetInputs!B3</f>
        <v>24750</v>
      </c>
      <c r="F3" s="50">
        <f>DLVarianceCalcs!C3</f>
        <v>48</v>
      </c>
      <c r="G3" s="51">
        <f>DLVarianceCalcs!D3</f>
        <v>50.45</v>
      </c>
      <c r="I3" s="20">
        <f>F3*C3</f>
        <v>1188000</v>
      </c>
      <c r="J3" s="20">
        <f>G3*D3</f>
        <v>1248637.5</v>
      </c>
      <c r="L3" s="46">
        <f>BudgetInputs!B8</f>
        <v>14008500</v>
      </c>
      <c r="M3" s="46">
        <f>BudgetInputs!E8</f>
        <v>16607250</v>
      </c>
      <c r="O3" s="49">
        <f>L3/I3</f>
        <v>11.791666666666666</v>
      </c>
      <c r="P3" s="45">
        <f>M3/J3</f>
        <v>13.300297324083251</v>
      </c>
      <c r="R3" s="46">
        <f>$L3/$C3</f>
        <v>566</v>
      </c>
      <c r="S3" s="19">
        <f>$M3/$D3</f>
        <v>671</v>
      </c>
    </row>
    <row r="4" spans="1:19" x14ac:dyDescent="0.35">
      <c r="A4" s="2" t="s">
        <v>4</v>
      </c>
      <c r="C4" s="18">
        <f>BudgetInputs!C3</f>
        <v>2.2000000000000002</v>
      </c>
      <c r="D4" s="18">
        <f>BudgetInputs!C3</f>
        <v>2.2000000000000002</v>
      </c>
      <c r="F4" s="51">
        <f>DLVarianceCalcs!C4</f>
        <v>165289.23000000001</v>
      </c>
      <c r="G4" s="20">
        <f>DLVarianceCalcs!D4</f>
        <v>155000</v>
      </c>
      <c r="I4" s="20">
        <f>F4*C4</f>
        <v>363636.30600000004</v>
      </c>
      <c r="J4" s="20">
        <f>G4*D4</f>
        <v>341000</v>
      </c>
      <c r="L4" s="46">
        <f>BudgetInputs!C8</f>
        <v>11399999.600000001</v>
      </c>
      <c r="M4" s="46">
        <f>BudgetInputs!F8</f>
        <v>10340000</v>
      </c>
      <c r="O4" s="49">
        <f>L4/I4</f>
        <v>31.350003868975612</v>
      </c>
      <c r="P4" s="45">
        <f>M4/J4</f>
        <v>30.322580645161292</v>
      </c>
      <c r="R4" s="46">
        <f>$L4/$C4</f>
        <v>5181818</v>
      </c>
      <c r="S4" s="19">
        <f>$M4/$D4</f>
        <v>4700000</v>
      </c>
    </row>
    <row r="5" spans="1:19" x14ac:dyDescent="0.35">
      <c r="A5" s="2" t="s">
        <v>104</v>
      </c>
      <c r="L5" s="46">
        <f>'2014Budget'!D8*1000000</f>
        <v>25408499.599999998</v>
      </c>
      <c r="M5" s="46">
        <f>'2014Budget'!G8*1000000</f>
        <v>26947250</v>
      </c>
    </row>
    <row r="7" spans="1:19" ht="15" thickBot="1" x14ac:dyDescent="0.4">
      <c r="A7" s="2" t="s">
        <v>50</v>
      </c>
      <c r="I7" s="2"/>
      <c r="L7" s="2"/>
    </row>
    <row r="8" spans="1:19" ht="15.5" thickTop="1" thickBot="1" x14ac:dyDescent="0.4">
      <c r="A8" s="2" t="s">
        <v>3</v>
      </c>
      <c r="R8" s="43">
        <f>BudgetInputs!B12</f>
        <v>566</v>
      </c>
      <c r="S8" s="43">
        <f>BudgetInputs!H12</f>
        <v>671</v>
      </c>
    </row>
    <row r="9" spans="1:19" ht="15.5" thickTop="1" thickBot="1" x14ac:dyDescent="0.4">
      <c r="A9" s="2" t="s">
        <v>4</v>
      </c>
      <c r="R9" s="43">
        <f>BudgetInputs!C12</f>
        <v>5181818</v>
      </c>
      <c r="S9" s="43">
        <f>BudgetInputs!I12</f>
        <v>4700000</v>
      </c>
    </row>
    <row r="10" spans="1:19" ht="15" thickTop="1" x14ac:dyDescent="0.35">
      <c r="A10" s="2" t="s">
        <v>81</v>
      </c>
    </row>
  </sheetData>
  <mergeCells count="6">
    <mergeCell ref="F1:G1"/>
    <mergeCell ref="R1:S1"/>
    <mergeCell ref="O1:P1"/>
    <mergeCell ref="C1:D1"/>
    <mergeCell ref="I1:J1"/>
    <mergeCell ref="L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"/>
  <sheetViews>
    <sheetView workbookViewId="0">
      <selection activeCell="K9" sqref="K9"/>
    </sheetView>
  </sheetViews>
  <sheetFormatPr defaultRowHeight="14.5" x14ac:dyDescent="0.35"/>
  <cols>
    <col min="1" max="1" width="21.26953125" customWidth="1"/>
    <col min="2" max="2" width="2.7265625" bestFit="1" customWidth="1"/>
    <col min="3" max="3" width="17" customWidth="1"/>
    <col min="4" max="4" width="7.7265625" customWidth="1"/>
    <col min="5" max="5" width="15.26953125" customWidth="1"/>
    <col min="6" max="6" width="7.81640625" bestFit="1" customWidth="1"/>
    <col min="7" max="7" width="16.7265625" bestFit="1" customWidth="1"/>
    <col min="8" max="8" width="5.54296875" bestFit="1" customWidth="1"/>
    <col min="9" max="9" width="11" bestFit="1" customWidth="1"/>
  </cols>
  <sheetData>
    <row r="1" spans="1:10" ht="61.5" customHeight="1" x14ac:dyDescent="0.35">
      <c r="A1" s="30" t="s">
        <v>75</v>
      </c>
      <c r="B1" s="38" t="s">
        <v>44</v>
      </c>
      <c r="C1" s="30" t="s">
        <v>105</v>
      </c>
      <c r="D1" s="5" t="s">
        <v>26</v>
      </c>
      <c r="E1" s="30" t="s">
        <v>106</v>
      </c>
      <c r="F1" s="33" t="s">
        <v>34</v>
      </c>
      <c r="G1" s="30" t="s">
        <v>85</v>
      </c>
      <c r="H1" s="41" t="s">
        <v>0</v>
      </c>
      <c r="I1" s="30" t="s">
        <v>83</v>
      </c>
    </row>
    <row r="2" spans="1:10" ht="4.1500000000000004" customHeight="1" x14ac:dyDescent="0.35"/>
    <row r="3" spans="1:10" x14ac:dyDescent="0.35">
      <c r="A3" s="2" t="s">
        <v>76</v>
      </c>
      <c r="C3" s="45">
        <f>VOHVarianceCalcs!O3</f>
        <v>11.791666666666666</v>
      </c>
      <c r="D3" t="s">
        <v>69</v>
      </c>
      <c r="E3" s="45">
        <f>VOHVarianceCalcs!P3</f>
        <v>13.300297324083251</v>
      </c>
      <c r="F3" t="s">
        <v>69</v>
      </c>
      <c r="G3" s="20">
        <f>VOHVarianceCalcs!I3</f>
        <v>1188000</v>
      </c>
      <c r="H3" t="s">
        <v>68</v>
      </c>
      <c r="I3" s="19">
        <f>ABS(($C3-$E3)*$G3)</f>
        <v>1792253.2210109034</v>
      </c>
      <c r="J3" t="str">
        <f>IF($C3=$E3,"",(IF($C3&lt;$E3, "F", "U")))</f>
        <v>F</v>
      </c>
    </row>
    <row r="4" spans="1:10" x14ac:dyDescent="0.35">
      <c r="A4" s="2" t="s">
        <v>77</v>
      </c>
      <c r="C4" s="45">
        <f>VOHVarianceCalcs!O4</f>
        <v>31.350003868975612</v>
      </c>
      <c r="D4" t="s">
        <v>69</v>
      </c>
      <c r="E4" s="45">
        <f>VOHVarianceCalcs!P4</f>
        <v>30.322580645161292</v>
      </c>
      <c r="F4" t="s">
        <v>69</v>
      </c>
      <c r="G4" s="20">
        <f>VOHVarianceCalcs!I4</f>
        <v>363636.30600000004</v>
      </c>
      <c r="H4" t="s">
        <v>68</v>
      </c>
      <c r="I4" s="52">
        <f>ABS(($C4-$E4)*$G4)</f>
        <v>373608.38580645079</v>
      </c>
      <c r="J4" t="str">
        <f>IF($C4=$E4,"",(IF($C4&lt;$E4, "F", "U")))</f>
        <v>U</v>
      </c>
    </row>
    <row r="5" spans="1:10" ht="15" thickBot="1" x14ac:dyDescent="0.4">
      <c r="A5" s="2" t="s">
        <v>84</v>
      </c>
      <c r="I5" s="53">
        <f>ABS((($C3-$E3)*$G3)+(($C4-$E4)*$G4))</f>
        <v>1418644.8352044525</v>
      </c>
      <c r="J5" t="str">
        <f>IF(I5=0, "", IF(OR(AND(I3&gt;I4, J3="F"),AND(I4&gt;I3, J4="F")), "F","U"))</f>
        <v>F</v>
      </c>
    </row>
    <row r="6" spans="1:10" ht="15" thickTop="1" x14ac:dyDescent="0.35"/>
    <row r="7" spans="1:10" x14ac:dyDescent="0.35">
      <c r="A7" s="2"/>
    </row>
    <row r="8" spans="1:10" x14ac:dyDescent="0.35">
      <c r="A8" s="2"/>
    </row>
    <row r="9" spans="1:10" x14ac:dyDescent="0.35">
      <c r="A9" s="2"/>
    </row>
    <row r="10" spans="1:10" x14ac:dyDescent="0.35">
      <c r="A1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"/>
  <sheetViews>
    <sheetView workbookViewId="0">
      <selection activeCell="L12" sqref="L12"/>
    </sheetView>
  </sheetViews>
  <sheetFormatPr defaultRowHeight="14.5" x14ac:dyDescent="0.35"/>
  <cols>
    <col min="1" max="1" width="19.7265625" customWidth="1"/>
    <col min="2" max="2" width="2.1796875" customWidth="1"/>
    <col min="3" max="3" width="14.1796875" customWidth="1"/>
    <col min="4" max="4" width="5.54296875" customWidth="1"/>
    <col min="5" max="5" width="16.26953125" customWidth="1"/>
    <col min="6" max="6" width="5.453125" customWidth="1"/>
    <col min="7" max="7" width="20" customWidth="1"/>
    <col min="8" max="8" width="7.26953125" customWidth="1"/>
    <col min="9" max="9" width="2" bestFit="1" customWidth="1"/>
    <col min="10" max="10" width="11.453125" bestFit="1" customWidth="1"/>
  </cols>
  <sheetData>
    <row r="1" spans="1:11" ht="48.65" customHeight="1" x14ac:dyDescent="0.35">
      <c r="A1" s="30" t="s">
        <v>78</v>
      </c>
      <c r="B1" s="38" t="s">
        <v>44</v>
      </c>
      <c r="C1" s="30" t="s">
        <v>85</v>
      </c>
      <c r="D1" s="5" t="s">
        <v>26</v>
      </c>
      <c r="E1" s="30" t="s">
        <v>86</v>
      </c>
      <c r="F1" s="33" t="s">
        <v>34</v>
      </c>
      <c r="G1" s="30" t="s">
        <v>87</v>
      </c>
      <c r="H1" s="30"/>
      <c r="I1" s="41" t="s">
        <v>0</v>
      </c>
      <c r="J1" s="30" t="s">
        <v>67</v>
      </c>
    </row>
    <row r="3" spans="1:11" x14ac:dyDescent="0.35">
      <c r="A3" s="2" t="s">
        <v>76</v>
      </c>
      <c r="C3" s="20">
        <f>VOHVarianceCalcs!I3</f>
        <v>1188000</v>
      </c>
      <c r="D3" t="s">
        <v>68</v>
      </c>
      <c r="E3" s="20">
        <f>VOHVarianceCalcs!J3</f>
        <v>1248637.5</v>
      </c>
      <c r="F3" t="s">
        <v>68</v>
      </c>
      <c r="G3" s="45">
        <f>VOHVarianceCalcs!P3</f>
        <v>13.300297324083251</v>
      </c>
      <c r="H3" s="9" t="s">
        <v>69</v>
      </c>
      <c r="J3" s="19">
        <f>ABS(($C3-$E3)*$G3)</f>
        <v>806496.77898909815</v>
      </c>
      <c r="K3" t="str">
        <f>IF($C3=$E3,"",(IF($C3&lt;$E3, "F", "U")))</f>
        <v>F</v>
      </c>
    </row>
    <row r="4" spans="1:11" x14ac:dyDescent="0.35">
      <c r="A4" s="2" t="s">
        <v>77</v>
      </c>
      <c r="C4" s="20">
        <f>VOHVarianceCalcs!I4</f>
        <v>363636.30600000004</v>
      </c>
      <c r="D4" t="s">
        <v>68</v>
      </c>
      <c r="E4" s="20">
        <f>VOHVarianceCalcs!J4</f>
        <v>341000</v>
      </c>
      <c r="F4" t="s">
        <v>68</v>
      </c>
      <c r="G4" s="45">
        <f>VOHVarianceCalcs!P4</f>
        <v>30.322580645161292</v>
      </c>
      <c r="H4" s="9" t="s">
        <v>69</v>
      </c>
      <c r="J4" s="52">
        <f>ABS(($C4-$E4)*$G4)</f>
        <v>686391.21419354971</v>
      </c>
      <c r="K4" t="str">
        <f>IF($C4=$E4,"",(IF($C4&lt;$E4, "F", "U")))</f>
        <v>U</v>
      </c>
    </row>
    <row r="5" spans="1:11" ht="15" thickBot="1" x14ac:dyDescent="0.4">
      <c r="A5" s="2" t="s">
        <v>88</v>
      </c>
      <c r="J5" s="53">
        <f>ABS((($C3-$E3)*$G3)+(($C4-$E4)*$G4))</f>
        <v>120105.56479554845</v>
      </c>
      <c r="K5" t="str">
        <f>IF(J5=0, "", IF(OR(AND(J3&gt;J4, K3="F"),AND(J4&gt;J3, K4="F")), "F","U"))</f>
        <v>F</v>
      </c>
    </row>
    <row r="6" spans="1:11" ht="15" thickTop="1" x14ac:dyDescent="0.35"/>
    <row r="7" spans="1:11" x14ac:dyDescent="0.35">
      <c r="A7" s="2" t="s">
        <v>84</v>
      </c>
      <c r="J7" s="52">
        <f>VOHSpendingVariance!I5</f>
        <v>1418644.8352044525</v>
      </c>
      <c r="K7" t="str">
        <f>VOHSpendingVariance!J5</f>
        <v>F</v>
      </c>
    </row>
    <row r="8" spans="1:11" ht="15" thickBot="1" x14ac:dyDescent="0.4">
      <c r="A8" s="2" t="s">
        <v>120</v>
      </c>
      <c r="J8" s="53">
        <f>ABS((($C3-$E3)*$G3)+(($C4-$E4)*$G4)+(((VOHSpendingVariance!$C3-VOHSpendingVariance!$E3)*VOHSpendingVariance!$G3)+((VOHSpendingVariance!$C4-VOHSpendingVariance!$E4)*VOHSpendingVariance!$G4)))</f>
        <v>1538750.4000000008</v>
      </c>
      <c r="K8" t="str">
        <f>'2014Budget'!P8</f>
        <v>F</v>
      </c>
    </row>
    <row r="9" spans="1:11" ht="15" thickTop="1" x14ac:dyDescent="0.35"/>
    <row r="11" spans="1:11" x14ac:dyDescent="0.35">
      <c r="A11" t="s">
        <v>72</v>
      </c>
      <c r="J11" s="25">
        <f>'2014Budget'!O8*1000000</f>
        <v>1538750.4000000013</v>
      </c>
      <c r="K11" s="25" t="str">
        <f>'2014Budget'!P8</f>
        <v>F</v>
      </c>
    </row>
    <row r="12" spans="1:11" x14ac:dyDescent="0.35">
      <c r="J12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tabSelected="1" workbookViewId="0"/>
  </sheetViews>
  <sheetFormatPr defaultRowHeight="14.5" x14ac:dyDescent="0.35"/>
  <cols>
    <col min="1" max="1" width="11.1796875" bestFit="1" customWidth="1"/>
    <col min="2" max="2" width="18" bestFit="1" customWidth="1"/>
    <col min="3" max="3" width="14.81640625" customWidth="1"/>
    <col min="4" max="4" width="12.54296875" customWidth="1"/>
    <col min="5" max="5" width="14.26953125" bestFit="1" customWidth="1"/>
    <col min="6" max="6" width="12" bestFit="1" customWidth="1"/>
    <col min="7" max="7" width="12.26953125" bestFit="1" customWidth="1"/>
    <col min="8" max="8" width="15.7265625" bestFit="1" customWidth="1"/>
  </cols>
  <sheetData>
    <row r="1" spans="1:8" ht="43.5" x14ac:dyDescent="0.35">
      <c r="B1" s="30" t="s">
        <v>114</v>
      </c>
      <c r="C1" s="30" t="s">
        <v>115</v>
      </c>
      <c r="D1" s="30" t="s">
        <v>116</v>
      </c>
      <c r="E1" s="30" t="s">
        <v>122</v>
      </c>
      <c r="G1" s="2"/>
      <c r="H1" s="2"/>
    </row>
    <row r="2" spans="1:8" x14ac:dyDescent="0.35">
      <c r="A2" s="2" t="s">
        <v>110</v>
      </c>
      <c r="B2" s="9">
        <f>'2014Budget'!J5</f>
        <v>240.77500000000001</v>
      </c>
      <c r="C2" s="9">
        <f>'2014Budget'!U5</f>
        <v>81.277500000000003</v>
      </c>
      <c r="D2" s="9">
        <f>-'2014Budget'!O5</f>
        <v>-8.4424999999999955</v>
      </c>
      <c r="E2" s="9">
        <f>D3</f>
        <v>313.61</v>
      </c>
      <c r="F2" s="9"/>
      <c r="G2" s="9"/>
      <c r="H2" s="9"/>
    </row>
    <row r="3" spans="1:8" x14ac:dyDescent="0.35">
      <c r="A3" s="2" t="s">
        <v>111</v>
      </c>
      <c r="B3" s="9">
        <v>0</v>
      </c>
      <c r="C3" s="9">
        <f>B$3+B$2+IF(C$2&gt;0,0,C$2)</f>
        <v>240.77500000000001</v>
      </c>
      <c r="D3" s="9">
        <f>C$3+C$2+IF(D$2&gt;0,0,D$2)</f>
        <v>313.61</v>
      </c>
      <c r="E3" s="9">
        <v>0</v>
      </c>
      <c r="F3" s="9"/>
      <c r="G3" s="9"/>
      <c r="H3" s="9"/>
    </row>
    <row r="4" spans="1:8" x14ac:dyDescent="0.35">
      <c r="A4" s="2" t="s">
        <v>117</v>
      </c>
      <c r="B4" s="9">
        <f>B2</f>
        <v>240.77500000000001</v>
      </c>
      <c r="C4" s="9">
        <v>0</v>
      </c>
      <c r="D4" s="9">
        <v>0</v>
      </c>
      <c r="E4" s="9">
        <f>D3</f>
        <v>313.61</v>
      </c>
    </row>
    <row r="5" spans="1:8" x14ac:dyDescent="0.35">
      <c r="A5" s="2" t="s">
        <v>112</v>
      </c>
      <c r="B5" s="9">
        <v>0</v>
      </c>
      <c r="C5" s="9">
        <f>MAX(C$2,0)</f>
        <v>81.277500000000003</v>
      </c>
      <c r="D5" s="9">
        <f>MAX(D$2,0)</f>
        <v>0</v>
      </c>
      <c r="E5" s="9">
        <v>0</v>
      </c>
    </row>
    <row r="6" spans="1:8" x14ac:dyDescent="0.35">
      <c r="A6" s="2" t="s">
        <v>113</v>
      </c>
      <c r="B6" s="9">
        <v>0</v>
      </c>
      <c r="C6" s="9">
        <f>ABS(MIN(C$2,0))</f>
        <v>0</v>
      </c>
      <c r="D6" s="9">
        <f>ABS(MIN(D$2,0))</f>
        <v>8.4424999999999955</v>
      </c>
      <c r="E6" s="9">
        <v>0</v>
      </c>
      <c r="F6" s="9"/>
      <c r="G6" s="9"/>
      <c r="H6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E3" sqref="E3"/>
    </sheetView>
  </sheetViews>
  <sheetFormatPr defaultRowHeight="14.5" x14ac:dyDescent="0.35"/>
  <cols>
    <col min="1" max="1" width="22.26953125" customWidth="1"/>
    <col min="2" max="3" width="11.453125" bestFit="1" customWidth="1"/>
    <col min="4" max="4" width="11.453125" customWidth="1"/>
    <col min="5" max="7" width="11.7265625" customWidth="1"/>
    <col min="8" max="10" width="11.453125" bestFit="1" customWidth="1"/>
  </cols>
  <sheetData>
    <row r="1" spans="1:10" x14ac:dyDescent="0.35">
      <c r="A1" s="2" t="s">
        <v>17</v>
      </c>
      <c r="B1" s="66" t="s">
        <v>2</v>
      </c>
      <c r="C1" s="66"/>
      <c r="D1" s="66"/>
      <c r="E1" s="66" t="s">
        <v>6</v>
      </c>
      <c r="F1" s="66"/>
      <c r="G1" s="66"/>
      <c r="H1" s="66" t="s">
        <v>7</v>
      </c>
      <c r="I1" s="66"/>
      <c r="J1" s="66"/>
    </row>
    <row r="2" spans="1:10" x14ac:dyDescent="0.35">
      <c r="A2" t="s">
        <v>20</v>
      </c>
      <c r="B2" s="12" t="s">
        <v>3</v>
      </c>
      <c r="C2" s="12" t="s">
        <v>4</v>
      </c>
      <c r="D2" s="12" t="s">
        <v>5</v>
      </c>
      <c r="E2" s="12" t="s">
        <v>3</v>
      </c>
      <c r="F2" s="12" t="s">
        <v>4</v>
      </c>
      <c r="G2" s="12" t="s">
        <v>5</v>
      </c>
      <c r="H2" s="12" t="s">
        <v>3</v>
      </c>
      <c r="I2" s="12" t="s">
        <v>4</v>
      </c>
      <c r="J2" s="12" t="s">
        <v>5</v>
      </c>
    </row>
    <row r="3" spans="1:10" x14ac:dyDescent="0.35">
      <c r="A3" s="2" t="s">
        <v>8</v>
      </c>
      <c r="B3" s="14">
        <v>24750</v>
      </c>
      <c r="C3" s="13">
        <v>2.2000000000000002</v>
      </c>
      <c r="E3" s="20">
        <f>B3</f>
        <v>24750</v>
      </c>
      <c r="F3" s="18">
        <f>C3</f>
        <v>2.2000000000000002</v>
      </c>
      <c r="H3" s="14">
        <v>22500</v>
      </c>
      <c r="I3" s="26">
        <v>1</v>
      </c>
    </row>
    <row r="4" spans="1:10" x14ac:dyDescent="0.35">
      <c r="A4" s="2" t="s">
        <v>1</v>
      </c>
      <c r="B4" s="15">
        <v>8120</v>
      </c>
      <c r="C4" s="15">
        <v>51200000</v>
      </c>
      <c r="E4" s="19">
        <f>H4</f>
        <v>8390</v>
      </c>
      <c r="F4" s="19">
        <f>I4</f>
        <v>52000000</v>
      </c>
      <c r="H4" s="15">
        <v>8390</v>
      </c>
      <c r="I4" s="15">
        <v>52000000</v>
      </c>
    </row>
    <row r="5" spans="1:10" ht="7.15" customHeight="1" x14ac:dyDescent="0.35">
      <c r="A5" s="2"/>
    </row>
    <row r="6" spans="1:10" ht="14.5" customHeight="1" x14ac:dyDescent="0.35">
      <c r="A6" s="2" t="s">
        <v>91</v>
      </c>
      <c r="B6" s="47">
        <v>48</v>
      </c>
      <c r="C6" s="44">
        <v>165289.23000000001</v>
      </c>
      <c r="H6" s="44">
        <v>50.45</v>
      </c>
      <c r="I6" s="14">
        <v>155000</v>
      </c>
    </row>
    <row r="7" spans="1:10" ht="14.5" customHeight="1" x14ac:dyDescent="0.35">
      <c r="A7" s="2" t="s">
        <v>118</v>
      </c>
      <c r="B7" s="48">
        <v>20.375</v>
      </c>
      <c r="C7" s="48">
        <v>22</v>
      </c>
      <c r="H7" s="15">
        <v>20</v>
      </c>
      <c r="I7" s="15">
        <v>20</v>
      </c>
    </row>
    <row r="8" spans="1:10" ht="14.5" customHeight="1" x14ac:dyDescent="0.35">
      <c r="A8" s="2" t="s">
        <v>93</v>
      </c>
      <c r="B8" s="15">
        <v>14008500</v>
      </c>
      <c r="C8" s="15">
        <v>11399999.600000001</v>
      </c>
      <c r="E8" s="19">
        <f>E3*E12</f>
        <v>16607250</v>
      </c>
      <c r="F8" s="19">
        <f>F3*F12</f>
        <v>10340000</v>
      </c>
      <c r="H8" s="15">
        <v>15097500</v>
      </c>
      <c r="I8" s="15">
        <v>4700000</v>
      </c>
    </row>
    <row r="9" spans="1:10" ht="9" customHeight="1" x14ac:dyDescent="0.35">
      <c r="A9" s="2"/>
    </row>
    <row r="10" spans="1:10" x14ac:dyDescent="0.35">
      <c r="A10" s="2" t="s">
        <v>90</v>
      </c>
    </row>
    <row r="11" spans="1:10" x14ac:dyDescent="0.35">
      <c r="A11" s="2" t="s">
        <v>10</v>
      </c>
      <c r="B11" s="19">
        <f>B6*B7</f>
        <v>978</v>
      </c>
      <c r="C11" s="19">
        <f>C6*C7</f>
        <v>3636363.06</v>
      </c>
      <c r="E11" s="19">
        <f>H11</f>
        <v>1009</v>
      </c>
      <c r="F11" s="19">
        <f>I11</f>
        <v>3100000</v>
      </c>
      <c r="H11" s="19">
        <f>H6*H7</f>
        <v>1009</v>
      </c>
      <c r="I11" s="19">
        <f>I6*I7</f>
        <v>3100000</v>
      </c>
    </row>
    <row r="12" spans="1:10" x14ac:dyDescent="0.35">
      <c r="A12" s="2" t="s">
        <v>89</v>
      </c>
      <c r="B12" s="19">
        <f>B8/B3</f>
        <v>566</v>
      </c>
      <c r="C12" s="19">
        <f>C8/C3</f>
        <v>5181818</v>
      </c>
      <c r="E12" s="19">
        <f>H12</f>
        <v>671</v>
      </c>
      <c r="F12" s="19">
        <f>I12</f>
        <v>4700000</v>
      </c>
      <c r="H12" s="19">
        <f>H8/H3</f>
        <v>671</v>
      </c>
      <c r="I12" s="19">
        <f>I8/I3</f>
        <v>4700000</v>
      </c>
    </row>
    <row r="13" spans="1:10" x14ac:dyDescent="0.35">
      <c r="A13" s="2" t="s">
        <v>12</v>
      </c>
      <c r="B13" s="19">
        <f>B11+B12</f>
        <v>1544</v>
      </c>
      <c r="C13" s="19">
        <f>C11+C12</f>
        <v>8818181.0600000005</v>
      </c>
      <c r="E13" s="19">
        <f>E$11+E$12</f>
        <v>1680</v>
      </c>
      <c r="F13" s="19">
        <f t="shared" ref="F13:I13" si="0">F$11+F$12</f>
        <v>7800000</v>
      </c>
      <c r="G13" s="31"/>
      <c r="H13" s="19">
        <f t="shared" si="0"/>
        <v>1680</v>
      </c>
      <c r="I13" s="19">
        <f t="shared" si="0"/>
        <v>7800000</v>
      </c>
    </row>
    <row r="14" spans="1:10" x14ac:dyDescent="0.35">
      <c r="A14" s="2"/>
    </row>
    <row r="15" spans="1:10" x14ac:dyDescent="0.35">
      <c r="A15" s="2" t="s">
        <v>14</v>
      </c>
      <c r="B15" s="17"/>
      <c r="C15" s="17"/>
      <c r="D15" s="15">
        <v>52000000</v>
      </c>
      <c r="E15" s="17"/>
      <c r="F15" s="17"/>
      <c r="G15" s="19">
        <f>J15</f>
        <v>45600000</v>
      </c>
      <c r="H15" s="17"/>
      <c r="I15" s="17"/>
      <c r="J15" s="15">
        <v>45600000</v>
      </c>
    </row>
    <row r="16" spans="1:10" x14ac:dyDescent="0.35">
      <c r="A16" s="2"/>
    </row>
    <row r="17" spans="1:9" x14ac:dyDescent="0.35">
      <c r="A17" s="11"/>
    </row>
    <row r="18" spans="1:9" x14ac:dyDescent="0.35">
      <c r="B18" s="9"/>
    </row>
    <row r="19" spans="1:9" x14ac:dyDescent="0.35">
      <c r="H19" s="9"/>
      <c r="I19" s="3"/>
    </row>
    <row r="22" spans="1:9" x14ac:dyDescent="0.35">
      <c r="B22" s="1"/>
      <c r="C22" s="9"/>
      <c r="H22" s="1"/>
    </row>
    <row r="23" spans="1:9" x14ac:dyDescent="0.35">
      <c r="B23" s="1"/>
      <c r="C23" s="9"/>
      <c r="H23" s="1"/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M3" sqref="M3"/>
    </sheetView>
  </sheetViews>
  <sheetFormatPr defaultRowHeight="14.5" x14ac:dyDescent="0.35"/>
  <cols>
    <col min="1" max="1" width="20.54296875" customWidth="1"/>
    <col min="2" max="2" width="1.81640625" customWidth="1"/>
    <col min="3" max="3" width="11.7265625" bestFit="1" customWidth="1"/>
    <col min="4" max="4" width="2.7265625" customWidth="1"/>
    <col min="5" max="5" width="10.7265625" bestFit="1" customWidth="1"/>
    <col min="6" max="6" width="2.453125" customWidth="1"/>
    <col min="7" max="7" width="11.7265625" bestFit="1" customWidth="1"/>
    <col min="8" max="8" width="1.81640625" customWidth="1"/>
    <col min="10" max="10" width="2.453125" customWidth="1"/>
    <col min="11" max="11" width="12.54296875" customWidth="1"/>
    <col min="12" max="12" width="1.7265625" customWidth="1"/>
    <col min="13" max="13" width="13.26953125" customWidth="1"/>
  </cols>
  <sheetData>
    <row r="1" spans="1:13" ht="45" customHeight="1" x14ac:dyDescent="0.35">
      <c r="A1" s="30" t="s">
        <v>92</v>
      </c>
      <c r="C1" s="2" t="s">
        <v>19</v>
      </c>
      <c r="D1" s="5" t="s">
        <v>26</v>
      </c>
      <c r="E1" s="30" t="s">
        <v>95</v>
      </c>
      <c r="F1" s="12" t="s">
        <v>0</v>
      </c>
      <c r="G1" s="30" t="s">
        <v>94</v>
      </c>
      <c r="H1" s="5" t="s">
        <v>28</v>
      </c>
      <c r="I1" s="30" t="s">
        <v>27</v>
      </c>
      <c r="J1" s="5" t="s">
        <v>0</v>
      </c>
      <c r="K1" s="30" t="s">
        <v>29</v>
      </c>
      <c r="M1" s="30" t="s">
        <v>30</v>
      </c>
    </row>
    <row r="2" spans="1:13" ht="3.65" customHeight="1" x14ac:dyDescent="0.35"/>
    <row r="3" spans="1:13" x14ac:dyDescent="0.35">
      <c r="A3" s="2" t="s">
        <v>22</v>
      </c>
      <c r="C3" s="19">
        <f>BudgetInputs!H4</f>
        <v>8390</v>
      </c>
      <c r="E3" s="19">
        <f>BudgetInputs!H13</f>
        <v>1680</v>
      </c>
      <c r="G3" s="19">
        <f>$C3-$E3</f>
        <v>6710</v>
      </c>
      <c r="I3" s="55">
        <f>BudgetInputs!H3</f>
        <v>22500</v>
      </c>
      <c r="K3" s="19">
        <f>$G3*$I3</f>
        <v>150975000</v>
      </c>
      <c r="M3" s="61">
        <f>I3/I5</f>
        <v>0.99995555753077636</v>
      </c>
    </row>
    <row r="4" spans="1:13" x14ac:dyDescent="0.35">
      <c r="A4" s="2" t="s">
        <v>23</v>
      </c>
      <c r="C4" s="19">
        <f>BudgetInputs!I4</f>
        <v>52000000</v>
      </c>
      <c r="E4" s="19">
        <f>BudgetInputs!I13</f>
        <v>7800000</v>
      </c>
      <c r="G4" s="19">
        <f>$C4-$E4</f>
        <v>44200000</v>
      </c>
      <c r="I4" s="56">
        <f>BudgetInputs!I3</f>
        <v>1</v>
      </c>
      <c r="K4" s="52">
        <f t="shared" ref="K4:K8" si="0">$G4*$I4</f>
        <v>44200000</v>
      </c>
      <c r="M4" s="62">
        <f>I4/I5</f>
        <v>4.4442469223590063E-5</v>
      </c>
    </row>
    <row r="5" spans="1:13" ht="15" thickBot="1" x14ac:dyDescent="0.4">
      <c r="A5" s="2" t="s">
        <v>21</v>
      </c>
      <c r="G5" s="9"/>
      <c r="I5" s="57">
        <f>I3+I4</f>
        <v>22501</v>
      </c>
      <c r="K5" s="53">
        <f>K3+K4</f>
        <v>195175000</v>
      </c>
      <c r="M5" s="63">
        <f>M3+M4</f>
        <v>1</v>
      </c>
    </row>
    <row r="6" spans="1:13" ht="15" thickTop="1" x14ac:dyDescent="0.35">
      <c r="G6" s="9"/>
      <c r="K6" s="9"/>
    </row>
    <row r="7" spans="1:13" x14ac:dyDescent="0.35">
      <c r="A7" s="2" t="s">
        <v>24</v>
      </c>
      <c r="C7" s="19">
        <f>BudgetInputs!B4</f>
        <v>8120</v>
      </c>
      <c r="E7" s="19">
        <f>BudgetInputs!B13</f>
        <v>1544</v>
      </c>
      <c r="G7" s="19">
        <f t="shared" ref="G7:G8" si="1">$C7-$E7</f>
        <v>6576</v>
      </c>
      <c r="I7" s="58">
        <f>BudgetInputs!B3</f>
        <v>24750</v>
      </c>
      <c r="K7" s="19">
        <f t="shared" si="0"/>
        <v>162756000</v>
      </c>
      <c r="M7" s="61">
        <f>I7/I9</f>
        <v>0.99991111901164342</v>
      </c>
    </row>
    <row r="8" spans="1:13" x14ac:dyDescent="0.35">
      <c r="A8" s="2" t="s">
        <v>25</v>
      </c>
      <c r="C8" s="19">
        <f>BudgetInputs!C4</f>
        <v>51200000</v>
      </c>
      <c r="E8" s="19">
        <f>BudgetInputs!C13</f>
        <v>8818181.0600000005</v>
      </c>
      <c r="G8" s="19">
        <f t="shared" si="1"/>
        <v>42381818.939999998</v>
      </c>
      <c r="I8" s="59">
        <f>BudgetInputs!C3</f>
        <v>2.2000000000000002</v>
      </c>
      <c r="K8" s="52">
        <f t="shared" si="0"/>
        <v>93240001.667999998</v>
      </c>
      <c r="M8" s="62">
        <f>I8/I9</f>
        <v>8.8880988356590529E-5</v>
      </c>
    </row>
    <row r="9" spans="1:13" ht="15" thickBot="1" x14ac:dyDescent="0.4">
      <c r="A9" s="2" t="s">
        <v>21</v>
      </c>
      <c r="I9" s="60">
        <f>I7+I8</f>
        <v>24752.2</v>
      </c>
      <c r="K9" s="53">
        <f>K7+K8</f>
        <v>255996001.66799998</v>
      </c>
      <c r="M9" s="63">
        <f>M7+M8</f>
        <v>1</v>
      </c>
    </row>
    <row r="10" spans="1:13" ht="15" thickTop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>
      <selection activeCell="K6" sqref="K6"/>
    </sheetView>
  </sheetViews>
  <sheetFormatPr defaultRowHeight="14.5" x14ac:dyDescent="0.35"/>
  <cols>
    <col min="1" max="1" width="20.26953125" customWidth="1"/>
    <col min="2" max="2" width="1.1796875" customWidth="1"/>
    <col min="3" max="3" width="12.7265625" customWidth="1"/>
    <col min="4" max="4" width="4.453125" customWidth="1"/>
    <col min="5" max="5" width="11.26953125" customWidth="1"/>
    <col min="6" max="6" width="2.26953125" customWidth="1"/>
    <col min="7" max="7" width="10.81640625" customWidth="1"/>
    <col min="8" max="8" width="4.453125" customWidth="1"/>
    <col min="9" max="9" width="12.26953125" customWidth="1"/>
    <col min="10" max="10" width="4.26953125" customWidth="1"/>
    <col min="11" max="11" width="14.1796875" bestFit="1" customWidth="1"/>
    <col min="12" max="12" width="3.1796875" customWidth="1"/>
  </cols>
  <sheetData>
    <row r="1" spans="1:12" ht="43.5" x14ac:dyDescent="0.35">
      <c r="A1" s="30" t="s">
        <v>31</v>
      </c>
      <c r="C1" s="30" t="s">
        <v>33</v>
      </c>
      <c r="D1" s="32" t="s">
        <v>35</v>
      </c>
      <c r="E1" s="36" t="s">
        <v>36</v>
      </c>
      <c r="F1" s="35" t="s">
        <v>26</v>
      </c>
      <c r="G1" s="36" t="s">
        <v>37</v>
      </c>
      <c r="H1" s="33" t="s">
        <v>34</v>
      </c>
      <c r="I1" s="30" t="s">
        <v>96</v>
      </c>
      <c r="J1" s="34" t="s">
        <v>0</v>
      </c>
      <c r="K1" s="30" t="s">
        <v>38</v>
      </c>
    </row>
    <row r="2" spans="1:12" ht="6" customHeight="1" x14ac:dyDescent="0.35"/>
    <row r="3" spans="1:12" x14ac:dyDescent="0.35">
      <c r="A3" s="2" t="s">
        <v>3</v>
      </c>
      <c r="C3" s="58">
        <f>'Sales-Mix VarCalcs'!I9</f>
        <v>24752.2</v>
      </c>
      <c r="E3" s="61">
        <f>'Sales-Mix VarCalcs'!M7</f>
        <v>0.99991111901164342</v>
      </c>
      <c r="G3" s="61">
        <f>'Sales-Mix VarCalcs'!M3</f>
        <v>0.99995555753077636</v>
      </c>
      <c r="I3" s="19">
        <f>'Sales-Mix VarCalcs'!G3</f>
        <v>6710</v>
      </c>
      <c r="K3" s="19">
        <f>ABS($C3*($E3-$G3)*$I3)</f>
        <v>7380.6719701244256</v>
      </c>
      <c r="L3" t="str">
        <f>IF($E3=$G3, "", (IF($E3&gt;$G3, "F", "U")))</f>
        <v>U</v>
      </c>
    </row>
    <row r="4" spans="1:12" x14ac:dyDescent="0.35">
      <c r="A4" s="2" t="s">
        <v>4</v>
      </c>
      <c r="C4" s="58">
        <f>'Sales-Mix VarCalcs'!I9</f>
        <v>24752.2</v>
      </c>
      <c r="E4" s="61">
        <f>'Sales-Mix VarCalcs'!M8</f>
        <v>8.8880988356590529E-5</v>
      </c>
      <c r="G4" s="61">
        <f>'Sales-Mix VarCalcs'!M4</f>
        <v>4.4442469223590063E-5</v>
      </c>
      <c r="I4" s="19">
        <f>'Sales-Mix VarCalcs'!G4</f>
        <v>44200000</v>
      </c>
      <c r="K4" s="52">
        <f>ABS($C4*($E4-$G4)*$I4)</f>
        <v>48617839.207146354</v>
      </c>
      <c r="L4" t="str">
        <f t="shared" ref="L4" si="0">IF($E4=$G4, "", (IF($E4&gt;$G4, "F", "U")))</f>
        <v>F</v>
      </c>
    </row>
    <row r="5" spans="1:12" ht="15" thickBot="1" x14ac:dyDescent="0.4">
      <c r="A5" s="37" t="s">
        <v>32</v>
      </c>
      <c r="K5" s="53">
        <f>ABS(($C3*($E3-$G3)*$I3)+($C4*($E4-$G4)*$I4))</f>
        <v>48610458.535176232</v>
      </c>
      <c r="L5" t="str">
        <f>IF(K5=0, "", (IF(AND(($C3*($E3-$G3)*$I3)&lt;($C4*($E4-$G4)*$I4), E4&gt;G4), "F", "U")))</f>
        <v>F</v>
      </c>
    </row>
    <row r="6" spans="1:12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"/>
  <sheetViews>
    <sheetView workbookViewId="0">
      <selection activeCell="K3" sqref="K3"/>
    </sheetView>
  </sheetViews>
  <sheetFormatPr defaultRowHeight="14.5" x14ac:dyDescent="0.35"/>
  <cols>
    <col min="1" max="1" width="20.7265625" customWidth="1"/>
    <col min="2" max="2" width="2.54296875" customWidth="1"/>
    <col min="3" max="3" width="14.1796875" customWidth="1"/>
    <col min="4" max="4" width="3.1796875" customWidth="1"/>
    <col min="5" max="5" width="14.54296875" customWidth="1"/>
    <col min="6" max="6" width="4.81640625" customWidth="1"/>
    <col min="7" max="7" width="10" customWidth="1"/>
    <col min="8" max="8" width="3.7265625" customWidth="1"/>
    <col min="9" max="9" width="12.453125" customWidth="1"/>
    <col min="10" max="10" width="3.1796875" customWidth="1"/>
    <col min="11" max="11" width="14.1796875" bestFit="1" customWidth="1"/>
    <col min="12" max="12" width="3.7265625" customWidth="1"/>
  </cols>
  <sheetData>
    <row r="1" spans="1:12" ht="43.15" customHeight="1" x14ac:dyDescent="0.35">
      <c r="A1" s="30" t="s">
        <v>42</v>
      </c>
      <c r="B1" s="38" t="s">
        <v>44</v>
      </c>
      <c r="C1" s="30" t="s">
        <v>47</v>
      </c>
      <c r="D1" s="35" t="s">
        <v>26</v>
      </c>
      <c r="E1" s="30" t="s">
        <v>48</v>
      </c>
      <c r="F1" s="33" t="s">
        <v>34</v>
      </c>
      <c r="G1" s="30" t="s">
        <v>37</v>
      </c>
      <c r="H1" s="35" t="s">
        <v>45</v>
      </c>
      <c r="I1" s="30" t="s">
        <v>96</v>
      </c>
      <c r="J1" s="39" t="s">
        <v>0</v>
      </c>
      <c r="K1" s="30" t="s">
        <v>46</v>
      </c>
    </row>
    <row r="2" spans="1:12" ht="6" customHeight="1" x14ac:dyDescent="0.35"/>
    <row r="3" spans="1:12" x14ac:dyDescent="0.35">
      <c r="A3" s="2" t="s">
        <v>3</v>
      </c>
      <c r="C3" s="18">
        <f>'Sales-Mix VarCalcs'!I9</f>
        <v>24752.2</v>
      </c>
      <c r="E3" s="18">
        <f>'Sales-Mix VarCalcs'!I5</f>
        <v>22501</v>
      </c>
      <c r="G3" s="61">
        <f>'Sales-Mix VarCalcs'!M3</f>
        <v>0.99995555753077636</v>
      </c>
      <c r="I3" s="19">
        <f>'Sales-Mix VarCalcs'!G3</f>
        <v>6710</v>
      </c>
      <c r="K3" s="46">
        <f>ABS(($C3-$E3)*$G3*$I3)</f>
        <v>15104880.671970138</v>
      </c>
      <c r="L3" t="str">
        <f>IF($C3=$E3, "", (IF($C3&gt;$E3, "F", "U")))</f>
        <v>F</v>
      </c>
    </row>
    <row r="4" spans="1:12" x14ac:dyDescent="0.35">
      <c r="A4" s="2" t="s">
        <v>4</v>
      </c>
      <c r="C4" s="18">
        <f>'Sales-Mix VarCalcs'!I9</f>
        <v>24752.2</v>
      </c>
      <c r="E4" s="18">
        <f>'Sales-Mix VarCalcs'!I5</f>
        <v>22501</v>
      </c>
      <c r="G4" s="61">
        <f>'Sales-Mix VarCalcs'!M4</f>
        <v>4.4442469223590063E-5</v>
      </c>
      <c r="I4" s="19">
        <f>'Sales-Mix VarCalcs'!G4</f>
        <v>44200000</v>
      </c>
      <c r="K4" s="64">
        <f>ABS(($C4-$E4)*$G4*$I4)</f>
        <v>4422160.7928536525</v>
      </c>
      <c r="L4" t="str">
        <f>IF($C4=$E4, "", (IF($C4&gt;$E4, "F", "U")))</f>
        <v>F</v>
      </c>
    </row>
    <row r="5" spans="1:12" ht="15" thickBot="1" x14ac:dyDescent="0.4">
      <c r="A5" s="37" t="s">
        <v>43</v>
      </c>
      <c r="K5" s="54">
        <f>ABS((($C3-$E3)*$G3*$I3)+(($C4-$E4)*$G4*$I4))</f>
        <v>19527041.46482379</v>
      </c>
      <c r="L5" t="str">
        <f>IF(K5=0,"",(IF(C4&gt;E4,"F","U")))</f>
        <v>F</v>
      </c>
    </row>
    <row r="6" spans="1:12" ht="15" thickTop="1" x14ac:dyDescent="0.35"/>
    <row r="7" spans="1:12" x14ac:dyDescent="0.35">
      <c r="A7" s="37" t="s">
        <v>32</v>
      </c>
      <c r="K7" s="52">
        <f>'Sales-Mix Variance'!K5</f>
        <v>48610458.535176232</v>
      </c>
      <c r="L7" t="str">
        <f>'Sales-Mix Variance'!L5</f>
        <v>F</v>
      </c>
    </row>
    <row r="8" spans="1:12" ht="15" thickBot="1" x14ac:dyDescent="0.4">
      <c r="A8" s="37" t="s">
        <v>119</v>
      </c>
      <c r="K8" s="53">
        <f>ABS(('Sales-Mix Variance'!$C3*('Sales-Mix Variance'!$E3-'Sales-Mix Variance'!$G3)*'Sales-Mix Variance'!$I3)+('Sales-Mix Variance'!$C4*('Sales-Mix Variance'!$E4-'Sales-Mix Variance'!$G4)*'Sales-Mix Variance'!$I4)+(($C3-$E3)*$G3*$I3)+(($C4-$E4)*$G4*$I4))</f>
        <v>68137500.000000015</v>
      </c>
      <c r="L8" t="str">
        <f>IF(K8=0, "", IF(OR(AND(K5&gt;K7, L5="F"),AND(K7&gt;K5, L7="F")), "F","U"))</f>
        <v>F</v>
      </c>
    </row>
    <row r="9" spans="1:12" ht="15" thickTop="1" x14ac:dyDescent="0.3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>
      <selection activeCell="F14" sqref="F14:G14"/>
    </sheetView>
  </sheetViews>
  <sheetFormatPr defaultRowHeight="14.5" x14ac:dyDescent="0.35"/>
  <cols>
    <col min="1" max="1" width="17.26953125" customWidth="1"/>
    <col min="3" max="3" width="11.7265625" bestFit="1" customWidth="1"/>
    <col min="5" max="5" width="11.7265625" bestFit="1" customWidth="1"/>
    <col min="7" max="7" width="12.1796875" customWidth="1"/>
    <col min="9" max="9" width="10.7265625" bestFit="1" customWidth="1"/>
  </cols>
  <sheetData>
    <row r="1" spans="1:10" ht="58" x14ac:dyDescent="0.35">
      <c r="A1" s="30" t="s">
        <v>123</v>
      </c>
      <c r="B1" s="38" t="s">
        <v>44</v>
      </c>
      <c r="C1" s="30" t="s">
        <v>124</v>
      </c>
      <c r="D1" s="35" t="s">
        <v>26</v>
      </c>
      <c r="E1" s="30" t="s">
        <v>125</v>
      </c>
      <c r="F1" s="33" t="s">
        <v>34</v>
      </c>
      <c r="G1" s="30" t="s">
        <v>126</v>
      </c>
      <c r="H1" s="39" t="s">
        <v>0</v>
      </c>
      <c r="I1" s="30" t="s">
        <v>127</v>
      </c>
    </row>
    <row r="2" spans="1:10" ht="4.1500000000000004" customHeight="1" x14ac:dyDescent="0.35">
      <c r="A2" s="30"/>
    </row>
    <row r="3" spans="1:10" x14ac:dyDescent="0.35">
      <c r="A3" s="2" t="s">
        <v>3</v>
      </c>
      <c r="C3" s="19">
        <f>BudgetInputs!B4</f>
        <v>8120</v>
      </c>
      <c r="E3" s="19">
        <f>BudgetInputs!H4</f>
        <v>8390</v>
      </c>
      <c r="G3" s="20">
        <f>BudgetInputs!B3</f>
        <v>24750</v>
      </c>
      <c r="I3" s="46">
        <f>ABS(($C3-$E3)*$G3)</f>
        <v>6682500</v>
      </c>
      <c r="J3" t="str">
        <f>IF($C3=$E3, "", (IF($C3&gt;$E3, "F", "U")))</f>
        <v>U</v>
      </c>
    </row>
    <row r="4" spans="1:10" x14ac:dyDescent="0.35">
      <c r="A4" s="2" t="s">
        <v>4</v>
      </c>
      <c r="C4" s="19">
        <f>BudgetInputs!C4</f>
        <v>51200000</v>
      </c>
      <c r="E4" s="19">
        <f>BudgetInputs!I4</f>
        <v>52000000</v>
      </c>
      <c r="G4" s="18">
        <f>BudgetInputs!C3</f>
        <v>2.2000000000000002</v>
      </c>
      <c r="I4" s="46">
        <f>ABS(($C4-$E4)*$G4)</f>
        <v>1760000.0000000002</v>
      </c>
      <c r="J4" t="str">
        <f>IF($C4=$E4, "", (IF($C4&gt;$E4, "F", "U")))</f>
        <v>U</v>
      </c>
    </row>
    <row r="5" spans="1:10" x14ac:dyDescent="0.35">
      <c r="A5" t="s">
        <v>128</v>
      </c>
      <c r="I5" s="46">
        <f>ABS((($C3-$E3)*$G3)+(($C4-$E4)*$G4))</f>
        <v>8442500</v>
      </c>
      <c r="J5" t="str">
        <f>'2014Budget'!P5</f>
        <v>U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3"/>
  <sheetViews>
    <sheetView workbookViewId="0">
      <selection activeCell="P3" sqref="P3"/>
    </sheetView>
  </sheetViews>
  <sheetFormatPr defaultRowHeight="14.5" x14ac:dyDescent="0.35"/>
  <cols>
    <col min="1" max="1" width="14.81640625" customWidth="1"/>
    <col min="2" max="2" width="1" customWidth="1"/>
    <col min="3" max="3" width="10" bestFit="1" customWidth="1"/>
    <col min="4" max="4" width="7.453125" bestFit="1" customWidth="1"/>
    <col min="5" max="5" width="1.26953125" customWidth="1"/>
    <col min="6" max="6" width="7.26953125" bestFit="1" customWidth="1"/>
    <col min="7" max="7" width="7" bestFit="1" customWidth="1"/>
    <col min="8" max="8" width="1.1796875" customWidth="1"/>
    <col min="9" max="9" width="10.7265625" bestFit="1" customWidth="1"/>
    <col min="10" max="10" width="10.7265625" customWidth="1"/>
    <col min="11" max="11" width="1" customWidth="1"/>
    <col min="12" max="12" width="6.54296875" bestFit="1" customWidth="1"/>
    <col min="13" max="13" width="9.81640625" customWidth="1"/>
    <col min="14" max="14" width="1.26953125" customWidth="1"/>
    <col min="15" max="15" width="9.1796875" bestFit="1" customWidth="1"/>
    <col min="16" max="16" width="10.81640625" bestFit="1" customWidth="1"/>
    <col min="17" max="17" width="1.1796875" customWidth="1"/>
    <col min="18" max="18" width="11.1796875" bestFit="1" customWidth="1"/>
    <col min="19" max="19" width="11.453125" customWidth="1"/>
    <col min="21" max="21" width="15.7265625" bestFit="1" customWidth="1"/>
    <col min="22" max="22" width="11.7265625" bestFit="1" customWidth="1"/>
  </cols>
  <sheetData>
    <row r="1" spans="1:22" ht="28.15" customHeight="1" x14ac:dyDescent="0.35">
      <c r="A1" s="40" t="s">
        <v>73</v>
      </c>
      <c r="C1" s="65" t="s">
        <v>98</v>
      </c>
      <c r="D1" s="65"/>
      <c r="F1" s="65" t="s">
        <v>97</v>
      </c>
      <c r="G1" s="65"/>
      <c r="I1" s="66" t="s">
        <v>109</v>
      </c>
      <c r="J1" s="66"/>
      <c r="L1" s="65" t="s">
        <v>52</v>
      </c>
      <c r="M1" s="65"/>
      <c r="O1" s="66" t="s">
        <v>56</v>
      </c>
      <c r="P1" s="66"/>
      <c r="R1" s="66" t="s">
        <v>55</v>
      </c>
      <c r="S1" s="66"/>
    </row>
    <row r="2" spans="1:22" x14ac:dyDescent="0.35">
      <c r="A2" t="s">
        <v>74</v>
      </c>
      <c r="C2" s="2" t="s">
        <v>51</v>
      </c>
      <c r="D2" s="2" t="s">
        <v>58</v>
      </c>
      <c r="F2" s="2" t="s">
        <v>49</v>
      </c>
      <c r="G2" s="2" t="s">
        <v>58</v>
      </c>
      <c r="I2" s="2" t="s">
        <v>49</v>
      </c>
      <c r="J2" s="2" t="s">
        <v>58</v>
      </c>
      <c r="L2" s="2" t="s">
        <v>53</v>
      </c>
      <c r="M2" s="2" t="s">
        <v>59</v>
      </c>
      <c r="O2" s="2" t="s">
        <v>53</v>
      </c>
      <c r="P2" s="2" t="s">
        <v>59</v>
      </c>
      <c r="R2" s="2" t="s">
        <v>53</v>
      </c>
      <c r="S2" s="2" t="s">
        <v>59</v>
      </c>
      <c r="U2" s="2" t="s">
        <v>99</v>
      </c>
    </row>
    <row r="3" spans="1:22" x14ac:dyDescent="0.35">
      <c r="A3" s="2" t="s">
        <v>3</v>
      </c>
      <c r="C3" s="50">
        <f>BudgetInputs!B6</f>
        <v>48</v>
      </c>
      <c r="D3" s="51">
        <f>BudgetInputs!H6</f>
        <v>50.45</v>
      </c>
      <c r="F3" s="45">
        <f>BudgetInputs!B7</f>
        <v>20.375</v>
      </c>
      <c r="G3" s="19">
        <f>BudgetInputs!H7</f>
        <v>20</v>
      </c>
      <c r="I3" s="46">
        <f>$C3*$F3</f>
        <v>978</v>
      </c>
      <c r="J3" s="19">
        <f>$D3*$G3</f>
        <v>1009</v>
      </c>
      <c r="L3" s="20">
        <f>BudgetInputs!B3</f>
        <v>24750</v>
      </c>
      <c r="M3" s="20">
        <f>BudgetInputs!B3</f>
        <v>24750</v>
      </c>
      <c r="O3" s="20">
        <f>C3*L3</f>
        <v>1188000</v>
      </c>
      <c r="P3" s="20">
        <f>D3*M3</f>
        <v>1248637.5</v>
      </c>
      <c r="R3" s="46">
        <f>I$3*L$3</f>
        <v>24205500</v>
      </c>
      <c r="S3" s="46">
        <f>$J3*$M3</f>
        <v>24972750</v>
      </c>
      <c r="U3" s="19">
        <f>F3*O3</f>
        <v>24205500</v>
      </c>
      <c r="V3" s="19">
        <f>G3*P3</f>
        <v>24972750</v>
      </c>
    </row>
    <row r="4" spans="1:22" x14ac:dyDescent="0.35">
      <c r="A4" s="2" t="s">
        <v>4</v>
      </c>
      <c r="C4" s="51">
        <f>BudgetInputs!C6</f>
        <v>165289.23000000001</v>
      </c>
      <c r="D4" s="20">
        <f>BudgetInputs!I6</f>
        <v>155000</v>
      </c>
      <c r="F4" s="45">
        <f>BudgetInputs!C7</f>
        <v>22</v>
      </c>
      <c r="G4" s="19">
        <f>BudgetInputs!I7</f>
        <v>20</v>
      </c>
      <c r="I4" s="46">
        <f>$C4*$F4</f>
        <v>3636363.06</v>
      </c>
      <c r="J4" s="19">
        <f>$D4*$G4</f>
        <v>3100000</v>
      </c>
      <c r="L4" s="18">
        <f>BudgetInputs!C3</f>
        <v>2.2000000000000002</v>
      </c>
      <c r="M4" s="18">
        <f>BudgetInputs!C3</f>
        <v>2.2000000000000002</v>
      </c>
      <c r="O4" s="20">
        <f>C4*L4</f>
        <v>363636.30600000004</v>
      </c>
      <c r="P4" s="20">
        <f>D4*M4</f>
        <v>341000</v>
      </c>
      <c r="R4" s="46">
        <f>$I4*$L4</f>
        <v>7999998.7320000008</v>
      </c>
      <c r="S4" s="46">
        <f>$J4*$M4</f>
        <v>6820000.0000000009</v>
      </c>
      <c r="U4" s="19">
        <f>F4*O4</f>
        <v>7999998.7320000008</v>
      </c>
      <c r="V4" s="19">
        <f>G4*P4</f>
        <v>6820000</v>
      </c>
    </row>
    <row r="5" spans="1:22" x14ac:dyDescent="0.35">
      <c r="A5" s="2" t="s">
        <v>108</v>
      </c>
      <c r="R5" s="46">
        <f>R3+R4</f>
        <v>32205498.732000001</v>
      </c>
      <c r="S5" s="46">
        <f>S3+S4</f>
        <v>31792750</v>
      </c>
    </row>
    <row r="7" spans="1:22" ht="15" thickBot="1" x14ac:dyDescent="0.4">
      <c r="A7" s="2" t="s">
        <v>50</v>
      </c>
      <c r="R7" s="2" t="s">
        <v>57</v>
      </c>
    </row>
    <row r="8" spans="1:22" ht="15.5" thickTop="1" thickBot="1" x14ac:dyDescent="0.4">
      <c r="A8" s="2" t="s">
        <v>3</v>
      </c>
      <c r="I8" s="43">
        <f>BudgetInputs!B11</f>
        <v>978</v>
      </c>
      <c r="J8" s="43">
        <f>BudgetInputs!H11</f>
        <v>1009</v>
      </c>
      <c r="R8" s="42">
        <f>'2014Budget'!B7*1000000</f>
        <v>24205500</v>
      </c>
      <c r="S8" s="42">
        <f>'2014Budget'!E7*1000000</f>
        <v>24972750</v>
      </c>
    </row>
    <row r="9" spans="1:22" ht="15.5" thickTop="1" thickBot="1" x14ac:dyDescent="0.4">
      <c r="A9" s="2" t="s">
        <v>4</v>
      </c>
      <c r="I9" s="43">
        <f>BudgetInputs!C11</f>
        <v>3636363.06</v>
      </c>
      <c r="J9" s="43">
        <f>BudgetInputs!I11</f>
        <v>3100000</v>
      </c>
      <c r="R9" s="42">
        <f>'2014Budget'!C7*1000000</f>
        <v>7999998.7320000008</v>
      </c>
      <c r="S9" s="42">
        <f>'2014Budget'!F7*1000000</f>
        <v>6820000.0000000009</v>
      </c>
    </row>
    <row r="10" spans="1:22" ht="15.5" thickTop="1" thickBot="1" x14ac:dyDescent="0.4">
      <c r="A10" s="2" t="s">
        <v>54</v>
      </c>
      <c r="R10" s="42">
        <f>'2014Budget'!D7*1000000</f>
        <v>32205498.732000001</v>
      </c>
      <c r="S10" s="42">
        <f>'2014Budget'!G7*1000000</f>
        <v>31792750</v>
      </c>
    </row>
    <row r="11" spans="1:22" ht="15" thickTop="1" x14ac:dyDescent="0.35">
      <c r="A11" s="2"/>
    </row>
    <row r="12" spans="1:22" x14ac:dyDescent="0.35">
      <c r="A12" s="2"/>
    </row>
    <row r="13" spans="1:22" x14ac:dyDescent="0.35">
      <c r="A13" s="2"/>
    </row>
  </sheetData>
  <mergeCells count="6">
    <mergeCell ref="C1:D1"/>
    <mergeCell ref="F1:G1"/>
    <mergeCell ref="I1:J1"/>
    <mergeCell ref="L1:M1"/>
    <mergeCell ref="R1:S1"/>
    <mergeCell ref="O1:P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K9" sqref="K9"/>
    </sheetView>
  </sheetViews>
  <sheetFormatPr defaultRowHeight="14.5" x14ac:dyDescent="0.35"/>
  <cols>
    <col min="1" max="1" width="19.54296875" customWidth="1"/>
    <col min="2" max="2" width="3.26953125" customWidth="1"/>
    <col min="3" max="3" width="10.7265625" customWidth="1"/>
    <col min="4" max="4" width="7.81640625" bestFit="1" customWidth="1"/>
    <col min="5" max="5" width="12.26953125" customWidth="1"/>
    <col min="6" max="6" width="7.81640625" bestFit="1" customWidth="1"/>
    <col min="7" max="7" width="14.7265625" customWidth="1"/>
    <col min="8" max="8" width="5.54296875" bestFit="1" customWidth="1"/>
    <col min="9" max="9" width="12.1796875" bestFit="1" customWidth="1"/>
  </cols>
  <sheetData>
    <row r="1" spans="1:10" ht="43.9" customHeight="1" x14ac:dyDescent="0.35">
      <c r="A1" s="30" t="s">
        <v>71</v>
      </c>
      <c r="B1" s="38" t="s">
        <v>44</v>
      </c>
      <c r="C1" s="30" t="s">
        <v>62</v>
      </c>
      <c r="D1" s="5" t="s">
        <v>26</v>
      </c>
      <c r="E1" s="30" t="s">
        <v>63</v>
      </c>
      <c r="F1" s="33" t="s">
        <v>34</v>
      </c>
      <c r="G1" s="30" t="s">
        <v>107</v>
      </c>
      <c r="H1" s="41" t="s">
        <v>0</v>
      </c>
      <c r="I1" s="30" t="s">
        <v>64</v>
      </c>
    </row>
    <row r="2" spans="1:10" ht="6" customHeight="1" x14ac:dyDescent="0.35"/>
    <row r="3" spans="1:10" x14ac:dyDescent="0.35">
      <c r="A3" s="2" t="s">
        <v>60</v>
      </c>
      <c r="C3" s="45">
        <f>DLVarianceCalcs!F3</f>
        <v>20.375</v>
      </c>
      <c r="D3" t="s">
        <v>69</v>
      </c>
      <c r="E3" s="19">
        <f>DLVarianceCalcs!G3</f>
        <v>20</v>
      </c>
      <c r="F3" t="s">
        <v>69</v>
      </c>
      <c r="G3" s="20">
        <f>DLVarianceCalcs!O3</f>
        <v>1188000</v>
      </c>
      <c r="H3" t="s">
        <v>68</v>
      </c>
      <c r="I3" s="19">
        <f>ABS(($C3-$E3)*$G3)</f>
        <v>445500</v>
      </c>
      <c r="J3" t="str">
        <f>IF($C3=$E3,"",(IF($C3&lt;$E3, "F", "U")))</f>
        <v>U</v>
      </c>
    </row>
    <row r="4" spans="1:10" x14ac:dyDescent="0.35">
      <c r="A4" s="2" t="s">
        <v>61</v>
      </c>
      <c r="C4" s="45">
        <f>DLVarianceCalcs!F4</f>
        <v>22</v>
      </c>
      <c r="D4" t="s">
        <v>69</v>
      </c>
      <c r="E4" s="19">
        <f>DLVarianceCalcs!G4</f>
        <v>20</v>
      </c>
      <c r="F4" t="s">
        <v>69</v>
      </c>
      <c r="G4" s="20">
        <f>DLVarianceCalcs!O4</f>
        <v>363636.30600000004</v>
      </c>
      <c r="H4" t="s">
        <v>68</v>
      </c>
      <c r="I4" s="52">
        <f>ABS(($C4-$E4)*$G4)</f>
        <v>727272.61200000008</v>
      </c>
      <c r="J4" t="str">
        <f>IF($C4=$E4,"",(IF($C4&lt;$E4, "F", "U")))</f>
        <v>U</v>
      </c>
    </row>
    <row r="5" spans="1:10" ht="15" thickBot="1" x14ac:dyDescent="0.4">
      <c r="A5" s="2" t="s">
        <v>100</v>
      </c>
      <c r="I5" s="53">
        <f>ABS((($C3-$E3)*$G3)+(($C4-$E4)*$G4))</f>
        <v>1172772.6120000002</v>
      </c>
      <c r="J5" t="str">
        <f>IF(I5=0, "", IF(OR(AND(I3&gt;I4, J3="F"),AND(I4&gt;I3, J4="F")), "F","U"))</f>
        <v>U</v>
      </c>
    </row>
    <row r="6" spans="1:10" ht="1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workbookViewId="0">
      <selection activeCell="M18" sqref="M18"/>
    </sheetView>
  </sheetViews>
  <sheetFormatPr defaultRowHeight="14.5" x14ac:dyDescent="0.35"/>
  <cols>
    <col min="1" max="1" width="20.54296875" customWidth="1"/>
    <col min="2" max="2" width="2.7265625" bestFit="1" customWidth="1"/>
    <col min="3" max="3" width="11.54296875" customWidth="1"/>
    <col min="4" max="4" width="5.54296875" bestFit="1" customWidth="1"/>
    <col min="5" max="5" width="15.54296875" customWidth="1"/>
    <col min="6" max="6" width="5.54296875" bestFit="1" customWidth="1"/>
    <col min="8" max="8" width="5.54296875" bestFit="1" customWidth="1"/>
    <col min="9" max="9" width="3.26953125" customWidth="1"/>
    <col min="10" max="10" width="11" bestFit="1" customWidth="1"/>
  </cols>
  <sheetData>
    <row r="1" spans="1:11" ht="58" x14ac:dyDescent="0.35">
      <c r="A1" s="30" t="s">
        <v>70</v>
      </c>
      <c r="B1" s="38" t="s">
        <v>44</v>
      </c>
      <c r="C1" s="30" t="s">
        <v>65</v>
      </c>
      <c r="D1" s="5" t="s">
        <v>26</v>
      </c>
      <c r="E1" s="30" t="s">
        <v>66</v>
      </c>
      <c r="F1" s="33" t="s">
        <v>34</v>
      </c>
      <c r="G1" s="30" t="s">
        <v>63</v>
      </c>
      <c r="H1" s="30"/>
      <c r="I1" s="41" t="s">
        <v>0</v>
      </c>
      <c r="J1" s="30" t="s">
        <v>67</v>
      </c>
    </row>
    <row r="2" spans="1:11" ht="5.5" customHeight="1" x14ac:dyDescent="0.35"/>
    <row r="3" spans="1:11" x14ac:dyDescent="0.35">
      <c r="A3" s="2" t="s">
        <v>60</v>
      </c>
      <c r="C3" s="20">
        <f>DLVarianceCalcs!O3</f>
        <v>1188000</v>
      </c>
      <c r="D3" t="s">
        <v>68</v>
      </c>
      <c r="E3" s="20">
        <f>DLVarianceCalcs!P3</f>
        <v>1248637.5</v>
      </c>
      <c r="F3" t="s">
        <v>68</v>
      </c>
      <c r="G3" s="19">
        <f>DLVarianceCalcs!G3</f>
        <v>20</v>
      </c>
      <c r="H3" s="9" t="s">
        <v>69</v>
      </c>
      <c r="J3" s="19">
        <f>ABS(($C3-$E3)*$G3)</f>
        <v>1212750</v>
      </c>
      <c r="K3" t="str">
        <f>IF($C3=$E3,"",(IF($C3&lt;$E3, "F", "U")))</f>
        <v>F</v>
      </c>
    </row>
    <row r="4" spans="1:11" x14ac:dyDescent="0.35">
      <c r="A4" s="2" t="s">
        <v>61</v>
      </c>
      <c r="C4" s="20">
        <f>DLVarianceCalcs!O4</f>
        <v>363636.30600000004</v>
      </c>
      <c r="D4" t="s">
        <v>68</v>
      </c>
      <c r="E4" s="20">
        <f>DLVarianceCalcs!P4</f>
        <v>341000</v>
      </c>
      <c r="F4" t="s">
        <v>68</v>
      </c>
      <c r="G4" s="19">
        <f>DLVarianceCalcs!G4</f>
        <v>20</v>
      </c>
      <c r="H4" s="9" t="s">
        <v>69</v>
      </c>
      <c r="J4" s="52">
        <f>ABS(($C4-$E4)*$G4)</f>
        <v>452726.12000000081</v>
      </c>
      <c r="K4" t="str">
        <f>IF($C4=$E4,"",(IF($C4&lt;$E4, "F", "U")))</f>
        <v>U</v>
      </c>
    </row>
    <row r="5" spans="1:11" ht="15" thickBot="1" x14ac:dyDescent="0.4">
      <c r="A5" s="2" t="s">
        <v>101</v>
      </c>
      <c r="J5" s="53">
        <f>ABS((($C3-$E3)*$G3)+(($C4-$E4)*$G4))</f>
        <v>760023.87999999919</v>
      </c>
      <c r="K5" t="str">
        <f>IF(J5=0, "", IF(OR(AND(J3&gt;J4, K3="F"),AND(J4&gt;J3, K4="F")), "F","U"))</f>
        <v>F</v>
      </c>
    </row>
    <row r="6" spans="1:11" ht="15" thickTop="1" x14ac:dyDescent="0.35"/>
    <row r="7" spans="1:11" x14ac:dyDescent="0.35">
      <c r="A7" s="2" t="s">
        <v>100</v>
      </c>
      <c r="J7" s="52">
        <f>DLPriceVariance!I5</f>
        <v>1172772.6120000002</v>
      </c>
      <c r="K7" t="str">
        <f>DLPriceVariance!J5</f>
        <v>U</v>
      </c>
    </row>
    <row r="8" spans="1:11" ht="15" thickBot="1" x14ac:dyDescent="0.4">
      <c r="A8" s="2" t="s">
        <v>121</v>
      </c>
      <c r="J8" s="53">
        <f>ABS((($C3-$E3)*$G3)+(($C4-$E4)*$G4)+(((DLPriceVariance!$C3-DLPriceVariance!$E3)*DLPriceVariance!$G3)+((DLPriceVariance!$C4-DLPriceVariance!$E4)*DLPriceVariance!$G4)))</f>
        <v>412748.73200000101</v>
      </c>
      <c r="K8" t="str">
        <f>'2014Budget'!P7</f>
        <v>U</v>
      </c>
    </row>
    <row r="9" spans="1:11" ht="15" thickTop="1" x14ac:dyDescent="0.35"/>
    <row r="11" spans="1:11" x14ac:dyDescent="0.35">
      <c r="J11" s="8"/>
    </row>
    <row r="12" spans="1:11" x14ac:dyDescent="0.35">
      <c r="J12" s="8"/>
    </row>
    <row r="13" spans="1:11" x14ac:dyDescent="0.35">
      <c r="J13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57079-3B9E-475C-9FAB-7AE6EA954D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70EA0E-860C-40D2-8323-3C5381DE32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1524A7-2265-4F81-B1E7-4246CBED8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2014Budget</vt:lpstr>
      <vt:lpstr>BudgetInputs</vt:lpstr>
      <vt:lpstr>Sales-Mix VarCalcs</vt:lpstr>
      <vt:lpstr>Sales-Mix Variance</vt:lpstr>
      <vt:lpstr>Sales-Quantity Variance</vt:lpstr>
      <vt:lpstr>Selling-Price Variance</vt:lpstr>
      <vt:lpstr>DLVarianceCalcs</vt:lpstr>
      <vt:lpstr>DLPriceVariance</vt:lpstr>
      <vt:lpstr>DLEfficiencyVariance</vt:lpstr>
      <vt:lpstr>VOHVarianceCalcs</vt:lpstr>
      <vt:lpstr>VOHSpendingVariance</vt:lpstr>
      <vt:lpstr>VOHEfficiencyVariance</vt:lpstr>
      <vt:lpstr>Waterfall Chart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2013-02-26T00:25:43Z</dcterms:created>
  <dcterms:modified xsi:type="dcterms:W3CDTF">2021-08-28T18:06:57Z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