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cademics\FPAC prep\"/>
    </mc:Choice>
  </mc:AlternateContent>
  <xr:revisionPtr revIDLastSave="0" documentId="8_{E5D4D0BA-CAAA-4622-8699-E3882A160475}" xr6:coauthVersionLast="47" xr6:coauthVersionMax="47" xr10:uidLastSave="{00000000-0000-0000-0000-000000000000}"/>
  <bookViews>
    <workbookView xWindow="-110" yWindow="-110" windowWidth="19420" windowHeight="10420" tabRatio="806" activeTab="1" xr2:uid="{00000000-000D-0000-FFFF-FFFF00000000}"/>
  </bookViews>
  <sheets>
    <sheet name="Budget" sheetId="7" r:id="rId1"/>
    <sheet name="BudgetInputs" sheetId="8" r:id="rId2"/>
    <sheet name="Sales-Mix VarCalcs" sheetId="9" r:id="rId3"/>
    <sheet name="Sales-Mix Variance" sheetId="10" r:id="rId4"/>
    <sheet name="Sales-Quantity Variance" sheetId="11" r:id="rId5"/>
    <sheet name="Selling-Price Variance" sheetId="23" r:id="rId6"/>
    <sheet name="DLVarianceCalcs" sheetId="12" r:id="rId7"/>
    <sheet name="DLPriceVariance" sheetId="13" r:id="rId8"/>
    <sheet name="DLEfficiencyVariance" sheetId="14" r:id="rId9"/>
    <sheet name="DMPriceVariance" sheetId="21" r:id="rId10"/>
    <sheet name="DMEfficiencyVariance" sheetId="22" r:id="rId11"/>
    <sheet name="VOHVarianceCalcs" sheetId="15" r:id="rId12"/>
    <sheet name="VOHSpendingVariance" sheetId="16" r:id="rId13"/>
    <sheet name="VOHEfficiencyVariance" sheetId="17" r:id="rId14"/>
    <sheet name="Waterfall Chart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3" l="1"/>
  <c r="G3" i="23"/>
  <c r="E4" i="23"/>
  <c r="E3" i="23"/>
  <c r="C4" i="23"/>
  <c r="C3" i="23"/>
  <c r="J4" i="23" l="1"/>
  <c r="J3" i="23"/>
  <c r="I4" i="23"/>
  <c r="I5" i="23"/>
  <c r="I3" i="23"/>
  <c r="K5" i="22" l="1"/>
  <c r="E3" i="22" l="1"/>
  <c r="E4" i="8" l="1"/>
  <c r="H4" i="8" s="1"/>
  <c r="J4" i="8"/>
  <c r="I4" i="8"/>
  <c r="D11" i="8"/>
  <c r="C11" i="8"/>
  <c r="E1" i="19"/>
  <c r="B1" i="19"/>
  <c r="A2" i="17"/>
  <c r="A2" i="16"/>
  <c r="A2" i="15"/>
  <c r="A2" i="22"/>
  <c r="A2" i="21"/>
  <c r="A2" i="14"/>
  <c r="A2" i="13"/>
  <c r="A2" i="12"/>
  <c r="A2" i="11"/>
  <c r="A2" i="10"/>
  <c r="A2" i="9"/>
  <c r="A2" i="7"/>
  <c r="A2" i="8"/>
  <c r="K4" i="8" l="1"/>
  <c r="K16" i="8" s="1"/>
  <c r="E16" i="8"/>
  <c r="H16" i="8" l="1"/>
  <c r="J5" i="22"/>
  <c r="A1" i="22" l="1"/>
  <c r="A1" i="21" l="1"/>
  <c r="J3" i="21" l="1"/>
  <c r="A1" i="17"/>
  <c r="A1" i="16"/>
  <c r="A1" i="15"/>
  <c r="A1" i="14"/>
  <c r="A1" i="13"/>
  <c r="A1" i="12"/>
  <c r="A1" i="11"/>
  <c r="A1" i="10"/>
  <c r="A1" i="8"/>
  <c r="A1" i="9"/>
  <c r="J12" i="7" l="1"/>
  <c r="H5" i="7"/>
  <c r="D12" i="7"/>
  <c r="C5" i="7"/>
  <c r="B5" i="7"/>
  <c r="L4" i="15" l="1"/>
  <c r="L3" i="15"/>
  <c r="I17" i="8"/>
  <c r="H9" i="7" s="1"/>
  <c r="D17" i="8"/>
  <c r="C9" i="7" s="1"/>
  <c r="C17" i="8"/>
  <c r="B9" i="7" s="1"/>
  <c r="G4" i="12"/>
  <c r="G3" i="12"/>
  <c r="F4" i="12"/>
  <c r="F3" i="12"/>
  <c r="D4" i="12"/>
  <c r="D3" i="12"/>
  <c r="C4" i="12"/>
  <c r="C3" i="12"/>
  <c r="J15" i="8"/>
  <c r="I15" i="8"/>
  <c r="D15" i="8"/>
  <c r="C15" i="8"/>
  <c r="C7" i="7" l="1"/>
  <c r="D18" i="8"/>
  <c r="H7" i="7"/>
  <c r="I18" i="8"/>
  <c r="B7" i="7"/>
  <c r="R8" i="12" s="1"/>
  <c r="C18" i="8"/>
  <c r="R9" i="12"/>
  <c r="D7" i="7"/>
  <c r="G4" i="15"/>
  <c r="G3" i="15"/>
  <c r="F4" i="15"/>
  <c r="F3" i="15"/>
  <c r="R9" i="15"/>
  <c r="S8" i="15"/>
  <c r="R8" i="15"/>
  <c r="D4" i="15"/>
  <c r="C4" i="15"/>
  <c r="D3" i="15"/>
  <c r="C3" i="15"/>
  <c r="G4" i="14"/>
  <c r="G3" i="14"/>
  <c r="E4" i="13"/>
  <c r="E3" i="13"/>
  <c r="C4" i="13"/>
  <c r="C3" i="13"/>
  <c r="I4" i="12"/>
  <c r="I3" i="12"/>
  <c r="J4" i="12"/>
  <c r="J3" i="12"/>
  <c r="M4" i="12"/>
  <c r="M3" i="12"/>
  <c r="L4" i="12"/>
  <c r="O4" i="12" s="1"/>
  <c r="L3" i="12"/>
  <c r="J9" i="12"/>
  <c r="J8" i="12"/>
  <c r="I9" i="12"/>
  <c r="I8" i="12"/>
  <c r="R3" i="12" l="1"/>
  <c r="J4" i="13"/>
  <c r="I3" i="15"/>
  <c r="C3" i="17" s="1"/>
  <c r="J3" i="13"/>
  <c r="R10" i="12"/>
  <c r="S3" i="12"/>
  <c r="S4" i="12"/>
  <c r="J3" i="15"/>
  <c r="E3" i="17" s="1"/>
  <c r="C4" i="14"/>
  <c r="G4" i="13"/>
  <c r="I4" i="13" s="1"/>
  <c r="U4" i="12"/>
  <c r="O3" i="12"/>
  <c r="P3" i="12"/>
  <c r="P4" i="12"/>
  <c r="J4" i="15"/>
  <c r="I4" i="15"/>
  <c r="G4" i="16" s="1"/>
  <c r="R4" i="12"/>
  <c r="R5" i="12" s="1"/>
  <c r="I8" i="9"/>
  <c r="I7" i="9"/>
  <c r="I3" i="9"/>
  <c r="C4" i="9"/>
  <c r="C3" i="9"/>
  <c r="E3" i="9"/>
  <c r="E8" i="9"/>
  <c r="E7" i="9"/>
  <c r="C8" i="9"/>
  <c r="C7" i="9"/>
  <c r="R3" i="15"/>
  <c r="H19" i="8"/>
  <c r="G12" i="7" s="1"/>
  <c r="F17" i="8"/>
  <c r="G15" i="8"/>
  <c r="F15" i="8"/>
  <c r="F18" i="8" s="1"/>
  <c r="G5" i="8"/>
  <c r="F4" i="7" s="1"/>
  <c r="F5" i="8"/>
  <c r="E4" i="7" s="1"/>
  <c r="G4" i="8"/>
  <c r="F4" i="8"/>
  <c r="I4" i="7"/>
  <c r="H4" i="7"/>
  <c r="C4" i="7"/>
  <c r="B4" i="7"/>
  <c r="H3" i="7"/>
  <c r="C3" i="7"/>
  <c r="B3" i="7"/>
  <c r="G3" i="16" l="1"/>
  <c r="K3" i="17"/>
  <c r="S5" i="12"/>
  <c r="F5" i="7"/>
  <c r="N5" i="7" s="1"/>
  <c r="F7" i="7"/>
  <c r="M7" i="7" s="1"/>
  <c r="E5" i="7"/>
  <c r="Q5" i="7" s="1"/>
  <c r="E9" i="7"/>
  <c r="L9" i="7" s="1"/>
  <c r="E7" i="7"/>
  <c r="K7" i="7" s="1"/>
  <c r="G8" i="9"/>
  <c r="K8" i="9" s="1"/>
  <c r="F13" i="8"/>
  <c r="M3" i="15" s="1"/>
  <c r="S3" i="15" s="1"/>
  <c r="V12" i="7"/>
  <c r="X5" i="7"/>
  <c r="R4" i="7"/>
  <c r="W4" i="7"/>
  <c r="E3" i="7"/>
  <c r="S4" i="7"/>
  <c r="AB12" i="7"/>
  <c r="G3" i="9"/>
  <c r="I3" i="11" s="1"/>
  <c r="X3" i="7"/>
  <c r="M4" i="7"/>
  <c r="Q4" i="7"/>
  <c r="X7" i="7"/>
  <c r="W5" i="7"/>
  <c r="G7" i="9"/>
  <c r="K7" i="9" s="1"/>
  <c r="U12" i="7"/>
  <c r="X4" i="7"/>
  <c r="L4" i="7"/>
  <c r="E4" i="17"/>
  <c r="O3" i="15"/>
  <c r="C3" i="16" s="1"/>
  <c r="C3" i="14"/>
  <c r="G3" i="13"/>
  <c r="U3" i="12"/>
  <c r="O12" i="7"/>
  <c r="W3" i="7"/>
  <c r="W9" i="7"/>
  <c r="AA12" i="7"/>
  <c r="Q7" i="7"/>
  <c r="K4" i="7"/>
  <c r="N4" i="7"/>
  <c r="T4" i="7"/>
  <c r="R4" i="15"/>
  <c r="W7" i="7"/>
  <c r="Y4" i="7"/>
  <c r="X9" i="7"/>
  <c r="Z4" i="7"/>
  <c r="O4" i="15"/>
  <c r="C4" i="16" s="1"/>
  <c r="C4" i="17"/>
  <c r="E4" i="14"/>
  <c r="J4" i="14" s="1"/>
  <c r="V4" i="12"/>
  <c r="E3" i="14"/>
  <c r="V3" i="12"/>
  <c r="I9" i="9"/>
  <c r="F3" i="7"/>
  <c r="D9" i="7"/>
  <c r="L5" i="15" s="1"/>
  <c r="D3" i="7"/>
  <c r="D5" i="7"/>
  <c r="K5" i="7" l="1"/>
  <c r="S8" i="12"/>
  <c r="S9" i="12"/>
  <c r="K3" i="7"/>
  <c r="Q3" i="7"/>
  <c r="G7" i="7"/>
  <c r="P7" i="7" s="1"/>
  <c r="R3" i="7"/>
  <c r="N7" i="7"/>
  <c r="L7" i="7"/>
  <c r="R7" i="7"/>
  <c r="R9" i="7"/>
  <c r="L3" i="7"/>
  <c r="P12" i="7"/>
  <c r="R5" i="7"/>
  <c r="P3" i="15"/>
  <c r="G3" i="17" s="1"/>
  <c r="I3" i="10"/>
  <c r="K3" i="9"/>
  <c r="L5" i="7"/>
  <c r="G5" i="7"/>
  <c r="P5" i="7" s="1"/>
  <c r="K9" i="7"/>
  <c r="Q9" i="7"/>
  <c r="K9" i="9"/>
  <c r="M7" i="9"/>
  <c r="E3" i="10" s="1"/>
  <c r="C3" i="11"/>
  <c r="C4" i="10"/>
  <c r="C4" i="11"/>
  <c r="C3" i="10"/>
  <c r="K4" i="14"/>
  <c r="I3" i="13"/>
  <c r="I5" i="13"/>
  <c r="K4" i="17"/>
  <c r="J8" i="14"/>
  <c r="J5" i="14"/>
  <c r="K3" i="14"/>
  <c r="J3" i="14"/>
  <c r="M8" i="9"/>
  <c r="G3" i="7"/>
  <c r="O3" i="7" s="1"/>
  <c r="N3" i="7"/>
  <c r="M3" i="7"/>
  <c r="M5" i="7"/>
  <c r="O5" i="7" l="1"/>
  <c r="D2" i="19" s="1"/>
  <c r="D6" i="19" s="1"/>
  <c r="S10" i="12"/>
  <c r="O7" i="7"/>
  <c r="K5" i="14"/>
  <c r="J7" i="14"/>
  <c r="J5" i="13"/>
  <c r="E3" i="16"/>
  <c r="I3" i="16" s="1"/>
  <c r="M9" i="9"/>
  <c r="E4" i="10"/>
  <c r="K8" i="14"/>
  <c r="J3" i="17"/>
  <c r="P3" i="7"/>
  <c r="C10" i="7" l="1"/>
  <c r="C11" i="7" s="1"/>
  <c r="B10" i="7"/>
  <c r="B11" i="7" s="1"/>
  <c r="D5" i="19"/>
  <c r="D10" i="7"/>
  <c r="K7" i="14"/>
  <c r="K4" i="22"/>
  <c r="J3" i="16"/>
  <c r="D11" i="7" l="1"/>
  <c r="I3" i="21"/>
  <c r="J4" i="22" s="1"/>
  <c r="D13" i="7" l="1"/>
  <c r="J17" i="8"/>
  <c r="J18" i="8" s="1"/>
  <c r="S9" i="15" l="1"/>
  <c r="E4" i="9"/>
  <c r="G4" i="9" s="1"/>
  <c r="G17" i="8"/>
  <c r="G18" i="8" s="1"/>
  <c r="I5" i="7"/>
  <c r="I3" i="7"/>
  <c r="I7" i="7"/>
  <c r="I4" i="9"/>
  <c r="I9" i="7"/>
  <c r="Y7" i="7" l="1"/>
  <c r="Z7" i="7"/>
  <c r="T7" i="7"/>
  <c r="S7" i="7"/>
  <c r="J7" i="7"/>
  <c r="I4" i="10"/>
  <c r="I4" i="11"/>
  <c r="K4" i="9"/>
  <c r="K5" i="9" s="1"/>
  <c r="Y9" i="7"/>
  <c r="J9" i="7"/>
  <c r="Z9" i="7"/>
  <c r="S5" i="7"/>
  <c r="T5" i="7"/>
  <c r="Y5" i="7"/>
  <c r="Z5" i="7"/>
  <c r="J5" i="7"/>
  <c r="I5" i="9"/>
  <c r="S3" i="7"/>
  <c r="T3" i="7"/>
  <c r="Y3" i="7"/>
  <c r="Z3" i="7"/>
  <c r="J3" i="7"/>
  <c r="F9" i="7"/>
  <c r="G13" i="8"/>
  <c r="M4" i="15" s="1"/>
  <c r="S4" i="15" l="1"/>
  <c r="P4" i="15"/>
  <c r="E4" i="11"/>
  <c r="M3" i="9"/>
  <c r="E3" i="11"/>
  <c r="V5" i="7"/>
  <c r="B2" i="19"/>
  <c r="AB5" i="7"/>
  <c r="AA5" i="7"/>
  <c r="U5" i="7"/>
  <c r="C2" i="19" s="1"/>
  <c r="M9" i="7"/>
  <c r="N9" i="7"/>
  <c r="T9" i="7"/>
  <c r="S9" i="7"/>
  <c r="G9" i="7"/>
  <c r="U3" i="7"/>
  <c r="V3" i="7"/>
  <c r="AB3" i="7"/>
  <c r="AA3" i="7"/>
  <c r="M4" i="9"/>
  <c r="AA9" i="7"/>
  <c r="AB9" i="7"/>
  <c r="AA7" i="7"/>
  <c r="AB7" i="7"/>
  <c r="U7" i="7"/>
  <c r="V7" i="7"/>
  <c r="G4" i="11" l="1"/>
  <c r="K4" i="11" s="1"/>
  <c r="G4" i="10"/>
  <c r="C6" i="19"/>
  <c r="C5" i="19"/>
  <c r="M5" i="9"/>
  <c r="G3" i="11"/>
  <c r="K3" i="11" s="1"/>
  <c r="G3" i="10"/>
  <c r="G4" i="17"/>
  <c r="E4" i="16"/>
  <c r="M5" i="15"/>
  <c r="P9" i="7"/>
  <c r="V9" i="7"/>
  <c r="U9" i="7"/>
  <c r="O9" i="7"/>
  <c r="J11" i="17" s="1"/>
  <c r="B4" i="19"/>
  <c r="C3" i="19"/>
  <c r="D3" i="19" s="1"/>
  <c r="L3" i="11"/>
  <c r="L4" i="11"/>
  <c r="K5" i="11" l="1"/>
  <c r="L5" i="11" s="1"/>
  <c r="H10" i="7"/>
  <c r="X10" i="7" s="1"/>
  <c r="E2" i="19"/>
  <c r="E4" i="19"/>
  <c r="J4" i="16"/>
  <c r="I4" i="16"/>
  <c r="I5" i="16"/>
  <c r="K3" i="10"/>
  <c r="K5" i="10"/>
  <c r="K8" i="11"/>
  <c r="L3" i="10"/>
  <c r="E10" i="7"/>
  <c r="L4" i="10"/>
  <c r="K4" i="10"/>
  <c r="K11" i="17"/>
  <c r="K8" i="17"/>
  <c r="J8" i="17"/>
  <c r="J4" i="17"/>
  <c r="J5" i="17"/>
  <c r="W10" i="7" l="1"/>
  <c r="H11" i="7"/>
  <c r="J3" i="22"/>
  <c r="K3" i="22"/>
  <c r="K5" i="17"/>
  <c r="L5" i="10"/>
  <c r="L7" i="11" s="1"/>
  <c r="K7" i="11"/>
  <c r="J5" i="16"/>
  <c r="K7" i="17" s="1"/>
  <c r="J7" i="17"/>
  <c r="K10" i="7"/>
  <c r="Q10" i="7"/>
  <c r="R10" i="7"/>
  <c r="L10" i="7"/>
  <c r="E11" i="7"/>
  <c r="W11" i="7"/>
  <c r="X11" i="7"/>
  <c r="I10" i="7" l="1"/>
  <c r="L8" i="11"/>
  <c r="R11" i="7"/>
  <c r="K11" i="7"/>
  <c r="Q11" i="7"/>
  <c r="L11" i="7"/>
  <c r="J10" i="7" l="1"/>
  <c r="F10" i="7"/>
  <c r="Y10" i="7"/>
  <c r="Z10" i="7"/>
  <c r="I11" i="7"/>
  <c r="Z11" i="7" l="1"/>
  <c r="Y11" i="7"/>
  <c r="G10" i="7"/>
  <c r="T10" i="7"/>
  <c r="F11" i="7"/>
  <c r="N10" i="7"/>
  <c r="M10" i="7"/>
  <c r="S10" i="7"/>
  <c r="AA10" i="7"/>
  <c r="AB10" i="7"/>
  <c r="J11" i="7"/>
  <c r="N11" i="7" l="1"/>
  <c r="M11" i="7"/>
  <c r="T11" i="7"/>
  <c r="S11" i="7"/>
  <c r="P10" i="7"/>
  <c r="U10" i="7"/>
  <c r="G11" i="7"/>
  <c r="V10" i="7"/>
  <c r="O10" i="7"/>
  <c r="AA11" i="7"/>
  <c r="AB11" i="7"/>
  <c r="J13" i="7"/>
  <c r="O11" i="7" l="1"/>
  <c r="U11" i="7"/>
  <c r="G13" i="7"/>
  <c r="V11" i="7"/>
  <c r="P11" i="7"/>
  <c r="AB13" i="7"/>
  <c r="AA13" i="7"/>
  <c r="V13" i="7" l="1"/>
  <c r="U13" i="7"/>
  <c r="O13" i="7"/>
  <c r="P13" i="7"/>
</calcChain>
</file>

<file path=xl/sharedStrings.xml><?xml version="1.0" encoding="utf-8"?>
<sst xmlns="http://schemas.openxmlformats.org/spreadsheetml/2006/main" count="275" uniqueCount="131">
  <si>
    <t>=</t>
  </si>
  <si>
    <t>Price/Unit</t>
  </si>
  <si>
    <t>Actual Results</t>
  </si>
  <si>
    <t>Copper</t>
  </si>
  <si>
    <t>Gold</t>
  </si>
  <si>
    <t>Total</t>
  </si>
  <si>
    <t>Flexible Budget</t>
  </si>
  <si>
    <t>Static Budget</t>
  </si>
  <si>
    <t>Units Sold in MTs</t>
  </si>
  <si>
    <t>Variable Costs</t>
  </si>
  <si>
    <t xml:space="preserve">     Direct Labor</t>
  </si>
  <si>
    <t xml:space="preserve">     Variable overhead</t>
  </si>
  <si>
    <t xml:space="preserve">          Total Variable Costs</t>
  </si>
  <si>
    <t>Contribution Margin</t>
  </si>
  <si>
    <t>Fixed Overhead</t>
  </si>
  <si>
    <t>Operating Income</t>
  </si>
  <si>
    <t>Revenues (US$Millions)</t>
  </si>
  <si>
    <t>Price/unit</t>
  </si>
  <si>
    <t xml:space="preserve">     Total</t>
  </si>
  <si>
    <t>Budgeted Copper</t>
  </si>
  <si>
    <t>Budgeted Gold</t>
  </si>
  <si>
    <t>Actual Copper</t>
  </si>
  <si>
    <t>Actual Gold</t>
  </si>
  <si>
    <t>−</t>
  </si>
  <si>
    <t>Sales Volume
 in Units</t>
  </si>
  <si>
    <t>×</t>
  </si>
  <si>
    <t>Contribution
Margin</t>
  </si>
  <si>
    <t>Sales Mix
(% of Total Sales Volume)</t>
  </si>
  <si>
    <t xml:space="preserve">     Total Sales-Mix Variance</t>
  </si>
  <si>
    <t>Actual Units of All Products Sold</t>
  </si>
  <si>
    <r>
      <rPr>
        <sz val="22"/>
        <color theme="1"/>
        <rFont val="Calibri"/>
        <family val="2"/>
        <scheme val="minor"/>
      </rPr>
      <t>)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</rPr>
      <t>×</t>
    </r>
  </si>
  <si>
    <r>
      <t xml:space="preserve">×   </t>
    </r>
    <r>
      <rPr>
        <sz val="22"/>
        <color theme="1"/>
        <rFont val="Calibri"/>
        <family val="2"/>
      </rPr>
      <t>(</t>
    </r>
  </si>
  <si>
    <t>Actual 
Sales-Mix %</t>
  </si>
  <si>
    <t>Budgeted Sales-Mix %</t>
  </si>
  <si>
    <t>Sales-Mix Variance</t>
  </si>
  <si>
    <r>
      <t xml:space="preserve">Flexible-Budget Variances
(Actual </t>
    </r>
    <r>
      <rPr>
        <b/>
        <sz val="11"/>
        <color theme="1"/>
        <rFont val="Calibri"/>
        <family val="2"/>
      </rPr>
      <t>− Flexible)</t>
    </r>
  </si>
  <si>
    <r>
      <t xml:space="preserve">Sales-Volume Variances
(Flexible </t>
    </r>
    <r>
      <rPr>
        <b/>
        <sz val="11"/>
        <color theme="1"/>
        <rFont val="Calibri"/>
        <family val="2"/>
      </rPr>
      <t>− Static)</t>
    </r>
  </si>
  <si>
    <r>
      <t xml:space="preserve">Static-Budget Variances
(Actual </t>
    </r>
    <r>
      <rPr>
        <b/>
        <sz val="11"/>
        <color theme="1"/>
        <rFont val="Calibri"/>
        <family val="2"/>
      </rPr>
      <t>− Static)</t>
    </r>
  </si>
  <si>
    <t xml:space="preserve">     Total Sales-Quantity Variance</t>
  </si>
  <si>
    <t>(</t>
  </si>
  <si>
    <t xml:space="preserve">×  </t>
  </si>
  <si>
    <t>Sales-Quantity Variance</t>
  </si>
  <si>
    <t>Actual Sales Volume for All Units</t>
  </si>
  <si>
    <t>Budgeted Sales Volume for All Units</t>
  </si>
  <si>
    <t xml:space="preserve">Actual  </t>
  </si>
  <si>
    <t>Error checks from 2014 Budget</t>
  </si>
  <si>
    <t xml:space="preserve">Actual </t>
  </si>
  <si>
    <t>Actual Units</t>
  </si>
  <si>
    <t>Actual</t>
  </si>
  <si>
    <t xml:space="preserve">     Total DL cost</t>
  </si>
  <si>
    <t>Total Costs</t>
  </si>
  <si>
    <t>Total Hours</t>
  </si>
  <si>
    <t>From 2014 Budget</t>
  </si>
  <si>
    <t>Budget</t>
  </si>
  <si>
    <t>Flex-Budget</t>
  </si>
  <si>
    <t>Copper Direct Labor</t>
  </si>
  <si>
    <t>Gold Direct Labor</t>
  </si>
  <si>
    <t>Actual Price of Input</t>
  </si>
  <si>
    <t>Budgeted Price of Input</t>
  </si>
  <si>
    <t>Price (Rate) Variance</t>
  </si>
  <si>
    <t>Actual Quantity of Input Used</t>
  </si>
  <si>
    <t>Budgeted Quantity of Input for Flex-Budget Output</t>
  </si>
  <si>
    <t>Efficiency Variance</t>
  </si>
  <si>
    <t>hours</t>
  </si>
  <si>
    <t>per hour</t>
  </si>
  <si>
    <t>Error check (flex-budget variance from budget)</t>
  </si>
  <si>
    <t>Copper VOH</t>
  </si>
  <si>
    <t>Gold VOH</t>
  </si>
  <si>
    <t>Total Cost Driver (DLH)</t>
  </si>
  <si>
    <t xml:space="preserve">     Total VOH cost</t>
  </si>
  <si>
    <t>VOH Cost/DLH</t>
  </si>
  <si>
    <t>VOH Spending Variance</t>
  </si>
  <si>
    <t xml:space="preserve">     Total VOH Spending Variance</t>
  </si>
  <si>
    <t>Actual Quantity of VOH Cost Driver</t>
  </si>
  <si>
    <t>Flexible Budgeted Quantity of VOH Cost Driver</t>
  </si>
  <si>
    <t>Budgeted VOH Cost per Unit of Cost Driver (VOH/DLH)</t>
  </si>
  <si>
    <t xml:space="preserve">     Total VOH Efficiency Variance</t>
  </si>
  <si>
    <t xml:space="preserve">     Variable Overhead</t>
  </si>
  <si>
    <t>Variable Costs/Unit</t>
  </si>
  <si>
    <t>Direct Labor Hours/Unit</t>
  </si>
  <si>
    <t>Variable Overhead</t>
  </si>
  <si>
    <t>Contribution 
Margin/Unit</t>
  </si>
  <si>
    <t>Total Variable 
Cost/Unit</t>
  </si>
  <si>
    <t>Budgeted Contribution Margin/Unit</t>
  </si>
  <si>
    <t>Average DLH Rate/Unit</t>
  </si>
  <si>
    <t>Direct Labor Hours (DLH)/Unit</t>
  </si>
  <si>
    <t>Hours x Rate/Unit</t>
  </si>
  <si>
    <t xml:space="preserve">     Total Direct Labor Price Variance</t>
  </si>
  <si>
    <t xml:space="preserve">     Total Direct Labor Efficiency Variance</t>
  </si>
  <si>
    <t>Variable Overhead Cost Driver/Unit: DLH/Unit</t>
  </si>
  <si>
    <t>VOH Cost/Unit</t>
  </si>
  <si>
    <t xml:space="preserve">     Total VOH</t>
  </si>
  <si>
    <t>Actual VOH Cost per Cost Driver Unit (VOH Cost/DLH)</t>
  </si>
  <si>
    <t>Budgeted VOH Cost per Cost Driver Unit (DLH)</t>
  </si>
  <si>
    <t>Actual Quantity of Input (Hours)</t>
  </si>
  <si>
    <t xml:space="preserve">     Total Direct Labor Cost</t>
  </si>
  <si>
    <t>Direct Labor Cost/Unit</t>
  </si>
  <si>
    <t>Values</t>
  </si>
  <si>
    <t>Hidden</t>
  </si>
  <si>
    <t>Favorable</t>
  </si>
  <si>
    <t>Unfavorable</t>
  </si>
  <si>
    <t>Sales-Volume Variance</t>
  </si>
  <si>
    <t>Flexible-Budget Variance</t>
  </si>
  <si>
    <t>Base Values</t>
  </si>
  <si>
    <t>Direct Hourly Rate</t>
  </si>
  <si>
    <t xml:space="preserve">          Total Sales-Volume Variance</t>
  </si>
  <si>
    <t xml:space="preserve">          Total VOH Flexible-Budget Variance</t>
  </si>
  <si>
    <t xml:space="preserve">          Total Direct Labor Flexible-Budget Variance</t>
  </si>
  <si>
    <t xml:space="preserve">     Direct Materials</t>
  </si>
  <si>
    <t>Direct Materials</t>
  </si>
  <si>
    <t xml:space="preserve">     Direct Materials/MT</t>
  </si>
  <si>
    <t>Panama Smelting Division</t>
  </si>
  <si>
    <t>Price/MT of Ore</t>
  </si>
  <si>
    <t>Price Variance</t>
  </si>
  <si>
    <t>MT ore</t>
  </si>
  <si>
    <t>per MT</t>
  </si>
  <si>
    <t>per MT ore</t>
  </si>
  <si>
    <t>Quantity per MT of Ore</t>
  </si>
  <si>
    <t>MTs of Ore Purchased and Used</t>
  </si>
  <si>
    <t>Budget Year</t>
  </si>
  <si>
    <t>Ore per Unit</t>
  </si>
  <si>
    <t>Direct Materials Price Variance</t>
  </si>
  <si>
    <t xml:space="preserve">     Total Direct Materials Flexible-Budget Variance</t>
  </si>
  <si>
    <r>
      <t xml:space="preserve">Panama Mine Division
</t>
    </r>
    <r>
      <rPr>
        <sz val="11"/>
        <color theme="1"/>
        <rFont val="Calibri"/>
        <family val="2"/>
        <scheme val="minor"/>
      </rPr>
      <t>2014 Selling-Price Variance Analysis</t>
    </r>
  </si>
  <si>
    <t>Actual Selling Price per Unit</t>
  </si>
  <si>
    <t>Budgeted Selling Price per Unit</t>
  </si>
  <si>
    <t>Actual Units Sold</t>
  </si>
  <si>
    <t>Selling-Price Variance</t>
  </si>
  <si>
    <r>
      <t xml:space="preserve">     </t>
    </r>
    <r>
      <rPr>
        <b/>
        <sz val="11"/>
        <color theme="1"/>
        <rFont val="Calibri"/>
        <family val="2"/>
        <scheme val="minor"/>
      </rPr>
      <t>Total Selling-Price Variance</t>
    </r>
  </si>
  <si>
    <t>All amounts in US$ millions except prices per unit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</si>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</sst>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164" formatCode="0.0"/>
    <numFmt numFmtId="165" formatCode="&quot;$&quot;#,##0.00"/>
    <numFmt numFmtId="166" formatCode="#,##0.0"/>
    <numFmt numFmtId="167" formatCode="&quot;$&quot;#,##0.0"/>
    <numFmt numFmtId="168" formatCode="&quot;$&quot;#,##0.0_);[Red]\(&quot;$&quot;#,##0.0\)"/>
    <numFmt numFmtId="169" formatCode="#,##0.0_);[Red]\(#,##0.0\)"/>
    <numFmt numFmtId="170" formatCode="&quot;$&quot;#,##0"/>
    <numFmt numFmtId="171" formatCode="0.000000"/>
    <numFmt numFmtId="172" formatCode="&quot;$&quot;#,##0.0,,_);[Red]\(&quot;$&quot;#,##0.0,,\)"/>
    <numFmt numFmtId="173" formatCode="0.0000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5" fillId="3" borderId="1" applyNumberFormat="0" applyAlignment="0" applyProtection="0"/>
    <xf numFmtId="0" fontId="6" fillId="2" borderId="1" applyNumberFormat="0" applyAlignment="0" applyProtection="0"/>
    <xf numFmtId="0" fontId="4" fillId="4" borderId="6" applyNumberFormat="0" applyAlignment="0" applyProtection="0"/>
  </cellStyleXfs>
  <cellXfs count="72">
    <xf numFmtId="0" fontId="0" fillId="0" borderId="0" xfId="0"/>
    <xf numFmtId="8" fontId="0" fillId="0" borderId="0" xfId="0" applyNumberFormat="1"/>
    <xf numFmtId="0" fontId="1" fillId="0" borderId="0" xfId="0" applyFont="1"/>
    <xf numFmtId="168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167" fontId="0" fillId="0" borderId="0" xfId="0" applyNumberFormat="1"/>
    <xf numFmtId="6" fontId="0" fillId="0" borderId="0" xfId="0" applyNumberFormat="1"/>
    <xf numFmtId="3" fontId="0" fillId="0" borderId="0" xfId="0" applyNumberFormat="1"/>
    <xf numFmtId="0" fontId="3" fillId="0" borderId="0" xfId="0" applyFont="1"/>
    <xf numFmtId="0" fontId="1" fillId="0" borderId="0" xfId="0" applyFont="1" applyAlignment="1">
      <alignment horizontal="center"/>
    </xf>
    <xf numFmtId="0" fontId="5" fillId="3" borderId="1" xfId="1"/>
    <xf numFmtId="3" fontId="5" fillId="3" borderId="1" xfId="1" applyNumberFormat="1"/>
    <xf numFmtId="6" fontId="5" fillId="3" borderId="1" xfId="1" applyNumberFormat="1"/>
    <xf numFmtId="166" fontId="0" fillId="0" borderId="0" xfId="0" applyNumberFormat="1"/>
    <xf numFmtId="0" fontId="5" fillId="0" borderId="0" xfId="1" applyFill="1" applyBorder="1"/>
    <xf numFmtId="0" fontId="6" fillId="2" borderId="1" xfId="2"/>
    <xf numFmtId="6" fontId="6" fillId="2" borderId="1" xfId="2" applyNumberFormat="1"/>
    <xf numFmtId="3" fontId="6" fillId="2" borderId="1" xfId="2" applyNumberFormat="1"/>
    <xf numFmtId="6" fontId="0" fillId="0" borderId="3" xfId="0" applyNumberFormat="1" applyBorder="1"/>
    <xf numFmtId="170" fontId="0" fillId="0" borderId="0" xfId="0" applyNumberFormat="1"/>
    <xf numFmtId="164" fontId="5" fillId="3" borderId="1" xfId="1" applyNumberFormat="1"/>
    <xf numFmtId="170" fontId="0" fillId="0" borderId="3" xfId="0" applyNumberFormat="1" applyBorder="1"/>
    <xf numFmtId="0" fontId="1" fillId="0" borderId="0" xfId="0" applyFont="1" applyAlignment="1">
      <alignment wrapText="1"/>
    </xf>
    <xf numFmtId="6" fontId="6" fillId="0" borderId="0" xfId="2" applyNumberFormat="1" applyFill="1" applyBorder="1"/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9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170" fontId="4" fillId="4" borderId="6" xfId="3" applyNumberFormat="1"/>
    <xf numFmtId="6" fontId="4" fillId="4" borderId="6" xfId="3" applyNumberFormat="1"/>
    <xf numFmtId="8" fontId="6" fillId="2" borderId="1" xfId="2" applyNumberFormat="1"/>
    <xf numFmtId="170" fontId="6" fillId="2" borderId="1" xfId="2" applyNumberFormat="1"/>
    <xf numFmtId="165" fontId="6" fillId="2" borderId="1" xfId="2" applyNumberFormat="1"/>
    <xf numFmtId="2" fontId="6" fillId="2" borderId="1" xfId="2" applyNumberFormat="1"/>
    <xf numFmtId="4" fontId="6" fillId="2" borderId="1" xfId="2" applyNumberFormat="1"/>
    <xf numFmtId="6" fontId="6" fillId="2" borderId="8" xfId="2" applyNumberFormat="1" applyBorder="1"/>
    <xf numFmtId="6" fontId="6" fillId="2" borderId="7" xfId="2" applyNumberFormat="1" applyBorder="1"/>
    <xf numFmtId="170" fontId="6" fillId="2" borderId="7" xfId="2" applyNumberFormat="1" applyBorder="1"/>
    <xf numFmtId="169" fontId="6" fillId="2" borderId="1" xfId="2" applyNumberFormat="1"/>
    <xf numFmtId="169" fontId="6" fillId="2" borderId="8" xfId="2" applyNumberFormat="1" applyBorder="1"/>
    <xf numFmtId="169" fontId="6" fillId="2" borderId="7" xfId="2" applyNumberFormat="1" applyBorder="1"/>
    <xf numFmtId="166" fontId="6" fillId="2" borderId="1" xfId="2" applyNumberFormat="1"/>
    <xf numFmtId="166" fontId="6" fillId="2" borderId="7" xfId="2" applyNumberFormat="1" applyBorder="1"/>
    <xf numFmtId="171" fontId="6" fillId="2" borderId="1" xfId="2" applyNumberFormat="1"/>
    <xf numFmtId="171" fontId="6" fillId="2" borderId="8" xfId="2" applyNumberFormat="1" applyBorder="1"/>
    <xf numFmtId="171" fontId="6" fillId="2" borderId="7" xfId="2" applyNumberFormat="1" applyBorder="1"/>
    <xf numFmtId="170" fontId="6" fillId="2" borderId="8" xfId="2" applyNumberFormat="1" applyBorder="1"/>
    <xf numFmtId="172" fontId="0" fillId="0" borderId="2" xfId="0" applyNumberFormat="1" applyBorder="1"/>
    <xf numFmtId="172" fontId="0" fillId="0" borderId="0" xfId="0" applyNumberFormat="1"/>
    <xf numFmtId="172" fontId="0" fillId="0" borderId="0" xfId="0" applyNumberFormat="1" applyBorder="1"/>
    <xf numFmtId="172" fontId="0" fillId="0" borderId="5" xfId="0" applyNumberFormat="1" applyBorder="1"/>
    <xf numFmtId="172" fontId="0" fillId="0" borderId="4" xfId="0" applyNumberFormat="1" applyBorder="1"/>
    <xf numFmtId="0" fontId="0" fillId="0" borderId="0" xfId="0" applyFont="1"/>
    <xf numFmtId="38" fontId="5" fillId="3" borderId="1" xfId="1" applyNumberFormat="1"/>
    <xf numFmtId="10" fontId="5" fillId="3" borderId="1" xfId="1" applyNumberFormat="1"/>
    <xf numFmtId="10" fontId="6" fillId="2" borderId="1" xfId="2" applyNumberFormat="1"/>
    <xf numFmtId="173" fontId="6" fillId="2" borderId="1" xfId="2" applyNumberFormat="1"/>
    <xf numFmtId="164" fontId="6" fillId="2" borderId="1" xfId="2" applyNumberFormat="1"/>
    <xf numFmtId="173" fontId="5" fillId="3" borderId="1" xfId="1" applyNumberFormat="1"/>
    <xf numFmtId="38" fontId="6" fillId="2" borderId="1" xfId="2" applyNumberFormat="1"/>
    <xf numFmtId="164" fontId="6" fillId="2" borderId="8" xfId="2" applyNumberFormat="1" applyBorder="1"/>
    <xf numFmtId="40" fontId="6" fillId="2" borderId="1" xfId="2" applyNumberFormat="1"/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alculation" xfId="2" builtinId="22"/>
    <cellStyle name="Check Cell" xfId="3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'Waterfall Chart'!$B$1:$E$1</c:f>
              <c:strCache>
                <c:ptCount val="4"/>
                <c:pt idx="0">
                  <c:v>2014 Budgeted Revenue</c:v>
                </c:pt>
                <c:pt idx="1">
                  <c:v>Sales-Volume Variance</c:v>
                </c:pt>
                <c:pt idx="2">
                  <c:v>Flexible-Budget Variance</c:v>
                </c:pt>
                <c:pt idx="3">
                  <c:v>2014 Actual Revenue</c:v>
                </c:pt>
              </c:strCache>
            </c:strRef>
          </c:cat>
          <c:val>
            <c:numRef>
              <c:f>'Waterfall Chart'!$B$3:$E$3</c:f>
              <c:numCache>
                <c:formatCode>"$"#,##0_);[Red]\("$"#,##0\)</c:formatCode>
                <c:ptCount val="4"/>
                <c:pt idx="0">
                  <c:v>0</c:v>
                </c:pt>
                <c:pt idx="1">
                  <c:v>647700000</c:v>
                </c:pt>
                <c:pt idx="2">
                  <c:v>719640000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B-4E99-9510-996F7BD30C0B}"/>
            </c:ext>
          </c:extLst>
        </c:ser>
        <c:ser>
          <c:idx val="1"/>
          <c:order val="1"/>
          <c:invertIfNegative val="0"/>
          <c:cat>
            <c:strRef>
              <c:f>'Waterfall Chart'!$B$1:$E$1</c:f>
              <c:strCache>
                <c:ptCount val="4"/>
                <c:pt idx="0">
                  <c:v>2014 Budgeted Revenue</c:v>
                </c:pt>
                <c:pt idx="1">
                  <c:v>Sales-Volume Variance</c:v>
                </c:pt>
                <c:pt idx="2">
                  <c:v>Flexible-Budget Variance</c:v>
                </c:pt>
                <c:pt idx="3">
                  <c:v>2014 Actual Revenue</c:v>
                </c:pt>
              </c:strCache>
            </c:strRef>
          </c:cat>
          <c:val>
            <c:numRef>
              <c:f>'Waterfall Chart'!$B$4:$E$4</c:f>
              <c:numCache>
                <c:formatCode>"$"#,##0_);[Red]\("$"#,##0\)</c:formatCode>
                <c:ptCount val="4"/>
                <c:pt idx="0">
                  <c:v>647700000</c:v>
                </c:pt>
                <c:pt idx="1">
                  <c:v>0</c:v>
                </c:pt>
                <c:pt idx="2">
                  <c:v>0</c:v>
                </c:pt>
                <c:pt idx="3">
                  <c:v>719640000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8B-4E99-9510-996F7BD30C0B}"/>
            </c:ext>
          </c:extLst>
        </c:ser>
        <c:ser>
          <c:idx val="2"/>
          <c:order val="2"/>
          <c:invertIfNegative val="0"/>
          <c:cat>
            <c:strRef>
              <c:f>'Waterfall Chart'!$B$1:$E$1</c:f>
              <c:strCache>
                <c:ptCount val="4"/>
                <c:pt idx="0">
                  <c:v>2014 Budgeted Revenue</c:v>
                </c:pt>
                <c:pt idx="1">
                  <c:v>Sales-Volume Variance</c:v>
                </c:pt>
                <c:pt idx="2">
                  <c:v>Flexible-Budget Variance</c:v>
                </c:pt>
                <c:pt idx="3">
                  <c:v>2014 Actual Revenue</c:v>
                </c:pt>
              </c:strCache>
            </c:strRef>
          </c:cat>
          <c:val>
            <c:numRef>
              <c:f>'Waterfall Chart'!$B$5:$E$5</c:f>
              <c:numCache>
                <c:formatCode>"$"#,##0_);[Red]\("$"#,##0\)</c:formatCode>
                <c:ptCount val="4"/>
                <c:pt idx="0">
                  <c:v>0</c:v>
                </c:pt>
                <c:pt idx="1">
                  <c:v>85660000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8B-4E99-9510-996F7BD30C0B}"/>
            </c:ext>
          </c:extLst>
        </c:ser>
        <c:ser>
          <c:idx val="3"/>
          <c:order val="3"/>
          <c:invertIfNegative val="0"/>
          <c:cat>
            <c:strRef>
              <c:f>'Waterfall Chart'!$B$1:$E$1</c:f>
              <c:strCache>
                <c:ptCount val="4"/>
                <c:pt idx="0">
                  <c:v>2014 Budgeted Revenue</c:v>
                </c:pt>
                <c:pt idx="1">
                  <c:v>Sales-Volume Variance</c:v>
                </c:pt>
                <c:pt idx="2">
                  <c:v>Flexible-Budget Variance</c:v>
                </c:pt>
                <c:pt idx="3">
                  <c:v>2014 Actual Revenue</c:v>
                </c:pt>
              </c:strCache>
            </c:strRef>
          </c:cat>
          <c:val>
            <c:numRef>
              <c:f>'Waterfall Chart'!$B$6:$E$6</c:f>
              <c:numCache>
                <c:formatCode>"$"#,##0_);[Red]\("$"#,##0\)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13720000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8B-4E99-9510-996F7BD3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0920176"/>
        <c:axId val="1010915280"/>
      </c:barChart>
      <c:catAx>
        <c:axId val="101092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0915280"/>
        <c:crosses val="autoZero"/>
        <c:auto val="0"/>
        <c:lblAlgn val="ctr"/>
        <c:lblOffset val="100"/>
        <c:noMultiLvlLbl val="0"/>
      </c:catAx>
      <c:valAx>
        <c:axId val="1010915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1010920176"/>
        <c:crosses val="autoZero"/>
        <c:crossBetween val="between"/>
        <c:dispUnits>
          <c:builtInUnit val="millions"/>
          <c:dispUnitsLbl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6</xdr:row>
      <xdr:rowOff>167640</xdr:rowOff>
    </xdr:from>
    <xdr:to>
      <xdr:col>5</xdr:col>
      <xdr:colOff>53340</xdr:colOff>
      <xdr:row>21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workbookViewId="0"/>
  </sheetViews>
  <sheetFormatPr defaultRowHeight="14.5" x14ac:dyDescent="0.35"/>
  <cols>
    <col min="1" max="1" width="27.453125" customWidth="1"/>
    <col min="2" max="2" width="7.36328125" customWidth="1"/>
    <col min="3" max="3" width="11.81640625" bestFit="1" customWidth="1"/>
    <col min="4" max="4" width="8" customWidth="1"/>
    <col min="5" max="5" width="7.08984375" customWidth="1"/>
    <col min="6" max="6" width="11.81640625" bestFit="1" customWidth="1"/>
    <col min="7" max="7" width="8" customWidth="1"/>
    <col min="8" max="8" width="7.08984375" customWidth="1"/>
    <col min="9" max="9" width="11.81640625" bestFit="1" customWidth="1"/>
    <col min="10" max="10" width="8" customWidth="1"/>
    <col min="11" max="11" width="7.08984375" customWidth="1"/>
    <col min="12" max="12" width="2.36328125" customWidth="1"/>
    <col min="13" max="13" width="8.453125" customWidth="1"/>
    <col min="14" max="14" width="2.36328125" customWidth="1"/>
    <col min="15" max="15" width="6.36328125" bestFit="1" customWidth="1"/>
    <col min="16" max="16" width="2.36328125" customWidth="1"/>
    <col min="17" max="17" width="7.08984375" customWidth="1"/>
    <col min="18" max="18" width="2.36328125" customWidth="1"/>
    <col min="19" max="19" width="7.36328125" bestFit="1" customWidth="1"/>
    <col min="20" max="20" width="2.36328125" customWidth="1"/>
    <col min="21" max="21" width="7" customWidth="1"/>
    <col min="22" max="22" width="2.36328125" customWidth="1"/>
    <col min="24" max="24" width="2.36328125" bestFit="1" customWidth="1"/>
    <col min="26" max="26" width="2.36328125" bestFit="1" customWidth="1"/>
    <col min="28" max="28" width="2.36328125" bestFit="1" customWidth="1"/>
  </cols>
  <sheetData>
    <row r="1" spans="1:28" ht="27" customHeight="1" x14ac:dyDescent="0.35">
      <c r="A1" s="2" t="s">
        <v>111</v>
      </c>
      <c r="B1" s="70" t="s">
        <v>2</v>
      </c>
      <c r="C1" s="70"/>
      <c r="D1" s="70"/>
      <c r="E1" s="70" t="s">
        <v>6</v>
      </c>
      <c r="F1" s="70"/>
      <c r="G1" s="70"/>
      <c r="H1" s="70" t="s">
        <v>7</v>
      </c>
      <c r="I1" s="70"/>
      <c r="J1" s="70"/>
      <c r="K1" s="69" t="s">
        <v>35</v>
      </c>
      <c r="L1" s="70"/>
      <c r="M1" s="71"/>
      <c r="N1" s="71"/>
      <c r="O1" s="71"/>
      <c r="Q1" s="69" t="s">
        <v>36</v>
      </c>
      <c r="R1" s="70"/>
      <c r="S1" s="70"/>
      <c r="T1" s="70"/>
      <c r="U1" s="70"/>
      <c r="V1" s="7"/>
      <c r="W1" s="69" t="s">
        <v>37</v>
      </c>
      <c r="X1" s="70"/>
      <c r="Y1" s="70"/>
      <c r="Z1" s="70"/>
      <c r="AA1" s="70"/>
    </row>
    <row r="2" spans="1:28" x14ac:dyDescent="0.35">
      <c r="A2" t="str">
        <f>BudgetInputs!B3&amp;" Budget"</f>
        <v>2014 Budget</v>
      </c>
      <c r="B2" s="12" t="s">
        <v>3</v>
      </c>
      <c r="C2" s="12" t="s">
        <v>4</v>
      </c>
      <c r="D2" s="12" t="s">
        <v>5</v>
      </c>
      <c r="E2" s="12" t="s">
        <v>3</v>
      </c>
      <c r="F2" s="12" t="s">
        <v>4</v>
      </c>
      <c r="G2" s="12" t="s">
        <v>5</v>
      </c>
      <c r="H2" s="12" t="s">
        <v>3</v>
      </c>
      <c r="I2" s="12" t="s">
        <v>4</v>
      </c>
      <c r="J2" s="12" t="s">
        <v>5</v>
      </c>
      <c r="K2" s="12" t="s">
        <v>3</v>
      </c>
      <c r="L2" s="12"/>
      <c r="M2" s="12" t="s">
        <v>4</v>
      </c>
      <c r="N2" s="12"/>
      <c r="O2" s="12" t="s">
        <v>5</v>
      </c>
      <c r="Q2" s="12" t="s">
        <v>3</v>
      </c>
      <c r="R2" s="12"/>
      <c r="S2" s="12" t="s">
        <v>4</v>
      </c>
      <c r="T2" s="12"/>
      <c r="U2" s="12" t="s">
        <v>5</v>
      </c>
      <c r="V2" s="12"/>
      <c r="W2" s="12" t="s">
        <v>3</v>
      </c>
      <c r="X2" s="12"/>
      <c r="Y2" s="12" t="s">
        <v>4</v>
      </c>
      <c r="Z2" s="12"/>
      <c r="AA2" s="12" t="s">
        <v>5</v>
      </c>
    </row>
    <row r="3" spans="1:28" x14ac:dyDescent="0.35">
      <c r="A3" s="2" t="s">
        <v>8</v>
      </c>
      <c r="B3" s="10">
        <f>BudgetInputs!C4</f>
        <v>36000</v>
      </c>
      <c r="C3" s="4">
        <f>BudgetInputs!D4</f>
        <v>5</v>
      </c>
      <c r="D3" s="16">
        <f>B3+C3</f>
        <v>36005</v>
      </c>
      <c r="E3" s="10">
        <f>BudgetInputs!F4</f>
        <v>36000</v>
      </c>
      <c r="F3" s="4">
        <f>BudgetInputs!G4</f>
        <v>5</v>
      </c>
      <c r="G3" s="16">
        <f>E3+F3</f>
        <v>36005</v>
      </c>
      <c r="H3" s="10">
        <f>BudgetInputs!I4</f>
        <v>34000</v>
      </c>
      <c r="I3" s="4">
        <f>BudgetInputs!J4</f>
        <v>6.97</v>
      </c>
      <c r="J3" s="16">
        <f>H3+I3</f>
        <v>34006.97</v>
      </c>
      <c r="K3" s="8">
        <f>ABS($B3-$E3)</f>
        <v>0</v>
      </c>
      <c r="L3" t="str">
        <f>IF($B3=$E3,"",(IF($B3&gt;$E3, "F", "U")))</f>
        <v/>
      </c>
      <c r="M3" s="8">
        <f>ABS($C3-$F3)</f>
        <v>0</v>
      </c>
      <c r="N3" t="str">
        <f>IF($C3=$F3,"",(IF($C3&gt;$F3, "F", "U")))</f>
        <v/>
      </c>
      <c r="O3" s="8">
        <f>ABS($D3-$G3)</f>
        <v>0</v>
      </c>
      <c r="P3" t="str">
        <f>IF($D3=$G3,"",(IF($D3&gt;$G3, "F", "U")))</f>
        <v/>
      </c>
      <c r="Q3" s="10">
        <f>ABS($E3-$H3)</f>
        <v>2000</v>
      </c>
      <c r="R3" t="str">
        <f>IF($E3=$H3,"",(IF($E3&gt;$H3, "F", "U")))</f>
        <v>F</v>
      </c>
      <c r="S3" s="16">
        <f>ABS($F3-$I3)</f>
        <v>1.9699999999999998</v>
      </c>
      <c r="T3" t="str">
        <f>IF($F3=$I3,"",(IF($F3&gt;$I3, "F", "U")))</f>
        <v>U</v>
      </c>
      <c r="U3" s="16">
        <f>ABS($G3-$J3)</f>
        <v>1998.0299999999988</v>
      </c>
      <c r="V3" t="str">
        <f>IF($G3=$J3,"",(IF($G3&gt;$J3, "F", "U")))</f>
        <v>F</v>
      </c>
      <c r="W3" s="10">
        <f>ABS($B3-$H3)</f>
        <v>2000</v>
      </c>
      <c r="X3" t="str">
        <f>IF($B3=$H3,"",(IF($B3&gt;$H3, "F", "U")))</f>
        <v>F</v>
      </c>
      <c r="Y3" s="16">
        <f>ABS($C3-$I3)</f>
        <v>1.9699999999999998</v>
      </c>
      <c r="Z3" t="str">
        <f>IF($C3=$I3,"",(IF($C3&gt;$I3, "F", "U")))</f>
        <v>U</v>
      </c>
      <c r="AA3" s="16">
        <f>ABS($D3-$J3)</f>
        <v>1998.0299999999988</v>
      </c>
      <c r="AB3" t="str">
        <f>IF($D3=$J3,"",(IF($D3&gt;$J3, "F", "U")))</f>
        <v>F</v>
      </c>
    </row>
    <row r="4" spans="1:28" ht="15" thickBot="1" x14ac:dyDescent="0.4">
      <c r="A4" s="2" t="s">
        <v>1</v>
      </c>
      <c r="B4" s="21">
        <f>BudgetInputs!C5</f>
        <v>8120</v>
      </c>
      <c r="C4" s="21">
        <f>BudgetInputs!D5</f>
        <v>51200000</v>
      </c>
      <c r="D4" s="6"/>
      <c r="E4" s="21">
        <f>BudgetInputs!F5</f>
        <v>8390</v>
      </c>
      <c r="F4" s="21">
        <f>BudgetInputs!G5</f>
        <v>52000000</v>
      </c>
      <c r="H4" s="21">
        <f>BudgetInputs!I5</f>
        <v>8390</v>
      </c>
      <c r="I4" s="21">
        <f>BudgetInputs!J5</f>
        <v>52000000</v>
      </c>
      <c r="K4" s="24">
        <f>ABS($B4-$E4)</f>
        <v>270</v>
      </c>
      <c r="L4" t="str">
        <f>IF($B4=$E4, "", (IF($B4&gt;$E4, "F", "U")))</f>
        <v>U</v>
      </c>
      <c r="M4" s="24">
        <f>ABS($C4-$F4)</f>
        <v>800000</v>
      </c>
      <c r="N4" t="str">
        <f>IF($C4=$F4, "", (IF($C4&gt;$F4, "F", "U")))</f>
        <v>U</v>
      </c>
      <c r="O4" s="8"/>
      <c r="Q4" s="24">
        <f>$E4-$H4</f>
        <v>0</v>
      </c>
      <c r="R4" t="str">
        <f>IF($E4=$H4, "", (IF($E4&gt;$H4, "F", "U")))</f>
        <v/>
      </c>
      <c r="S4" s="24">
        <f>ABS($F4-$I4)</f>
        <v>0</v>
      </c>
      <c r="T4" t="str">
        <f>IF($F4=$I4, "", (IF($F4&gt;$I4, "F", "U")))</f>
        <v/>
      </c>
      <c r="U4" s="22"/>
      <c r="W4" s="24">
        <f>ABS($B4-$H4)</f>
        <v>270</v>
      </c>
      <c r="X4" t="str">
        <f>IF($B4=$H4, "", (IF($B4&gt;$H4, "F", "U")))</f>
        <v>U</v>
      </c>
      <c r="Y4" s="24">
        <f>ABS($C4-$I4)</f>
        <v>800000</v>
      </c>
      <c r="Z4" t="str">
        <f>IF($C4=$I4, "", (IF($C4&gt;$I4, "F", "U")))</f>
        <v>U</v>
      </c>
      <c r="AA4" s="16"/>
    </row>
    <row r="5" spans="1:28" ht="15" thickTop="1" x14ac:dyDescent="0.35">
      <c r="A5" s="2" t="s">
        <v>16</v>
      </c>
      <c r="B5" s="54">
        <f>BudgetInputs!C4*BudgetInputs!C5</f>
        <v>292320000</v>
      </c>
      <c r="C5" s="54">
        <f>BudgetInputs!D4*BudgetInputs!D5</f>
        <v>256000000</v>
      </c>
      <c r="D5" s="54">
        <f>B5+C5</f>
        <v>548320000</v>
      </c>
      <c r="E5" s="54">
        <f>BudgetInputs!F4*BudgetInputs!F5</f>
        <v>302040000</v>
      </c>
      <c r="F5" s="54">
        <f>BudgetInputs!G4*BudgetInputs!G5</f>
        <v>260000000</v>
      </c>
      <c r="G5" s="54">
        <f>E5+F5</f>
        <v>562040000</v>
      </c>
      <c r="H5" s="54">
        <f>BudgetInputs!I4*BudgetInputs!I5</f>
        <v>285260000</v>
      </c>
      <c r="I5" s="54">
        <f>BudgetInputs!J4*BudgetInputs!J5</f>
        <v>362440000</v>
      </c>
      <c r="J5" s="54">
        <f>H5+I5</f>
        <v>647700000</v>
      </c>
      <c r="K5" s="57">
        <f>ABS($B5-$E5)</f>
        <v>9720000</v>
      </c>
      <c r="L5" t="str">
        <f>IF($B5=$E5, "", (IF($B5&gt;$E5, "F", "U")))</f>
        <v>U</v>
      </c>
      <c r="M5" s="57">
        <f>ABS($C5-$F5)</f>
        <v>4000000</v>
      </c>
      <c r="N5" t="str">
        <f>IF($C5=$F5, "", (IF($C5&gt;$F5, "F", "U")))</f>
        <v>U</v>
      </c>
      <c r="O5" s="54">
        <f>ABS($D5-$G5)</f>
        <v>13720000</v>
      </c>
      <c r="P5" t="str">
        <f>IF($D5=$G5, "", (IF($D5&gt;$G5, "F", "U")))</f>
        <v>U</v>
      </c>
      <c r="Q5" s="57">
        <f>$E5-$H5</f>
        <v>16780000</v>
      </c>
      <c r="R5" t="str">
        <f>IF($E5=$H5, "", (IF($E5&gt;$H5, "F", "U")))</f>
        <v>F</v>
      </c>
      <c r="S5" s="57">
        <f>ABS($F5-$I5)</f>
        <v>102440000</v>
      </c>
      <c r="T5" t="str">
        <f>IF($F5=$I5, "", (IF($F5&gt;$I5, "F", "U")))</f>
        <v>U</v>
      </c>
      <c r="U5" s="54">
        <f>ABS($G5-$J5)</f>
        <v>85660000</v>
      </c>
      <c r="V5" t="str">
        <f>IF($G5=$J5, "", (IF($G5&gt;$J5, "F", "U")))</f>
        <v>U</v>
      </c>
      <c r="W5" s="57">
        <f>ABS($B5-$H5)</f>
        <v>7060000</v>
      </c>
      <c r="X5" t="str">
        <f>IF($B5=$H5, "", (IF($B5&gt;$H5, "F", "U")))</f>
        <v>F</v>
      </c>
      <c r="Y5" s="57">
        <f>ABS($C5-$I5)</f>
        <v>106440000</v>
      </c>
      <c r="Z5" t="str">
        <f>IF($C5=$I5, "", (IF($C5&gt;$I5, "F", "U")))</f>
        <v>U</v>
      </c>
      <c r="AA5" s="54">
        <f>ABS($D5-$J5)</f>
        <v>99380000</v>
      </c>
      <c r="AB5" t="str">
        <f>IF($D5=$J5, "", (IF($D5&gt;$J5, "F", "U")))</f>
        <v>U</v>
      </c>
    </row>
    <row r="6" spans="1:28" x14ac:dyDescent="0.35">
      <c r="A6" s="2" t="s">
        <v>9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6"/>
      <c r="M6" s="56"/>
      <c r="N6" s="6"/>
      <c r="O6" s="56"/>
      <c r="P6" s="6"/>
      <c r="Q6" s="56"/>
      <c r="R6" s="6"/>
      <c r="S6" s="56"/>
      <c r="T6" s="6"/>
      <c r="U6" s="56"/>
      <c r="V6" s="6"/>
      <c r="W6" s="56"/>
      <c r="X6" s="6"/>
      <c r="Y6" s="56"/>
      <c r="Z6" s="6"/>
      <c r="AA6" s="56"/>
    </row>
    <row r="7" spans="1:28" x14ac:dyDescent="0.35">
      <c r="A7" s="2" t="s">
        <v>10</v>
      </c>
      <c r="B7" s="55">
        <f>BudgetInputs!$C$4*BudgetInputs!$C15</f>
        <v>28512000</v>
      </c>
      <c r="C7" s="55">
        <f>BudgetInputs!$D$4*BudgetInputs!$D15</f>
        <v>11340000</v>
      </c>
      <c r="D7" s="55">
        <f>$B7+$C7</f>
        <v>39852000</v>
      </c>
      <c r="E7" s="55">
        <f>BudgetInputs!$F$4*BudgetInputs!$F15</f>
        <v>25992000</v>
      </c>
      <c r="F7" s="55">
        <f>BudgetInputs!$G$4*BudgetInputs!$G15</f>
        <v>11400000</v>
      </c>
      <c r="G7" s="55">
        <f>$E7+$F7</f>
        <v>37392000</v>
      </c>
      <c r="H7" s="55">
        <f>BudgetInputs!$I$4*BudgetInputs!$I15</f>
        <v>24548000</v>
      </c>
      <c r="I7" s="55">
        <f>BudgetInputs!$J$4*BudgetInputs!$J15</f>
        <v>15891600</v>
      </c>
      <c r="J7" s="55">
        <f>$H7+$I7</f>
        <v>40439600</v>
      </c>
      <c r="K7" s="55">
        <f>ABS($B7-$E7)</f>
        <v>2520000</v>
      </c>
      <c r="L7" t="str">
        <f>IF($B7=$E7, "", (IF($B7&lt;$E7, "F", "U")))</f>
        <v>U</v>
      </c>
      <c r="M7" s="55">
        <f>ABS($C7-$F7)</f>
        <v>60000</v>
      </c>
      <c r="N7" t="str">
        <f>IF($C7=$F7, "", (IF($C7&lt;$F7, "F", "U")))</f>
        <v>F</v>
      </c>
      <c r="O7" s="55">
        <f t="shared" ref="O7:O13" si="0">ABS($D7-$G7)</f>
        <v>2460000</v>
      </c>
      <c r="P7" t="str">
        <f>IF($D7=$G7, "", (IF($D7&lt;$G7, "F", "U")))</f>
        <v>U</v>
      </c>
      <c r="Q7" s="55">
        <f>$E7-$H7</f>
        <v>1444000</v>
      </c>
      <c r="R7" t="str">
        <f>IF($E7=$H7, "", (IF($E7&lt;$H7, "F", "U")))</f>
        <v>U</v>
      </c>
      <c r="S7" s="55">
        <f>ABS($F7-$I7)</f>
        <v>4491600</v>
      </c>
      <c r="T7" t="str">
        <f>IF($F7=$I7, "", (IF($F7&lt;$I7, "F", "U")))</f>
        <v>F</v>
      </c>
      <c r="U7" s="55">
        <f t="shared" ref="U7:U13" si="1">ABS($G7-$J7)</f>
        <v>3047600</v>
      </c>
      <c r="V7" t="str">
        <f>IF($G7=$J7, "", (IF($G7&lt;$J7, "F", "U")))</f>
        <v>F</v>
      </c>
      <c r="W7" s="55">
        <f>ABS($B7-$H7)</f>
        <v>3964000</v>
      </c>
      <c r="X7" t="str">
        <f>IF($B7=$H7, "", (IF($B7&lt;$H7, "F", "U")))</f>
        <v>U</v>
      </c>
      <c r="Y7" s="55">
        <f>ABS($C7-$I7)</f>
        <v>4551600</v>
      </c>
      <c r="Z7" t="str">
        <f>IF($C7=$I7, "", (IF($C7&lt;$I7, "F", "U")))</f>
        <v>F</v>
      </c>
      <c r="AA7" s="55">
        <f t="shared" ref="AA7:AA13" si="2">ABS($D7-$J7)</f>
        <v>587600</v>
      </c>
      <c r="AB7" t="str">
        <f>IF($D7=$J7, "", (IF($D7&lt;$J7, "F", "U")))</f>
        <v>F</v>
      </c>
    </row>
    <row r="8" spans="1:28" x14ac:dyDescent="0.35">
      <c r="A8" s="2" t="s">
        <v>108</v>
      </c>
      <c r="B8" s="55"/>
      <c r="C8" s="55"/>
      <c r="D8" s="55"/>
      <c r="E8" s="55"/>
      <c r="F8" s="55"/>
      <c r="G8" s="55"/>
      <c r="H8" s="55"/>
      <c r="I8" s="55"/>
      <c r="J8" s="55"/>
      <c r="K8" s="55"/>
      <c r="M8" s="55"/>
      <c r="O8" s="55"/>
      <c r="Q8" s="55"/>
      <c r="S8" s="55"/>
      <c r="U8" s="55"/>
      <c r="W8" s="55"/>
      <c r="Y8" s="55"/>
      <c r="AA8" s="55"/>
    </row>
    <row r="9" spans="1:28" x14ac:dyDescent="0.35">
      <c r="A9" s="2" t="s">
        <v>11</v>
      </c>
      <c r="B9" s="54">
        <f>BudgetInputs!C4*BudgetInputs!C17</f>
        <v>15008500</v>
      </c>
      <c r="C9" s="54">
        <f>BudgetInputs!D4*BudgetInputs!D17</f>
        <v>15348700</v>
      </c>
      <c r="D9" s="54">
        <f>B9+C9</f>
        <v>30357200</v>
      </c>
      <c r="E9" s="54">
        <f>BudgetInputs!F4*BudgetInputs!F17</f>
        <v>15985588.235294119</v>
      </c>
      <c r="F9" s="54">
        <f>BudgetInputs!G4*BudgetInputs!G17</f>
        <v>11979913.916786227</v>
      </c>
      <c r="G9" s="54">
        <f>E9+F9</f>
        <v>27965502.152080346</v>
      </c>
      <c r="H9" s="54">
        <f>BudgetInputs!I4*BudgetInputs!I17</f>
        <v>15097500</v>
      </c>
      <c r="I9" s="54">
        <f>BudgetInputs!J4*BudgetInputs!J17</f>
        <v>16700000</v>
      </c>
      <c r="J9" s="54">
        <f>H9+I9</f>
        <v>31797500</v>
      </c>
      <c r="K9" s="54">
        <f>ABS($B9-$E9)</f>
        <v>977088.23529411852</v>
      </c>
      <c r="L9" t="str">
        <f>IF($B9=$E9, "", (IF($B9&lt;$E9, "F", "U")))</f>
        <v>F</v>
      </c>
      <c r="M9" s="54">
        <f>ABS($C9-$F9)</f>
        <v>3368786.0832137726</v>
      </c>
      <c r="N9" t="str">
        <f>IF($C9=$F9, "", (IF($C9&lt;$F9, "F", "U")))</f>
        <v>U</v>
      </c>
      <c r="O9" s="54">
        <f t="shared" si="0"/>
        <v>2391697.8479196541</v>
      </c>
      <c r="P9" t="str">
        <f>IF($D9=$G9, "", (IF($D9&lt;$G9, "F", "U")))</f>
        <v>U</v>
      </c>
      <c r="Q9" s="54">
        <f>$E9-$H9</f>
        <v>888088.23529411852</v>
      </c>
      <c r="R9" t="str">
        <f>IF($E9=$H9, "", (IF($E9&lt;$H9, "F", "U")))</f>
        <v>U</v>
      </c>
      <c r="S9" s="54">
        <f>ABS($F9-$I9)</f>
        <v>4720086.0832137726</v>
      </c>
      <c r="T9" t="str">
        <f>IF($F9=$I9, "", (IF($F9&lt;$I9, "F", "U")))</f>
        <v>F</v>
      </c>
      <c r="U9" s="54">
        <f t="shared" si="1"/>
        <v>3831997.8479196541</v>
      </c>
      <c r="V9" t="str">
        <f>IF($G9=$J9, "", (IF($G9&lt;$J9, "F", "U")))</f>
        <v>F</v>
      </c>
      <c r="W9" s="54">
        <f>ABS($B9-$H9)</f>
        <v>89000</v>
      </c>
      <c r="X9" t="str">
        <f>IF($B9=$H9, "", (IF($B9&lt;$H9, "F", "U")))</f>
        <v>F</v>
      </c>
      <c r="Y9" s="54">
        <f>ABS($C9-$I9)</f>
        <v>1351300</v>
      </c>
      <c r="Z9" t="str">
        <f>IF($C9=$I9, "", (IF($C9&lt;$I9, "F", "U")))</f>
        <v>F</v>
      </c>
      <c r="AA9" s="54">
        <f t="shared" si="2"/>
        <v>1440300</v>
      </c>
      <c r="AB9" t="str">
        <f>IF($D9=$J9, "", (IF($D9&lt;$J9, "F", "U")))</f>
        <v>F</v>
      </c>
    </row>
    <row r="10" spans="1:28" x14ac:dyDescent="0.35">
      <c r="A10" s="2" t="s">
        <v>12</v>
      </c>
      <c r="B10" s="54">
        <f>SUM(B7:B9)</f>
        <v>43520500</v>
      </c>
      <c r="C10" s="54">
        <f>SUM(C7:C9)</f>
        <v>26688700</v>
      </c>
      <c r="D10" s="54">
        <f>SUM(D7:D9)</f>
        <v>70209200</v>
      </c>
      <c r="E10" s="54">
        <f t="shared" ref="E10:J10" si="3">SUM(E$7:E$9)</f>
        <v>41977588.235294119</v>
      </c>
      <c r="F10" s="54">
        <f t="shared" si="3"/>
        <v>23379913.916786227</v>
      </c>
      <c r="G10" s="54">
        <f t="shared" si="3"/>
        <v>65357502.152080342</v>
      </c>
      <c r="H10" s="54">
        <f t="shared" si="3"/>
        <v>39645500</v>
      </c>
      <c r="I10" s="54">
        <f t="shared" si="3"/>
        <v>32591600</v>
      </c>
      <c r="J10" s="54">
        <f t="shared" si="3"/>
        <v>72237100</v>
      </c>
      <c r="K10" s="54">
        <f>ABS($B10-$E10)</f>
        <v>1542911.7647058815</v>
      </c>
      <c r="L10" t="str">
        <f>IF($B10=$E10, "", (IF($B10&lt;$E10, "F", "U")))</f>
        <v>U</v>
      </c>
      <c r="M10" s="54">
        <f>ABS($C10-$F10)</f>
        <v>3308786.0832137726</v>
      </c>
      <c r="N10" t="str">
        <f>IF($C10=$F10, "", (IF($C10&lt;$F10, "F", "U")))</f>
        <v>U</v>
      </c>
      <c r="O10" s="54">
        <f t="shared" si="0"/>
        <v>4851697.8479196578</v>
      </c>
      <c r="P10" t="str">
        <f>IF($D10=$G10, "", (IF($D10&lt;$G10, "F", "U")))</f>
        <v>U</v>
      </c>
      <c r="Q10" s="54">
        <f>$E10-$H10</f>
        <v>2332088.2352941185</v>
      </c>
      <c r="R10" t="str">
        <f>IF($E10=$H10, "", (IF($E10&lt;$H10, "F", "U")))</f>
        <v>U</v>
      </c>
      <c r="S10" s="54">
        <f>ABS($F10-$I10)</f>
        <v>9211686.0832137726</v>
      </c>
      <c r="T10" t="str">
        <f>IF($F10=$I10, "", (IF($F10&lt;$I10, "F", "U")))</f>
        <v>F</v>
      </c>
      <c r="U10" s="54">
        <f t="shared" si="1"/>
        <v>6879597.8479196578</v>
      </c>
      <c r="V10" t="str">
        <f>IF($G10=$J10, "", (IF($G10&lt;$J10, "F", "U")))</f>
        <v>F</v>
      </c>
      <c r="W10" s="54">
        <f>ABS($B10-$H10)</f>
        <v>3875000</v>
      </c>
      <c r="X10" t="str">
        <f>IF($B10=$H10, "", (IF($B10&lt;$H10, "F", "U")))</f>
        <v>U</v>
      </c>
      <c r="Y10" s="54">
        <f>ABS($C10-$I10)</f>
        <v>5902900</v>
      </c>
      <c r="Z10" t="str">
        <f>IF($C10=$I10, "", (IF($C10&lt;$I10, "F", "U")))</f>
        <v>F</v>
      </c>
      <c r="AA10" s="54">
        <f t="shared" si="2"/>
        <v>2027900</v>
      </c>
      <c r="AB10" t="str">
        <f>IF($D10=$J10, "", (IF($D10&lt;$J10, "F", "U")))</f>
        <v>F</v>
      </c>
    </row>
    <row r="11" spans="1:28" x14ac:dyDescent="0.35">
      <c r="A11" s="2" t="s">
        <v>13</v>
      </c>
      <c r="B11" s="56">
        <f t="shared" ref="B11:J11" si="4">B$5-B$10</f>
        <v>248799500</v>
      </c>
      <c r="C11" s="56">
        <f t="shared" si="4"/>
        <v>229311300</v>
      </c>
      <c r="D11" s="56">
        <f t="shared" si="4"/>
        <v>478110800</v>
      </c>
      <c r="E11" s="56">
        <f t="shared" si="4"/>
        <v>260062411.7647059</v>
      </c>
      <c r="F11" s="56">
        <f t="shared" si="4"/>
        <v>236620086.08321378</v>
      </c>
      <c r="G11" s="56">
        <f t="shared" si="4"/>
        <v>496682497.84791964</v>
      </c>
      <c r="H11" s="56">
        <f t="shared" si="4"/>
        <v>245614500</v>
      </c>
      <c r="I11" s="56">
        <f t="shared" si="4"/>
        <v>329848400</v>
      </c>
      <c r="J11" s="56">
        <f t="shared" si="4"/>
        <v>575462900</v>
      </c>
      <c r="K11" s="56">
        <f>ABS($B11-$E11)</f>
        <v>11262911.764705896</v>
      </c>
      <c r="L11" s="6" t="str">
        <f>IF($B11=$E11, "", (IF($B11&gt;$E11, "F", "U")))</f>
        <v>U</v>
      </c>
      <c r="M11" s="56">
        <f>ABS($C11-$F11)</f>
        <v>7308786.0832137764</v>
      </c>
      <c r="N11" s="6" t="str">
        <f>IF($C11=$F11, "", (IF($C11&gt;$F11, "F", "U")))</f>
        <v>U</v>
      </c>
      <c r="O11" s="56">
        <f t="shared" si="0"/>
        <v>18571697.847919643</v>
      </c>
      <c r="P11" s="6" t="str">
        <f>IF($D11=$G11, "", (IF($D11&gt;$G11, "F", "U")))</f>
        <v>U</v>
      </c>
      <c r="Q11" s="56">
        <f>$E11-$H11</f>
        <v>14447911.764705896</v>
      </c>
      <c r="R11" s="6" t="str">
        <f>IF($E11=$H11, "", (IF($E11&gt;$H11, "F", "U")))</f>
        <v>F</v>
      </c>
      <c r="S11" s="56">
        <f>ABS($F11-$I11)</f>
        <v>93228313.916786224</v>
      </c>
      <c r="T11" s="6" t="str">
        <f>IF($F11=$I11, "", (IF($F11&gt;$I11, "F", "U")))</f>
        <v>U</v>
      </c>
      <c r="U11" s="56">
        <f t="shared" si="1"/>
        <v>78780402.152080357</v>
      </c>
      <c r="V11" s="6" t="str">
        <f>IF($G11=$J11, "", (IF($G11&gt;$J11, "F", "U")))</f>
        <v>U</v>
      </c>
      <c r="W11" s="56">
        <f>ABS($B11-$H11)</f>
        <v>3185000</v>
      </c>
      <c r="X11" s="6" t="str">
        <f>IF($B11=$H11, "", (IF($B11&gt;$H11, "F", "U")))</f>
        <v>F</v>
      </c>
      <c r="Y11" s="56">
        <f>ABS($C11-$I11)</f>
        <v>100537100</v>
      </c>
      <c r="Z11" s="6" t="str">
        <f>IF($C11=$I11, "", (IF($C11&gt;$I11, "F", "U")))</f>
        <v>U</v>
      </c>
      <c r="AA11" s="56">
        <f t="shared" si="2"/>
        <v>97352100</v>
      </c>
      <c r="AB11" t="str">
        <f>IF($D11=$J11, "", (IF($D11&gt;$J11, "F", "U")))</f>
        <v>U</v>
      </c>
    </row>
    <row r="12" spans="1:28" x14ac:dyDescent="0.35">
      <c r="A12" s="2" t="s">
        <v>14</v>
      </c>
      <c r="B12" s="56"/>
      <c r="C12" s="56"/>
      <c r="D12" s="54">
        <f>BudgetInputs!E19</f>
        <v>78000000</v>
      </c>
      <c r="E12" s="56"/>
      <c r="F12" s="56"/>
      <c r="G12" s="54">
        <f>BudgetInputs!H19</f>
        <v>69000000</v>
      </c>
      <c r="H12" s="56"/>
      <c r="I12" s="56"/>
      <c r="J12" s="54">
        <f>BudgetInputs!K19</f>
        <v>69000000</v>
      </c>
      <c r="K12" s="8"/>
      <c r="M12" s="8"/>
      <c r="O12" s="54">
        <f t="shared" si="0"/>
        <v>9000000</v>
      </c>
      <c r="P12" t="str">
        <f>IF($D12=$G12, "", (IF($D12&lt;$G12, "F", "U")))</f>
        <v>U</v>
      </c>
      <c r="Q12" s="8"/>
      <c r="S12" s="8"/>
      <c r="U12" s="54">
        <f t="shared" si="1"/>
        <v>0</v>
      </c>
      <c r="V12" t="str">
        <f>IF($G12=$J12, "", (IF($G12&lt;$J12, "F", "U")))</f>
        <v/>
      </c>
      <c r="W12" s="8"/>
      <c r="Y12" s="8"/>
      <c r="AA12" s="54">
        <f t="shared" si="2"/>
        <v>9000000</v>
      </c>
      <c r="AB12" t="str">
        <f>IF($D12=$J12, "", (IF($D12&lt;$J12, "F", "U")))</f>
        <v>U</v>
      </c>
    </row>
    <row r="13" spans="1:28" ht="15" thickBot="1" x14ac:dyDescent="0.4">
      <c r="A13" s="2" t="s">
        <v>15</v>
      </c>
      <c r="B13" s="56"/>
      <c r="C13" s="56"/>
      <c r="D13" s="58">
        <f>D11-D12</f>
        <v>400110800</v>
      </c>
      <c r="E13" s="56"/>
      <c r="F13" s="56"/>
      <c r="G13" s="58">
        <f>G11-G12</f>
        <v>427682497.84791964</v>
      </c>
      <c r="H13" s="56"/>
      <c r="I13" s="56"/>
      <c r="J13" s="58">
        <f>J11-J12</f>
        <v>506462900</v>
      </c>
      <c r="K13" s="8"/>
      <c r="M13" s="8"/>
      <c r="O13" s="58">
        <f t="shared" si="0"/>
        <v>27571697.847919643</v>
      </c>
      <c r="P13" t="str">
        <f>IF($D13=$G13, "", (IF($D13&gt;$G13, "F", "U")))</f>
        <v>U</v>
      </c>
      <c r="Q13" s="8"/>
      <c r="S13" s="8"/>
      <c r="U13" s="58">
        <f t="shared" si="1"/>
        <v>78780402.152080357</v>
      </c>
      <c r="V13" t="str">
        <f>IF($G13=$J13, "", (IF($G13&gt;$J13, "F", "U")))</f>
        <v>U</v>
      </c>
      <c r="W13" s="8"/>
      <c r="Y13" s="8"/>
      <c r="AA13" s="58">
        <f t="shared" si="2"/>
        <v>106352100</v>
      </c>
      <c r="AB13" t="str">
        <f>IF($D13=$J13, "", (IF($D13&gt;$J13, "F", "U")))</f>
        <v>U</v>
      </c>
    </row>
    <row r="14" spans="1:28" ht="15" thickTop="1" x14ac:dyDescent="0.35">
      <c r="O14" s="8"/>
    </row>
    <row r="15" spans="1:28" x14ac:dyDescent="0.35">
      <c r="A15" s="11" t="s">
        <v>129</v>
      </c>
    </row>
  </sheetData>
  <mergeCells count="6">
    <mergeCell ref="W1:AA1"/>
    <mergeCell ref="B1:D1"/>
    <mergeCell ref="E1:G1"/>
    <mergeCell ref="H1:J1"/>
    <mergeCell ref="K1:O1"/>
    <mergeCell ref="Q1:U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"/>
  <sheetViews>
    <sheetView workbookViewId="0"/>
  </sheetViews>
  <sheetFormatPr defaultRowHeight="14.5" x14ac:dyDescent="0.35"/>
  <cols>
    <col min="1" max="1" width="20.08984375" customWidth="1"/>
    <col min="3" max="3" width="11.81640625" bestFit="1" customWidth="1"/>
    <col min="5" max="5" width="11.81640625" bestFit="1" customWidth="1"/>
    <col min="7" max="7" width="11.453125" customWidth="1"/>
    <col min="9" max="9" width="18.36328125" bestFit="1" customWidth="1"/>
  </cols>
  <sheetData>
    <row r="1" spans="1:10" ht="29" x14ac:dyDescent="0.35">
      <c r="A1" s="25" t="str">
        <f>Budget!A1</f>
        <v>Panama Smelting Division</v>
      </c>
      <c r="B1" s="33" t="s">
        <v>39</v>
      </c>
      <c r="C1" s="25"/>
      <c r="D1" s="30" t="s">
        <v>23</v>
      </c>
      <c r="E1" s="25"/>
      <c r="F1" s="28" t="s">
        <v>30</v>
      </c>
      <c r="G1" s="25"/>
      <c r="H1" s="34" t="s">
        <v>0</v>
      </c>
      <c r="I1" s="25" t="s">
        <v>113</v>
      </c>
    </row>
    <row r="2" spans="1:10" x14ac:dyDescent="0.35">
      <c r="A2" t="str">
        <f>BudgetInputs!B3&amp;" DM Price Variance Analysis"</f>
        <v>2014 DM Price Variance Analysis</v>
      </c>
    </row>
    <row r="3" spans="1:10" x14ac:dyDescent="0.35">
      <c r="A3" s="2" t="s">
        <v>109</v>
      </c>
      <c r="C3" s="19"/>
      <c r="D3" t="s">
        <v>115</v>
      </c>
      <c r="E3" s="19"/>
      <c r="F3" t="s">
        <v>115</v>
      </c>
      <c r="G3" s="20"/>
      <c r="H3" t="s">
        <v>114</v>
      </c>
      <c r="I3" s="19">
        <f>ABS(($C3-$E3)*$G3)</f>
        <v>0</v>
      </c>
      <c r="J3" t="str">
        <f>IF($C3=$E3,"",(IF($C3&lt;$E3, "F", "U")))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6"/>
  <sheetViews>
    <sheetView workbookViewId="0"/>
  </sheetViews>
  <sheetFormatPr defaultRowHeight="14.5" x14ac:dyDescent="0.35"/>
  <cols>
    <col min="1" max="1" width="39.36328125" customWidth="1"/>
    <col min="2" max="2" width="2.6328125" customWidth="1"/>
    <col min="3" max="3" width="11.08984375" customWidth="1"/>
    <col min="4" max="4" width="7.08984375" bestFit="1" customWidth="1"/>
    <col min="5" max="5" width="18.54296875" customWidth="1"/>
    <col min="6" max="6" width="7.08984375" bestFit="1" customWidth="1"/>
    <col min="7" max="7" width="11.453125" customWidth="1"/>
    <col min="8" max="8" width="10.54296875" bestFit="1" customWidth="1"/>
    <col min="9" max="9" width="5.08984375" customWidth="1"/>
    <col min="10" max="10" width="11.81640625" bestFit="1" customWidth="1"/>
  </cols>
  <sheetData>
    <row r="1" spans="1:11" ht="47.25" customHeight="1" x14ac:dyDescent="0.35">
      <c r="A1" s="25" t="str">
        <f>Budget!A1</f>
        <v>Panama Smelting Division</v>
      </c>
      <c r="B1" s="33" t="s">
        <v>39</v>
      </c>
      <c r="C1" s="25"/>
      <c r="D1" s="30" t="s">
        <v>23</v>
      </c>
      <c r="E1" s="25" t="s">
        <v>61</v>
      </c>
      <c r="F1" s="28" t="s">
        <v>30</v>
      </c>
      <c r="G1" s="25"/>
      <c r="H1" s="25"/>
      <c r="I1" s="34" t="s">
        <v>0</v>
      </c>
      <c r="J1" s="25" t="s">
        <v>62</v>
      </c>
    </row>
    <row r="2" spans="1:11" x14ac:dyDescent="0.35">
      <c r="A2" t="str">
        <f>BudgetInputs!B3&amp;" DM Efficiency Variance Analysis"</f>
        <v>2014 DM Efficiency Variance Analysis</v>
      </c>
    </row>
    <row r="3" spans="1:11" x14ac:dyDescent="0.35">
      <c r="A3" s="2" t="s">
        <v>109</v>
      </c>
      <c r="C3" s="20"/>
      <c r="D3" t="s">
        <v>114</v>
      </c>
      <c r="E3" s="20">
        <f>BudgetInputs!H8</f>
        <v>0</v>
      </c>
      <c r="F3" t="s">
        <v>114</v>
      </c>
      <c r="G3" s="19"/>
      <c r="H3" s="9" t="s">
        <v>116</v>
      </c>
      <c r="J3" s="19">
        <f>ABS(($C3-$E3)*$G3)</f>
        <v>0</v>
      </c>
      <c r="K3" t="str">
        <f>IF($C3=$E3,"",(IF($C3&lt;$E3, "F", "U")))</f>
        <v/>
      </c>
    </row>
    <row r="4" spans="1:11" x14ac:dyDescent="0.35">
      <c r="A4" s="2" t="s">
        <v>121</v>
      </c>
      <c r="J4" s="42">
        <f>DMPriceVariance!I3</f>
        <v>0</v>
      </c>
      <c r="K4" t="str">
        <f>DLPriceVariance!J5</f>
        <v>U</v>
      </c>
    </row>
    <row r="5" spans="1:11" ht="15" thickBot="1" x14ac:dyDescent="0.4">
      <c r="A5" s="2" t="s">
        <v>122</v>
      </c>
      <c r="J5" s="43">
        <f>ABS((($C3-$E3)*$G3)+((DMPriceVariance!$C3-DMPriceVariance!$E3)*DMPriceVariance!$G3))</f>
        <v>0</v>
      </c>
      <c r="K5">
        <f>Budget!P8</f>
        <v>0</v>
      </c>
    </row>
    <row r="6" spans="1:11" ht="15" thickTop="1" x14ac:dyDescent="0.3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"/>
  <sheetViews>
    <sheetView workbookViewId="0"/>
  </sheetViews>
  <sheetFormatPr defaultRowHeight="14.5" x14ac:dyDescent="0.35"/>
  <cols>
    <col min="1" max="1" width="32.36328125" bestFit="1" customWidth="1"/>
    <col min="2" max="2" width="0.54296875" customWidth="1"/>
    <col min="3" max="3" width="6.54296875" bestFit="1" customWidth="1"/>
    <col min="4" max="4" width="9.6328125" customWidth="1"/>
    <col min="5" max="5" width="1.54296875" customWidth="1"/>
    <col min="6" max="6" width="10" bestFit="1" customWidth="1"/>
    <col min="7" max="7" width="7.54296875" bestFit="1" customWidth="1"/>
    <col min="8" max="8" width="1.08984375" customWidth="1"/>
    <col min="9" max="9" width="9.08984375" bestFit="1" customWidth="1"/>
    <col min="10" max="10" width="9.6328125" customWidth="1"/>
    <col min="11" max="11" width="1.08984375" customWidth="1"/>
    <col min="12" max="13" width="11.08984375" bestFit="1" customWidth="1"/>
    <col min="14" max="14" width="1.08984375" customWidth="1"/>
    <col min="15" max="16" width="7.36328125" bestFit="1" customWidth="1"/>
    <col min="17" max="17" width="1.08984375" customWidth="1"/>
    <col min="18" max="19" width="10.6328125" bestFit="1" customWidth="1"/>
    <col min="20" max="20" width="9.6328125" customWidth="1"/>
  </cols>
  <sheetData>
    <row r="1" spans="1:19" x14ac:dyDescent="0.35">
      <c r="A1" s="25" t="str">
        <f>Budget!A1</f>
        <v>Panama Smelting Division</v>
      </c>
      <c r="C1" s="69" t="s">
        <v>47</v>
      </c>
      <c r="D1" s="69"/>
      <c r="F1" s="69" t="s">
        <v>89</v>
      </c>
      <c r="G1" s="69"/>
      <c r="I1" s="70" t="s">
        <v>68</v>
      </c>
      <c r="J1" s="70"/>
      <c r="L1" s="70" t="s">
        <v>50</v>
      </c>
      <c r="M1" s="70"/>
      <c r="O1" s="70" t="s">
        <v>70</v>
      </c>
      <c r="P1" s="70"/>
      <c r="R1" s="70" t="s">
        <v>90</v>
      </c>
      <c r="S1" s="70"/>
    </row>
    <row r="2" spans="1:19" x14ac:dyDescent="0.35">
      <c r="A2" t="str">
        <f>"Worksheet for "&amp;BudgetInputs!B3&amp;" VOH Variances"</f>
        <v>Worksheet for 2014 VOH Variances</v>
      </c>
      <c r="C2" s="2" t="s">
        <v>48</v>
      </c>
      <c r="D2" s="2" t="s">
        <v>54</v>
      </c>
      <c r="F2" s="2" t="s">
        <v>46</v>
      </c>
      <c r="G2" s="2" t="s">
        <v>53</v>
      </c>
      <c r="I2" s="2" t="s">
        <v>48</v>
      </c>
      <c r="J2" s="2" t="s">
        <v>54</v>
      </c>
      <c r="L2" s="2" t="s">
        <v>48</v>
      </c>
      <c r="M2" s="2" t="s">
        <v>54</v>
      </c>
      <c r="O2" s="2" t="s">
        <v>44</v>
      </c>
      <c r="P2" s="2" t="s">
        <v>53</v>
      </c>
      <c r="R2" s="2" t="s">
        <v>44</v>
      </c>
      <c r="S2" s="2" t="s">
        <v>53</v>
      </c>
    </row>
    <row r="3" spans="1:19" x14ac:dyDescent="0.35">
      <c r="A3" s="2" t="s">
        <v>3</v>
      </c>
      <c r="C3" s="20">
        <f>BudgetInputs!C4</f>
        <v>36000</v>
      </c>
      <c r="D3" s="20">
        <f>BudgetInputs!C4</f>
        <v>36000</v>
      </c>
      <c r="F3" s="40">
        <f>DLVarianceCalcs!C3</f>
        <v>36</v>
      </c>
      <c r="G3" s="41">
        <f>DLVarianceCalcs!D3</f>
        <v>38</v>
      </c>
      <c r="I3" s="20">
        <f>F3*C3</f>
        <v>1296000</v>
      </c>
      <c r="J3" s="20">
        <f>G3*D3</f>
        <v>1368000</v>
      </c>
      <c r="L3" s="38">
        <f>BudgetInputs!C13</f>
        <v>15008500</v>
      </c>
      <c r="M3" s="38">
        <f>BudgetInputs!F13</f>
        <v>15985588.235294119</v>
      </c>
      <c r="O3" s="39">
        <f>L3/I3</f>
        <v>11.580632716049383</v>
      </c>
      <c r="P3" s="37">
        <f>M3/J3</f>
        <v>11.685371517027864</v>
      </c>
      <c r="R3" s="38">
        <f>$L3/$C3</f>
        <v>416.90277777777777</v>
      </c>
      <c r="S3" s="19">
        <f>$M3/$D3</f>
        <v>444.04411764705884</v>
      </c>
    </row>
    <row r="4" spans="1:19" x14ac:dyDescent="0.35">
      <c r="A4" s="2" t="s">
        <v>4</v>
      </c>
      <c r="C4" s="18">
        <f>BudgetInputs!D4</f>
        <v>5</v>
      </c>
      <c r="D4" s="18">
        <f>BudgetInputs!D4</f>
        <v>5</v>
      </c>
      <c r="F4" s="41">
        <f>DLVarianceCalcs!C4</f>
        <v>126000</v>
      </c>
      <c r="G4" s="20">
        <f>DLVarianceCalcs!D4</f>
        <v>120000</v>
      </c>
      <c r="I4" s="20">
        <f>F4*C4</f>
        <v>630000</v>
      </c>
      <c r="J4" s="20">
        <f>G4*D4</f>
        <v>600000</v>
      </c>
      <c r="L4" s="38">
        <f>BudgetInputs!D13</f>
        <v>15348700</v>
      </c>
      <c r="M4" s="38">
        <f>BudgetInputs!G13</f>
        <v>11979913.916786227</v>
      </c>
      <c r="O4" s="39">
        <f>L4/I4</f>
        <v>24.363015873015872</v>
      </c>
      <c r="P4" s="37">
        <f>M4/J4</f>
        <v>19.966523194643713</v>
      </c>
      <c r="R4" s="38">
        <f>$L4/$C4</f>
        <v>3069740</v>
      </c>
      <c r="S4" s="19">
        <f>$M4/$D4</f>
        <v>2395982.7833572454</v>
      </c>
    </row>
    <row r="5" spans="1:19" x14ac:dyDescent="0.35">
      <c r="A5" s="2" t="s">
        <v>91</v>
      </c>
      <c r="L5" s="38">
        <f>Budget!D9</f>
        <v>30357200</v>
      </c>
      <c r="M5" s="38">
        <f>Budget!G9</f>
        <v>27965502.152080346</v>
      </c>
    </row>
    <row r="7" spans="1:19" ht="15" thickBot="1" x14ac:dyDescent="0.4">
      <c r="A7" s="2" t="s">
        <v>45</v>
      </c>
      <c r="I7" s="2"/>
      <c r="L7" s="2"/>
    </row>
    <row r="8" spans="1:19" ht="15.5" thickTop="1" thickBot="1" x14ac:dyDescent="0.4">
      <c r="A8" s="2" t="s">
        <v>3</v>
      </c>
      <c r="R8" s="36">
        <f>BudgetInputs!C17</f>
        <v>416.90277777777777</v>
      </c>
      <c r="S8" s="36">
        <f>BudgetInputs!I17</f>
        <v>444.04411764705884</v>
      </c>
    </row>
    <row r="9" spans="1:19" ht="15.5" thickTop="1" thickBot="1" x14ac:dyDescent="0.4">
      <c r="A9" s="2" t="s">
        <v>4</v>
      </c>
      <c r="R9" s="36">
        <f>BudgetInputs!D17</f>
        <v>3069740</v>
      </c>
      <c r="S9" s="36">
        <f>BudgetInputs!J17</f>
        <v>2395982.7833572454</v>
      </c>
    </row>
    <row r="10" spans="1:19" ht="15" thickTop="1" x14ac:dyDescent="0.35">
      <c r="A10" s="2" t="s">
        <v>69</v>
      </c>
    </row>
  </sheetData>
  <mergeCells count="6">
    <mergeCell ref="F1:G1"/>
    <mergeCell ref="R1:S1"/>
    <mergeCell ref="O1:P1"/>
    <mergeCell ref="C1:D1"/>
    <mergeCell ref="I1:J1"/>
    <mergeCell ref="L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"/>
  <sheetViews>
    <sheetView workbookViewId="0"/>
  </sheetViews>
  <sheetFormatPr defaultRowHeight="14.5" x14ac:dyDescent="0.35"/>
  <cols>
    <col min="1" max="1" width="21.36328125" customWidth="1"/>
    <col min="2" max="2" width="2.6328125" bestFit="1" customWidth="1"/>
    <col min="3" max="3" width="17" customWidth="1"/>
    <col min="4" max="4" width="8.54296875" bestFit="1" customWidth="1"/>
    <col min="5" max="5" width="15.36328125" customWidth="1"/>
    <col min="6" max="6" width="8.54296875" bestFit="1" customWidth="1"/>
    <col min="7" max="7" width="16.6328125" bestFit="1" customWidth="1"/>
    <col min="8" max="8" width="5.54296875" bestFit="1" customWidth="1"/>
    <col min="9" max="9" width="11" bestFit="1" customWidth="1"/>
  </cols>
  <sheetData>
    <row r="1" spans="1:10" ht="56" customHeight="1" x14ac:dyDescent="0.35">
      <c r="A1" s="25" t="str">
        <f>Budget!A1</f>
        <v>Panama Smelting Division</v>
      </c>
      <c r="B1" s="33" t="s">
        <v>39</v>
      </c>
      <c r="C1" s="25" t="s">
        <v>92</v>
      </c>
      <c r="D1" s="30" t="s">
        <v>23</v>
      </c>
      <c r="E1" s="25" t="s">
        <v>93</v>
      </c>
      <c r="F1" s="28" t="s">
        <v>30</v>
      </c>
      <c r="G1" s="25" t="s">
        <v>73</v>
      </c>
      <c r="H1" s="34" t="s">
        <v>0</v>
      </c>
      <c r="I1" s="25" t="s">
        <v>71</v>
      </c>
    </row>
    <row r="2" spans="1:10" x14ac:dyDescent="0.35">
      <c r="A2" s="59" t="str">
        <f>BudgetInputs!B3&amp;" VOH Spending Variance Analysis"</f>
        <v>2014 VOH Spending Variance Analysis</v>
      </c>
    </row>
    <row r="3" spans="1:10" x14ac:dyDescent="0.35">
      <c r="A3" s="2" t="s">
        <v>66</v>
      </c>
      <c r="C3" s="37">
        <f>VOHVarianceCalcs!O3</f>
        <v>11.580632716049383</v>
      </c>
      <c r="D3" t="s">
        <v>64</v>
      </c>
      <c r="E3" s="37">
        <f>VOHVarianceCalcs!P3</f>
        <v>11.685371517027864</v>
      </c>
      <c r="F3" t="s">
        <v>64</v>
      </c>
      <c r="G3" s="20">
        <f>VOHVarianceCalcs!I3</f>
        <v>1296000</v>
      </c>
      <c r="H3" t="s">
        <v>63</v>
      </c>
      <c r="I3" s="19">
        <f>ABS(($C3-$E3)*$G3)</f>
        <v>135741.4860681115</v>
      </c>
      <c r="J3" t="str">
        <f>IF($C3=$E3,"",(IF($C3&lt;$E3, "F", "U")))</f>
        <v>F</v>
      </c>
    </row>
    <row r="4" spans="1:10" x14ac:dyDescent="0.35">
      <c r="A4" s="2" t="s">
        <v>67</v>
      </c>
      <c r="C4" s="37">
        <f>VOHVarianceCalcs!O4</f>
        <v>24.363015873015872</v>
      </c>
      <c r="D4" t="s">
        <v>64</v>
      </c>
      <c r="E4" s="37">
        <f>VOHVarianceCalcs!P4</f>
        <v>19.966523194643713</v>
      </c>
      <c r="F4" t="s">
        <v>64</v>
      </c>
      <c r="G4" s="20">
        <f>VOHVarianceCalcs!I4</f>
        <v>630000</v>
      </c>
      <c r="H4" t="s">
        <v>63</v>
      </c>
      <c r="I4" s="42">
        <f>ABS(($C4-$E4)*$G4)</f>
        <v>2769790.3873744602</v>
      </c>
      <c r="J4" t="str">
        <f>IF($C4=$E4,"",(IF($C4&lt;$E4, "F", "U")))</f>
        <v>U</v>
      </c>
    </row>
    <row r="5" spans="1:10" ht="15" thickBot="1" x14ac:dyDescent="0.4">
      <c r="A5" s="2" t="s">
        <v>72</v>
      </c>
      <c r="I5" s="43">
        <f>ABS((($C3-$E3)*$G3)+(($C4-$E4)*$G4))</f>
        <v>2634048.9013063489</v>
      </c>
      <c r="J5" t="str">
        <f>IF(I5=0, "", IF(OR(AND(I3&gt;I4, J3="F"),AND(I4&gt;I3, J4="F")), "F","U"))</f>
        <v>U</v>
      </c>
    </row>
    <row r="6" spans="1:10" ht="15" thickTop="1" x14ac:dyDescent="0.35"/>
    <row r="7" spans="1:10" x14ac:dyDescent="0.35">
      <c r="A7" s="2"/>
    </row>
    <row r="9" spans="1:10" x14ac:dyDescent="0.35">
      <c r="A9" s="2"/>
    </row>
    <row r="10" spans="1:10" x14ac:dyDescent="0.35">
      <c r="A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workbookViewId="0"/>
  </sheetViews>
  <sheetFormatPr defaultRowHeight="14.5" x14ac:dyDescent="0.35"/>
  <cols>
    <col min="1" max="1" width="19.6328125" customWidth="1"/>
    <col min="2" max="2" width="2.08984375" customWidth="1"/>
    <col min="3" max="3" width="14.08984375" customWidth="1"/>
    <col min="4" max="4" width="5.54296875" customWidth="1"/>
    <col min="5" max="5" width="16.36328125" customWidth="1"/>
    <col min="6" max="6" width="5.453125" customWidth="1"/>
    <col min="7" max="7" width="20" customWidth="1"/>
    <col min="8" max="8" width="7.36328125" customWidth="1"/>
    <col min="9" max="9" width="2" bestFit="1" customWidth="1"/>
    <col min="10" max="10" width="11.453125" bestFit="1" customWidth="1"/>
  </cols>
  <sheetData>
    <row r="1" spans="1:11" ht="48.65" customHeight="1" x14ac:dyDescent="0.35">
      <c r="A1" s="25" t="str">
        <f>Budget!A1</f>
        <v>Panama Smelting Division</v>
      </c>
      <c r="B1" s="33" t="s">
        <v>39</v>
      </c>
      <c r="C1" s="25" t="s">
        <v>73</v>
      </c>
      <c r="D1" s="30" t="s">
        <v>23</v>
      </c>
      <c r="E1" s="25" t="s">
        <v>74</v>
      </c>
      <c r="F1" s="28" t="s">
        <v>30</v>
      </c>
      <c r="G1" s="25" t="s">
        <v>75</v>
      </c>
      <c r="H1" s="25"/>
      <c r="I1" s="34" t="s">
        <v>0</v>
      </c>
      <c r="J1" s="25" t="s">
        <v>62</v>
      </c>
    </row>
    <row r="2" spans="1:11" x14ac:dyDescent="0.35">
      <c r="A2" t="str">
        <f>BudgetInputs!B3&amp;" VOH Efficiency Variance Analysis"</f>
        <v>2014 VOH Efficiency Variance Analysis</v>
      </c>
    </row>
    <row r="3" spans="1:11" x14ac:dyDescent="0.35">
      <c r="A3" s="2" t="s">
        <v>66</v>
      </c>
      <c r="C3" s="20">
        <f>VOHVarianceCalcs!I3</f>
        <v>1296000</v>
      </c>
      <c r="D3" t="s">
        <v>63</v>
      </c>
      <c r="E3" s="20">
        <f>VOHVarianceCalcs!J3</f>
        <v>1368000</v>
      </c>
      <c r="F3" t="s">
        <v>63</v>
      </c>
      <c r="G3" s="37">
        <f>VOHVarianceCalcs!P3</f>
        <v>11.685371517027864</v>
      </c>
      <c r="H3" s="9" t="s">
        <v>64</v>
      </c>
      <c r="J3" s="19">
        <f>ABS(($C3-$E3)*$G3)</f>
        <v>841346.74922600621</v>
      </c>
      <c r="K3" t="str">
        <f>IF($C3=$E3,"",(IF($C3&lt;$E3, "F", "U")))</f>
        <v>F</v>
      </c>
    </row>
    <row r="4" spans="1:11" x14ac:dyDescent="0.35">
      <c r="A4" s="2" t="s">
        <v>67</v>
      </c>
      <c r="C4" s="20">
        <f>VOHVarianceCalcs!I4</f>
        <v>630000</v>
      </c>
      <c r="D4" t="s">
        <v>63</v>
      </c>
      <c r="E4" s="20">
        <f>VOHVarianceCalcs!J4</f>
        <v>600000</v>
      </c>
      <c r="F4" t="s">
        <v>63</v>
      </c>
      <c r="G4" s="37">
        <f>VOHVarianceCalcs!P4</f>
        <v>19.966523194643713</v>
      </c>
      <c r="H4" s="9" t="s">
        <v>64</v>
      </c>
      <c r="J4" s="42">
        <f>ABS(($C4-$E4)*$G4)</f>
        <v>598995.69583931135</v>
      </c>
      <c r="K4" t="str">
        <f>IF($C4=$E4,"",(IF($C4&lt;$E4, "F", "U")))</f>
        <v>U</v>
      </c>
    </row>
    <row r="5" spans="1:11" ht="15" thickBot="1" x14ac:dyDescent="0.4">
      <c r="A5" s="2" t="s">
        <v>76</v>
      </c>
      <c r="J5" s="43">
        <f>ABS((($C3-$E3)*$G3)+(($C4-$E4)*$G4))</f>
        <v>242351.05338669487</v>
      </c>
      <c r="K5" t="str">
        <f>IF(J5=0, "", IF(OR(AND(J3&gt;J4, K3="F"),AND(J4&gt;J3, K4="F")), "F","U"))</f>
        <v>F</v>
      </c>
    </row>
    <row r="6" spans="1:11" ht="15" thickTop="1" x14ac:dyDescent="0.35"/>
    <row r="7" spans="1:11" x14ac:dyDescent="0.35">
      <c r="A7" s="2" t="s">
        <v>72</v>
      </c>
      <c r="J7" s="42">
        <f>VOHSpendingVariance!I5</f>
        <v>2634048.9013063489</v>
      </c>
      <c r="K7" t="str">
        <f>VOHSpendingVariance!J5</f>
        <v>U</v>
      </c>
    </row>
    <row r="8" spans="1:11" ht="15" thickBot="1" x14ac:dyDescent="0.4">
      <c r="A8" s="2" t="s">
        <v>106</v>
      </c>
      <c r="J8" s="43">
        <f>ABS((($C3-$E3)*$G3)+(($C4-$E4)*$G4)+(((VOHSpendingVariance!$C3-VOHSpendingVariance!$E3)*VOHSpendingVariance!$G3)+((VOHSpendingVariance!$C4-VOHSpendingVariance!$E4)*VOHSpendingVariance!$G4)))</f>
        <v>2391697.8479196541</v>
      </c>
      <c r="K8" t="str">
        <f>Budget!P9</f>
        <v>U</v>
      </c>
    </row>
    <row r="9" spans="1:11" ht="15" thickTop="1" x14ac:dyDescent="0.35"/>
    <row r="11" spans="1:11" x14ac:dyDescent="0.35">
      <c r="A11" t="s">
        <v>65</v>
      </c>
      <c r="J11" s="22">
        <f>Budget!O9</f>
        <v>2391697.8479196541</v>
      </c>
      <c r="K11" s="22" t="str">
        <f>Budget!P9</f>
        <v>U</v>
      </c>
    </row>
    <row r="12" spans="1:11" x14ac:dyDescent="0.35">
      <c r="J12" s="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6"/>
  <sheetViews>
    <sheetView workbookViewId="0"/>
  </sheetViews>
  <sheetFormatPr defaultRowHeight="14.5" x14ac:dyDescent="0.35"/>
  <cols>
    <col min="1" max="1" width="11.08984375" bestFit="1" customWidth="1"/>
    <col min="2" max="2" width="18" bestFit="1" customWidth="1"/>
    <col min="3" max="3" width="14.81640625" customWidth="1"/>
    <col min="4" max="4" width="12.54296875" customWidth="1"/>
    <col min="5" max="5" width="14.36328125" bestFit="1" customWidth="1"/>
    <col min="6" max="6" width="12" bestFit="1" customWidth="1"/>
    <col min="7" max="7" width="12.36328125" bestFit="1" customWidth="1"/>
    <col min="8" max="8" width="15.6328125" bestFit="1" customWidth="1"/>
  </cols>
  <sheetData>
    <row r="1" spans="1:8" ht="43.5" x14ac:dyDescent="0.35">
      <c r="B1" s="25" t="str">
        <f>BudgetInputs!B3&amp;" Budgeted Revenue"</f>
        <v>2014 Budgeted Revenue</v>
      </c>
      <c r="C1" s="25" t="s">
        <v>101</v>
      </c>
      <c r="D1" s="25" t="s">
        <v>102</v>
      </c>
      <c r="E1" s="25" t="str">
        <f>BudgetInputs!B3&amp;" Actual Revenue"</f>
        <v>2014 Actual Revenue</v>
      </c>
      <c r="G1" s="2"/>
      <c r="H1" s="2"/>
    </row>
    <row r="2" spans="1:8" x14ac:dyDescent="0.35">
      <c r="A2" s="2" t="s">
        <v>97</v>
      </c>
      <c r="B2" s="9">
        <f>Budget!J5</f>
        <v>647700000</v>
      </c>
      <c r="C2" s="9">
        <f>Budget!U5</f>
        <v>85660000</v>
      </c>
      <c r="D2" s="9">
        <f>-Budget!O5</f>
        <v>-13720000</v>
      </c>
      <c r="E2" s="9">
        <f>D3</f>
        <v>719640000</v>
      </c>
      <c r="F2" s="9"/>
      <c r="G2" s="9"/>
      <c r="H2" s="9"/>
    </row>
    <row r="3" spans="1:8" x14ac:dyDescent="0.35">
      <c r="A3" s="2" t="s">
        <v>98</v>
      </c>
      <c r="B3" s="9">
        <v>0</v>
      </c>
      <c r="C3" s="9">
        <f>B$3+B$2+IF(C$2&gt;0,0,C$2)</f>
        <v>647700000</v>
      </c>
      <c r="D3" s="9">
        <f>C$3+C$2+IF(D$2&gt;0,0,D$2)</f>
        <v>719640000</v>
      </c>
      <c r="E3" s="9">
        <v>0</v>
      </c>
      <c r="F3" s="9"/>
      <c r="G3" s="9"/>
      <c r="H3" s="9"/>
    </row>
    <row r="4" spans="1:8" x14ac:dyDescent="0.35">
      <c r="A4" s="2" t="s">
        <v>103</v>
      </c>
      <c r="B4" s="9">
        <f>B2</f>
        <v>647700000</v>
      </c>
      <c r="C4" s="9">
        <v>0</v>
      </c>
      <c r="D4" s="9">
        <v>0</v>
      </c>
      <c r="E4" s="9">
        <f>D3</f>
        <v>719640000</v>
      </c>
    </row>
    <row r="5" spans="1:8" x14ac:dyDescent="0.35">
      <c r="A5" s="2" t="s">
        <v>99</v>
      </c>
      <c r="B5" s="9">
        <v>0</v>
      </c>
      <c r="C5" s="9">
        <f>MAX(C$2,0)</f>
        <v>85660000</v>
      </c>
      <c r="D5" s="9">
        <f>MAX(D$2,0)</f>
        <v>0</v>
      </c>
      <c r="E5" s="9">
        <v>0</v>
      </c>
    </row>
    <row r="6" spans="1:8" x14ac:dyDescent="0.35">
      <c r="A6" s="2" t="s">
        <v>100</v>
      </c>
      <c r="B6" s="9">
        <v>0</v>
      </c>
      <c r="C6" s="9">
        <f>ABS(MIN(C$2,0))</f>
        <v>0</v>
      </c>
      <c r="D6" s="9">
        <f>ABS(MIN(D$2,0))</f>
        <v>13720000</v>
      </c>
      <c r="E6" s="9">
        <v>0</v>
      </c>
      <c r="F6" s="9"/>
      <c r="G6" s="9"/>
      <c r="H6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tabSelected="1" workbookViewId="0">
      <selection activeCell="J21" sqref="J21"/>
    </sheetView>
  </sheetViews>
  <sheetFormatPr defaultRowHeight="14.5" x14ac:dyDescent="0.35"/>
  <cols>
    <col min="1" max="1" width="25.81640625" customWidth="1"/>
    <col min="2" max="2" width="10.36328125" customWidth="1"/>
    <col min="3" max="11" width="12.81640625" bestFit="1" customWidth="1"/>
  </cols>
  <sheetData>
    <row r="1" spans="1:11" x14ac:dyDescent="0.35">
      <c r="A1" s="2" t="str">
        <f>Budget!A1</f>
        <v>Panama Smelting Division</v>
      </c>
      <c r="B1" s="2"/>
    </row>
    <row r="2" spans="1:11" x14ac:dyDescent="0.35">
      <c r="A2" t="str">
        <f>B3&amp;" Budget Inputs"</f>
        <v>2014 Budget Inputs</v>
      </c>
      <c r="C2" s="70" t="s">
        <v>2</v>
      </c>
      <c r="D2" s="70"/>
      <c r="E2" s="70"/>
      <c r="F2" s="70" t="s">
        <v>6</v>
      </c>
      <c r="G2" s="70"/>
      <c r="H2" s="70"/>
      <c r="I2" s="70" t="s">
        <v>7</v>
      </c>
      <c r="J2" s="70"/>
      <c r="K2" s="70"/>
    </row>
    <row r="3" spans="1:11" x14ac:dyDescent="0.35">
      <c r="A3" s="2" t="s">
        <v>119</v>
      </c>
      <c r="B3" s="13">
        <v>2014</v>
      </c>
      <c r="C3" s="12" t="s">
        <v>3</v>
      </c>
      <c r="D3" s="12" t="s">
        <v>4</v>
      </c>
      <c r="E3" s="12" t="s">
        <v>5</v>
      </c>
      <c r="F3" s="12" t="s">
        <v>3</v>
      </c>
      <c r="G3" s="12" t="s">
        <v>4</v>
      </c>
      <c r="H3" s="12" t="s">
        <v>5</v>
      </c>
      <c r="I3" s="12" t="s">
        <v>3</v>
      </c>
      <c r="J3" s="12" t="s">
        <v>4</v>
      </c>
      <c r="K3" s="12" t="s">
        <v>5</v>
      </c>
    </row>
    <row r="4" spans="1:11" x14ac:dyDescent="0.35">
      <c r="A4" s="2" t="s">
        <v>8</v>
      </c>
      <c r="B4" s="2"/>
      <c r="C4" s="14">
        <v>36000</v>
      </c>
      <c r="D4" s="23">
        <v>5</v>
      </c>
      <c r="E4" s="20">
        <f>SUM(C4:D4)</f>
        <v>36005</v>
      </c>
      <c r="F4" s="20">
        <f>C4</f>
        <v>36000</v>
      </c>
      <c r="G4" s="64">
        <f>D4</f>
        <v>5</v>
      </c>
      <c r="H4" s="20">
        <f>E4</f>
        <v>36005</v>
      </c>
      <c r="I4" s="20">
        <f>K8*I11</f>
        <v>34000</v>
      </c>
      <c r="J4" s="64">
        <f>K8*J11</f>
        <v>6.97</v>
      </c>
      <c r="K4" s="20">
        <f>SUM(I4:J4)</f>
        <v>34006.97</v>
      </c>
    </row>
    <row r="5" spans="1:11" x14ac:dyDescent="0.35">
      <c r="A5" s="2" t="s">
        <v>1</v>
      </c>
      <c r="B5" s="2"/>
      <c r="C5" s="15">
        <v>8120</v>
      </c>
      <c r="D5" s="15">
        <v>51200000</v>
      </c>
      <c r="F5" s="19">
        <f>I5</f>
        <v>8390</v>
      </c>
      <c r="G5" s="19">
        <f>J5</f>
        <v>52000000</v>
      </c>
      <c r="I5" s="15">
        <v>8390</v>
      </c>
      <c r="J5" s="15">
        <v>52000000</v>
      </c>
    </row>
    <row r="6" spans="1:11" ht="14.5" customHeight="1" x14ac:dyDescent="0.35">
      <c r="A6" s="2" t="s">
        <v>79</v>
      </c>
      <c r="B6" s="2"/>
      <c r="C6" s="14">
        <v>36</v>
      </c>
      <c r="D6" s="14">
        <v>126000</v>
      </c>
      <c r="I6" s="14">
        <v>38</v>
      </c>
      <c r="J6" s="14">
        <v>120000</v>
      </c>
    </row>
    <row r="7" spans="1:11" ht="14.5" customHeight="1" x14ac:dyDescent="0.35">
      <c r="A7" s="2" t="s">
        <v>104</v>
      </c>
      <c r="B7" s="2"/>
      <c r="C7" s="15">
        <v>22</v>
      </c>
      <c r="D7" s="15">
        <v>18</v>
      </c>
      <c r="I7" s="15">
        <v>19</v>
      </c>
      <c r="J7" s="15">
        <v>19</v>
      </c>
    </row>
    <row r="8" spans="1:11" x14ac:dyDescent="0.35">
      <c r="A8" s="2" t="s">
        <v>118</v>
      </c>
      <c r="B8" s="2"/>
      <c r="E8" s="60">
        <v>1600000</v>
      </c>
      <c r="H8" s="66"/>
      <c r="K8" s="60">
        <v>1700000</v>
      </c>
    </row>
    <row r="9" spans="1:11" x14ac:dyDescent="0.35">
      <c r="A9" s="2" t="s">
        <v>120</v>
      </c>
      <c r="B9" s="2"/>
      <c r="E9" s="68"/>
      <c r="H9" s="68"/>
      <c r="K9" s="68"/>
    </row>
    <row r="10" spans="1:11" x14ac:dyDescent="0.35">
      <c r="A10" s="2" t="s">
        <v>112</v>
      </c>
      <c r="B10" s="2"/>
      <c r="E10" s="15"/>
      <c r="H10" s="19"/>
      <c r="K10" s="15"/>
    </row>
    <row r="11" spans="1:11" x14ac:dyDescent="0.35">
      <c r="A11" s="2" t="s">
        <v>117</v>
      </c>
      <c r="B11" s="2"/>
      <c r="C11" s="62">
        <f>C$4/E$8</f>
        <v>2.2499999999999999E-2</v>
      </c>
      <c r="D11" s="63">
        <f>D$4/E$8</f>
        <v>3.1250000000000001E-6</v>
      </c>
      <c r="I11" s="61">
        <v>0.02</v>
      </c>
      <c r="J11" s="65">
        <v>4.0999999999999997E-6</v>
      </c>
    </row>
    <row r="12" spans="1:11" ht="14.5" customHeight="1" x14ac:dyDescent="0.35">
      <c r="A12" s="2" t="s">
        <v>109</v>
      </c>
      <c r="B12" s="2"/>
      <c r="E12" s="19"/>
      <c r="H12" s="19"/>
      <c r="K12" s="19"/>
    </row>
    <row r="13" spans="1:11" ht="14.5" customHeight="1" x14ac:dyDescent="0.35">
      <c r="A13" s="2" t="s">
        <v>80</v>
      </c>
      <c r="B13" s="2"/>
      <c r="C13" s="15">
        <v>15008500</v>
      </c>
      <c r="D13" s="15">
        <v>15348700</v>
      </c>
      <c r="F13" s="19">
        <f>F4*F17</f>
        <v>15985588.235294119</v>
      </c>
      <c r="G13" s="19">
        <f>G4*G17</f>
        <v>11979913.916786227</v>
      </c>
      <c r="I13" s="15">
        <v>15097500</v>
      </c>
      <c r="J13" s="15">
        <v>16700000</v>
      </c>
    </row>
    <row r="14" spans="1:11" x14ac:dyDescent="0.35">
      <c r="A14" s="2" t="s">
        <v>78</v>
      </c>
      <c r="B14" s="2"/>
    </row>
    <row r="15" spans="1:11" x14ac:dyDescent="0.35">
      <c r="A15" s="2" t="s">
        <v>10</v>
      </c>
      <c r="B15" s="2"/>
      <c r="C15" s="19">
        <f>C6*C7</f>
        <v>792</v>
      </c>
      <c r="D15" s="19">
        <f>D6*D7</f>
        <v>2268000</v>
      </c>
      <c r="F15" s="19">
        <f t="shared" ref="F15:G17" si="0">I15</f>
        <v>722</v>
      </c>
      <c r="G15" s="19">
        <f t="shared" si="0"/>
        <v>2280000</v>
      </c>
      <c r="I15" s="19">
        <f>I6*I7</f>
        <v>722</v>
      </c>
      <c r="J15" s="19">
        <f>J6*J7</f>
        <v>2280000</v>
      </c>
    </row>
    <row r="16" spans="1:11" x14ac:dyDescent="0.35">
      <c r="A16" s="2" t="s">
        <v>110</v>
      </c>
      <c r="B16" s="2"/>
      <c r="E16" s="19">
        <f>E12/E4</f>
        <v>0</v>
      </c>
      <c r="H16" s="19">
        <f>H12/H4</f>
        <v>0</v>
      </c>
      <c r="K16" s="19">
        <f>K12/K4</f>
        <v>0</v>
      </c>
    </row>
    <row r="17" spans="1:11" x14ac:dyDescent="0.35">
      <c r="A17" s="2" t="s">
        <v>77</v>
      </c>
      <c r="B17" s="2"/>
      <c r="C17" s="19">
        <f>C13/C4</f>
        <v>416.90277777777777</v>
      </c>
      <c r="D17" s="19">
        <f>D13/D4</f>
        <v>3069740</v>
      </c>
      <c r="F17" s="19">
        <f t="shared" si="0"/>
        <v>444.04411764705884</v>
      </c>
      <c r="G17" s="19">
        <f t="shared" si="0"/>
        <v>2395982.7833572454</v>
      </c>
      <c r="I17" s="19">
        <f>I13/I4</f>
        <v>444.04411764705884</v>
      </c>
      <c r="J17" s="19">
        <f>J13/J4</f>
        <v>2395982.7833572454</v>
      </c>
    </row>
    <row r="18" spans="1:11" x14ac:dyDescent="0.35">
      <c r="A18" s="2" t="s">
        <v>12</v>
      </c>
      <c r="B18" s="2"/>
      <c r="C18" s="19">
        <f>C15+E16+C17</f>
        <v>1208.9027777777778</v>
      </c>
      <c r="D18" s="19">
        <f>D15+E16+D17</f>
        <v>5337740</v>
      </c>
      <c r="F18" s="19">
        <f>F$15+H16+F$17</f>
        <v>1166.0441176470588</v>
      </c>
      <c r="G18" s="19">
        <f>G$15+H16+G$17</f>
        <v>4675982.7833572458</v>
      </c>
      <c r="H18" s="26"/>
      <c r="I18" s="19">
        <f>I$15+K16+I$17</f>
        <v>1166.0441176470588</v>
      </c>
      <c r="J18" s="19">
        <f>J$15+K16+J$17</f>
        <v>4675982.7833572458</v>
      </c>
    </row>
    <row r="19" spans="1:11" x14ac:dyDescent="0.35">
      <c r="A19" s="2" t="s">
        <v>14</v>
      </c>
      <c r="B19" s="2"/>
      <c r="C19" s="17"/>
      <c r="D19" s="17"/>
      <c r="E19" s="15">
        <v>78000000</v>
      </c>
      <c r="F19" s="17"/>
      <c r="G19" s="17"/>
      <c r="H19" s="19">
        <f>K19</f>
        <v>69000000</v>
      </c>
      <c r="I19" s="17"/>
      <c r="J19" s="17"/>
      <c r="K19" s="15">
        <v>69000000</v>
      </c>
    </row>
    <row r="20" spans="1:11" x14ac:dyDescent="0.35">
      <c r="A20" s="2"/>
      <c r="B20" s="2"/>
    </row>
    <row r="21" spans="1:11" x14ac:dyDescent="0.35">
      <c r="A21" s="11"/>
      <c r="B21" s="11"/>
    </row>
    <row r="22" spans="1:11" x14ac:dyDescent="0.35">
      <c r="C22" s="9"/>
    </row>
    <row r="23" spans="1:11" x14ac:dyDescent="0.35">
      <c r="I23" s="9"/>
      <c r="J23" s="3"/>
    </row>
    <row r="26" spans="1:11" x14ac:dyDescent="0.35">
      <c r="C26" s="1"/>
      <c r="D26" s="9"/>
      <c r="I26" s="1"/>
    </row>
    <row r="27" spans="1:11" x14ac:dyDescent="0.35">
      <c r="C27" s="1"/>
      <c r="D27" s="9"/>
      <c r="I27" s="1"/>
    </row>
  </sheetData>
  <mergeCells count="3">
    <mergeCell ref="C2:E2"/>
    <mergeCell ref="F2:H2"/>
    <mergeCell ref="I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workbookViewId="0"/>
  </sheetViews>
  <sheetFormatPr defaultRowHeight="14.5" x14ac:dyDescent="0.35"/>
  <cols>
    <col min="1" max="1" width="20.54296875" customWidth="1"/>
    <col min="2" max="2" width="1.81640625" customWidth="1"/>
    <col min="3" max="3" width="11.6328125" bestFit="1" customWidth="1"/>
    <col min="4" max="4" width="2.6328125" customWidth="1"/>
    <col min="5" max="5" width="10.6328125" bestFit="1" customWidth="1"/>
    <col min="6" max="6" width="2.453125" customWidth="1"/>
    <col min="7" max="7" width="12.54296875" customWidth="1"/>
    <col min="8" max="8" width="1.81640625" customWidth="1"/>
    <col min="10" max="10" width="2.453125" customWidth="1"/>
    <col min="11" max="11" width="12.54296875" customWidth="1"/>
    <col min="12" max="12" width="1.6328125" customWidth="1"/>
    <col min="13" max="13" width="13.36328125" customWidth="1"/>
  </cols>
  <sheetData>
    <row r="1" spans="1:13" ht="45" customHeight="1" x14ac:dyDescent="0.35">
      <c r="A1" s="25" t="str">
        <f>Budget!A1</f>
        <v>Panama Smelting Division</v>
      </c>
      <c r="C1" s="2" t="s">
        <v>17</v>
      </c>
      <c r="D1" s="5" t="s">
        <v>23</v>
      </c>
      <c r="E1" s="25" t="s">
        <v>82</v>
      </c>
      <c r="F1" s="12" t="s">
        <v>0</v>
      </c>
      <c r="G1" s="25" t="s">
        <v>81</v>
      </c>
      <c r="H1" s="5" t="s">
        <v>25</v>
      </c>
      <c r="I1" s="25" t="s">
        <v>24</v>
      </c>
      <c r="J1" s="5" t="s">
        <v>0</v>
      </c>
      <c r="K1" s="25" t="s">
        <v>26</v>
      </c>
      <c r="M1" s="25" t="s">
        <v>27</v>
      </c>
    </row>
    <row r="2" spans="1:13" x14ac:dyDescent="0.35">
      <c r="A2" t="str">
        <f>BudgetInputs!B3&amp;" Sales-Mix Variance Calculations"</f>
        <v>2014 Sales-Mix Variance Calculations</v>
      </c>
    </row>
    <row r="3" spans="1:13" x14ac:dyDescent="0.35">
      <c r="A3" s="2" t="s">
        <v>19</v>
      </c>
      <c r="C3" s="19">
        <f>BudgetInputs!I5</f>
        <v>8390</v>
      </c>
      <c r="E3" s="19">
        <f>BudgetInputs!I18</f>
        <v>1166.0441176470588</v>
      </c>
      <c r="G3" s="19">
        <f>$C3-$E3</f>
        <v>7223.9558823529414</v>
      </c>
      <c r="I3" s="45">
        <f>BudgetInputs!I4</f>
        <v>34000</v>
      </c>
      <c r="K3" s="19">
        <f>$G3*$I3</f>
        <v>245614500</v>
      </c>
      <c r="M3" s="50">
        <f>I3/I5</f>
        <v>0.99979504201638658</v>
      </c>
    </row>
    <row r="4" spans="1:13" x14ac:dyDescent="0.35">
      <c r="A4" s="2" t="s">
        <v>20</v>
      </c>
      <c r="C4" s="19">
        <f>BudgetInputs!J5</f>
        <v>52000000</v>
      </c>
      <c r="E4" s="19">
        <f>BudgetInputs!J18</f>
        <v>4675982.7833572458</v>
      </c>
      <c r="G4" s="19">
        <f>$C4-$E4</f>
        <v>47324017.216642752</v>
      </c>
      <c r="I4" s="46">
        <f>BudgetInputs!J4</f>
        <v>6.97</v>
      </c>
      <c r="K4" s="42">
        <f t="shared" ref="K4:K8" si="0">$G4*$I4</f>
        <v>329848400</v>
      </c>
      <c r="M4" s="51">
        <f>I4/I5</f>
        <v>2.0495798361335924E-4</v>
      </c>
    </row>
    <row r="5" spans="1:13" ht="15" thickBot="1" x14ac:dyDescent="0.4">
      <c r="A5" s="2" t="s">
        <v>18</v>
      </c>
      <c r="G5" s="9"/>
      <c r="I5" s="47">
        <f>I3+I4</f>
        <v>34006.97</v>
      </c>
      <c r="K5" s="43">
        <f>K3+K4</f>
        <v>575462900</v>
      </c>
      <c r="M5" s="52">
        <f>M3+M4</f>
        <v>0.99999999999999989</v>
      </c>
    </row>
    <row r="6" spans="1:13" ht="15" thickTop="1" x14ac:dyDescent="0.35">
      <c r="G6" s="9"/>
      <c r="K6" s="9"/>
    </row>
    <row r="7" spans="1:13" x14ac:dyDescent="0.35">
      <c r="A7" s="2" t="s">
        <v>21</v>
      </c>
      <c r="C7" s="19">
        <f>BudgetInputs!C5</f>
        <v>8120</v>
      </c>
      <c r="E7" s="19">
        <f>BudgetInputs!C18</f>
        <v>1208.9027777777778</v>
      </c>
      <c r="G7" s="19">
        <f t="shared" ref="G7:G8" si="1">$C7-$E7</f>
        <v>6911.0972222222226</v>
      </c>
      <c r="I7" s="48">
        <f>BudgetInputs!C4</f>
        <v>36000</v>
      </c>
      <c r="K7" s="19">
        <f t="shared" si="0"/>
        <v>248799500</v>
      </c>
      <c r="M7" s="50">
        <f>I7/I9</f>
        <v>0.99986113039855573</v>
      </c>
    </row>
    <row r="8" spans="1:13" x14ac:dyDescent="0.35">
      <c r="A8" s="2" t="s">
        <v>22</v>
      </c>
      <c r="C8" s="19">
        <f>BudgetInputs!D5</f>
        <v>51200000</v>
      </c>
      <c r="E8" s="19">
        <f>BudgetInputs!D18</f>
        <v>5337740</v>
      </c>
      <c r="G8" s="19">
        <f t="shared" si="1"/>
        <v>45862260</v>
      </c>
      <c r="I8" s="67">
        <f>BudgetInputs!D4</f>
        <v>5</v>
      </c>
      <c r="K8" s="42">
        <f t="shared" si="0"/>
        <v>229311300</v>
      </c>
      <c r="M8" s="51">
        <f>I8/I9</f>
        <v>1.3886960144424384E-4</v>
      </c>
    </row>
    <row r="9" spans="1:13" ht="15" thickBot="1" x14ac:dyDescent="0.4">
      <c r="A9" s="2" t="s">
        <v>18</v>
      </c>
      <c r="I9" s="49">
        <f>I7+I8</f>
        <v>36005</v>
      </c>
      <c r="K9" s="43">
        <f>K7+K8</f>
        <v>478110800</v>
      </c>
      <c r="M9" s="52">
        <f>M7+M8</f>
        <v>1</v>
      </c>
    </row>
    <row r="10" spans="1:13" ht="15" thickTop="1" x14ac:dyDescent="0.3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"/>
  <sheetViews>
    <sheetView workbookViewId="0"/>
  </sheetViews>
  <sheetFormatPr defaultRowHeight="14.5" x14ac:dyDescent="0.35"/>
  <cols>
    <col min="1" max="1" width="20.36328125" customWidth="1"/>
    <col min="2" max="2" width="1.08984375" customWidth="1"/>
    <col min="3" max="3" width="12.6328125" customWidth="1"/>
    <col min="4" max="4" width="4.453125" customWidth="1"/>
    <col min="5" max="5" width="11.36328125" customWidth="1"/>
    <col min="6" max="6" width="2.36328125" customWidth="1"/>
    <col min="7" max="7" width="10.81640625" customWidth="1"/>
    <col min="8" max="8" width="4.453125" customWidth="1"/>
    <col min="9" max="9" width="12.36328125" customWidth="1"/>
    <col min="10" max="10" width="4.36328125" customWidth="1"/>
    <col min="11" max="11" width="14.08984375" bestFit="1" customWidth="1"/>
    <col min="12" max="12" width="3.08984375" customWidth="1"/>
  </cols>
  <sheetData>
    <row r="1" spans="1:12" ht="54" customHeight="1" x14ac:dyDescent="0.35">
      <c r="A1" s="25" t="str">
        <f>Budget!A1</f>
        <v>Panama Smelting Division</v>
      </c>
      <c r="C1" s="25" t="s">
        <v>29</v>
      </c>
      <c r="D1" s="27" t="s">
        <v>31</v>
      </c>
      <c r="E1" s="31" t="s">
        <v>32</v>
      </c>
      <c r="F1" s="30" t="s">
        <v>23</v>
      </c>
      <c r="G1" s="31" t="s">
        <v>33</v>
      </c>
      <c r="H1" s="28" t="s">
        <v>30</v>
      </c>
      <c r="I1" s="25" t="s">
        <v>83</v>
      </c>
      <c r="J1" s="29" t="s">
        <v>0</v>
      </c>
      <c r="K1" s="25" t="s">
        <v>34</v>
      </c>
    </row>
    <row r="2" spans="1:12" x14ac:dyDescent="0.35">
      <c r="A2" t="str">
        <f>BudgetInputs!B3&amp;" Sales-Mix Variance Analysis"</f>
        <v>2014 Sales-Mix Variance Analysis</v>
      </c>
    </row>
    <row r="3" spans="1:12" x14ac:dyDescent="0.35">
      <c r="A3" s="2" t="s">
        <v>3</v>
      </c>
      <c r="C3" s="20">
        <f>'Sales-Mix VarCalcs'!I9</f>
        <v>36005</v>
      </c>
      <c r="E3" s="50">
        <f>'Sales-Mix VarCalcs'!M7</f>
        <v>0.99986113039855573</v>
      </c>
      <c r="G3" s="50">
        <f>'Sales-Mix VarCalcs'!M3</f>
        <v>0.99979504201638658</v>
      </c>
      <c r="I3" s="19">
        <f>'Sales-Mix VarCalcs'!G3</f>
        <v>7223.9558823529414</v>
      </c>
      <c r="K3" s="19">
        <f>ABS($C3*($E3-$G3)*$I3)</f>
        <v>17189.491154322197</v>
      </c>
      <c r="L3" t="str">
        <f>IF($E3=$G3, "", (IF($E3&gt;$G3, "F", "U")))</f>
        <v>F</v>
      </c>
    </row>
    <row r="4" spans="1:12" x14ac:dyDescent="0.35">
      <c r="A4" s="2" t="s">
        <v>4</v>
      </c>
      <c r="C4" s="20">
        <f>'Sales-Mix VarCalcs'!I9</f>
        <v>36005</v>
      </c>
      <c r="E4" s="50">
        <f>'Sales-Mix VarCalcs'!M8</f>
        <v>1.3886960144424384E-4</v>
      </c>
      <c r="G4" s="50">
        <f>'Sales-Mix VarCalcs'!M4</f>
        <v>2.0495798361335924E-4</v>
      </c>
      <c r="I4" s="19">
        <f>'Sales-Mix VarCalcs'!G4</f>
        <v>47324017.216642752</v>
      </c>
      <c r="K4" s="42">
        <f>ABS($C4*($E4-$G4)*$I4)</f>
        <v>112608076.31996416</v>
      </c>
      <c r="L4" t="str">
        <f t="shared" ref="L4" si="0">IF($E4=$G4, "", (IF($E4&gt;$G4, "F", "U")))</f>
        <v>U</v>
      </c>
    </row>
    <row r="5" spans="1:12" ht="15" thickBot="1" x14ac:dyDescent="0.4">
      <c r="A5" s="32" t="s">
        <v>28</v>
      </c>
      <c r="K5" s="43">
        <f>ABS(($C3*($E3-$G3)*$I3)+($C4*($E4-$G4)*$I4))</f>
        <v>112590886.82880983</v>
      </c>
      <c r="L5" t="str">
        <f>IF(K5=0, "", (IF(AND(($C3*($E3-$G3)*$I3)&lt;($C4*($E4-$G4)*$I4), E4&gt;G4), "F", "U")))</f>
        <v>U</v>
      </c>
    </row>
    <row r="6" spans="1:12" ht="15" thickTop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"/>
  <sheetViews>
    <sheetView workbookViewId="0"/>
  </sheetViews>
  <sheetFormatPr defaultRowHeight="14.5" x14ac:dyDescent="0.35"/>
  <cols>
    <col min="1" max="1" width="20.6328125" customWidth="1"/>
    <col min="2" max="2" width="2.54296875" customWidth="1"/>
    <col min="3" max="3" width="14.08984375" customWidth="1"/>
    <col min="4" max="4" width="3.08984375" customWidth="1"/>
    <col min="5" max="5" width="14.54296875" customWidth="1"/>
    <col min="6" max="6" width="4.81640625" customWidth="1"/>
    <col min="7" max="7" width="10" customWidth="1"/>
    <col min="8" max="8" width="3.6328125" customWidth="1"/>
    <col min="9" max="9" width="12.453125" customWidth="1"/>
    <col min="10" max="10" width="3.08984375" customWidth="1"/>
    <col min="11" max="11" width="14.08984375" bestFit="1" customWidth="1"/>
    <col min="12" max="12" width="3.6328125" customWidth="1"/>
  </cols>
  <sheetData>
    <row r="1" spans="1:12" ht="43.25" customHeight="1" x14ac:dyDescent="0.35">
      <c r="A1" s="25" t="str">
        <f>Budget!A1</f>
        <v>Panama Smelting Division</v>
      </c>
      <c r="B1" s="33" t="s">
        <v>39</v>
      </c>
      <c r="C1" s="25" t="s">
        <v>42</v>
      </c>
      <c r="D1" s="30" t="s">
        <v>23</v>
      </c>
      <c r="E1" s="25" t="s">
        <v>43</v>
      </c>
      <c r="F1" s="28" t="s">
        <v>30</v>
      </c>
      <c r="G1" s="25" t="s">
        <v>33</v>
      </c>
      <c r="H1" s="30" t="s">
        <v>40</v>
      </c>
      <c r="I1" s="25" t="s">
        <v>83</v>
      </c>
      <c r="J1" s="34" t="s">
        <v>0</v>
      </c>
      <c r="K1" s="25" t="s">
        <v>41</v>
      </c>
    </row>
    <row r="2" spans="1:12" x14ac:dyDescent="0.35">
      <c r="A2" t="str">
        <f>BudgetInputs!B3&amp;" Sales-Quantity Variance Analysis"</f>
        <v>2014 Sales-Quantity Variance Analysis</v>
      </c>
    </row>
    <row r="3" spans="1:12" x14ac:dyDescent="0.35">
      <c r="A3" s="2" t="s">
        <v>3</v>
      </c>
      <c r="C3" s="20">
        <f>'Sales-Mix VarCalcs'!I9</f>
        <v>36005</v>
      </c>
      <c r="E3" s="20">
        <f>'Sales-Mix VarCalcs'!I5</f>
        <v>34006.97</v>
      </c>
      <c r="G3" s="50">
        <f>'Sales-Mix VarCalcs'!M3</f>
        <v>0.99979504201638658</v>
      </c>
      <c r="I3" s="19">
        <f>'Sales-Mix VarCalcs'!G3</f>
        <v>7223.9558823529414</v>
      </c>
      <c r="K3" s="38">
        <f>ABS(($C3-$E3)*$G3*$I3)</f>
        <v>14430722.273551559</v>
      </c>
      <c r="L3" t="str">
        <f>IF($C3=$E3, "", (IF($C3&gt;$E3, "F", "U")))</f>
        <v>F</v>
      </c>
    </row>
    <row r="4" spans="1:12" x14ac:dyDescent="0.35">
      <c r="A4" s="2" t="s">
        <v>4</v>
      </c>
      <c r="C4" s="20">
        <f>'Sales-Mix VarCalcs'!I9</f>
        <v>36005</v>
      </c>
      <c r="E4" s="20">
        <f>'Sales-Mix VarCalcs'!I5</f>
        <v>34006.97</v>
      </c>
      <c r="G4" s="50">
        <f>'Sales-Mix VarCalcs'!M4</f>
        <v>2.0495798361335924E-4</v>
      </c>
      <c r="I4" s="19">
        <f>'Sales-Mix VarCalcs'!G4</f>
        <v>47324017.216642752</v>
      </c>
      <c r="K4" s="53">
        <f>ABS(($C4-$E4)*$G4*$I4)</f>
        <v>19379762.403177921</v>
      </c>
      <c r="L4" t="str">
        <f>IF($C4=$E4, "", (IF($C4&gt;$E4, "F", "U")))</f>
        <v>F</v>
      </c>
    </row>
    <row r="5" spans="1:12" ht="15" thickBot="1" x14ac:dyDescent="0.4">
      <c r="A5" s="32" t="s">
        <v>38</v>
      </c>
      <c r="K5" s="44">
        <f>ABS((($C3-$E3)*$G3*$I3)+(($C4-$E4)*$G4*$I4))</f>
        <v>33810484.676729478</v>
      </c>
      <c r="L5" t="str">
        <f>IF(K5=0,"",(IF(C4&gt;E4,"F","U")))</f>
        <v>F</v>
      </c>
    </row>
    <row r="6" spans="1:12" ht="15" thickTop="1" x14ac:dyDescent="0.35"/>
    <row r="7" spans="1:12" x14ac:dyDescent="0.35">
      <c r="A7" s="32" t="s">
        <v>28</v>
      </c>
      <c r="K7" s="42">
        <f>'Sales-Mix Variance'!K5</f>
        <v>112590886.82880983</v>
      </c>
      <c r="L7" t="str">
        <f>'Sales-Mix Variance'!L5</f>
        <v>U</v>
      </c>
    </row>
    <row r="8" spans="1:12" ht="15" thickBot="1" x14ac:dyDescent="0.4">
      <c r="A8" s="32" t="s">
        <v>105</v>
      </c>
      <c r="K8" s="43">
        <f>ABS(('Sales-Mix Variance'!$C3*('Sales-Mix Variance'!$E3-'Sales-Mix Variance'!$G3)*'Sales-Mix Variance'!$I3)+('Sales-Mix Variance'!$C4*('Sales-Mix Variance'!$E4-'Sales-Mix Variance'!$G4)*'Sales-Mix Variance'!$I4)+(($C3-$E3)*$G3*$I3)+(($C4-$E4)*$G4*$I4))</f>
        <v>78780402.152080357</v>
      </c>
      <c r="L8" t="str">
        <f>IF(K8=0, "", IF(OR(AND(K5&gt;K7, L5="F"),AND(K7&gt;K5, L7="F")), "F","U"))</f>
        <v>U</v>
      </c>
    </row>
    <row r="9" spans="1:12" ht="15" thickTop="1" x14ac:dyDescent="0.3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"/>
  <sheetViews>
    <sheetView workbookViewId="0"/>
  </sheetViews>
  <sheetFormatPr defaultRowHeight="14.5" x14ac:dyDescent="0.35"/>
  <cols>
    <col min="1" max="1" width="16.36328125" customWidth="1"/>
    <col min="3" max="3" width="11.6328125" bestFit="1" customWidth="1"/>
    <col min="5" max="5" width="11.6328125" bestFit="1" customWidth="1"/>
    <col min="7" max="7" width="6.54296875" bestFit="1" customWidth="1"/>
    <col min="9" max="9" width="11.08984375" bestFit="1" customWidth="1"/>
  </cols>
  <sheetData>
    <row r="1" spans="1:10" ht="58" x14ac:dyDescent="0.35">
      <c r="A1" s="25" t="s">
        <v>123</v>
      </c>
      <c r="B1" s="33" t="s">
        <v>39</v>
      </c>
      <c r="C1" s="25" t="s">
        <v>124</v>
      </c>
      <c r="D1" s="30" t="s">
        <v>23</v>
      </c>
      <c r="E1" s="25" t="s">
        <v>125</v>
      </c>
      <c r="F1" s="28" t="s">
        <v>30</v>
      </c>
      <c r="G1" s="25" t="s">
        <v>126</v>
      </c>
      <c r="H1" s="34" t="s">
        <v>0</v>
      </c>
      <c r="I1" s="25" t="s">
        <v>127</v>
      </c>
    </row>
    <row r="2" spans="1:10" x14ac:dyDescent="0.35">
      <c r="A2" s="25"/>
    </row>
    <row r="3" spans="1:10" x14ac:dyDescent="0.35">
      <c r="A3" s="2" t="s">
        <v>3</v>
      </c>
      <c r="C3" s="19">
        <f>BudgetInputs!C5</f>
        <v>8120</v>
      </c>
      <c r="E3" s="19">
        <f>BudgetInputs!I5</f>
        <v>8390</v>
      </c>
      <c r="G3" s="20">
        <f>BudgetInputs!C4</f>
        <v>36000</v>
      </c>
      <c r="I3" s="38">
        <f>ABS(($C3-$E3)*$G3)</f>
        <v>9720000</v>
      </c>
      <c r="J3" t="str">
        <f>IF($C3=$E3, "", (IF($C3&gt;$E3, "F", "U")))</f>
        <v>U</v>
      </c>
    </row>
    <row r="4" spans="1:10" x14ac:dyDescent="0.35">
      <c r="A4" s="2" t="s">
        <v>4</v>
      </c>
      <c r="C4" s="19">
        <f>BudgetInputs!D5</f>
        <v>51200000</v>
      </c>
      <c r="E4" s="19">
        <f>BudgetInputs!J5</f>
        <v>52000000</v>
      </c>
      <c r="G4" s="18">
        <f>BudgetInputs!D4</f>
        <v>5</v>
      </c>
      <c r="I4" s="38">
        <f>ABS(($C4-$E4)*$G4)</f>
        <v>4000000</v>
      </c>
      <c r="J4" t="str">
        <f>IF($C4=$E4, "", (IF($C4&gt;$E4, "F", "U")))</f>
        <v>U</v>
      </c>
    </row>
    <row r="5" spans="1:10" x14ac:dyDescent="0.35">
      <c r="A5" t="s">
        <v>128</v>
      </c>
      <c r="I5" s="38">
        <f>ABS((($C3-$E3)*$G3)+(($C4-$E4)*$G4))</f>
        <v>13720000</v>
      </c>
      <c r="J5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3"/>
  <sheetViews>
    <sheetView workbookViewId="0"/>
  </sheetViews>
  <sheetFormatPr defaultRowHeight="14.5" x14ac:dyDescent="0.35"/>
  <cols>
    <col min="1" max="1" width="28" bestFit="1" customWidth="1"/>
    <col min="2" max="2" width="1" customWidth="1"/>
    <col min="3" max="3" width="10" bestFit="1" customWidth="1"/>
    <col min="4" max="4" width="7.453125" bestFit="1" customWidth="1"/>
    <col min="5" max="5" width="1.36328125" customWidth="1"/>
    <col min="6" max="6" width="7.36328125" bestFit="1" customWidth="1"/>
    <col min="7" max="7" width="7" bestFit="1" customWidth="1"/>
    <col min="8" max="8" width="1.08984375" customWidth="1"/>
    <col min="9" max="9" width="10.6328125" bestFit="1" customWidth="1"/>
    <col min="10" max="10" width="10.6328125" customWidth="1"/>
    <col min="11" max="11" width="1" customWidth="1"/>
    <col min="12" max="12" width="6.54296875" bestFit="1" customWidth="1"/>
    <col min="13" max="13" width="9.81640625" customWidth="1"/>
    <col min="14" max="14" width="1.36328125" customWidth="1"/>
    <col min="15" max="15" width="9.08984375" bestFit="1" customWidth="1"/>
    <col min="16" max="16" width="10.81640625" bestFit="1" customWidth="1"/>
    <col min="17" max="17" width="1.08984375" customWidth="1"/>
    <col min="18" max="18" width="11.08984375" bestFit="1" customWidth="1"/>
    <col min="19" max="19" width="11.453125" customWidth="1"/>
    <col min="20" max="20" width="1.6328125" customWidth="1"/>
    <col min="21" max="21" width="11.81640625" customWidth="1"/>
    <col min="22" max="22" width="11.6328125" bestFit="1" customWidth="1"/>
  </cols>
  <sheetData>
    <row r="1" spans="1:22" ht="28.25" customHeight="1" x14ac:dyDescent="0.35">
      <c r="A1" s="25" t="str">
        <f>Budget!A1</f>
        <v>Panama Smelting Division</v>
      </c>
      <c r="C1" s="69" t="s">
        <v>85</v>
      </c>
      <c r="D1" s="69"/>
      <c r="F1" s="69" t="s">
        <v>84</v>
      </c>
      <c r="G1" s="69"/>
      <c r="I1" s="70" t="s">
        <v>96</v>
      </c>
      <c r="J1" s="70"/>
      <c r="L1" s="69" t="s">
        <v>47</v>
      </c>
      <c r="M1" s="69"/>
      <c r="O1" s="70" t="s">
        <v>51</v>
      </c>
      <c r="P1" s="70"/>
      <c r="R1" s="70" t="s">
        <v>50</v>
      </c>
      <c r="S1" s="70"/>
    </row>
    <row r="2" spans="1:22" x14ac:dyDescent="0.35">
      <c r="A2" t="str">
        <f>BudgetInputs!B3&amp;" DL Variances"</f>
        <v>2014 DL Variances</v>
      </c>
      <c r="C2" s="2" t="s">
        <v>46</v>
      </c>
      <c r="D2" s="2" t="s">
        <v>53</v>
      </c>
      <c r="F2" s="2" t="s">
        <v>44</v>
      </c>
      <c r="G2" s="2" t="s">
        <v>53</v>
      </c>
      <c r="I2" s="2" t="s">
        <v>44</v>
      </c>
      <c r="J2" s="2" t="s">
        <v>53</v>
      </c>
      <c r="L2" s="2" t="s">
        <v>48</v>
      </c>
      <c r="M2" s="2" t="s">
        <v>54</v>
      </c>
      <c r="O2" s="2" t="s">
        <v>48</v>
      </c>
      <c r="P2" s="2" t="s">
        <v>54</v>
      </c>
      <c r="R2" s="2" t="s">
        <v>48</v>
      </c>
      <c r="S2" s="2" t="s">
        <v>54</v>
      </c>
      <c r="U2" s="2" t="s">
        <v>86</v>
      </c>
    </row>
    <row r="3" spans="1:22" x14ac:dyDescent="0.35">
      <c r="A3" s="2" t="s">
        <v>3</v>
      </c>
      <c r="C3" s="20">
        <f>BudgetInputs!C6</f>
        <v>36</v>
      </c>
      <c r="D3" s="20">
        <f>BudgetInputs!I6</f>
        <v>38</v>
      </c>
      <c r="F3" s="37">
        <f>BudgetInputs!C7</f>
        <v>22</v>
      </c>
      <c r="G3" s="19">
        <f>BudgetInputs!I7</f>
        <v>19</v>
      </c>
      <c r="I3" s="38">
        <f>$C3*$F3</f>
        <v>792</v>
      </c>
      <c r="J3" s="19">
        <f>$D3*$G3</f>
        <v>722</v>
      </c>
      <c r="L3" s="20">
        <f>BudgetInputs!C4</f>
        <v>36000</v>
      </c>
      <c r="M3" s="20">
        <f>BudgetInputs!C4</f>
        <v>36000</v>
      </c>
      <c r="O3" s="20">
        <f>C3*L3</f>
        <v>1296000</v>
      </c>
      <c r="P3" s="20">
        <f>D3*M3</f>
        <v>1368000</v>
      </c>
      <c r="R3" s="38">
        <f>I$3*L$3</f>
        <v>28512000</v>
      </c>
      <c r="S3" s="38">
        <f>$J3*$M3</f>
        <v>25992000</v>
      </c>
      <c r="U3" s="19">
        <f>F3*O3</f>
        <v>28512000</v>
      </c>
      <c r="V3" s="19">
        <f>G3*P3</f>
        <v>25992000</v>
      </c>
    </row>
    <row r="4" spans="1:22" x14ac:dyDescent="0.35">
      <c r="A4" s="2" t="s">
        <v>4</v>
      </c>
      <c r="C4" s="20">
        <f>BudgetInputs!D6</f>
        <v>126000</v>
      </c>
      <c r="D4" s="20">
        <f>BudgetInputs!J6</f>
        <v>120000</v>
      </c>
      <c r="F4" s="37">
        <f>BudgetInputs!D7</f>
        <v>18</v>
      </c>
      <c r="G4" s="19">
        <f>BudgetInputs!J7</f>
        <v>19</v>
      </c>
      <c r="I4" s="38">
        <f>$C4*$F4</f>
        <v>2268000</v>
      </c>
      <c r="J4" s="19">
        <f>$D4*$G4</f>
        <v>2280000</v>
      </c>
      <c r="L4" s="18">
        <f>BudgetInputs!D4</f>
        <v>5</v>
      </c>
      <c r="M4" s="18">
        <f>BudgetInputs!D4</f>
        <v>5</v>
      </c>
      <c r="O4" s="20">
        <f>C4*L4</f>
        <v>630000</v>
      </c>
      <c r="P4" s="20">
        <f>D4*M4</f>
        <v>600000</v>
      </c>
      <c r="R4" s="38">
        <f>$I4*$L4</f>
        <v>11340000</v>
      </c>
      <c r="S4" s="38">
        <f>$J4*$M4</f>
        <v>11400000</v>
      </c>
      <c r="U4" s="19">
        <f>F4*O4</f>
        <v>11340000</v>
      </c>
      <c r="V4" s="19">
        <f>G4*P4</f>
        <v>11400000</v>
      </c>
    </row>
    <row r="5" spans="1:22" x14ac:dyDescent="0.35">
      <c r="A5" s="2" t="s">
        <v>95</v>
      </c>
      <c r="R5" s="38">
        <f>R3+R4</f>
        <v>39852000</v>
      </c>
      <c r="S5" s="38">
        <f>S3+S4</f>
        <v>37392000</v>
      </c>
    </row>
    <row r="7" spans="1:22" ht="15" thickBot="1" x14ac:dyDescent="0.4">
      <c r="A7" s="2" t="s">
        <v>45</v>
      </c>
      <c r="R7" s="2" t="s">
        <v>52</v>
      </c>
    </row>
    <row r="8" spans="1:22" ht="15.5" thickTop="1" thickBot="1" x14ac:dyDescent="0.4">
      <c r="A8" s="2" t="s">
        <v>3</v>
      </c>
      <c r="I8" s="36">
        <f>BudgetInputs!C15</f>
        <v>792</v>
      </c>
      <c r="J8" s="36">
        <f>BudgetInputs!I15</f>
        <v>722</v>
      </c>
      <c r="R8" s="35">
        <f>Budget!B7</f>
        <v>28512000</v>
      </c>
      <c r="S8" s="35">
        <f>Budget!E7</f>
        <v>25992000</v>
      </c>
    </row>
    <row r="9" spans="1:22" ht="15.5" thickTop="1" thickBot="1" x14ac:dyDescent="0.4">
      <c r="A9" s="2" t="s">
        <v>4</v>
      </c>
      <c r="I9" s="36">
        <f>BudgetInputs!D15</f>
        <v>2268000</v>
      </c>
      <c r="J9" s="36">
        <f>BudgetInputs!J15</f>
        <v>2280000</v>
      </c>
      <c r="R9" s="35">
        <f>Budget!C7</f>
        <v>11340000</v>
      </c>
      <c r="S9" s="35">
        <f>Budget!F7</f>
        <v>11400000</v>
      </c>
    </row>
    <row r="10" spans="1:22" ht="15.5" thickTop="1" thickBot="1" x14ac:dyDescent="0.4">
      <c r="A10" s="2" t="s">
        <v>49</v>
      </c>
      <c r="R10" s="35">
        <f>Budget!D7</f>
        <v>39852000</v>
      </c>
      <c r="S10" s="35">
        <f>Budget!G7</f>
        <v>37392000</v>
      </c>
    </row>
    <row r="11" spans="1:22" ht="15" thickTop="1" x14ac:dyDescent="0.35">
      <c r="A11" s="2"/>
    </row>
    <row r="12" spans="1:22" x14ac:dyDescent="0.35">
      <c r="A12" s="2"/>
    </row>
    <row r="13" spans="1:22" x14ac:dyDescent="0.35">
      <c r="A13" s="2"/>
    </row>
  </sheetData>
  <mergeCells count="6">
    <mergeCell ref="C1:D1"/>
    <mergeCell ref="F1:G1"/>
    <mergeCell ref="I1:J1"/>
    <mergeCell ref="L1:M1"/>
    <mergeCell ref="R1:S1"/>
    <mergeCell ref="O1:P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/>
  </sheetViews>
  <sheetFormatPr defaultRowHeight="14.5" x14ac:dyDescent="0.35"/>
  <cols>
    <col min="1" max="1" width="19.54296875" customWidth="1"/>
    <col min="2" max="2" width="3.36328125" customWidth="1"/>
    <col min="3" max="3" width="10.6328125" customWidth="1"/>
    <col min="4" max="4" width="7.81640625" bestFit="1" customWidth="1"/>
    <col min="5" max="5" width="12.36328125" customWidth="1"/>
    <col min="6" max="6" width="7.81640625" bestFit="1" customWidth="1"/>
    <col min="7" max="7" width="14.6328125" customWidth="1"/>
    <col min="8" max="8" width="5.54296875" bestFit="1" customWidth="1"/>
    <col min="9" max="9" width="12.08984375" bestFit="1" customWidth="1"/>
  </cols>
  <sheetData>
    <row r="1" spans="1:10" ht="44" customHeight="1" x14ac:dyDescent="0.35">
      <c r="A1" s="25" t="str">
        <f>Budget!A1</f>
        <v>Panama Smelting Division</v>
      </c>
      <c r="B1" s="33" t="s">
        <v>39</v>
      </c>
      <c r="C1" s="25" t="s">
        <v>57</v>
      </c>
      <c r="D1" s="30" t="s">
        <v>23</v>
      </c>
      <c r="E1" s="25" t="s">
        <v>58</v>
      </c>
      <c r="F1" s="28" t="s">
        <v>30</v>
      </c>
      <c r="G1" s="25" t="s">
        <v>94</v>
      </c>
      <c r="H1" s="34" t="s">
        <v>0</v>
      </c>
      <c r="I1" s="25" t="s">
        <v>59</v>
      </c>
    </row>
    <row r="2" spans="1:10" x14ac:dyDescent="0.35">
      <c r="A2" t="str">
        <f>BudgetInputs!B3&amp;" DL Price Variance Analysis"</f>
        <v>2014 DL Price Variance Analysis</v>
      </c>
    </row>
    <row r="3" spans="1:10" x14ac:dyDescent="0.35">
      <c r="A3" s="2" t="s">
        <v>55</v>
      </c>
      <c r="C3" s="19">
        <f>DLVarianceCalcs!F3</f>
        <v>22</v>
      </c>
      <c r="D3" t="s">
        <v>64</v>
      </c>
      <c r="E3" s="19">
        <f>DLVarianceCalcs!G3</f>
        <v>19</v>
      </c>
      <c r="F3" t="s">
        <v>64</v>
      </c>
      <c r="G3" s="20">
        <f>DLVarianceCalcs!O3</f>
        <v>1296000</v>
      </c>
      <c r="H3" t="s">
        <v>63</v>
      </c>
      <c r="I3" s="19">
        <f>ABS(($C3-$E3)*$G3)</f>
        <v>3888000</v>
      </c>
      <c r="J3" t="str">
        <f>IF($C3=$E3,"",(IF($C3&lt;$E3, "F", "U")))</f>
        <v>U</v>
      </c>
    </row>
    <row r="4" spans="1:10" x14ac:dyDescent="0.35">
      <c r="A4" s="2" t="s">
        <v>56</v>
      </c>
      <c r="C4" s="19">
        <f>DLVarianceCalcs!F4</f>
        <v>18</v>
      </c>
      <c r="D4" t="s">
        <v>64</v>
      </c>
      <c r="E4" s="19">
        <f>DLVarianceCalcs!G4</f>
        <v>19</v>
      </c>
      <c r="F4" t="s">
        <v>64</v>
      </c>
      <c r="G4" s="20">
        <f>DLVarianceCalcs!O4</f>
        <v>630000</v>
      </c>
      <c r="H4" t="s">
        <v>63</v>
      </c>
      <c r="I4" s="42">
        <f>ABS(($C4-$E4)*$G4)</f>
        <v>630000</v>
      </c>
      <c r="J4" t="str">
        <f>IF($C4=$E4,"",(IF($C4&lt;$E4, "F", "U")))</f>
        <v>F</v>
      </c>
    </row>
    <row r="5" spans="1:10" ht="15" thickBot="1" x14ac:dyDescent="0.4">
      <c r="A5" s="2" t="s">
        <v>87</v>
      </c>
      <c r="I5" s="43">
        <f>ABS((($C3-$E3)*$G3)+(($C4-$E4)*$G4))</f>
        <v>3258000</v>
      </c>
      <c r="J5" t="str">
        <f>IF(I5=0, "", IF(OR(AND(I3&gt;I4, J3="F"),AND(I4&gt;I3, J4="F")), "F","U"))</f>
        <v>U</v>
      </c>
    </row>
    <row r="6" spans="1:10" ht="15" thickTop="1" x14ac:dyDescent="0.3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"/>
  <sheetViews>
    <sheetView workbookViewId="0"/>
  </sheetViews>
  <sheetFormatPr defaultRowHeight="14.5" x14ac:dyDescent="0.35"/>
  <cols>
    <col min="1" max="1" width="20.54296875" customWidth="1"/>
    <col min="2" max="2" width="2.6328125" bestFit="1" customWidth="1"/>
    <col min="3" max="3" width="11.54296875" customWidth="1"/>
    <col min="4" max="4" width="5.54296875" bestFit="1" customWidth="1"/>
    <col min="5" max="5" width="15.54296875" customWidth="1"/>
    <col min="6" max="6" width="5.54296875" bestFit="1" customWidth="1"/>
    <col min="7" max="7" width="10.54296875" customWidth="1"/>
    <col min="8" max="8" width="5.54296875" bestFit="1" customWidth="1"/>
    <col min="9" max="9" width="3.36328125" customWidth="1"/>
    <col min="10" max="10" width="11" bestFit="1" customWidth="1"/>
  </cols>
  <sheetData>
    <row r="1" spans="1:11" ht="58" x14ac:dyDescent="0.35">
      <c r="A1" s="25" t="str">
        <f>Budget!A1</f>
        <v>Panama Smelting Division</v>
      </c>
      <c r="B1" s="33" t="s">
        <v>39</v>
      </c>
      <c r="C1" s="25" t="s">
        <v>60</v>
      </c>
      <c r="D1" s="30" t="s">
        <v>23</v>
      </c>
      <c r="E1" s="25" t="s">
        <v>61</v>
      </c>
      <c r="F1" s="28" t="s">
        <v>30</v>
      </c>
      <c r="G1" s="25" t="s">
        <v>58</v>
      </c>
      <c r="H1" s="25"/>
      <c r="I1" s="34" t="s">
        <v>0</v>
      </c>
      <c r="J1" s="25" t="s">
        <v>62</v>
      </c>
    </row>
    <row r="2" spans="1:11" x14ac:dyDescent="0.35">
      <c r="A2" t="str">
        <f>BudgetInputs!B3&amp;" DL Efficiency Variance Analysis"</f>
        <v>2014 DL Efficiency Variance Analysis</v>
      </c>
    </row>
    <row r="3" spans="1:11" x14ac:dyDescent="0.35">
      <c r="A3" s="2" t="s">
        <v>55</v>
      </c>
      <c r="C3" s="20">
        <f>DLVarianceCalcs!O3</f>
        <v>1296000</v>
      </c>
      <c r="D3" t="s">
        <v>63</v>
      </c>
      <c r="E3" s="20">
        <f>DLVarianceCalcs!P3</f>
        <v>1368000</v>
      </c>
      <c r="F3" t="s">
        <v>63</v>
      </c>
      <c r="G3" s="19">
        <f>DLVarianceCalcs!G3</f>
        <v>19</v>
      </c>
      <c r="H3" s="9" t="s">
        <v>64</v>
      </c>
      <c r="J3" s="19">
        <f>ABS(($C3-$E3)*$G3)</f>
        <v>1368000</v>
      </c>
      <c r="K3" t="str">
        <f>IF($C3=$E3,"",(IF($C3&lt;$E3, "F", "U")))</f>
        <v>F</v>
      </c>
    </row>
    <row r="4" spans="1:11" x14ac:dyDescent="0.35">
      <c r="A4" s="2" t="s">
        <v>56</v>
      </c>
      <c r="C4" s="20">
        <f>DLVarianceCalcs!O4</f>
        <v>630000</v>
      </c>
      <c r="D4" t="s">
        <v>63</v>
      </c>
      <c r="E4" s="20">
        <f>DLVarianceCalcs!P4</f>
        <v>600000</v>
      </c>
      <c r="F4" t="s">
        <v>63</v>
      </c>
      <c r="G4" s="19">
        <f>DLVarianceCalcs!G4</f>
        <v>19</v>
      </c>
      <c r="H4" s="9" t="s">
        <v>64</v>
      </c>
      <c r="J4" s="42">
        <f>ABS(($C4-$E4)*$G4)</f>
        <v>570000</v>
      </c>
      <c r="K4" t="str">
        <f>IF($C4=$E4,"",(IF($C4&lt;$E4, "F", "U")))</f>
        <v>U</v>
      </c>
    </row>
    <row r="5" spans="1:11" ht="15" thickBot="1" x14ac:dyDescent="0.4">
      <c r="A5" s="2" t="s">
        <v>88</v>
      </c>
      <c r="J5" s="43">
        <f>ABS((($C3-$E3)*$G3)+(($C4-$E4)*$G4))</f>
        <v>798000</v>
      </c>
      <c r="K5" t="str">
        <f>IF(J5=0, "", IF(OR(AND(J3&gt;J4, K3="F"),AND(J4&gt;J3, K4="F")), "F","U"))</f>
        <v>F</v>
      </c>
    </row>
    <row r="6" spans="1:11" ht="15" thickTop="1" x14ac:dyDescent="0.35"/>
    <row r="7" spans="1:11" x14ac:dyDescent="0.35">
      <c r="A7" s="2" t="s">
        <v>87</v>
      </c>
      <c r="J7" s="42">
        <f>DLPriceVariance!I5</f>
        <v>3258000</v>
      </c>
      <c r="K7" t="str">
        <f>DLPriceVariance!J5</f>
        <v>U</v>
      </c>
    </row>
    <row r="8" spans="1:11" ht="15" thickBot="1" x14ac:dyDescent="0.4">
      <c r="A8" s="2" t="s">
        <v>107</v>
      </c>
      <c r="J8" s="43">
        <f>ABS((($C3-$E3)*$G3)+(($C4-$E4)*$G4)+(((DLPriceVariance!$C3-DLPriceVariance!$E3)*DLPriceVariance!$G3)+((DLPriceVariance!$C4-DLPriceVariance!$E4)*DLPriceVariance!$G4)))</f>
        <v>2460000</v>
      </c>
      <c r="K8" t="str">
        <f>Budget!P7</f>
        <v>U</v>
      </c>
    </row>
    <row r="9" spans="1:11" ht="15" thickTop="1" x14ac:dyDescent="0.35"/>
    <row r="11" spans="1:11" x14ac:dyDescent="0.35">
      <c r="J11" s="8"/>
    </row>
    <row r="12" spans="1:11" x14ac:dyDescent="0.35">
      <c r="J12" s="8"/>
    </row>
    <row r="13" spans="1:11" x14ac:dyDescent="0.35">
      <c r="J13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A037FB9E344D4C90A8431F400EE5CF" ma:contentTypeVersion="8" ma:contentTypeDescription="Create a new document." ma:contentTypeScope="" ma:versionID="5c12a94872e75fa30f8771efcac8ae20">
  <xsd:schema xmlns:xsd="http://www.w3.org/2001/XMLSchema" xmlns:xs="http://www.w3.org/2001/XMLSchema" xmlns:p="http://schemas.microsoft.com/office/2006/metadata/properties" xmlns:ns2="69f742e2-1021-42c3-96ef-3d17fd823129" xmlns:ns3="0234f73f-4ded-4f98-ac69-d98971715957" targetNamespace="http://schemas.microsoft.com/office/2006/metadata/properties" ma:root="true" ma:fieldsID="c9553ff3bacc64ac74360dc5def5bfa2" ns2:_="" ns3:_="">
    <xsd:import namespace="69f742e2-1021-42c3-96ef-3d17fd823129"/>
    <xsd:import namespace="0234f73f-4ded-4f98-ac69-d989717159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f742e2-1021-42c3-96ef-3d17fd823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4f73f-4ded-4f98-ac69-d9897171595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84AC24-5ABF-49D5-9B8A-CB6AE8965D5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C85123F-B9FB-40A1-8B7D-468A6D260D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ABE94E-5150-4FD1-B452-1EBBC84AE7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f742e2-1021-42c3-96ef-3d17fd823129"/>
    <ds:schemaRef ds:uri="0234f73f-4ded-4f98-ac69-d989717159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Budget</vt:lpstr>
      <vt:lpstr>BudgetInputs</vt:lpstr>
      <vt:lpstr>Sales-Mix VarCalcs</vt:lpstr>
      <vt:lpstr>Sales-Mix Variance</vt:lpstr>
      <vt:lpstr>Sales-Quantity Variance</vt:lpstr>
      <vt:lpstr>Selling-Price Variance</vt:lpstr>
      <vt:lpstr>DLVarianceCalcs</vt:lpstr>
      <vt:lpstr>DLPriceVariance</vt:lpstr>
      <vt:lpstr>DLEfficiencyVariance</vt:lpstr>
      <vt:lpstr>DMPriceVariance</vt:lpstr>
      <vt:lpstr>DMEfficiencyVariance</vt:lpstr>
      <vt:lpstr>VOHVarianceCalcs</vt:lpstr>
      <vt:lpstr>VOHSpendingVariance</vt:lpstr>
      <vt:lpstr>VOHEfficiencyVariance</vt:lpstr>
      <vt:lpstr>Waterfall Chart</vt:lpstr>
    </vt:vector>
  </TitlesOfParts>
  <Company>Holmes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chadd</dc:creator>
  <cp:lastModifiedBy>User</cp:lastModifiedBy>
  <dcterms:created xsi:type="dcterms:W3CDTF">2013-02-26T00:25:43Z</dcterms:created>
  <dcterms:modified xsi:type="dcterms:W3CDTF">2021-09-03T04:19:01Z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0x0101008DA037FB9E344D4C90A8431F400EE5CF</vt:lpwstr>
  </property>
</Properties>
</file>