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cademics\FPAC prep\"/>
    </mc:Choice>
  </mc:AlternateContent>
  <xr:revisionPtr revIDLastSave="0" documentId="8_{E503D718-AA8E-4523-A148-4E56974F7C53}" xr6:coauthVersionLast="47" xr6:coauthVersionMax="47" xr10:uidLastSave="{00000000-0000-0000-0000-000000000000}"/>
  <bookViews>
    <workbookView xWindow="2580" yWindow="2580" windowWidth="14400" windowHeight="7360" xr2:uid="{00000000-000D-0000-FFFF-FFFF00000000}"/>
  </bookViews>
  <sheets>
    <sheet name="HeadcountSummaries" sheetId="2" r:id="rId1"/>
    <sheet name="Headcount" sheetId="1" r:id="rId2"/>
    <sheet name="Inputs" sheetId="3" r:id="rId3"/>
  </sheets>
  <calcPr calcId="191029"/>
</workbook>
</file>

<file path=xl/calcChain.xml><?xml version="1.0" encoding="utf-8"?>
<calcChain xmlns="http://schemas.openxmlformats.org/spreadsheetml/2006/main">
  <c r="C35" i="2" l="1"/>
  <c r="C34" i="2"/>
  <c r="A3" i="1" l="1"/>
  <c r="A2" i="3"/>
  <c r="D29" i="1" l="1"/>
  <c r="E29" i="1"/>
  <c r="F29" i="1"/>
  <c r="C29" i="1"/>
  <c r="D46" i="1"/>
  <c r="E46" i="1"/>
  <c r="F46" i="1"/>
  <c r="C46" i="1"/>
  <c r="D33" i="1"/>
  <c r="E33" i="1"/>
  <c r="F33" i="1"/>
  <c r="C33" i="1"/>
  <c r="Q14" i="2" l="1"/>
  <c r="Q17" i="2" s="1"/>
  <c r="A1" i="2"/>
  <c r="A1" i="3" s="1"/>
  <c r="L37" i="1"/>
  <c r="M37" i="1"/>
  <c r="N37" i="1"/>
  <c r="O37" i="1"/>
  <c r="H37" i="1"/>
  <c r="Q37" i="1" s="1"/>
  <c r="O35" i="1"/>
  <c r="N35" i="1"/>
  <c r="M35" i="1"/>
  <c r="L35" i="1"/>
  <c r="H35" i="1"/>
  <c r="Q35" i="1" s="1"/>
  <c r="O8" i="1"/>
  <c r="O9" i="1"/>
  <c r="O10" i="1"/>
  <c r="O12" i="1"/>
  <c r="O13" i="1"/>
  <c r="O14" i="1"/>
  <c r="O16" i="1"/>
  <c r="O17" i="1"/>
  <c r="O18" i="1"/>
  <c r="O19" i="1"/>
  <c r="O20" i="1"/>
  <c r="O22" i="1"/>
  <c r="O23" i="1"/>
  <c r="O24" i="1"/>
  <c r="O26" i="1"/>
  <c r="O27" i="1"/>
  <c r="O28" i="1"/>
  <c r="O30" i="1"/>
  <c r="O31" i="1"/>
  <c r="O34" i="1"/>
  <c r="O32" i="1"/>
  <c r="O36" i="1"/>
  <c r="O39" i="1"/>
  <c r="O40" i="1"/>
  <c r="O41" i="1"/>
  <c r="O43" i="1"/>
  <c r="O44" i="1"/>
  <c r="N8" i="1"/>
  <c r="N9" i="1"/>
  <c r="N10" i="1"/>
  <c r="N12" i="1"/>
  <c r="N13" i="1"/>
  <c r="N14" i="1"/>
  <c r="N16" i="1"/>
  <c r="N17" i="1"/>
  <c r="N18" i="1"/>
  <c r="N19" i="1"/>
  <c r="N20" i="1"/>
  <c r="N22" i="1"/>
  <c r="N23" i="1"/>
  <c r="N24" i="1"/>
  <c r="N26" i="1"/>
  <c r="N27" i="1"/>
  <c r="N28" i="1"/>
  <c r="N30" i="1"/>
  <c r="N31" i="1"/>
  <c r="N34" i="1"/>
  <c r="N32" i="1"/>
  <c r="N36" i="1"/>
  <c r="N39" i="1"/>
  <c r="N40" i="1"/>
  <c r="N41" i="1"/>
  <c r="N43" i="1"/>
  <c r="N44" i="1"/>
  <c r="M8" i="1"/>
  <c r="M9" i="1"/>
  <c r="M10" i="1"/>
  <c r="M12" i="1"/>
  <c r="M13" i="1"/>
  <c r="M14" i="1"/>
  <c r="M16" i="1"/>
  <c r="M17" i="1"/>
  <c r="M18" i="1"/>
  <c r="M19" i="1"/>
  <c r="M20" i="1"/>
  <c r="M22" i="1"/>
  <c r="M23" i="1"/>
  <c r="M24" i="1"/>
  <c r="M26" i="1"/>
  <c r="M27" i="1"/>
  <c r="M28" i="1"/>
  <c r="M30" i="1"/>
  <c r="M31" i="1"/>
  <c r="M34" i="1"/>
  <c r="M32" i="1"/>
  <c r="M36" i="1"/>
  <c r="M39" i="1"/>
  <c r="M40" i="1"/>
  <c r="M41" i="1"/>
  <c r="M43" i="1"/>
  <c r="M44" i="1"/>
  <c r="L8" i="1"/>
  <c r="L9" i="1"/>
  <c r="L10" i="1"/>
  <c r="L12" i="1"/>
  <c r="L13" i="1"/>
  <c r="L14" i="1"/>
  <c r="L16" i="1"/>
  <c r="L17" i="1"/>
  <c r="L18" i="1"/>
  <c r="L19" i="1"/>
  <c r="L20" i="1"/>
  <c r="L22" i="1"/>
  <c r="L23" i="1"/>
  <c r="L24" i="1"/>
  <c r="L26" i="1"/>
  <c r="L27" i="1"/>
  <c r="L28" i="1"/>
  <c r="L30" i="1"/>
  <c r="L31" i="1"/>
  <c r="L34" i="1"/>
  <c r="L32" i="1"/>
  <c r="L36" i="1"/>
  <c r="L39" i="1"/>
  <c r="L40" i="1"/>
  <c r="L41" i="1"/>
  <c r="L43" i="1"/>
  <c r="L44" i="1"/>
  <c r="O7" i="1"/>
  <c r="N7" i="1"/>
  <c r="M7" i="1"/>
  <c r="L7" i="1"/>
  <c r="D42" i="1"/>
  <c r="E42" i="1"/>
  <c r="F42" i="1"/>
  <c r="C42" i="1"/>
  <c r="D38" i="1"/>
  <c r="E38" i="1"/>
  <c r="F38" i="1"/>
  <c r="C38" i="1"/>
  <c r="D25" i="1"/>
  <c r="E25" i="1"/>
  <c r="F25" i="1"/>
  <c r="C25" i="1"/>
  <c r="D21" i="1"/>
  <c r="E21" i="1"/>
  <c r="F21" i="1"/>
  <c r="C21" i="1"/>
  <c r="D15" i="1"/>
  <c r="E15" i="1"/>
  <c r="F15" i="1"/>
  <c r="C15" i="1"/>
  <c r="D11" i="1"/>
  <c r="E11" i="1"/>
  <c r="F11" i="1"/>
  <c r="C11" i="1"/>
  <c r="M46" i="1" l="1"/>
  <c r="O46" i="1"/>
  <c r="L46" i="1"/>
  <c r="N46" i="1"/>
  <c r="O29" i="1"/>
  <c r="O33" i="1"/>
  <c r="M29" i="1"/>
  <c r="M33" i="1"/>
  <c r="N33" i="1"/>
  <c r="N29" i="1"/>
  <c r="L33" i="1"/>
  <c r="L29" i="1"/>
  <c r="L38" i="1"/>
  <c r="M42" i="1"/>
  <c r="O42" i="1"/>
  <c r="N38" i="1"/>
  <c r="L42" i="1"/>
  <c r="M38" i="1"/>
  <c r="N42" i="1"/>
  <c r="O38" i="1"/>
  <c r="L25" i="1"/>
  <c r="L15" i="1"/>
  <c r="L6" i="1"/>
  <c r="L45" i="1" s="1"/>
  <c r="M21" i="1"/>
  <c r="M11" i="1"/>
  <c r="N25" i="1"/>
  <c r="N15" i="1"/>
  <c r="N6" i="1"/>
  <c r="N45" i="1" s="1"/>
  <c r="O21" i="1"/>
  <c r="O11" i="1"/>
  <c r="L21" i="1"/>
  <c r="L11" i="1"/>
  <c r="M25" i="1"/>
  <c r="M15" i="1"/>
  <c r="M6" i="1"/>
  <c r="M45" i="1" s="1"/>
  <c r="N21" i="1"/>
  <c r="N11" i="1"/>
  <c r="O25" i="1"/>
  <c r="O15" i="1"/>
  <c r="O6" i="1"/>
  <c r="O45" i="1" s="1"/>
  <c r="H33" i="1"/>
  <c r="C16" i="2" s="1"/>
  <c r="O47" i="1" l="1"/>
  <c r="G23" i="2" s="1"/>
  <c r="I23" i="2" s="1"/>
  <c r="K23" i="2" s="1"/>
  <c r="M47" i="1"/>
  <c r="G21" i="2" s="1"/>
  <c r="L47" i="1"/>
  <c r="G20" i="2" s="1"/>
  <c r="I20" i="2" s="1"/>
  <c r="K20" i="2" s="1"/>
  <c r="N47" i="1"/>
  <c r="G22" i="2" s="1"/>
  <c r="I22" i="2" s="1"/>
  <c r="K22" i="2" s="1"/>
  <c r="I21" i="2" l="1"/>
  <c r="K21" i="2" s="1"/>
  <c r="Q5" i="1"/>
  <c r="J5" i="1"/>
  <c r="H5" i="1"/>
  <c r="H7" i="1"/>
  <c r="Q7" i="1" s="1"/>
  <c r="H8" i="1"/>
  <c r="Q8" i="1" s="1"/>
  <c r="H9" i="1"/>
  <c r="Q9" i="1" s="1"/>
  <c r="H10" i="1"/>
  <c r="Q10" i="1" s="1"/>
  <c r="H12" i="1"/>
  <c r="Q12" i="1" s="1"/>
  <c r="H13" i="1"/>
  <c r="Q13" i="1" s="1"/>
  <c r="H14" i="1"/>
  <c r="Q14" i="1" s="1"/>
  <c r="H15" i="1"/>
  <c r="C8" i="2" s="1"/>
  <c r="H16" i="1"/>
  <c r="Q16" i="1" s="1"/>
  <c r="H17" i="1"/>
  <c r="Q17" i="1" s="1"/>
  <c r="H18" i="1"/>
  <c r="Q18" i="1" s="1"/>
  <c r="H19" i="1"/>
  <c r="Q19" i="1" s="1"/>
  <c r="H20" i="1"/>
  <c r="Q20" i="1" s="1"/>
  <c r="H21" i="1"/>
  <c r="C9" i="2" s="1"/>
  <c r="H22" i="1"/>
  <c r="Q22" i="1" s="1"/>
  <c r="H23" i="1"/>
  <c r="Q23" i="1" s="1"/>
  <c r="H24" i="1"/>
  <c r="Q24" i="1" s="1"/>
  <c r="H25" i="1"/>
  <c r="C10" i="2" s="1"/>
  <c r="H26" i="1"/>
  <c r="Q26" i="1" s="1"/>
  <c r="H27" i="1"/>
  <c r="Q27" i="1" s="1"/>
  <c r="H28" i="1"/>
  <c r="Q28" i="1" s="1"/>
  <c r="H29" i="1"/>
  <c r="H30" i="1"/>
  <c r="H31" i="1"/>
  <c r="Q31" i="1" s="1"/>
  <c r="H34" i="1"/>
  <c r="Q34" i="1" s="1"/>
  <c r="H32" i="1"/>
  <c r="Q32" i="1" s="1"/>
  <c r="H36" i="1"/>
  <c r="Q36" i="1" s="1"/>
  <c r="H38" i="1"/>
  <c r="C12" i="2" s="1"/>
  <c r="H39" i="1"/>
  <c r="Q39" i="1" s="1"/>
  <c r="H40" i="1"/>
  <c r="Q40" i="1" s="1"/>
  <c r="H41" i="1"/>
  <c r="Q41" i="1" s="1"/>
  <c r="H42" i="1"/>
  <c r="C13" i="2" s="1"/>
  <c r="H43" i="1"/>
  <c r="Q43" i="1" s="1"/>
  <c r="H44" i="1"/>
  <c r="Q44" i="1" s="1"/>
  <c r="D6" i="1"/>
  <c r="E6" i="1"/>
  <c r="F6" i="1"/>
  <c r="C6" i="1"/>
  <c r="E45" i="1" l="1"/>
  <c r="E47" i="1"/>
  <c r="F45" i="1"/>
  <c r="F47" i="1"/>
  <c r="D45" i="1"/>
  <c r="D47" i="1"/>
  <c r="C45" i="1"/>
  <c r="C47" i="1"/>
  <c r="Q46" i="1"/>
  <c r="Q33" i="1"/>
  <c r="Q30" i="1"/>
  <c r="G11" i="2" s="1"/>
  <c r="C11" i="2"/>
  <c r="Q42" i="1"/>
  <c r="G13" i="2" s="1"/>
  <c r="O13" i="2" s="1"/>
  <c r="O15" i="2" s="1"/>
  <c r="Q38" i="1"/>
  <c r="G12" i="2" s="1"/>
  <c r="H6" i="1"/>
  <c r="C6" i="2" s="1"/>
  <c r="Q21" i="1"/>
  <c r="G9" i="2" s="1"/>
  <c r="Q25" i="1"/>
  <c r="G10" i="2" s="1"/>
  <c r="Q15" i="1"/>
  <c r="G8" i="2" s="1"/>
  <c r="Q11" i="1"/>
  <c r="G7" i="2" s="1"/>
  <c r="Q6" i="1"/>
  <c r="Q45" i="1" l="1"/>
  <c r="G14" i="2" s="1"/>
  <c r="I14" i="2" s="1"/>
  <c r="K14" i="2" s="1"/>
  <c r="H45" i="1"/>
  <c r="C14" i="2" s="1"/>
  <c r="Q29" i="1"/>
  <c r="Q47" i="1" s="1"/>
  <c r="H47" i="1"/>
  <c r="G6" i="2"/>
  <c r="O16" i="2" s="1"/>
  <c r="O8" i="2"/>
  <c r="I8" i="2"/>
  <c r="K8" i="2" s="1"/>
  <c r="O9" i="2"/>
  <c r="I9" i="2"/>
  <c r="K9" i="2" s="1"/>
  <c r="O7" i="2"/>
  <c r="I7" i="2"/>
  <c r="K7" i="2" s="1"/>
  <c r="O10" i="2"/>
  <c r="I10" i="2"/>
  <c r="K10" i="2" s="1"/>
  <c r="O12" i="2"/>
  <c r="I12" i="2"/>
  <c r="K12" i="2" s="1"/>
  <c r="I13" i="2"/>
  <c r="K13" i="2" s="1"/>
  <c r="S13" i="2" s="1"/>
  <c r="O11" i="2"/>
  <c r="I11" i="2"/>
  <c r="K11" i="2" s="1"/>
  <c r="H46" i="1"/>
  <c r="C15" i="2" s="1"/>
  <c r="G15" i="2"/>
  <c r="D29" i="2" l="1"/>
  <c r="D28" i="2"/>
  <c r="D26" i="2"/>
  <c r="I15" i="2"/>
  <c r="K15" i="2" s="1"/>
  <c r="S15" i="2" s="1"/>
  <c r="C17" i="2"/>
  <c r="E14" i="2" s="1"/>
  <c r="O6" i="2"/>
  <c r="I6" i="2"/>
  <c r="K6" i="2" s="1"/>
  <c r="S6" i="2" s="1"/>
  <c r="S12" i="2"/>
  <c r="S11" i="2"/>
  <c r="S10" i="2"/>
  <c r="S7" i="2"/>
  <c r="S9" i="2"/>
  <c r="S8" i="2"/>
  <c r="E12" i="2" l="1"/>
  <c r="E6" i="2"/>
  <c r="E9" i="2"/>
  <c r="E13" i="2"/>
  <c r="E16" i="2"/>
  <c r="E11" i="2"/>
  <c r="E15" i="2"/>
  <c r="E17" i="2"/>
  <c r="E10" i="2"/>
  <c r="E8" i="2"/>
  <c r="O14" i="2"/>
  <c r="S14" i="2" s="1"/>
  <c r="H11" i="1"/>
  <c r="C7" i="2" s="1"/>
  <c r="E7" i="2" s="1"/>
  <c r="O17" i="2" l="1"/>
  <c r="G17" i="2"/>
  <c r="G16" i="2"/>
  <c r="I16" i="2" s="1"/>
  <c r="I17" i="2" l="1"/>
  <c r="K17" i="2" s="1"/>
  <c r="S17" i="2" s="1"/>
  <c r="K16" i="2"/>
  <c r="S16" i="2" s="1"/>
  <c r="U15" i="2" l="1"/>
  <c r="D27" i="2"/>
  <c r="U12" i="2"/>
  <c r="U10" i="2"/>
  <c r="U8" i="2"/>
  <c r="U7" i="2"/>
  <c r="U17" i="2"/>
  <c r="U11" i="2"/>
  <c r="U9" i="2"/>
  <c r="U14" i="2"/>
  <c r="U13" i="2"/>
  <c r="U6" i="2"/>
  <c r="U16" i="2"/>
</calcChain>
</file>

<file path=xl/sharedStrings.xml><?xml version="1.0" encoding="utf-8"?>
<sst xmlns="http://schemas.openxmlformats.org/spreadsheetml/2006/main" count="112" uniqueCount="101">
  <si>
    <t>Quarter Headcount (FTEs)</t>
  </si>
  <si>
    <t>Quarterly Salary Costs</t>
  </si>
  <si>
    <t>Department and Role</t>
  </si>
  <si>
    <t>Executive</t>
  </si>
  <si>
    <t xml:space="preserve">     CEO</t>
  </si>
  <si>
    <t xml:space="preserve">     CFO</t>
  </si>
  <si>
    <t xml:space="preserve">     CIO</t>
  </si>
  <si>
    <t xml:space="preserve">     COO</t>
  </si>
  <si>
    <t>Executive Totals:</t>
  </si>
  <si>
    <t>Finance Totals:</t>
  </si>
  <si>
    <t xml:space="preserve">     VP, Finance</t>
  </si>
  <si>
    <t xml:space="preserve">     Controller</t>
  </si>
  <si>
    <t xml:space="preserve">     Treasurer</t>
  </si>
  <si>
    <t xml:space="preserve">     FP&amp;A</t>
  </si>
  <si>
    <t xml:space="preserve">     Credit Analyst</t>
  </si>
  <si>
    <t>Accounting Totals:</t>
  </si>
  <si>
    <t xml:space="preserve">     VP, Accounting</t>
  </si>
  <si>
    <t xml:space="preserve">     A/R</t>
  </si>
  <si>
    <t xml:space="preserve">     A/P</t>
  </si>
  <si>
    <t>HR Totals:</t>
  </si>
  <si>
    <t xml:space="preserve">     VP, HR</t>
  </si>
  <si>
    <t xml:space="preserve">     Benefits Admin.</t>
  </si>
  <si>
    <t xml:space="preserve">     HR Generalist</t>
  </si>
  <si>
    <t>IT Totals:</t>
  </si>
  <si>
    <t xml:space="preserve">     VP, IT</t>
  </si>
  <si>
    <t xml:space="preserve">     IT Engineer</t>
  </si>
  <si>
    <t xml:space="preserve">     Help Desk</t>
  </si>
  <si>
    <t>Operations Totals:</t>
  </si>
  <si>
    <t xml:space="preserve">     VP, Operations</t>
  </si>
  <si>
    <t xml:space="preserve">     Mine Foreman</t>
  </si>
  <si>
    <t xml:space="preserve">     Mill Foreman</t>
  </si>
  <si>
    <t>Marketing Totals:</t>
  </si>
  <si>
    <t xml:space="preserve">     VP, Marketing</t>
  </si>
  <si>
    <t xml:space="preserve">     Market Analyst</t>
  </si>
  <si>
    <t xml:space="preserve">     Advertising Spec.</t>
  </si>
  <si>
    <t>Sales Totals:</t>
  </si>
  <si>
    <t xml:space="preserve">     VP, Sales</t>
  </si>
  <si>
    <t xml:space="preserve">     Sales Rep.</t>
  </si>
  <si>
    <t>Q1</t>
  </si>
  <si>
    <t>Q2</t>
  </si>
  <si>
    <t>Q3</t>
  </si>
  <si>
    <t>Q4</t>
  </si>
  <si>
    <t>Headcount Budget Inputs for</t>
  </si>
  <si>
    <t>$US (000s)</t>
  </si>
  <si>
    <t>All amounts in US$ thousands (000s)</t>
  </si>
  <si>
    <t xml:space="preserve">     Miner (Unskilled)</t>
  </si>
  <si>
    <t xml:space="preserve">     Miner (Skilled)</t>
  </si>
  <si>
    <t xml:space="preserve">     Miller (Skilled)</t>
  </si>
  <si>
    <t xml:space="preserve">     Miller (Unskilled)</t>
  </si>
  <si>
    <t xml:space="preserve">  Direct Labor Totals:</t>
  </si>
  <si>
    <t>Headcount Totals:</t>
  </si>
  <si>
    <t>Indirect Labor Totals:</t>
  </si>
  <si>
    <t>Annual Salary</t>
  </si>
  <si>
    <t>Salary Cost</t>
  </si>
  <si>
    <t>Copper Mine Co. Panama Mine Division Department Headcount Projection</t>
  </si>
  <si>
    <t>Department Summaries</t>
  </si>
  <si>
    <t>Finance</t>
  </si>
  <si>
    <t>Accounting</t>
  </si>
  <si>
    <t>HR</t>
  </si>
  <si>
    <t>IT</t>
  </si>
  <si>
    <t>Marketing</t>
  </si>
  <si>
    <t>Sales</t>
  </si>
  <si>
    <t>Total Employees</t>
  </si>
  <si>
    <t>Total Salary</t>
  </si>
  <si>
    <t xml:space="preserve">  Total</t>
  </si>
  <si>
    <t>Fringe Benefits</t>
  </si>
  <si>
    <t>Salary + Benefits</t>
  </si>
  <si>
    <t>Bonus Rate</t>
  </si>
  <si>
    <t>Bonuses</t>
  </si>
  <si>
    <t>Stock Options</t>
  </si>
  <si>
    <t>Total Comp.</t>
  </si>
  <si>
    <t>Operations VP</t>
  </si>
  <si>
    <t>Com-Size Comp.</t>
  </si>
  <si>
    <t>Com-Size</t>
  </si>
  <si>
    <t>Operations DL</t>
  </si>
  <si>
    <t xml:space="preserve">  Q1</t>
  </si>
  <si>
    <t xml:space="preserve">  Q2</t>
  </si>
  <si>
    <t xml:space="preserve">  Q3</t>
  </si>
  <si>
    <t xml:space="preserve">  Q4</t>
  </si>
  <si>
    <t>Metrics:</t>
  </si>
  <si>
    <t>US$ (000s)</t>
  </si>
  <si>
    <t>Quarterly Projections</t>
  </si>
  <si>
    <t>Management Totals:</t>
  </si>
  <si>
    <t>EBITDA</t>
  </si>
  <si>
    <t>Percent of Revenue</t>
  </si>
  <si>
    <t>Projected Revenue</t>
  </si>
  <si>
    <t>Fringe Benefits Rate</t>
  </si>
  <si>
    <t>Projected Profit Margin</t>
  </si>
  <si>
    <t>Projected EBITDA Margin</t>
  </si>
  <si>
    <t>Percent of Total Salary</t>
  </si>
  <si>
    <t>EBITDA/FTE</t>
  </si>
  <si>
    <t>Net Income/FTE</t>
  </si>
  <si>
    <t>Total Comp./FTE</t>
  </si>
  <si>
    <t>Revenue/FTE</t>
  </si>
  <si>
    <t>Management Total</t>
  </si>
  <si>
    <t>Indirect Labor Total</t>
  </si>
  <si>
    <r>
      <t xml:space="preserve">Headcount </t>
    </r>
    <r>
      <rPr>
        <b/>
        <sz val="9"/>
        <color theme="1"/>
        <rFont val="Calibri"/>
        <family val="2"/>
        <scheme val="minor"/>
      </rPr>
      <t>(Qtr SUM/4)</t>
    </r>
  </si>
  <si>
    <t>Inputs Tab</t>
  </si>
  <si>
    <t>Headcount Calculations Tab</t>
  </si>
  <si>
    <t>Headcount Summaries Tab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</si>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</sst>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0.0"/>
    <numFmt numFmtId="165" formatCode="0.0%"/>
    <numFmt numFmtId="166" formatCode="&quot;$&quot;#,##0,;[Red]\(&quot;$&quot;#,##0,\)"/>
  </numFmts>
  <fonts count="7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5" fillId="5" borderId="0" applyNumberFormat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Fill="1" applyBorder="1"/>
    <xf numFmtId="164" fontId="0" fillId="0" borderId="0" xfId="0" applyNumberFormat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164" fontId="2" fillId="0" borderId="0" xfId="0" applyNumberFormat="1" applyFont="1"/>
    <xf numFmtId="0" fontId="2" fillId="3" borderId="0" xfId="0" applyFont="1" applyFill="1" applyBorder="1"/>
    <xf numFmtId="0" fontId="0" fillId="3" borderId="0" xfId="0" applyFill="1"/>
    <xf numFmtId="164" fontId="0" fillId="3" borderId="0" xfId="0" applyNumberFormat="1" applyFill="1"/>
    <xf numFmtId="6" fontId="0" fillId="0" borderId="0" xfId="0" applyNumberFormat="1"/>
    <xf numFmtId="164" fontId="3" fillId="3" borderId="0" xfId="0" applyNumberFormat="1" applyFont="1" applyFill="1"/>
    <xf numFmtId="0" fontId="4" fillId="3" borderId="0" xfId="0" applyFont="1" applyFill="1"/>
    <xf numFmtId="0" fontId="0" fillId="0" borderId="0" xfId="0" applyFont="1"/>
    <xf numFmtId="164" fontId="0" fillId="0" borderId="2" xfId="0" applyNumberFormat="1" applyBorder="1"/>
    <xf numFmtId="0" fontId="0" fillId="0" borderId="3" xfId="0" applyBorder="1"/>
    <xf numFmtId="0" fontId="0" fillId="0" borderId="2" xfId="0" applyBorder="1"/>
    <xf numFmtId="9" fontId="0" fillId="0" borderId="0" xfId="0" applyNumberFormat="1"/>
    <xf numFmtId="165" fontId="0" fillId="0" borderId="0" xfId="0" applyNumberFormat="1"/>
    <xf numFmtId="165" fontId="0" fillId="0" borderId="3" xfId="0" applyNumberFormat="1" applyBorder="1"/>
    <xf numFmtId="165" fontId="0" fillId="0" borderId="2" xfId="0" applyNumberFormat="1" applyBorder="1"/>
    <xf numFmtId="0" fontId="2" fillId="4" borderId="0" xfId="0" applyFont="1" applyFill="1" applyBorder="1"/>
    <xf numFmtId="0" fontId="0" fillId="4" borderId="0" xfId="0" applyFill="1"/>
    <xf numFmtId="164" fontId="0" fillId="4" borderId="0" xfId="0" applyNumberFormat="1" applyFill="1"/>
    <xf numFmtId="165" fontId="0" fillId="0" borderId="0" xfId="0" applyNumberFormat="1" applyBorder="1"/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166" fontId="0" fillId="0" borderId="0" xfId="0" applyNumberFormat="1"/>
    <xf numFmtId="166" fontId="2" fillId="0" borderId="0" xfId="0" applyNumberFormat="1" applyFont="1"/>
    <xf numFmtId="166" fontId="0" fillId="0" borderId="2" xfId="0" applyNumberFormat="1" applyBorder="1"/>
    <xf numFmtId="166" fontId="0" fillId="0" borderId="3" xfId="0" applyNumberFormat="1" applyBorder="1"/>
    <xf numFmtId="166" fontId="0" fillId="3" borderId="0" xfId="0" applyNumberFormat="1" applyFill="1"/>
    <xf numFmtId="166" fontId="1" fillId="2" borderId="1" xfId="1" applyNumberFormat="1" applyAlignment="1">
      <alignment horizontal="center"/>
    </xf>
    <xf numFmtId="0" fontId="2" fillId="0" borderId="2" xfId="0" applyFont="1" applyBorder="1" applyAlignment="1">
      <alignment horizontal="center"/>
    </xf>
    <xf numFmtId="0" fontId="5" fillId="5" borderId="1" xfId="2" applyBorder="1" applyAlignment="1">
      <alignment horizontal="center"/>
    </xf>
    <xf numFmtId="166" fontId="5" fillId="5" borderId="1" xfId="2" applyNumberFormat="1" applyBorder="1" applyAlignment="1">
      <alignment horizontal="center"/>
    </xf>
    <xf numFmtId="165" fontId="5" fillId="5" borderId="4" xfId="2" applyNumberFormat="1" applyBorder="1" applyAlignment="1">
      <alignment horizontal="center"/>
    </xf>
    <xf numFmtId="165" fontId="5" fillId="5" borderId="5" xfId="2" applyNumberFormat="1" applyBorder="1" applyAlignment="1">
      <alignment horizontal="center"/>
    </xf>
    <xf numFmtId="165" fontId="5" fillId="5" borderId="6" xfId="2" applyNumberFormat="1" applyBorder="1" applyAlignment="1">
      <alignment horizontal="center"/>
    </xf>
  </cellXfs>
  <cellStyles count="3">
    <cellStyle name="20% - Accent1" xfId="2" builtinId="30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Qtr. Projections</a:t>
            </a:r>
          </a:p>
        </c:rich>
      </c:tx>
      <c:layout>
        <c:manualLayout>
          <c:xMode val="edge"/>
          <c:yMode val="edge"/>
          <c:x val="0.59888676599248636"/>
          <c:y val="4.9435028248587573E-2"/>
        </c:manualLayout>
      </c:layout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HeadcountSummaries!$A$20:$A$23</c:f>
              <c:strCache>
                <c:ptCount val="4"/>
                <c:pt idx="0">
                  <c:v>  Q1</c:v>
                </c:pt>
                <c:pt idx="1">
                  <c:v>  Q2</c:v>
                </c:pt>
                <c:pt idx="2">
                  <c:v>  Q3</c:v>
                </c:pt>
                <c:pt idx="3">
                  <c:v>  Q4</c:v>
                </c:pt>
              </c:strCache>
            </c:strRef>
          </c:tx>
          <c:invertIfNegative val="0"/>
          <c:cat>
            <c:strRef>
              <c:f>HeadcountSummaries!$A$20:$A$23</c:f>
              <c:strCache>
                <c:ptCount val="4"/>
                <c:pt idx="0">
                  <c:v>  Q1</c:v>
                </c:pt>
                <c:pt idx="1">
                  <c:v>  Q2</c:v>
                </c:pt>
                <c:pt idx="2">
                  <c:v>  Q3</c:v>
                </c:pt>
                <c:pt idx="3">
                  <c:v>  Q4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5D2F-4DCF-8488-54C896BA7C93}"/>
            </c:ext>
          </c:extLst>
        </c:ser>
        <c:ser>
          <c:idx val="1"/>
          <c:order val="1"/>
          <c:tx>
            <c:strRef>
              <c:f>HeadcountSummaries!$G$19</c:f>
              <c:strCache>
                <c:ptCount val="1"/>
                <c:pt idx="0">
                  <c:v>Total Salary</c:v>
                </c:pt>
              </c:strCache>
            </c:strRef>
          </c:tx>
          <c:invertIfNegative val="0"/>
          <c:cat>
            <c:strRef>
              <c:f>HeadcountSummaries!$A$20:$A$23</c:f>
              <c:strCache>
                <c:ptCount val="4"/>
                <c:pt idx="0">
                  <c:v>  Q1</c:v>
                </c:pt>
                <c:pt idx="1">
                  <c:v>  Q2</c:v>
                </c:pt>
                <c:pt idx="2">
                  <c:v>  Q3</c:v>
                </c:pt>
                <c:pt idx="3">
                  <c:v>  Q4</c:v>
                </c:pt>
              </c:strCache>
            </c:strRef>
          </c:cat>
          <c:val>
            <c:numRef>
              <c:f>HeadcountSummaries!$G$20:$G$23</c:f>
              <c:numCache>
                <c:formatCode>"$"#,##0,;[Red]\("$"#,##0,\)</c:formatCode>
                <c:ptCount val="4"/>
                <c:pt idx="0">
                  <c:v>12395250</c:v>
                </c:pt>
                <c:pt idx="1">
                  <c:v>12477750</c:v>
                </c:pt>
                <c:pt idx="2">
                  <c:v>11802750</c:v>
                </c:pt>
                <c:pt idx="3">
                  <c:v>11750250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2F-4DCF-8488-54C896BA7C93}"/>
            </c:ext>
          </c:extLst>
        </c:ser>
        <c:ser>
          <c:idx val="2"/>
          <c:order val="2"/>
          <c:tx>
            <c:strRef>
              <c:f>HeadcountSummaries!$I$19</c:f>
              <c:strCache>
                <c:ptCount val="1"/>
                <c:pt idx="0">
                  <c:v>Fringe Benefits</c:v>
                </c:pt>
              </c:strCache>
            </c:strRef>
          </c:tx>
          <c:invertIfNegative val="0"/>
          <c:cat>
            <c:strRef>
              <c:f>HeadcountSummaries!$A$20:$A$23</c:f>
              <c:strCache>
                <c:ptCount val="4"/>
                <c:pt idx="0">
                  <c:v>  Q1</c:v>
                </c:pt>
                <c:pt idx="1">
                  <c:v>  Q2</c:v>
                </c:pt>
                <c:pt idx="2">
                  <c:v>  Q3</c:v>
                </c:pt>
                <c:pt idx="3">
                  <c:v>  Q4</c:v>
                </c:pt>
              </c:strCache>
            </c:strRef>
          </c:cat>
          <c:val>
            <c:numRef>
              <c:f>HeadcountSummaries!$I$20:$I$23</c:f>
              <c:numCache>
                <c:formatCode>"$"#,##0,;[Red]\("$"#,##0,\)</c:formatCode>
                <c:ptCount val="4"/>
                <c:pt idx="0">
                  <c:v>3222765</c:v>
                </c:pt>
                <c:pt idx="1">
                  <c:v>3244215</c:v>
                </c:pt>
                <c:pt idx="2">
                  <c:v>3068715</c:v>
                </c:pt>
                <c:pt idx="3">
                  <c:v>3055065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2F-4DCF-8488-54C896BA7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89109488"/>
        <c:axId val="-1489117648"/>
      </c:barChart>
      <c:catAx>
        <c:axId val="-148910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489117648"/>
        <c:crossesAt val="0"/>
        <c:auto val="1"/>
        <c:lblAlgn val="ctr"/>
        <c:lblOffset val="100"/>
        <c:noMultiLvlLbl val="0"/>
      </c:catAx>
      <c:valAx>
        <c:axId val="-1489117648"/>
        <c:scaling>
          <c:orientation val="minMax"/>
        </c:scaling>
        <c:delete val="0"/>
        <c:axPos val="l"/>
        <c:majorGridlines/>
        <c:numFmt formatCode="&quot;$&quot;#,##0" sourceLinked="0"/>
        <c:majorTickMark val="out"/>
        <c:minorTickMark val="none"/>
        <c:tickLblPos val="nextTo"/>
        <c:crossAx val="-1489109488"/>
        <c:crosses val="autoZero"/>
        <c:crossBetween val="between"/>
      </c:valAx>
    </c:plotArea>
    <c:legend>
      <c:legendPos val="r"/>
      <c:legendEntry>
        <c:idx val="2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</xdr:colOff>
      <xdr:row>18</xdr:row>
      <xdr:rowOff>83820</xdr:rowOff>
    </xdr:from>
    <xdr:to>
      <xdr:col>20</xdr:col>
      <xdr:colOff>556260</xdr:colOff>
      <xdr:row>28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"/>
  <sheetViews>
    <sheetView tabSelected="1" topLeftCell="A3" zoomScale="115" zoomScaleNormal="115" workbookViewId="0">
      <selection activeCell="D29" sqref="D29:G29"/>
    </sheetView>
  </sheetViews>
  <sheetFormatPr defaultRowHeight="14.5" x14ac:dyDescent="0.35"/>
  <cols>
    <col min="1" max="1" width="17.453125" customWidth="1"/>
    <col min="2" max="2" width="0.453125" customWidth="1"/>
    <col min="3" max="3" width="9.90625" customWidth="1"/>
    <col min="4" max="4" width="0.81640625" customWidth="1"/>
    <col min="5" max="5" width="7" customWidth="1"/>
    <col min="6" max="6" width="0.81640625" customWidth="1"/>
    <col min="7" max="7" width="8" customWidth="1"/>
    <col min="8" max="8" width="0.81640625" customWidth="1"/>
    <col min="9" max="9" width="9.08984375" customWidth="1"/>
    <col min="10" max="10" width="0.6328125" customWidth="1"/>
    <col min="12" max="12" width="0.6328125" customWidth="1"/>
    <col min="13" max="13" width="6.453125" customWidth="1"/>
    <col min="14" max="14" width="0.54296875" customWidth="1"/>
    <col min="15" max="15" width="7.36328125" customWidth="1"/>
    <col min="16" max="16" width="0.6328125" customWidth="1"/>
    <col min="18" max="18" width="0.54296875" customWidth="1"/>
    <col min="19" max="19" width="8.36328125" customWidth="1"/>
    <col min="20" max="20" width="0.54296875" customWidth="1"/>
    <col min="21" max="21" width="8.54296875" customWidth="1"/>
  </cols>
  <sheetData>
    <row r="1" spans="1:21" x14ac:dyDescent="0.35">
      <c r="A1" s="1" t="str">
        <f>Headcount!A1</f>
        <v>Copper Mine Co. Panama Mine Division Department Headcount Projection</v>
      </c>
    </row>
    <row r="2" spans="1:21" x14ac:dyDescent="0.35">
      <c r="A2" s="1" t="s">
        <v>99</v>
      </c>
    </row>
    <row r="3" spans="1:21" x14ac:dyDescent="0.35">
      <c r="A3" s="16" t="s">
        <v>44</v>
      </c>
    </row>
    <row r="4" spans="1:21" ht="2.4" customHeight="1" x14ac:dyDescent="0.35"/>
    <row r="5" spans="1:21" ht="28.75" customHeight="1" x14ac:dyDescent="0.35">
      <c r="A5" s="3" t="s">
        <v>55</v>
      </c>
      <c r="C5" s="3" t="s">
        <v>62</v>
      </c>
      <c r="E5" s="3" t="s">
        <v>73</v>
      </c>
      <c r="G5" s="3" t="s">
        <v>63</v>
      </c>
      <c r="I5" s="3" t="s">
        <v>65</v>
      </c>
      <c r="K5" s="3" t="s">
        <v>66</v>
      </c>
      <c r="M5" s="3" t="s">
        <v>67</v>
      </c>
      <c r="O5" s="2" t="s">
        <v>68</v>
      </c>
      <c r="Q5" s="3" t="s">
        <v>69</v>
      </c>
      <c r="S5" s="3" t="s">
        <v>70</v>
      </c>
      <c r="U5" s="3" t="s">
        <v>72</v>
      </c>
    </row>
    <row r="6" spans="1:21" x14ac:dyDescent="0.35">
      <c r="A6" t="s">
        <v>3</v>
      </c>
      <c r="C6" s="6">
        <f>Headcount!H6</f>
        <v>4</v>
      </c>
      <c r="E6" s="21">
        <f>$C6/$C$17</f>
        <v>4.7704233750745376E-3</v>
      </c>
      <c r="G6" s="30">
        <f>Headcount!Q6</f>
        <v>3400000</v>
      </c>
      <c r="I6" s="30">
        <f>$G6*Inputs!$D$8</f>
        <v>884000</v>
      </c>
      <c r="K6" s="30">
        <f>SUM($G6,$I6)</f>
        <v>4284000</v>
      </c>
      <c r="M6" s="20">
        <v>0.12</v>
      </c>
      <c r="O6" s="30">
        <f>$M6*$G6</f>
        <v>408000</v>
      </c>
      <c r="Q6" s="30">
        <v>700000</v>
      </c>
      <c r="S6" s="30">
        <f>SUM($K6,$O6,$Q6)</f>
        <v>5392000</v>
      </c>
      <c r="U6" s="21">
        <f>$S6/$S$17</f>
        <v>8.5810463274649501E-2</v>
      </c>
    </row>
    <row r="7" spans="1:21" x14ac:dyDescent="0.35">
      <c r="A7" t="s">
        <v>56</v>
      </c>
      <c r="C7" s="6">
        <f>Headcount!H11</f>
        <v>4.25</v>
      </c>
      <c r="E7" s="21">
        <f t="shared" ref="E7:E17" si="0">$C7/$C$17</f>
        <v>5.0685748360166961E-3</v>
      </c>
      <c r="G7" s="30">
        <f>Headcount!Q11</f>
        <v>605000</v>
      </c>
      <c r="I7" s="30">
        <f>$G7*Inputs!$D$8</f>
        <v>157300</v>
      </c>
      <c r="K7" s="30">
        <f t="shared" ref="K7:K17" si="1">SUM($G7,$I7)</f>
        <v>762300</v>
      </c>
      <c r="M7" s="20">
        <v>0.08</v>
      </c>
      <c r="O7" s="30">
        <f t="shared" ref="O7:O13" si="2">$M7*$G7</f>
        <v>48400</v>
      </c>
      <c r="Q7" s="30">
        <v>50000</v>
      </c>
      <c r="S7" s="30">
        <f t="shared" ref="S7:S17" si="3">SUM($K7,$O7,$Q7)</f>
        <v>860700</v>
      </c>
      <c r="U7" s="21">
        <f t="shared" ref="U7:U17" si="4">$S7/$S$17</f>
        <v>1.369752702902278E-2</v>
      </c>
    </row>
    <row r="8" spans="1:21" x14ac:dyDescent="0.35">
      <c r="A8" t="s">
        <v>57</v>
      </c>
      <c r="C8" s="6">
        <f>Headcount!H15</f>
        <v>11</v>
      </c>
      <c r="E8" s="21">
        <f t="shared" si="0"/>
        <v>1.3118664281454979E-2</v>
      </c>
      <c r="G8" s="30">
        <f>Headcount!Q15</f>
        <v>1140000</v>
      </c>
      <c r="I8" s="30">
        <f>$G8*Inputs!$D$8</f>
        <v>296400</v>
      </c>
      <c r="K8" s="30">
        <f t="shared" si="1"/>
        <v>1436400</v>
      </c>
      <c r="O8" s="30">
        <f t="shared" si="2"/>
        <v>0</v>
      </c>
      <c r="Q8" s="30">
        <v>50000</v>
      </c>
      <c r="S8" s="30">
        <f t="shared" si="3"/>
        <v>1486400</v>
      </c>
      <c r="U8" s="21">
        <f t="shared" si="4"/>
        <v>2.3655169252863321E-2</v>
      </c>
    </row>
    <row r="9" spans="1:21" x14ac:dyDescent="0.35">
      <c r="A9" t="s">
        <v>58</v>
      </c>
      <c r="C9" s="6">
        <f>Headcount!H21</f>
        <v>6</v>
      </c>
      <c r="E9" s="21">
        <f t="shared" si="0"/>
        <v>7.1556350626118068E-3</v>
      </c>
      <c r="G9" s="30">
        <f>Headcount!Q21</f>
        <v>570000</v>
      </c>
      <c r="I9" s="30">
        <f>$G9*Inputs!$D$8</f>
        <v>148200</v>
      </c>
      <c r="K9" s="30">
        <f t="shared" si="1"/>
        <v>718200</v>
      </c>
      <c r="O9" s="30">
        <f t="shared" si="2"/>
        <v>0</v>
      </c>
      <c r="Q9" s="30">
        <v>50000</v>
      </c>
      <c r="S9" s="30">
        <f t="shared" si="3"/>
        <v>768200</v>
      </c>
      <c r="U9" s="21">
        <f t="shared" si="4"/>
        <v>1.2225444712089344E-2</v>
      </c>
    </row>
    <row r="10" spans="1:21" x14ac:dyDescent="0.35">
      <c r="A10" t="s">
        <v>59</v>
      </c>
      <c r="C10" s="6">
        <f>Headcount!H25</f>
        <v>9.5</v>
      </c>
      <c r="E10" s="21">
        <f t="shared" si="0"/>
        <v>1.1329755515802028E-2</v>
      </c>
      <c r="G10" s="30">
        <f>Headcount!Q25</f>
        <v>1160000</v>
      </c>
      <c r="I10" s="30">
        <f>$G10*Inputs!$D$8</f>
        <v>301600</v>
      </c>
      <c r="K10" s="30">
        <f t="shared" si="1"/>
        <v>1461600</v>
      </c>
      <c r="O10" s="30">
        <f t="shared" si="2"/>
        <v>0</v>
      </c>
      <c r="Q10" s="30">
        <v>50000</v>
      </c>
      <c r="S10" s="30">
        <f t="shared" si="3"/>
        <v>1511600</v>
      </c>
      <c r="U10" s="21">
        <f t="shared" si="4"/>
        <v>2.4056212219206265E-2</v>
      </c>
    </row>
    <row r="11" spans="1:21" x14ac:dyDescent="0.35">
      <c r="A11" t="s">
        <v>71</v>
      </c>
      <c r="C11" s="6">
        <f>Headcount!H30</f>
        <v>1</v>
      </c>
      <c r="E11" s="21">
        <f t="shared" si="0"/>
        <v>1.1926058437686344E-3</v>
      </c>
      <c r="G11" s="30">
        <f>Headcount!Q30</f>
        <v>260000</v>
      </c>
      <c r="I11" s="30">
        <f>$G11*Inputs!$D$8</f>
        <v>67600</v>
      </c>
      <c r="K11" s="30">
        <f t="shared" si="1"/>
        <v>327600</v>
      </c>
      <c r="M11" s="20">
        <v>0.1</v>
      </c>
      <c r="O11" s="30">
        <f t="shared" si="2"/>
        <v>26000</v>
      </c>
      <c r="Q11" s="30">
        <v>50000</v>
      </c>
      <c r="S11" s="30">
        <f t="shared" si="3"/>
        <v>403600</v>
      </c>
      <c r="U11" s="21">
        <f t="shared" si="4"/>
        <v>6.423053222857667E-3</v>
      </c>
    </row>
    <row r="12" spans="1:21" x14ac:dyDescent="0.35">
      <c r="A12" t="s">
        <v>60</v>
      </c>
      <c r="C12" s="6">
        <f>Headcount!H38</f>
        <v>3</v>
      </c>
      <c r="E12" s="21">
        <f t="shared" si="0"/>
        <v>3.5778175313059034E-3</v>
      </c>
      <c r="G12" s="30">
        <f>Headcount!Q38</f>
        <v>490000</v>
      </c>
      <c r="I12" s="30">
        <f>$G12*Inputs!$D$8</f>
        <v>127400</v>
      </c>
      <c r="K12" s="30">
        <f t="shared" si="1"/>
        <v>617400</v>
      </c>
      <c r="M12" s="20">
        <v>0.05</v>
      </c>
      <c r="O12" s="30">
        <f t="shared" si="2"/>
        <v>24500</v>
      </c>
      <c r="Q12" s="30">
        <v>50000</v>
      </c>
      <c r="S12" s="30">
        <f t="shared" si="3"/>
        <v>691900</v>
      </c>
      <c r="U12" s="21">
        <f t="shared" si="4"/>
        <v>1.101117573066209E-2</v>
      </c>
    </row>
    <row r="13" spans="1:21" x14ac:dyDescent="0.35">
      <c r="A13" t="s">
        <v>61</v>
      </c>
      <c r="C13" s="17">
        <f>Headcount!H42</f>
        <v>4.75</v>
      </c>
      <c r="E13" s="23">
        <f t="shared" si="0"/>
        <v>5.6648777579010141E-3</v>
      </c>
      <c r="G13" s="32">
        <f>Headcount!Q42</f>
        <v>750000</v>
      </c>
      <c r="I13" s="32">
        <f>$G13*Inputs!$D$8</f>
        <v>195000</v>
      </c>
      <c r="K13" s="32">
        <f t="shared" si="1"/>
        <v>945000</v>
      </c>
      <c r="M13" s="20">
        <v>0.35</v>
      </c>
      <c r="O13" s="32">
        <f t="shared" si="2"/>
        <v>262500</v>
      </c>
      <c r="Q13" s="32">
        <v>50000</v>
      </c>
      <c r="S13" s="32">
        <f>SUM($K13,$O13,$Q13)</f>
        <v>1257500</v>
      </c>
      <c r="U13" s="23">
        <f t="shared" si="4"/>
        <v>2.0012362308581555E-2</v>
      </c>
    </row>
    <row r="14" spans="1:21" x14ac:dyDescent="0.35">
      <c r="A14" s="29" t="s">
        <v>94</v>
      </c>
      <c r="C14" s="17">
        <f>Headcount!H45</f>
        <v>27</v>
      </c>
      <c r="E14" s="23">
        <f t="shared" si="0"/>
        <v>3.2200357781753133E-2</v>
      </c>
      <c r="G14" s="32">
        <f>Headcount!Q45</f>
        <v>16360000</v>
      </c>
      <c r="I14" s="32">
        <f>$G14*Inputs!$D$8</f>
        <v>4253600</v>
      </c>
      <c r="K14" s="32">
        <f t="shared" si="1"/>
        <v>20613600</v>
      </c>
      <c r="M14" s="20"/>
      <c r="O14" s="32">
        <f>SUM(O6:O12)+(Headcount!Q43*M13)</f>
        <v>611900</v>
      </c>
      <c r="Q14" s="32">
        <f>SUM(Q6:Q13)</f>
        <v>1050000</v>
      </c>
      <c r="S14" s="32">
        <f>SUM($K14,$O14,$Q14)</f>
        <v>22275500</v>
      </c>
      <c r="U14" s="27">
        <f>$S14/$S$17</f>
        <v>0.35450129352271048</v>
      </c>
    </row>
    <row r="15" spans="1:21" x14ac:dyDescent="0.35">
      <c r="A15" s="29" t="s">
        <v>95</v>
      </c>
      <c r="C15" s="19">
        <f>Headcount!H46</f>
        <v>32.5</v>
      </c>
      <c r="E15" s="23">
        <f t="shared" si="0"/>
        <v>3.875968992248062E-2</v>
      </c>
      <c r="G15" s="32">
        <f>Headcount!Q46</f>
        <v>3215000</v>
      </c>
      <c r="I15" s="32">
        <f>$G15*Inputs!$D$8</f>
        <v>835900</v>
      </c>
      <c r="K15" s="32">
        <f>SUM($G15,$I15)</f>
        <v>4050900</v>
      </c>
      <c r="O15" s="32">
        <f>O13-(Headcount!Q43*M13)</f>
        <v>157500</v>
      </c>
      <c r="Q15" s="32">
        <v>0</v>
      </c>
      <c r="S15" s="32">
        <f>SUM($K15,$O15,$Q15)</f>
        <v>4208400</v>
      </c>
      <c r="U15" s="27">
        <f>$S15/$S$17</f>
        <v>6.6974175379272069E-2</v>
      </c>
    </row>
    <row r="16" spans="1:21" x14ac:dyDescent="0.35">
      <c r="A16" t="s">
        <v>74</v>
      </c>
      <c r="C16" s="17">
        <f>Headcount!H33</f>
        <v>779</v>
      </c>
      <c r="E16" s="21">
        <f t="shared" si="0"/>
        <v>0.9290399522957663</v>
      </c>
      <c r="G16" s="32">
        <f>Headcount!Q33</f>
        <v>28851000</v>
      </c>
      <c r="I16" s="32">
        <f>$G16*Inputs!$D$8</f>
        <v>7501260</v>
      </c>
      <c r="K16" s="32">
        <f t="shared" si="1"/>
        <v>36352260</v>
      </c>
      <c r="O16" s="32">
        <f>$M16*G$6</f>
        <v>0</v>
      </c>
      <c r="Q16" s="32">
        <v>0</v>
      </c>
      <c r="S16" s="32">
        <f>SUM($K16,$O16,$Q16)</f>
        <v>36352260</v>
      </c>
      <c r="U16" s="21">
        <f t="shared" si="4"/>
        <v>0.57852453109801749</v>
      </c>
    </row>
    <row r="17" spans="1:21" ht="15" thickBot="1" x14ac:dyDescent="0.4">
      <c r="A17" t="s">
        <v>64</v>
      </c>
      <c r="C17" s="18">
        <f>Headcount!H47</f>
        <v>838.5</v>
      </c>
      <c r="E17" s="22">
        <f t="shared" si="0"/>
        <v>1</v>
      </c>
      <c r="G17" s="33">
        <f>Headcount!Q47</f>
        <v>48426000</v>
      </c>
      <c r="I17" s="33">
        <f>$G17*Inputs!$D$8</f>
        <v>12590760</v>
      </c>
      <c r="K17" s="33">
        <f t="shared" si="1"/>
        <v>61016760</v>
      </c>
      <c r="O17" s="33">
        <f>SUM(O14:O16)</f>
        <v>769400</v>
      </c>
      <c r="Q17" s="33">
        <f>SUM(Q14:Q16)</f>
        <v>1050000</v>
      </c>
      <c r="S17" s="33">
        <f t="shared" si="3"/>
        <v>62836160</v>
      </c>
      <c r="U17" s="22">
        <f t="shared" si="4"/>
        <v>1</v>
      </c>
    </row>
    <row r="18" spans="1:21" ht="3.65" customHeight="1" thickTop="1" x14ac:dyDescent="0.35"/>
    <row r="19" spans="1:21" ht="29" x14ac:dyDescent="0.35">
      <c r="A19" s="1" t="s">
        <v>81</v>
      </c>
      <c r="G19" s="3" t="s">
        <v>63</v>
      </c>
      <c r="I19" s="3" t="s">
        <v>65</v>
      </c>
      <c r="K19" s="3" t="s">
        <v>66</v>
      </c>
    </row>
    <row r="20" spans="1:21" x14ac:dyDescent="0.35">
      <c r="A20" t="s">
        <v>75</v>
      </c>
      <c r="G20" s="30">
        <f>Headcount!L47</f>
        <v>12395250</v>
      </c>
      <c r="I20" s="30">
        <f>$G20*Inputs!$D$8</f>
        <v>3222765</v>
      </c>
      <c r="K20" s="30">
        <f>$G20+$I20</f>
        <v>15618015</v>
      </c>
    </row>
    <row r="21" spans="1:21" x14ac:dyDescent="0.35">
      <c r="A21" t="s">
        <v>76</v>
      </c>
      <c r="G21" s="30">
        <f>Headcount!M47</f>
        <v>12477750</v>
      </c>
      <c r="I21" s="30">
        <f>$G21*Inputs!$D$8</f>
        <v>3244215</v>
      </c>
      <c r="K21" s="30">
        <f t="shared" ref="K21:K23" si="5">$G21+$I21</f>
        <v>15721965</v>
      </c>
    </row>
    <row r="22" spans="1:21" x14ac:dyDescent="0.35">
      <c r="A22" t="s">
        <v>77</v>
      </c>
      <c r="G22" s="30">
        <f>Headcount!N47</f>
        <v>11802750</v>
      </c>
      <c r="I22" s="30">
        <f>$G22*Inputs!$D$8</f>
        <v>3068715</v>
      </c>
      <c r="K22" s="30">
        <f t="shared" si="5"/>
        <v>14871465</v>
      </c>
    </row>
    <row r="23" spans="1:21" x14ac:dyDescent="0.35">
      <c r="A23" t="s">
        <v>78</v>
      </c>
      <c r="G23" s="30">
        <f>Headcount!O47</f>
        <v>11750250</v>
      </c>
      <c r="I23" s="30">
        <f>$G23*Inputs!$D$8</f>
        <v>3055065</v>
      </c>
      <c r="K23" s="30">
        <f t="shared" si="5"/>
        <v>14805315</v>
      </c>
    </row>
    <row r="24" spans="1:21" ht="3.65" customHeight="1" x14ac:dyDescent="0.35"/>
    <row r="25" spans="1:21" x14ac:dyDescent="0.35">
      <c r="A25" s="1" t="s">
        <v>79</v>
      </c>
    </row>
    <row r="26" spans="1:21" x14ac:dyDescent="0.35">
      <c r="A26" s="29" t="s">
        <v>93</v>
      </c>
      <c r="D26" s="35">
        <f>Inputs!D5/Headcount!H47</f>
        <v>287179.48717948719</v>
      </c>
      <c r="E26" s="35"/>
      <c r="F26" s="35"/>
      <c r="G26" s="35"/>
      <c r="I26" t="s">
        <v>80</v>
      </c>
    </row>
    <row r="27" spans="1:21" x14ac:dyDescent="0.35">
      <c r="A27" s="29" t="s">
        <v>92</v>
      </c>
      <c r="D27" s="35">
        <f>S17/Headcount!H47</f>
        <v>74938.771615980921</v>
      </c>
      <c r="E27" s="35"/>
      <c r="F27" s="35"/>
      <c r="G27" s="35"/>
      <c r="I27" t="s">
        <v>80</v>
      </c>
    </row>
    <row r="28" spans="1:21" x14ac:dyDescent="0.35">
      <c r="A28" s="29" t="s">
        <v>90</v>
      </c>
      <c r="D28" s="35">
        <f>(Inputs!D5*Inputs!D6)/Headcount!H47</f>
        <v>31589.74358974359</v>
      </c>
      <c r="E28" s="35"/>
      <c r="F28" s="35"/>
      <c r="G28" s="35"/>
      <c r="I28" t="s">
        <v>80</v>
      </c>
    </row>
    <row r="29" spans="1:21" x14ac:dyDescent="0.35">
      <c r="A29" s="29" t="s">
        <v>91</v>
      </c>
      <c r="D29" s="35">
        <f>(Inputs!D5*Inputs!D7)/Headcount!H47</f>
        <v>14933.333333333334</v>
      </c>
      <c r="E29" s="35"/>
      <c r="F29" s="35"/>
      <c r="G29" s="35"/>
      <c r="I29" t="s">
        <v>80</v>
      </c>
    </row>
    <row r="34" spans="1:3" x14ac:dyDescent="0.35">
      <c r="A34" t="s">
        <v>83</v>
      </c>
      <c r="C34" s="30">
        <f>Inputs!D5*Inputs!D6</f>
        <v>26488000</v>
      </c>
    </row>
    <row r="35" spans="1:3" x14ac:dyDescent="0.35">
      <c r="A35" t="s">
        <v>100</v>
      </c>
      <c r="C35" s="30">
        <f>Inputs!D5*Inputs!D7</f>
        <v>12521600</v>
      </c>
    </row>
  </sheetData>
  <mergeCells count="4">
    <mergeCell ref="D26:G26"/>
    <mergeCell ref="D27:G27"/>
    <mergeCell ref="D28:G28"/>
    <mergeCell ref="D29:G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7"/>
  <sheetViews>
    <sheetView workbookViewId="0">
      <selection activeCell="S50" sqref="S50"/>
    </sheetView>
  </sheetViews>
  <sheetFormatPr defaultRowHeight="14.5" x14ac:dyDescent="0.35"/>
  <cols>
    <col min="1" max="1" width="18.81640625" customWidth="1"/>
    <col min="2" max="2" width="0.54296875" customWidth="1"/>
    <col min="3" max="3" width="5.6328125" customWidth="1"/>
    <col min="4" max="4" width="5.54296875" customWidth="1"/>
    <col min="5" max="5" width="5.453125" customWidth="1"/>
    <col min="6" max="6" width="5.6328125" customWidth="1"/>
    <col min="7" max="7" width="0.36328125" customWidth="1"/>
    <col min="8" max="8" width="10.1796875" customWidth="1"/>
    <col min="9" max="9" width="0.6328125" customWidth="1"/>
    <col min="10" max="10" width="7.1796875" customWidth="1"/>
    <col min="11" max="11" width="0.6328125" customWidth="1"/>
    <col min="12" max="15" width="8.1796875" bestFit="1" customWidth="1"/>
    <col min="16" max="16" width="0.81640625" customWidth="1"/>
    <col min="17" max="17" width="8.1796875" bestFit="1" customWidth="1"/>
  </cols>
  <sheetData>
    <row r="1" spans="1:18" x14ac:dyDescent="0.35">
      <c r="A1" s="1" t="s">
        <v>54</v>
      </c>
    </row>
    <row r="2" spans="1:18" x14ac:dyDescent="0.35">
      <c r="A2" s="1" t="s">
        <v>98</v>
      </c>
    </row>
    <row r="3" spans="1:18" x14ac:dyDescent="0.35">
      <c r="A3" s="16" t="str">
        <f>HeadcountSummaries!A3</f>
        <v>All amounts in US$ thousands (000s)</v>
      </c>
    </row>
    <row r="4" spans="1:18" ht="25.25" customHeight="1" x14ac:dyDescent="0.35">
      <c r="A4" s="2" t="s">
        <v>2</v>
      </c>
      <c r="C4" s="36" t="s">
        <v>0</v>
      </c>
      <c r="D4" s="36"/>
      <c r="E4" s="36"/>
      <c r="F4" s="36"/>
      <c r="H4" s="3" t="s">
        <v>96</v>
      </c>
      <c r="I4" s="4"/>
      <c r="J4" s="3" t="s">
        <v>52</v>
      </c>
      <c r="K4" s="1"/>
      <c r="L4" s="36" t="s">
        <v>1</v>
      </c>
      <c r="M4" s="36"/>
      <c r="N4" s="36"/>
      <c r="O4" s="36"/>
      <c r="Q4" s="3" t="s">
        <v>53</v>
      </c>
    </row>
    <row r="5" spans="1:18" x14ac:dyDescent="0.35">
      <c r="A5" s="7"/>
      <c r="C5" s="8" t="s">
        <v>38</v>
      </c>
      <c r="D5" s="8" t="s">
        <v>39</v>
      </c>
      <c r="E5" s="8" t="s">
        <v>40</v>
      </c>
      <c r="F5" s="8" t="s">
        <v>41</v>
      </c>
      <c r="H5" s="4">
        <f>Inputs!D4</f>
        <v>2014</v>
      </c>
      <c r="I5" s="4"/>
      <c r="J5" s="4">
        <f>Inputs!D4</f>
        <v>2014</v>
      </c>
      <c r="K5" s="1"/>
      <c r="L5" s="8" t="s">
        <v>38</v>
      </c>
      <c r="M5" s="8" t="s">
        <v>39</v>
      </c>
      <c r="N5" s="8" t="s">
        <v>40</v>
      </c>
      <c r="O5" s="8" t="s">
        <v>41</v>
      </c>
      <c r="Q5" s="4">
        <f>Inputs!D4</f>
        <v>2014</v>
      </c>
    </row>
    <row r="6" spans="1:18" x14ac:dyDescent="0.35">
      <c r="A6" s="5" t="s">
        <v>8</v>
      </c>
      <c r="C6" s="9">
        <f>SUM(C$7:C$10)</f>
        <v>4</v>
      </c>
      <c r="D6" s="9">
        <f t="shared" ref="D6:F6" si="0">SUM(D$7:D$10)</f>
        <v>4</v>
      </c>
      <c r="E6" s="9">
        <f t="shared" si="0"/>
        <v>4</v>
      </c>
      <c r="F6" s="9">
        <f t="shared" si="0"/>
        <v>4</v>
      </c>
      <c r="G6" s="1"/>
      <c r="H6" s="9">
        <f>SUM($C6:$F6)/4</f>
        <v>4</v>
      </c>
      <c r="J6" s="13"/>
      <c r="L6" s="31">
        <f>SUM(L$7:L$10)</f>
        <v>850000</v>
      </c>
      <c r="M6" s="31">
        <f t="shared" ref="M6:Q6" si="1">SUM(M$7:M$10)</f>
        <v>850000</v>
      </c>
      <c r="N6" s="31">
        <f t="shared" si="1"/>
        <v>850000</v>
      </c>
      <c r="O6" s="31">
        <f t="shared" si="1"/>
        <v>850000</v>
      </c>
      <c r="P6" s="31"/>
      <c r="Q6" s="31">
        <f t="shared" si="1"/>
        <v>3400000</v>
      </c>
    </row>
    <row r="7" spans="1:18" x14ac:dyDescent="0.35">
      <c r="A7" s="5" t="s">
        <v>4</v>
      </c>
      <c r="C7" s="6">
        <v>1</v>
      </c>
      <c r="D7" s="6">
        <v>1</v>
      </c>
      <c r="E7" s="6">
        <v>1</v>
      </c>
      <c r="F7" s="6">
        <v>1</v>
      </c>
      <c r="H7" s="6">
        <f t="shared" ref="H7:H47" si="2">SUM($C7:$F7)/4</f>
        <v>1</v>
      </c>
      <c r="J7" s="30">
        <v>1200000</v>
      </c>
      <c r="L7" s="30">
        <f>$C7*($J7/4)</f>
        <v>300000</v>
      </c>
      <c r="M7" s="30">
        <f>$D7*($J7/4)</f>
        <v>300000</v>
      </c>
      <c r="N7" s="30">
        <f>$E7*($J7/4)</f>
        <v>300000</v>
      </c>
      <c r="O7" s="30">
        <f>$F7*($J7/4)</f>
        <v>300000</v>
      </c>
      <c r="Q7" s="30">
        <f>$H7*$J7</f>
        <v>1200000</v>
      </c>
    </row>
    <row r="8" spans="1:18" x14ac:dyDescent="0.35">
      <c r="A8" s="5" t="s">
        <v>5</v>
      </c>
      <c r="C8" s="6">
        <v>1</v>
      </c>
      <c r="D8" s="6">
        <v>1</v>
      </c>
      <c r="E8" s="6">
        <v>1</v>
      </c>
      <c r="F8" s="6">
        <v>1</v>
      </c>
      <c r="H8" s="6">
        <f t="shared" si="2"/>
        <v>1</v>
      </c>
      <c r="J8" s="30">
        <v>1000000</v>
      </c>
      <c r="L8" s="30">
        <f t="shared" ref="L8:L44" si="3">$C8*($J8/4)</f>
        <v>250000</v>
      </c>
      <c r="M8" s="30">
        <f t="shared" ref="M8:M44" si="4">$D8*($J8/4)</f>
        <v>250000</v>
      </c>
      <c r="N8" s="30">
        <f t="shared" ref="N8:N44" si="5">$E8*($J8/4)</f>
        <v>250000</v>
      </c>
      <c r="O8" s="30">
        <f t="shared" ref="O8:O44" si="6">$F8*($J8/4)</f>
        <v>250000</v>
      </c>
      <c r="Q8" s="30">
        <f t="shared" ref="Q8:Q44" si="7">$H8*$J8</f>
        <v>1000000</v>
      </c>
    </row>
    <row r="9" spans="1:18" x14ac:dyDescent="0.35">
      <c r="A9" s="5" t="s">
        <v>6</v>
      </c>
      <c r="C9" s="6">
        <v>1</v>
      </c>
      <c r="D9" s="6">
        <v>1</v>
      </c>
      <c r="E9" s="6">
        <v>1</v>
      </c>
      <c r="F9" s="6">
        <v>1</v>
      </c>
      <c r="H9" s="6">
        <f t="shared" si="2"/>
        <v>1</v>
      </c>
      <c r="J9" s="30">
        <v>600000</v>
      </c>
      <c r="L9" s="30">
        <f t="shared" si="3"/>
        <v>150000</v>
      </c>
      <c r="M9" s="30">
        <f t="shared" si="4"/>
        <v>150000</v>
      </c>
      <c r="N9" s="30">
        <f t="shared" si="5"/>
        <v>150000</v>
      </c>
      <c r="O9" s="30">
        <f t="shared" si="6"/>
        <v>150000</v>
      </c>
      <c r="Q9" s="30">
        <f t="shared" si="7"/>
        <v>600000</v>
      </c>
    </row>
    <row r="10" spans="1:18" x14ac:dyDescent="0.35">
      <c r="A10" s="5" t="s">
        <v>7</v>
      </c>
      <c r="C10" s="6">
        <v>1</v>
      </c>
      <c r="D10" s="6">
        <v>1</v>
      </c>
      <c r="E10" s="6">
        <v>1</v>
      </c>
      <c r="F10" s="6">
        <v>1</v>
      </c>
      <c r="H10" s="6">
        <f t="shared" si="2"/>
        <v>1</v>
      </c>
      <c r="J10" s="30">
        <v>600000</v>
      </c>
      <c r="L10" s="30">
        <f t="shared" si="3"/>
        <v>150000</v>
      </c>
      <c r="M10" s="30">
        <f t="shared" si="4"/>
        <v>150000</v>
      </c>
      <c r="N10" s="30">
        <f t="shared" si="5"/>
        <v>150000</v>
      </c>
      <c r="O10" s="30">
        <f t="shared" si="6"/>
        <v>150000</v>
      </c>
      <c r="Q10" s="30">
        <f t="shared" si="7"/>
        <v>600000</v>
      </c>
    </row>
    <row r="11" spans="1:18" x14ac:dyDescent="0.35">
      <c r="A11" s="5" t="s">
        <v>9</v>
      </c>
      <c r="C11" s="9">
        <f>SUM(C$12:C$14)</f>
        <v>4</v>
      </c>
      <c r="D11" s="9">
        <f t="shared" ref="D11:F11" si="8">SUM(D$12:D$14)</f>
        <v>4.5</v>
      </c>
      <c r="E11" s="9">
        <f t="shared" si="8"/>
        <v>4.5</v>
      </c>
      <c r="F11" s="9">
        <f t="shared" si="8"/>
        <v>4</v>
      </c>
      <c r="G11" s="1"/>
      <c r="H11" s="9">
        <f t="shared" si="2"/>
        <v>4.25</v>
      </c>
      <c r="J11" s="30"/>
      <c r="L11" s="31">
        <f>SUM(L$12:L$14)</f>
        <v>145000</v>
      </c>
      <c r="M11" s="31">
        <f t="shared" ref="M11:Q11" si="9">SUM(M$12:M$14)</f>
        <v>157500</v>
      </c>
      <c r="N11" s="31">
        <f t="shared" si="9"/>
        <v>157500</v>
      </c>
      <c r="O11" s="31">
        <f t="shared" si="9"/>
        <v>145000</v>
      </c>
      <c r="P11" s="31"/>
      <c r="Q11" s="31">
        <f t="shared" si="9"/>
        <v>605000</v>
      </c>
    </row>
    <row r="12" spans="1:18" x14ac:dyDescent="0.35">
      <c r="A12" s="5" t="s">
        <v>10</v>
      </c>
      <c r="C12" s="6">
        <v>1</v>
      </c>
      <c r="D12" s="6">
        <v>1</v>
      </c>
      <c r="E12" s="6">
        <v>1</v>
      </c>
      <c r="F12" s="6">
        <v>1</v>
      </c>
      <c r="H12" s="6">
        <f t="shared" si="2"/>
        <v>1</v>
      </c>
      <c r="J12" s="30">
        <v>300000</v>
      </c>
      <c r="K12" s="30"/>
      <c r="L12" s="30">
        <f t="shared" si="3"/>
        <v>75000</v>
      </c>
      <c r="M12" s="30">
        <f t="shared" si="4"/>
        <v>75000</v>
      </c>
      <c r="N12" s="30">
        <f t="shared" si="5"/>
        <v>75000</v>
      </c>
      <c r="O12" s="30">
        <f t="shared" si="6"/>
        <v>75000</v>
      </c>
      <c r="Q12" s="30">
        <f t="shared" si="7"/>
        <v>300000</v>
      </c>
    </row>
    <row r="13" spans="1:18" x14ac:dyDescent="0.35">
      <c r="A13" s="5" t="s">
        <v>13</v>
      </c>
      <c r="C13" s="6">
        <v>2</v>
      </c>
      <c r="D13" s="6">
        <v>2.5</v>
      </c>
      <c r="E13" s="6">
        <v>2.5</v>
      </c>
      <c r="F13" s="6">
        <v>2</v>
      </c>
      <c r="H13" s="6">
        <f t="shared" si="2"/>
        <v>2.25</v>
      </c>
      <c r="J13" s="30">
        <v>100000</v>
      </c>
      <c r="K13" s="30"/>
      <c r="L13" s="30">
        <f t="shared" si="3"/>
        <v>50000</v>
      </c>
      <c r="M13" s="30">
        <f t="shared" si="4"/>
        <v>62500</v>
      </c>
      <c r="N13" s="30">
        <f t="shared" si="5"/>
        <v>62500</v>
      </c>
      <c r="O13" s="30">
        <f t="shared" si="6"/>
        <v>50000</v>
      </c>
      <c r="Q13" s="30">
        <f t="shared" si="7"/>
        <v>225000</v>
      </c>
      <c r="R13" s="13"/>
    </row>
    <row r="14" spans="1:18" x14ac:dyDescent="0.35">
      <c r="A14" s="5" t="s">
        <v>14</v>
      </c>
      <c r="C14" s="6">
        <v>1</v>
      </c>
      <c r="D14" s="6">
        <v>1</v>
      </c>
      <c r="E14" s="6">
        <v>1</v>
      </c>
      <c r="F14" s="6">
        <v>1</v>
      </c>
      <c r="H14" s="6">
        <f t="shared" si="2"/>
        <v>1</v>
      </c>
      <c r="J14" s="30">
        <v>80000</v>
      </c>
      <c r="K14" s="30"/>
      <c r="L14" s="30">
        <f t="shared" si="3"/>
        <v>20000</v>
      </c>
      <c r="M14" s="30">
        <f t="shared" si="4"/>
        <v>20000</v>
      </c>
      <c r="N14" s="30">
        <f t="shared" si="5"/>
        <v>20000</v>
      </c>
      <c r="O14" s="30">
        <f t="shared" si="6"/>
        <v>20000</v>
      </c>
      <c r="Q14" s="30">
        <f t="shared" si="7"/>
        <v>80000</v>
      </c>
    </row>
    <row r="15" spans="1:18" x14ac:dyDescent="0.35">
      <c r="A15" s="5" t="s">
        <v>15</v>
      </c>
      <c r="C15" s="9">
        <f>SUM(C$16:C$20)</f>
        <v>11</v>
      </c>
      <c r="D15" s="9">
        <f t="shared" ref="D15:F15" si="10">SUM(D$16:D$20)</f>
        <v>11</v>
      </c>
      <c r="E15" s="9">
        <f t="shared" si="10"/>
        <v>11</v>
      </c>
      <c r="F15" s="9">
        <f t="shared" si="10"/>
        <v>11</v>
      </c>
      <c r="G15" s="1"/>
      <c r="H15" s="9">
        <f t="shared" si="2"/>
        <v>11</v>
      </c>
      <c r="J15" s="30"/>
      <c r="L15" s="31">
        <f>SUM(L$16:L$20)</f>
        <v>285000</v>
      </c>
      <c r="M15" s="31">
        <f t="shared" ref="M15:Q15" si="11">SUM(M$16:M$20)</f>
        <v>285000</v>
      </c>
      <c r="N15" s="31">
        <f t="shared" si="11"/>
        <v>285000</v>
      </c>
      <c r="O15" s="31">
        <f t="shared" si="11"/>
        <v>285000</v>
      </c>
      <c r="P15" s="31"/>
      <c r="Q15" s="31">
        <f t="shared" si="11"/>
        <v>1140000</v>
      </c>
    </row>
    <row r="16" spans="1:18" x14ac:dyDescent="0.35">
      <c r="A16" s="5" t="s">
        <v>16</v>
      </c>
      <c r="C16" s="6">
        <v>1</v>
      </c>
      <c r="D16" s="6">
        <v>1</v>
      </c>
      <c r="E16" s="6">
        <v>1</v>
      </c>
      <c r="F16" s="6">
        <v>1</v>
      </c>
      <c r="H16" s="6">
        <f t="shared" si="2"/>
        <v>1</v>
      </c>
      <c r="J16" s="30">
        <v>200000</v>
      </c>
      <c r="L16" s="30">
        <f t="shared" si="3"/>
        <v>50000</v>
      </c>
      <c r="M16" s="30">
        <f t="shared" si="4"/>
        <v>50000</v>
      </c>
      <c r="N16" s="30">
        <f t="shared" si="5"/>
        <v>50000</v>
      </c>
      <c r="O16" s="30">
        <f t="shared" si="6"/>
        <v>50000</v>
      </c>
      <c r="Q16" s="30">
        <f t="shared" si="7"/>
        <v>200000</v>
      </c>
    </row>
    <row r="17" spans="1:17" x14ac:dyDescent="0.35">
      <c r="A17" s="5" t="s">
        <v>11</v>
      </c>
      <c r="C17" s="6">
        <v>1</v>
      </c>
      <c r="D17" s="6">
        <v>1</v>
      </c>
      <c r="E17" s="6">
        <v>1</v>
      </c>
      <c r="F17" s="6">
        <v>1</v>
      </c>
      <c r="H17" s="6">
        <f t="shared" si="2"/>
        <v>1</v>
      </c>
      <c r="J17" s="30">
        <v>150000</v>
      </c>
      <c r="L17" s="30">
        <f t="shared" si="3"/>
        <v>37500</v>
      </c>
      <c r="M17" s="30">
        <f t="shared" si="4"/>
        <v>37500</v>
      </c>
      <c r="N17" s="30">
        <f t="shared" si="5"/>
        <v>37500</v>
      </c>
      <c r="O17" s="30">
        <f t="shared" si="6"/>
        <v>37500</v>
      </c>
      <c r="Q17" s="30">
        <f t="shared" si="7"/>
        <v>150000</v>
      </c>
    </row>
    <row r="18" spans="1:17" x14ac:dyDescent="0.35">
      <c r="A18" s="5" t="s">
        <v>12</v>
      </c>
      <c r="C18" s="6">
        <v>1</v>
      </c>
      <c r="D18" s="6">
        <v>1</v>
      </c>
      <c r="E18" s="6">
        <v>1</v>
      </c>
      <c r="F18" s="6">
        <v>1</v>
      </c>
      <c r="H18" s="6">
        <f t="shared" si="2"/>
        <v>1</v>
      </c>
      <c r="J18" s="30">
        <v>150000</v>
      </c>
      <c r="L18" s="30">
        <f t="shared" si="3"/>
        <v>37500</v>
      </c>
      <c r="M18" s="30">
        <f t="shared" si="4"/>
        <v>37500</v>
      </c>
      <c r="N18" s="30">
        <f t="shared" si="5"/>
        <v>37500</v>
      </c>
      <c r="O18" s="30">
        <f t="shared" si="6"/>
        <v>37500</v>
      </c>
      <c r="Q18" s="30">
        <f t="shared" si="7"/>
        <v>150000</v>
      </c>
    </row>
    <row r="19" spans="1:17" x14ac:dyDescent="0.35">
      <c r="A19" s="5" t="s">
        <v>17</v>
      </c>
      <c r="C19" s="6">
        <v>4</v>
      </c>
      <c r="D19" s="6">
        <v>4</v>
      </c>
      <c r="E19" s="6">
        <v>4</v>
      </c>
      <c r="F19" s="6">
        <v>4</v>
      </c>
      <c r="H19" s="6">
        <f t="shared" si="2"/>
        <v>4</v>
      </c>
      <c r="J19" s="30">
        <v>80000</v>
      </c>
      <c r="L19" s="30">
        <f t="shared" si="3"/>
        <v>80000</v>
      </c>
      <c r="M19" s="30">
        <f t="shared" si="4"/>
        <v>80000</v>
      </c>
      <c r="N19" s="30">
        <f t="shared" si="5"/>
        <v>80000</v>
      </c>
      <c r="O19" s="30">
        <f t="shared" si="6"/>
        <v>80000</v>
      </c>
      <c r="Q19" s="30">
        <f t="shared" si="7"/>
        <v>320000</v>
      </c>
    </row>
    <row r="20" spans="1:17" x14ac:dyDescent="0.35">
      <c r="A20" s="5" t="s">
        <v>18</v>
      </c>
      <c r="C20" s="6">
        <v>4</v>
      </c>
      <c r="D20" s="6">
        <v>4</v>
      </c>
      <c r="E20" s="6">
        <v>4</v>
      </c>
      <c r="F20" s="6">
        <v>4</v>
      </c>
      <c r="H20" s="6">
        <f t="shared" si="2"/>
        <v>4</v>
      </c>
      <c r="J20" s="30">
        <v>80000</v>
      </c>
      <c r="L20" s="30">
        <f t="shared" si="3"/>
        <v>80000</v>
      </c>
      <c r="M20" s="30">
        <f t="shared" si="4"/>
        <v>80000</v>
      </c>
      <c r="N20" s="30">
        <f t="shared" si="5"/>
        <v>80000</v>
      </c>
      <c r="O20" s="30">
        <f t="shared" si="6"/>
        <v>80000</v>
      </c>
      <c r="Q20" s="30">
        <f t="shared" si="7"/>
        <v>320000</v>
      </c>
    </row>
    <row r="21" spans="1:17" x14ac:dyDescent="0.35">
      <c r="A21" s="5" t="s">
        <v>19</v>
      </c>
      <c r="C21" s="9">
        <f>SUM(C22:C24)</f>
        <v>6</v>
      </c>
      <c r="D21" s="9">
        <f t="shared" ref="D21:F21" si="12">SUM(D22:D24)</f>
        <v>6</v>
      </c>
      <c r="E21" s="9">
        <f t="shared" si="12"/>
        <v>6</v>
      </c>
      <c r="F21" s="9">
        <f t="shared" si="12"/>
        <v>6</v>
      </c>
      <c r="G21" s="1"/>
      <c r="H21" s="9">
        <f t="shared" si="2"/>
        <v>6</v>
      </c>
      <c r="J21" s="30"/>
      <c r="L21" s="31">
        <f>SUM(L$22:L$24)</f>
        <v>142500</v>
      </c>
      <c r="M21" s="31">
        <f t="shared" ref="M21:Q21" si="13">SUM(M$22:M$24)</f>
        <v>142500</v>
      </c>
      <c r="N21" s="31">
        <f t="shared" si="13"/>
        <v>142500</v>
      </c>
      <c r="O21" s="31">
        <f t="shared" si="13"/>
        <v>142500</v>
      </c>
      <c r="P21" s="31"/>
      <c r="Q21" s="31">
        <f t="shared" si="13"/>
        <v>570000</v>
      </c>
    </row>
    <row r="22" spans="1:17" x14ac:dyDescent="0.35">
      <c r="A22" s="5" t="s">
        <v>20</v>
      </c>
      <c r="C22" s="6">
        <v>1</v>
      </c>
      <c r="D22" s="6">
        <v>1</v>
      </c>
      <c r="E22" s="6">
        <v>1</v>
      </c>
      <c r="F22" s="6">
        <v>1</v>
      </c>
      <c r="H22" s="6">
        <f t="shared" si="2"/>
        <v>1</v>
      </c>
      <c r="J22" s="30">
        <v>200000</v>
      </c>
      <c r="L22" s="30">
        <f t="shared" si="3"/>
        <v>50000</v>
      </c>
      <c r="M22" s="30">
        <f t="shared" si="4"/>
        <v>50000</v>
      </c>
      <c r="N22" s="30">
        <f t="shared" si="5"/>
        <v>50000</v>
      </c>
      <c r="O22" s="30">
        <f t="shared" si="6"/>
        <v>50000</v>
      </c>
      <c r="P22" s="30"/>
      <c r="Q22" s="30">
        <f t="shared" si="7"/>
        <v>200000</v>
      </c>
    </row>
    <row r="23" spans="1:17" x14ac:dyDescent="0.35">
      <c r="A23" s="5" t="s">
        <v>21</v>
      </c>
      <c r="C23" s="6">
        <v>1</v>
      </c>
      <c r="D23" s="6">
        <v>1</v>
      </c>
      <c r="E23" s="6">
        <v>1</v>
      </c>
      <c r="F23" s="6">
        <v>1</v>
      </c>
      <c r="H23" s="6">
        <f t="shared" si="2"/>
        <v>1</v>
      </c>
      <c r="J23" s="30">
        <v>90000</v>
      </c>
      <c r="L23" s="30">
        <f t="shared" si="3"/>
        <v>22500</v>
      </c>
      <c r="M23" s="30">
        <f t="shared" si="4"/>
        <v>22500</v>
      </c>
      <c r="N23" s="30">
        <f t="shared" si="5"/>
        <v>22500</v>
      </c>
      <c r="O23" s="30">
        <f t="shared" si="6"/>
        <v>22500</v>
      </c>
      <c r="P23" s="30"/>
      <c r="Q23" s="30">
        <f t="shared" si="7"/>
        <v>90000</v>
      </c>
    </row>
    <row r="24" spans="1:17" x14ac:dyDescent="0.35">
      <c r="A24" s="5" t="s">
        <v>22</v>
      </c>
      <c r="C24" s="6">
        <v>4</v>
      </c>
      <c r="D24" s="6">
        <v>4</v>
      </c>
      <c r="E24" s="6">
        <v>4</v>
      </c>
      <c r="F24" s="6">
        <v>4</v>
      </c>
      <c r="H24" s="6">
        <f t="shared" si="2"/>
        <v>4</v>
      </c>
      <c r="J24" s="30">
        <v>70000</v>
      </c>
      <c r="L24" s="30">
        <f t="shared" si="3"/>
        <v>70000</v>
      </c>
      <c r="M24" s="30">
        <f t="shared" si="4"/>
        <v>70000</v>
      </c>
      <c r="N24" s="30">
        <f t="shared" si="5"/>
        <v>70000</v>
      </c>
      <c r="O24" s="30">
        <f t="shared" si="6"/>
        <v>70000</v>
      </c>
      <c r="P24" s="30"/>
      <c r="Q24" s="30">
        <f t="shared" si="7"/>
        <v>280000</v>
      </c>
    </row>
    <row r="25" spans="1:17" x14ac:dyDescent="0.35">
      <c r="A25" s="5" t="s">
        <v>23</v>
      </c>
      <c r="C25" s="9">
        <f>SUM(C$26:C$28)</f>
        <v>9</v>
      </c>
      <c r="D25" s="9">
        <f t="shared" ref="D25:F25" si="14">SUM(D$26:D$28)</f>
        <v>10</v>
      </c>
      <c r="E25" s="9">
        <f t="shared" si="14"/>
        <v>10</v>
      </c>
      <c r="F25" s="9">
        <f t="shared" si="14"/>
        <v>9</v>
      </c>
      <c r="G25" s="1"/>
      <c r="H25" s="9">
        <f t="shared" si="2"/>
        <v>9.5</v>
      </c>
      <c r="J25" s="30"/>
      <c r="L25" s="31">
        <f>SUM(L$26:L$28)</f>
        <v>270000</v>
      </c>
      <c r="M25" s="31">
        <f t="shared" ref="M25:Q25" si="15">SUM(M$26:M$28)</f>
        <v>310000</v>
      </c>
      <c r="N25" s="31">
        <f t="shared" si="15"/>
        <v>310000</v>
      </c>
      <c r="O25" s="31">
        <f t="shared" si="15"/>
        <v>270000</v>
      </c>
      <c r="P25" s="31"/>
      <c r="Q25" s="31">
        <f t="shared" si="15"/>
        <v>1160000</v>
      </c>
    </row>
    <row r="26" spans="1:17" x14ac:dyDescent="0.35">
      <c r="A26" s="5" t="s">
        <v>24</v>
      </c>
      <c r="C26" s="6">
        <v>1</v>
      </c>
      <c r="D26" s="6">
        <v>1</v>
      </c>
      <c r="E26" s="6">
        <v>1</v>
      </c>
      <c r="F26" s="6">
        <v>1</v>
      </c>
      <c r="H26" s="6">
        <f t="shared" si="2"/>
        <v>1</v>
      </c>
      <c r="J26" s="30">
        <v>200000</v>
      </c>
      <c r="L26" s="30">
        <f t="shared" si="3"/>
        <v>50000</v>
      </c>
      <c r="M26" s="30">
        <f t="shared" si="4"/>
        <v>50000</v>
      </c>
      <c r="N26" s="30">
        <f t="shared" si="5"/>
        <v>50000</v>
      </c>
      <c r="O26" s="30">
        <f t="shared" si="6"/>
        <v>50000</v>
      </c>
      <c r="P26" s="30"/>
      <c r="Q26" s="30">
        <f t="shared" si="7"/>
        <v>200000</v>
      </c>
    </row>
    <row r="27" spans="1:17" x14ac:dyDescent="0.35">
      <c r="A27" s="5" t="s">
        <v>25</v>
      </c>
      <c r="C27" s="6">
        <v>4</v>
      </c>
      <c r="D27" s="6">
        <v>5</v>
      </c>
      <c r="E27" s="6">
        <v>5</v>
      </c>
      <c r="F27" s="6">
        <v>4</v>
      </c>
      <c r="H27" s="6">
        <f t="shared" si="2"/>
        <v>4.5</v>
      </c>
      <c r="J27" s="30">
        <v>160000</v>
      </c>
      <c r="L27" s="30">
        <f t="shared" si="3"/>
        <v>160000</v>
      </c>
      <c r="M27" s="30">
        <f t="shared" si="4"/>
        <v>200000</v>
      </c>
      <c r="N27" s="30">
        <f t="shared" si="5"/>
        <v>200000</v>
      </c>
      <c r="O27" s="30">
        <f t="shared" si="6"/>
        <v>160000</v>
      </c>
      <c r="P27" s="30"/>
      <c r="Q27" s="30">
        <f t="shared" si="7"/>
        <v>720000</v>
      </c>
    </row>
    <row r="28" spans="1:17" x14ac:dyDescent="0.35">
      <c r="A28" s="5" t="s">
        <v>26</v>
      </c>
      <c r="C28" s="6">
        <v>4</v>
      </c>
      <c r="D28" s="6">
        <v>4</v>
      </c>
      <c r="E28" s="6">
        <v>4</v>
      </c>
      <c r="F28" s="6">
        <v>4</v>
      </c>
      <c r="H28" s="6">
        <f t="shared" si="2"/>
        <v>4</v>
      </c>
      <c r="J28" s="30">
        <v>60000</v>
      </c>
      <c r="L28" s="30">
        <f t="shared" si="3"/>
        <v>60000</v>
      </c>
      <c r="M28" s="30">
        <f t="shared" si="4"/>
        <v>60000</v>
      </c>
      <c r="N28" s="30">
        <f t="shared" si="5"/>
        <v>60000</v>
      </c>
      <c r="O28" s="30">
        <f t="shared" si="6"/>
        <v>60000</v>
      </c>
      <c r="P28" s="30"/>
      <c r="Q28" s="30">
        <f t="shared" si="7"/>
        <v>240000</v>
      </c>
    </row>
    <row r="29" spans="1:17" x14ac:dyDescent="0.35">
      <c r="A29" s="5" t="s">
        <v>27</v>
      </c>
      <c r="C29" s="9">
        <f>SUM(C$30:C$32,C$34:C$37)</f>
        <v>828</v>
      </c>
      <c r="D29" s="9">
        <f t="shared" ref="D29:F29" si="16">SUM(D$30:D$32,D$34:D$37)</f>
        <v>828</v>
      </c>
      <c r="E29" s="9">
        <f t="shared" si="16"/>
        <v>764</v>
      </c>
      <c r="F29" s="9">
        <f t="shared" si="16"/>
        <v>764</v>
      </c>
      <c r="G29" s="1"/>
      <c r="H29" s="9">
        <f t="shared" si="2"/>
        <v>796</v>
      </c>
      <c r="J29" s="30"/>
      <c r="L29" s="31">
        <f>SUM(L$30:L$32, L$34:L$37)</f>
        <v>10415250</v>
      </c>
      <c r="M29" s="31">
        <f t="shared" ref="M29:O29" si="17">SUM(M$30:M$32, M$34:M$37)</f>
        <v>10415250</v>
      </c>
      <c r="N29" s="31">
        <f t="shared" si="17"/>
        <v>9740250</v>
      </c>
      <c r="O29" s="31">
        <f t="shared" si="17"/>
        <v>9740250</v>
      </c>
      <c r="P29" s="31"/>
      <c r="Q29" s="31">
        <f>SUM(Q$30:Q$32, Q$34:Q$37)</f>
        <v>40311000</v>
      </c>
    </row>
    <row r="30" spans="1:17" x14ac:dyDescent="0.35">
      <c r="A30" s="5" t="s">
        <v>28</v>
      </c>
      <c r="C30" s="6">
        <v>1</v>
      </c>
      <c r="D30" s="6">
        <v>1</v>
      </c>
      <c r="E30" s="6">
        <v>1</v>
      </c>
      <c r="F30" s="6">
        <v>1</v>
      </c>
      <c r="H30" s="6">
        <f t="shared" si="2"/>
        <v>1</v>
      </c>
      <c r="J30" s="30">
        <v>260000</v>
      </c>
      <c r="L30" s="30">
        <f t="shared" si="3"/>
        <v>65000</v>
      </c>
      <c r="M30" s="30">
        <f t="shared" si="4"/>
        <v>65000</v>
      </c>
      <c r="N30" s="30">
        <f t="shared" si="5"/>
        <v>65000</v>
      </c>
      <c r="O30" s="30">
        <f t="shared" si="6"/>
        <v>65000</v>
      </c>
      <c r="P30" s="30"/>
      <c r="Q30" s="30">
        <f t="shared" si="7"/>
        <v>260000</v>
      </c>
    </row>
    <row r="31" spans="1:17" x14ac:dyDescent="0.35">
      <c r="A31" s="24" t="s">
        <v>29</v>
      </c>
      <c r="B31" s="25"/>
      <c r="C31" s="26">
        <v>8</v>
      </c>
      <c r="D31" s="26">
        <v>8</v>
      </c>
      <c r="E31" s="26">
        <v>8</v>
      </c>
      <c r="F31" s="26">
        <v>8</v>
      </c>
      <c r="G31" s="25"/>
      <c r="H31" s="26">
        <f>SUM($C31:$F31)/4</f>
        <v>8</v>
      </c>
      <c r="I31" s="25"/>
      <c r="J31" s="30">
        <v>1300000</v>
      </c>
      <c r="K31" s="25"/>
      <c r="L31" s="30">
        <f>$C31*($J31/4)</f>
        <v>2600000</v>
      </c>
      <c r="M31" s="30">
        <f>$D31*($J31/4)</f>
        <v>2600000</v>
      </c>
      <c r="N31" s="30">
        <f>$E31*($J31/4)</f>
        <v>2600000</v>
      </c>
      <c r="O31" s="30">
        <f>$F31*($J31/4)</f>
        <v>2600000</v>
      </c>
      <c r="P31" s="30"/>
      <c r="Q31" s="30">
        <f>$H31*$J31</f>
        <v>10400000</v>
      </c>
    </row>
    <row r="32" spans="1:17" x14ac:dyDescent="0.35">
      <c r="A32" s="24" t="s">
        <v>30</v>
      </c>
      <c r="B32" s="25"/>
      <c r="C32" s="26">
        <v>8</v>
      </c>
      <c r="D32" s="26">
        <v>8</v>
      </c>
      <c r="E32" s="26">
        <v>8</v>
      </c>
      <c r="F32" s="26">
        <v>8</v>
      </c>
      <c r="G32" s="25"/>
      <c r="H32" s="26">
        <f>SUM($C32:$F32)/4</f>
        <v>8</v>
      </c>
      <c r="I32" s="25"/>
      <c r="J32" s="30">
        <v>100000</v>
      </c>
      <c r="K32" s="25"/>
      <c r="L32" s="30">
        <f>$C32*($J32/4)</f>
        <v>200000</v>
      </c>
      <c r="M32" s="30">
        <f>$D32*($J32/4)</f>
        <v>200000</v>
      </c>
      <c r="N32" s="30">
        <f>$E32*($J32/4)</f>
        <v>200000</v>
      </c>
      <c r="O32" s="30">
        <f>$F32*($J32/4)</f>
        <v>200000</v>
      </c>
      <c r="P32" s="30"/>
      <c r="Q32" s="30">
        <f>$H32*$J32</f>
        <v>800000</v>
      </c>
    </row>
    <row r="33" spans="1:17" x14ac:dyDescent="0.35">
      <c r="A33" s="10" t="s">
        <v>49</v>
      </c>
      <c r="B33" s="11"/>
      <c r="C33" s="14">
        <f>SUM(C$34:C$37)</f>
        <v>811</v>
      </c>
      <c r="D33" s="14">
        <f t="shared" ref="D33:F33" si="18">SUM(D$34:D$37)</f>
        <v>811</v>
      </c>
      <c r="E33" s="14">
        <f t="shared" si="18"/>
        <v>747</v>
      </c>
      <c r="F33" s="14">
        <f t="shared" si="18"/>
        <v>747</v>
      </c>
      <c r="G33" s="15"/>
      <c r="H33" s="14">
        <f t="shared" si="2"/>
        <v>779</v>
      </c>
      <c r="I33" s="15"/>
      <c r="J33" s="34"/>
      <c r="K33" s="15"/>
      <c r="L33" s="34">
        <f>SUM(L$34:L$37)</f>
        <v>7550250</v>
      </c>
      <c r="M33" s="34">
        <f t="shared" ref="M33:O33" si="19">SUM(M$34:M$37)</f>
        <v>7550250</v>
      </c>
      <c r="N33" s="34">
        <f t="shared" si="19"/>
        <v>6875250</v>
      </c>
      <c r="O33" s="34">
        <f t="shared" si="19"/>
        <v>6875250</v>
      </c>
      <c r="P33" s="34"/>
      <c r="Q33" s="34">
        <f>SUM(Q$34:Q$37)</f>
        <v>28851000</v>
      </c>
    </row>
    <row r="34" spans="1:17" x14ac:dyDescent="0.35">
      <c r="A34" s="10" t="s">
        <v>46</v>
      </c>
      <c r="B34" s="11"/>
      <c r="C34" s="12">
        <v>122.5</v>
      </c>
      <c r="D34" s="12">
        <v>122.5</v>
      </c>
      <c r="E34" s="12">
        <v>102.5</v>
      </c>
      <c r="F34" s="12">
        <v>102.5</v>
      </c>
      <c r="G34" s="11"/>
      <c r="H34" s="12">
        <f>SUM($C34:$F34)/4</f>
        <v>112.5</v>
      </c>
      <c r="I34" s="11"/>
      <c r="J34" s="34">
        <v>72000</v>
      </c>
      <c r="K34" s="11"/>
      <c r="L34" s="34">
        <f t="shared" si="3"/>
        <v>2205000</v>
      </c>
      <c r="M34" s="34">
        <f t="shared" si="4"/>
        <v>2205000</v>
      </c>
      <c r="N34" s="34">
        <f t="shared" si="5"/>
        <v>1845000</v>
      </c>
      <c r="O34" s="34">
        <f t="shared" si="6"/>
        <v>1845000</v>
      </c>
      <c r="P34" s="34"/>
      <c r="Q34" s="34">
        <f>$H34*$J34</f>
        <v>8100000</v>
      </c>
    </row>
    <row r="35" spans="1:17" x14ac:dyDescent="0.35">
      <c r="A35" s="10" t="s">
        <v>45</v>
      </c>
      <c r="B35" s="11"/>
      <c r="C35" s="12">
        <v>325.5</v>
      </c>
      <c r="D35" s="12">
        <v>325.5</v>
      </c>
      <c r="E35" s="12">
        <v>305.5</v>
      </c>
      <c r="F35" s="12">
        <v>305.5</v>
      </c>
      <c r="G35" s="11"/>
      <c r="H35" s="12">
        <f>SUM($C35:$F35)/4</f>
        <v>315.5</v>
      </c>
      <c r="I35" s="11"/>
      <c r="J35" s="34">
        <v>30000</v>
      </c>
      <c r="K35" s="11"/>
      <c r="L35" s="34">
        <f t="shared" si="3"/>
        <v>2441250</v>
      </c>
      <c r="M35" s="34">
        <f t="shared" si="4"/>
        <v>2441250</v>
      </c>
      <c r="N35" s="34">
        <f t="shared" si="5"/>
        <v>2291250</v>
      </c>
      <c r="O35" s="34">
        <f t="shared" si="6"/>
        <v>2291250</v>
      </c>
      <c r="P35" s="34"/>
      <c r="Q35" s="34">
        <f>$H35*$J35</f>
        <v>9465000</v>
      </c>
    </row>
    <row r="36" spans="1:17" x14ac:dyDescent="0.35">
      <c r="A36" s="10" t="s">
        <v>47</v>
      </c>
      <c r="B36" s="11"/>
      <c r="C36" s="12">
        <v>110</v>
      </c>
      <c r="D36" s="12">
        <v>110</v>
      </c>
      <c r="E36" s="12">
        <v>106</v>
      </c>
      <c r="F36" s="12">
        <v>106</v>
      </c>
      <c r="G36" s="11"/>
      <c r="H36" s="12">
        <f t="shared" si="2"/>
        <v>108</v>
      </c>
      <c r="I36" s="11"/>
      <c r="J36" s="34">
        <v>55000</v>
      </c>
      <c r="K36" s="11"/>
      <c r="L36" s="34">
        <f t="shared" si="3"/>
        <v>1512500</v>
      </c>
      <c r="M36" s="34">
        <f t="shared" si="4"/>
        <v>1512500</v>
      </c>
      <c r="N36" s="34">
        <f t="shared" si="5"/>
        <v>1457500</v>
      </c>
      <c r="O36" s="34">
        <f t="shared" si="6"/>
        <v>1457500</v>
      </c>
      <c r="P36" s="34"/>
      <c r="Q36" s="34">
        <f t="shared" si="7"/>
        <v>5940000</v>
      </c>
    </row>
    <row r="37" spans="1:17" x14ac:dyDescent="0.35">
      <c r="A37" s="10" t="s">
        <v>48</v>
      </c>
      <c r="B37" s="11"/>
      <c r="C37" s="12">
        <v>253</v>
      </c>
      <c r="D37" s="12">
        <v>253</v>
      </c>
      <c r="E37" s="12">
        <v>233</v>
      </c>
      <c r="F37" s="12">
        <v>233</v>
      </c>
      <c r="G37" s="11"/>
      <c r="H37" s="12">
        <f t="shared" si="2"/>
        <v>243</v>
      </c>
      <c r="I37" s="11"/>
      <c r="J37" s="34">
        <v>22000</v>
      </c>
      <c r="K37" s="11"/>
      <c r="L37" s="34">
        <f t="shared" si="3"/>
        <v>1391500</v>
      </c>
      <c r="M37" s="34">
        <f t="shared" si="4"/>
        <v>1391500</v>
      </c>
      <c r="N37" s="34">
        <f t="shared" si="5"/>
        <v>1281500</v>
      </c>
      <c r="O37" s="34">
        <f t="shared" si="6"/>
        <v>1281500</v>
      </c>
      <c r="P37" s="34"/>
      <c r="Q37" s="34">
        <f t="shared" si="7"/>
        <v>5346000</v>
      </c>
    </row>
    <row r="38" spans="1:17" x14ac:dyDescent="0.35">
      <c r="A38" s="5" t="s">
        <v>31</v>
      </c>
      <c r="C38" s="9">
        <f>SUM(C$39:C$41)</f>
        <v>3</v>
      </c>
      <c r="D38" s="9">
        <f t="shared" ref="D38:F38" si="20">SUM(D$39:D$41)</f>
        <v>3</v>
      </c>
      <c r="E38" s="9">
        <f t="shared" si="20"/>
        <v>3</v>
      </c>
      <c r="F38" s="9">
        <f t="shared" si="20"/>
        <v>3</v>
      </c>
      <c r="G38" s="1"/>
      <c r="H38" s="9">
        <f t="shared" si="2"/>
        <v>3</v>
      </c>
      <c r="J38" s="30"/>
      <c r="L38" s="31">
        <f>SUM(L$39:L$41)</f>
        <v>122500</v>
      </c>
      <c r="M38" s="31">
        <f>SUM(M$39:M$41)</f>
        <v>122500</v>
      </c>
      <c r="N38" s="31">
        <f>SUM(N$39:N$41)</f>
        <v>122500</v>
      </c>
      <c r="O38" s="31">
        <f>SUM(O$39:O$41)</f>
        <v>122500</v>
      </c>
      <c r="P38" s="31"/>
      <c r="Q38" s="31">
        <f>SUM(Q$39:Q$41)</f>
        <v>490000</v>
      </c>
    </row>
    <row r="39" spans="1:17" x14ac:dyDescent="0.35">
      <c r="A39" s="5" t="s">
        <v>32</v>
      </c>
      <c r="C39" s="6">
        <v>1</v>
      </c>
      <c r="D39" s="6">
        <v>1</v>
      </c>
      <c r="E39" s="6">
        <v>1</v>
      </c>
      <c r="F39" s="6">
        <v>1</v>
      </c>
      <c r="H39" s="6">
        <f t="shared" si="2"/>
        <v>1</v>
      </c>
      <c r="J39" s="30">
        <v>300000</v>
      </c>
      <c r="L39" s="30">
        <f t="shared" si="3"/>
        <v>75000</v>
      </c>
      <c r="M39" s="30">
        <f t="shared" si="4"/>
        <v>75000</v>
      </c>
      <c r="N39" s="30">
        <f t="shared" si="5"/>
        <v>75000</v>
      </c>
      <c r="O39" s="30">
        <f t="shared" si="6"/>
        <v>75000</v>
      </c>
      <c r="P39" s="30"/>
      <c r="Q39" s="30">
        <f t="shared" si="7"/>
        <v>300000</v>
      </c>
    </row>
    <row r="40" spans="1:17" x14ac:dyDescent="0.35">
      <c r="A40" s="5" t="s">
        <v>33</v>
      </c>
      <c r="C40" s="6">
        <v>1</v>
      </c>
      <c r="D40" s="6">
        <v>1</v>
      </c>
      <c r="E40" s="6">
        <v>1</v>
      </c>
      <c r="F40" s="6">
        <v>1</v>
      </c>
      <c r="H40" s="6">
        <f t="shared" si="2"/>
        <v>1</v>
      </c>
      <c r="J40" s="30">
        <v>100000</v>
      </c>
      <c r="L40" s="30">
        <f t="shared" si="3"/>
        <v>25000</v>
      </c>
      <c r="M40" s="30">
        <f t="shared" si="4"/>
        <v>25000</v>
      </c>
      <c r="N40" s="30">
        <f t="shared" si="5"/>
        <v>25000</v>
      </c>
      <c r="O40" s="30">
        <f t="shared" si="6"/>
        <v>25000</v>
      </c>
      <c r="P40" s="30"/>
      <c r="Q40" s="30">
        <f t="shared" si="7"/>
        <v>100000</v>
      </c>
    </row>
    <row r="41" spans="1:17" x14ac:dyDescent="0.35">
      <c r="A41" s="5" t="s">
        <v>34</v>
      </c>
      <c r="C41" s="6">
        <v>1</v>
      </c>
      <c r="D41" s="6">
        <v>1</v>
      </c>
      <c r="E41" s="6">
        <v>1</v>
      </c>
      <c r="F41" s="6">
        <v>1</v>
      </c>
      <c r="H41" s="6">
        <f t="shared" si="2"/>
        <v>1</v>
      </c>
      <c r="J41" s="30">
        <v>90000</v>
      </c>
      <c r="L41" s="30">
        <f t="shared" si="3"/>
        <v>22500</v>
      </c>
      <c r="M41" s="30">
        <f t="shared" si="4"/>
        <v>22500</v>
      </c>
      <c r="N41" s="30">
        <f t="shared" si="5"/>
        <v>22500</v>
      </c>
      <c r="O41" s="30">
        <f t="shared" si="6"/>
        <v>22500</v>
      </c>
      <c r="P41" s="30"/>
      <c r="Q41" s="30">
        <f t="shared" si="7"/>
        <v>90000</v>
      </c>
    </row>
    <row r="42" spans="1:17" x14ac:dyDescent="0.35">
      <c r="A42" s="5" t="s">
        <v>35</v>
      </c>
      <c r="C42" s="9">
        <f>SUM(C$43:C$44)</f>
        <v>4</v>
      </c>
      <c r="D42" s="9">
        <f t="shared" ref="D42:F42" si="21">SUM(D$43:D$44)</f>
        <v>5</v>
      </c>
      <c r="E42" s="9">
        <f t="shared" si="21"/>
        <v>5</v>
      </c>
      <c r="F42" s="9">
        <f t="shared" si="21"/>
        <v>5</v>
      </c>
      <c r="G42" s="1"/>
      <c r="H42" s="9">
        <f t="shared" si="2"/>
        <v>4.75</v>
      </c>
      <c r="J42" s="30"/>
      <c r="L42" s="31">
        <f>SUM(L$43:L$44)</f>
        <v>165000</v>
      </c>
      <c r="M42" s="31">
        <f>SUM(M$43:M$44)</f>
        <v>195000</v>
      </c>
      <c r="N42" s="31">
        <f>SUM(N$43:N$44)</f>
        <v>195000</v>
      </c>
      <c r="O42" s="31">
        <f>SUM(O$43:O$44)</f>
        <v>195000</v>
      </c>
      <c r="P42" s="31"/>
      <c r="Q42" s="31">
        <f>SUM(Q$43:Q$44)</f>
        <v>750000</v>
      </c>
    </row>
    <row r="43" spans="1:17" x14ac:dyDescent="0.35">
      <c r="A43" s="5" t="s">
        <v>36</v>
      </c>
      <c r="C43" s="6">
        <v>1</v>
      </c>
      <c r="D43" s="6">
        <v>1</v>
      </c>
      <c r="E43" s="6">
        <v>1</v>
      </c>
      <c r="F43" s="6">
        <v>1</v>
      </c>
      <c r="H43" s="6">
        <f t="shared" si="2"/>
        <v>1</v>
      </c>
      <c r="J43" s="30">
        <v>300000</v>
      </c>
      <c r="L43" s="30">
        <f t="shared" si="3"/>
        <v>75000</v>
      </c>
      <c r="M43" s="30">
        <f t="shared" si="4"/>
        <v>75000</v>
      </c>
      <c r="N43" s="30">
        <f t="shared" si="5"/>
        <v>75000</v>
      </c>
      <c r="O43" s="30">
        <f t="shared" si="6"/>
        <v>75000</v>
      </c>
      <c r="P43" s="30"/>
      <c r="Q43" s="30">
        <f t="shared" si="7"/>
        <v>300000</v>
      </c>
    </row>
    <row r="44" spans="1:17" x14ac:dyDescent="0.35">
      <c r="A44" s="5" t="s">
        <v>37</v>
      </c>
      <c r="C44" s="6">
        <v>3</v>
      </c>
      <c r="D44" s="6">
        <v>4</v>
      </c>
      <c r="E44" s="6">
        <v>4</v>
      </c>
      <c r="F44" s="6">
        <v>4</v>
      </c>
      <c r="H44" s="6">
        <f t="shared" si="2"/>
        <v>3.75</v>
      </c>
      <c r="J44" s="30">
        <v>120000</v>
      </c>
      <c r="L44" s="30">
        <f t="shared" si="3"/>
        <v>90000</v>
      </c>
      <c r="M44" s="30">
        <f t="shared" si="4"/>
        <v>120000</v>
      </c>
      <c r="N44" s="30">
        <f t="shared" si="5"/>
        <v>120000</v>
      </c>
      <c r="O44" s="30">
        <f t="shared" si="6"/>
        <v>120000</v>
      </c>
      <c r="P44" s="30"/>
      <c r="Q44" s="30">
        <f t="shared" si="7"/>
        <v>450000</v>
      </c>
    </row>
    <row r="45" spans="1:17" x14ac:dyDescent="0.35">
      <c r="A45" s="5" t="s">
        <v>82</v>
      </c>
      <c r="C45" s="9">
        <f>SUM(C$6,C$12,C$16,C$22,C$26,C$30:C$32,C$39,C$43)</f>
        <v>27</v>
      </c>
      <c r="D45" s="9">
        <f t="shared" ref="D45:F45" si="22">SUM(D$6,D$12,D$16,D$22,D$26,D$30:D$32,D$39,D$43)</f>
        <v>27</v>
      </c>
      <c r="E45" s="9">
        <f t="shared" si="22"/>
        <v>27</v>
      </c>
      <c r="F45" s="9">
        <f t="shared" si="22"/>
        <v>27</v>
      </c>
      <c r="G45" s="1"/>
      <c r="H45" s="9">
        <f t="shared" si="2"/>
        <v>27</v>
      </c>
      <c r="J45" s="30"/>
      <c r="L45" s="31">
        <f>SUM(L$6,L$12,L$16,L$22,L$26,L$30:L$32,L$39,L$43)</f>
        <v>4090000</v>
      </c>
      <c r="M45" s="31">
        <f t="shared" ref="M45:Q45" si="23">SUM(M$6,M$12,M$16,M$22,M$26,M$30:M$32,M$39,M$43)</f>
        <v>4090000</v>
      </c>
      <c r="N45" s="31">
        <f t="shared" si="23"/>
        <v>4090000</v>
      </c>
      <c r="O45" s="31">
        <f t="shared" si="23"/>
        <v>4090000</v>
      </c>
      <c r="P45" s="31"/>
      <c r="Q45" s="31">
        <f t="shared" si="23"/>
        <v>16360000</v>
      </c>
    </row>
    <row r="46" spans="1:17" x14ac:dyDescent="0.35">
      <c r="A46" s="5" t="s">
        <v>51</v>
      </c>
      <c r="C46" s="9">
        <f>SUM(C$13:C$14,C$17:C$20,C$23:C$24,C$27:C$28,C$40:C$41,C$44)</f>
        <v>31</v>
      </c>
      <c r="D46" s="9">
        <f t="shared" ref="D46:F46" si="24">SUM(D$13:D$14,D$17:D$20,D$23:D$24,D$27:D$28,D$40:D$41,D$44)</f>
        <v>33.5</v>
      </c>
      <c r="E46" s="9">
        <f t="shared" si="24"/>
        <v>33.5</v>
      </c>
      <c r="F46" s="9">
        <f t="shared" si="24"/>
        <v>32</v>
      </c>
      <c r="H46" s="9">
        <f>SUM($C46:$F46)/4</f>
        <v>32.5</v>
      </c>
      <c r="J46" s="30"/>
      <c r="L46" s="31">
        <f>SUM(L$13:L$14,L$17:L$20,L$23:L$24,L$27:L$28,L$40:L$41,L$44)</f>
        <v>755000</v>
      </c>
      <c r="M46" s="31">
        <f t="shared" ref="M46:Q46" si="25">SUM(M$13:M$14,M$17:M$20,M$23:M$24,M$27:M$28,M$40:M$41,M$44)</f>
        <v>837500</v>
      </c>
      <c r="N46" s="31">
        <f t="shared" si="25"/>
        <v>837500</v>
      </c>
      <c r="O46" s="31">
        <f t="shared" si="25"/>
        <v>785000</v>
      </c>
      <c r="P46" s="31"/>
      <c r="Q46" s="31">
        <f t="shared" si="25"/>
        <v>3215000</v>
      </c>
    </row>
    <row r="47" spans="1:17" x14ac:dyDescent="0.35">
      <c r="A47" s="5" t="s">
        <v>50</v>
      </c>
      <c r="C47" s="9">
        <f>SUM(C$6,C$11,C$15,C$21,C$25,C$29,C$38,C$42)</f>
        <v>869</v>
      </c>
      <c r="D47" s="9">
        <f>SUM(D$6,D$11,D$15,D$21,D$25,D$29,D$38,D$42)</f>
        <v>871.5</v>
      </c>
      <c r="E47" s="9">
        <f>SUM(E$6,E$11,E$15,E$21,E$25,E$29,E$38,E$42)</f>
        <v>807.5</v>
      </c>
      <c r="F47" s="9">
        <f>SUM(F$6,F$11,F$15,F$21,F$25,F$29,F$38,F$42)</f>
        <v>806</v>
      </c>
      <c r="G47" s="1"/>
      <c r="H47" s="9">
        <f t="shared" si="2"/>
        <v>838.5</v>
      </c>
      <c r="J47" s="30"/>
      <c r="L47" s="31">
        <f>SUM(L$6,L$11,L$15,L$21,L$25,L$29,L$38,L$42)</f>
        <v>12395250</v>
      </c>
      <c r="M47" s="31">
        <f>SUM(M$6,M$11,M$15,M$21,M$25,M$29,M$38,M$42)</f>
        <v>12477750</v>
      </c>
      <c r="N47" s="31">
        <f>SUM(N$6,N$11,N$15,N$21,N$25,N$29,N$38,N$42)</f>
        <v>11802750</v>
      </c>
      <c r="O47" s="31">
        <f>SUM(O$6,O$11,O$15,O$21,O$25,O$29,O$38,O$42)</f>
        <v>11750250</v>
      </c>
      <c r="P47" s="31"/>
      <c r="Q47" s="31">
        <f>SUM(Q$6,Q$11,Q$15,Q$21,Q$25,Q$29,Q$38,Q$42)</f>
        <v>48426000</v>
      </c>
    </row>
  </sheetData>
  <mergeCells count="2">
    <mergeCell ref="C4:F4"/>
    <mergeCell ref="L4:O4"/>
  </mergeCells>
  <pageMargins left="0.7" right="0.7" top="0.75" bottom="0.75" header="0.3" footer="0.3"/>
  <pageSetup orientation="portrait" r:id="rId1"/>
  <ignoredErrors>
    <ignoredError sqref="L11:O11 Q11 L15:O15 Q15 L21:O21 Q21 L25:O25 Q25 P33:Q33 L38:Q38 L42:Q42 L33:O33 L29:Q2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workbookViewId="0">
      <selection activeCell="A15" sqref="A15"/>
    </sheetView>
  </sheetViews>
  <sheetFormatPr defaultRowHeight="14.5" x14ac:dyDescent="0.35"/>
  <cols>
    <col min="7" max="7" width="0.81640625" customWidth="1"/>
  </cols>
  <sheetData>
    <row r="1" spans="1:8" x14ac:dyDescent="0.35">
      <c r="A1" s="1" t="str">
        <f>HeadcountSummaries!A1</f>
        <v>Copper Mine Co. Panama Mine Division Department Headcount Projection</v>
      </c>
    </row>
    <row r="2" spans="1:8" x14ac:dyDescent="0.35">
      <c r="A2" s="16" t="str">
        <f>HeadcountSummaries!A3</f>
        <v>All amounts in US$ thousands (000s)</v>
      </c>
    </row>
    <row r="3" spans="1:8" x14ac:dyDescent="0.35">
      <c r="A3" s="1" t="s">
        <v>97</v>
      </c>
    </row>
    <row r="4" spans="1:8" x14ac:dyDescent="0.35">
      <c r="A4" s="1" t="s">
        <v>42</v>
      </c>
      <c r="D4" s="37">
        <v>2014</v>
      </c>
      <c r="E4" s="37"/>
    </row>
    <row r="5" spans="1:8" x14ac:dyDescent="0.35">
      <c r="A5" s="28" t="s">
        <v>85</v>
      </c>
      <c r="D5" s="38">
        <v>240800000</v>
      </c>
      <c r="E5" s="38"/>
      <c r="F5" s="38"/>
      <c r="H5" t="s">
        <v>43</v>
      </c>
    </row>
    <row r="6" spans="1:8" x14ac:dyDescent="0.35">
      <c r="A6" s="28" t="s">
        <v>88</v>
      </c>
      <c r="D6" s="39">
        <v>0.11</v>
      </c>
      <c r="E6" s="40"/>
      <c r="F6" s="41"/>
      <c r="H6" t="s">
        <v>84</v>
      </c>
    </row>
    <row r="7" spans="1:8" x14ac:dyDescent="0.35">
      <c r="A7" s="28" t="s">
        <v>87</v>
      </c>
      <c r="D7" s="39">
        <v>5.1999999999999998E-2</v>
      </c>
      <c r="E7" s="40"/>
      <c r="F7" s="41"/>
      <c r="H7" t="s">
        <v>84</v>
      </c>
    </row>
    <row r="8" spans="1:8" x14ac:dyDescent="0.35">
      <c r="A8" s="28" t="s">
        <v>86</v>
      </c>
      <c r="D8" s="39">
        <v>0.26</v>
      </c>
      <c r="E8" s="40"/>
      <c r="F8" s="41"/>
      <c r="H8" t="s">
        <v>89</v>
      </c>
    </row>
  </sheetData>
  <mergeCells count="5">
    <mergeCell ref="D4:E4"/>
    <mergeCell ref="D5:F5"/>
    <mergeCell ref="D8:F8"/>
    <mergeCell ref="D6:F6"/>
    <mergeCell ref="D7:F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A037FB9E344D4C90A8431F400EE5CF" ma:contentTypeVersion="8" ma:contentTypeDescription="Create a new document." ma:contentTypeScope="" ma:versionID="5c12a94872e75fa30f8771efcac8ae20">
  <xsd:schema xmlns:xsd="http://www.w3.org/2001/XMLSchema" xmlns:xs="http://www.w3.org/2001/XMLSchema" xmlns:p="http://schemas.microsoft.com/office/2006/metadata/properties" xmlns:ns2="69f742e2-1021-42c3-96ef-3d17fd823129" xmlns:ns3="0234f73f-4ded-4f98-ac69-d98971715957" targetNamespace="http://schemas.microsoft.com/office/2006/metadata/properties" ma:root="true" ma:fieldsID="c9553ff3bacc64ac74360dc5def5bfa2" ns2:_="" ns3:_="">
    <xsd:import namespace="69f742e2-1021-42c3-96ef-3d17fd823129"/>
    <xsd:import namespace="0234f73f-4ded-4f98-ac69-d989717159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f742e2-1021-42c3-96ef-3d17fd8231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34f73f-4ded-4f98-ac69-d9897171595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768ED0-6CCD-4707-BD08-7BE18B39AE4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100795D-9234-4B1A-A70B-AF1325C9CF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25D968-F75A-4CBA-AF18-8E552DB300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f742e2-1021-42c3-96ef-3d17fd823129"/>
    <ds:schemaRef ds:uri="0234f73f-4ded-4f98-ac69-d989717159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HeadcountSummaries</vt:lpstr>
      <vt:lpstr>Headcount</vt:lpstr>
      <vt:lpstr>Inputs</vt:lpstr>
    </vt:vector>
  </TitlesOfParts>
  <Company>Holmes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chadd</dc:creator>
  <cp:lastModifiedBy>User</cp:lastModifiedBy>
  <dcterms:created xsi:type="dcterms:W3CDTF">2013-05-02T17:13:49Z</dcterms:created>
  <dcterms:modified xsi:type="dcterms:W3CDTF">2021-08-22T00:31:36Z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0x0101008DA037FB9E344D4C90A8431F400EE5CF</vt:lpwstr>
  </property>
</Properties>
</file>