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Academics\FPAC prep\"/>
    </mc:Choice>
  </mc:AlternateContent>
  <xr:revisionPtr revIDLastSave="0" documentId="8_{A5433963-A224-47B8-B880-18073EACF882}" xr6:coauthVersionLast="47" xr6:coauthVersionMax="47" xr10:uidLastSave="{00000000-0000-0000-0000-000000000000}"/>
  <bookViews>
    <workbookView xWindow="-110" yWindow="-110" windowWidth="19420" windowHeight="10420" firstSheet="5" activeTab="6" xr2:uid="{00000000-000D-0000-FFFF-FFFF00000000}"/>
  </bookViews>
  <sheets>
    <sheet name="IncomeInputs" sheetId="10" r:id="rId1"/>
    <sheet name="IncomeStatements" sheetId="1" r:id="rId2"/>
    <sheet name="BalanceInputs" sheetId="11" r:id="rId3"/>
    <sheet name="BalanceSheets" sheetId="2" r:id="rId4"/>
    <sheet name="CashFlowInputs" sheetId="5" r:id="rId5"/>
    <sheet name="CashFlows" sheetId="8" r:id="rId6"/>
    <sheet name="ProjectionInputs" sheetId="9" r:id="rId7"/>
    <sheet name="ProjectedIncome" sheetId="4" r:id="rId8"/>
    <sheet name="ProjectedBalance" sheetId="6" r:id="rId9"/>
    <sheet name="ProjectedCash" sheetId="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7" l="1"/>
  <c r="B7" i="6" l="1"/>
  <c r="E5" i="7" l="1"/>
  <c r="C5" i="6"/>
  <c r="B4" i="9"/>
  <c r="C4" i="4"/>
  <c r="D5" i="9"/>
  <c r="E5" i="8"/>
  <c r="C5" i="8"/>
  <c r="E5" i="5"/>
  <c r="C5" i="5"/>
  <c r="D29" i="2"/>
  <c r="D28" i="2"/>
  <c r="D27" i="2"/>
  <c r="D25" i="2"/>
  <c r="D24" i="2"/>
  <c r="D22" i="2"/>
  <c r="D21" i="2"/>
  <c r="D20" i="2"/>
  <c r="D19" i="2"/>
  <c r="D15" i="2"/>
  <c r="D13" i="2"/>
  <c r="D12" i="2"/>
  <c r="D10" i="2"/>
  <c r="D9" i="2"/>
  <c r="D8" i="2"/>
  <c r="D7" i="2"/>
  <c r="C29" i="2"/>
  <c r="C28" i="2"/>
  <c r="C27" i="2"/>
  <c r="C25" i="2"/>
  <c r="C24" i="2"/>
  <c r="C22" i="2"/>
  <c r="C21" i="2"/>
  <c r="C20" i="2"/>
  <c r="C19" i="2"/>
  <c r="C15" i="2"/>
  <c r="C13" i="2"/>
  <c r="C12" i="2"/>
  <c r="C10" i="2"/>
  <c r="C9" i="2"/>
  <c r="C8" i="2"/>
  <c r="C7" i="2"/>
  <c r="B29" i="2"/>
  <c r="B28" i="2"/>
  <c r="B27" i="2"/>
  <c r="B25" i="2"/>
  <c r="B25" i="6" s="1"/>
  <c r="B24" i="2"/>
  <c r="B22" i="2"/>
  <c r="B21" i="2"/>
  <c r="B20" i="2"/>
  <c r="B19" i="2"/>
  <c r="B15" i="2"/>
  <c r="B13" i="2"/>
  <c r="D20" i="9" s="1"/>
  <c r="B12" i="2"/>
  <c r="B10" i="2"/>
  <c r="B9" i="2"/>
  <c r="B8" i="2"/>
  <c r="B7" i="2"/>
  <c r="F5" i="2"/>
  <c r="E5" i="2"/>
  <c r="D5" i="2"/>
  <c r="C5" i="2"/>
  <c r="B5" i="2"/>
  <c r="D5" i="11"/>
  <c r="C5" i="11"/>
  <c r="B5" i="11"/>
  <c r="A1" i="11"/>
  <c r="B5" i="1"/>
  <c r="C5" i="1"/>
  <c r="D5" i="1"/>
  <c r="D18" i="1"/>
  <c r="D15" i="1"/>
  <c r="D14" i="1"/>
  <c r="D12" i="1"/>
  <c r="D10" i="1"/>
  <c r="D9" i="1"/>
  <c r="D7" i="1"/>
  <c r="D6" i="1"/>
  <c r="C18" i="1"/>
  <c r="C15" i="1"/>
  <c r="C14" i="1"/>
  <c r="C12" i="1"/>
  <c r="C10" i="1"/>
  <c r="C9" i="1"/>
  <c r="C7" i="1"/>
  <c r="C6" i="1"/>
  <c r="B18" i="1"/>
  <c r="B15" i="1"/>
  <c r="B14" i="1"/>
  <c r="B12" i="1"/>
  <c r="B10" i="1"/>
  <c r="B9" i="1"/>
  <c r="B7" i="1"/>
  <c r="B6" i="1"/>
  <c r="B19" i="9" s="1"/>
  <c r="B12" i="4" l="1"/>
  <c r="D5" i="6"/>
  <c r="B4" i="4"/>
  <c r="C5" i="7"/>
  <c r="B5" i="6"/>
  <c r="C28" i="7"/>
  <c r="B24" i="7"/>
  <c r="B19" i="7"/>
  <c r="B18" i="7"/>
  <c r="D38" i="9"/>
  <c r="D37" i="9"/>
  <c r="D35" i="9"/>
  <c r="D34" i="9"/>
  <c r="E31" i="7"/>
  <c r="B28" i="6"/>
  <c r="D29" i="9"/>
  <c r="B27" i="6"/>
  <c r="D28" i="9"/>
  <c r="B24" i="6"/>
  <c r="D27" i="9"/>
  <c r="B20" i="6"/>
  <c r="D23" i="9"/>
  <c r="B15" i="6"/>
  <c r="D21" i="9"/>
  <c r="B13" i="6"/>
  <c r="D32" i="5"/>
  <c r="D31" i="5"/>
  <c r="B32" i="5"/>
  <c r="D30" i="9" s="1"/>
  <c r="B31" i="5"/>
  <c r="D19" i="9" s="1"/>
  <c r="B10" i="6"/>
  <c r="D18" i="9"/>
  <c r="C39" i="2"/>
  <c r="B39" i="2"/>
  <c r="D26" i="9" s="1"/>
  <c r="C37" i="2"/>
  <c r="B37" i="2"/>
  <c r="D22" i="9" s="1"/>
  <c r="C36" i="2"/>
  <c r="B36" i="2"/>
  <c r="D17" i="9" s="1"/>
  <c r="C38" i="2"/>
  <c r="B38" i="2"/>
  <c r="D25" i="9" s="1"/>
  <c r="C35" i="2"/>
  <c r="B35" i="2"/>
  <c r="D16" i="9" s="1"/>
  <c r="D18" i="8"/>
  <c r="D19" i="8"/>
  <c r="B19" i="8"/>
  <c r="D19" i="7" s="1"/>
  <c r="C30" i="8"/>
  <c r="E30" i="8"/>
  <c r="E25" i="8"/>
  <c r="B18" i="4"/>
  <c r="D13" i="9"/>
  <c r="B15" i="4"/>
  <c r="D12" i="9"/>
  <c r="B10" i="4"/>
  <c r="B6" i="4"/>
  <c r="C29" i="6"/>
  <c r="C28" i="6"/>
  <c r="C27" i="6"/>
  <c r="C25" i="6"/>
  <c r="C24" i="6"/>
  <c r="C22" i="6"/>
  <c r="C21" i="6"/>
  <c r="C20" i="6"/>
  <c r="E20" i="6" s="1"/>
  <c r="C19" i="6"/>
  <c r="C15" i="6"/>
  <c r="E15" i="6" s="1"/>
  <c r="C13" i="6"/>
  <c r="C12" i="6"/>
  <c r="C10" i="6"/>
  <c r="C9" i="6"/>
  <c r="C8" i="6"/>
  <c r="C7" i="6"/>
  <c r="C18" i="4"/>
  <c r="C15" i="4"/>
  <c r="C14" i="4"/>
  <c r="C12" i="4"/>
  <c r="C10" i="4"/>
  <c r="C9" i="4"/>
  <c r="C7" i="4"/>
  <c r="C6" i="4"/>
  <c r="A1" i="9"/>
  <c r="C27" i="8"/>
  <c r="E28" i="7" s="1"/>
  <c r="E27" i="8"/>
  <c r="D23" i="8"/>
  <c r="B23" i="8"/>
  <c r="D24" i="7" s="1"/>
  <c r="B18" i="8"/>
  <c r="D9" i="8"/>
  <c r="B9" i="8"/>
  <c r="C36" i="1"/>
  <c r="B36" i="1"/>
  <c r="D10" i="9" s="1"/>
  <c r="C35" i="1"/>
  <c r="B35" i="1"/>
  <c r="D9" i="9" s="1"/>
  <c r="A1" i="8"/>
  <c r="F8" i="2"/>
  <c r="D11" i="8" s="1"/>
  <c r="F9" i="2"/>
  <c r="D12" i="8" s="1"/>
  <c r="F10" i="2"/>
  <c r="F12" i="2"/>
  <c r="F13" i="2"/>
  <c r="F15" i="2"/>
  <c r="F19" i="2"/>
  <c r="D13" i="8" s="1"/>
  <c r="F20" i="2"/>
  <c r="F21" i="2"/>
  <c r="D14" i="8" s="1"/>
  <c r="F22" i="2"/>
  <c r="D15" i="8" s="1"/>
  <c r="F24" i="2"/>
  <c r="F25" i="2"/>
  <c r="F27" i="2"/>
  <c r="F28" i="2"/>
  <c r="F29" i="2"/>
  <c r="E8" i="2"/>
  <c r="B11" i="8" s="1"/>
  <c r="D11" i="7" s="1"/>
  <c r="E9" i="2"/>
  <c r="B12" i="8" s="1"/>
  <c r="D12" i="7" s="1"/>
  <c r="E10" i="2"/>
  <c r="E12" i="2"/>
  <c r="E13" i="2"/>
  <c r="E15" i="2"/>
  <c r="E19" i="2"/>
  <c r="B13" i="8" s="1"/>
  <c r="D13" i="7" s="1"/>
  <c r="E20" i="2"/>
  <c r="E21" i="2"/>
  <c r="B14" i="8" s="1"/>
  <c r="D14" i="7" s="1"/>
  <c r="E22" i="2"/>
  <c r="B15" i="8" s="1"/>
  <c r="D15" i="7" s="1"/>
  <c r="E24" i="2"/>
  <c r="E25" i="2"/>
  <c r="E27" i="2"/>
  <c r="E28" i="2"/>
  <c r="E29" i="2"/>
  <c r="F7" i="2"/>
  <c r="E7" i="2"/>
  <c r="C30" i="2"/>
  <c r="D30" i="2"/>
  <c r="B30" i="2"/>
  <c r="C30" i="6" s="1"/>
  <c r="C23" i="2"/>
  <c r="C26" i="2" s="1"/>
  <c r="D23" i="2"/>
  <c r="D26" i="2" s="1"/>
  <c r="B23" i="2"/>
  <c r="C23" i="6" s="1"/>
  <c r="C14" i="2"/>
  <c r="D14" i="2"/>
  <c r="C11" i="2"/>
  <c r="D11" i="2"/>
  <c r="B14" i="2"/>
  <c r="C14" i="6" s="1"/>
  <c r="B11" i="2"/>
  <c r="C11" i="6" s="1"/>
  <c r="D23" i="1"/>
  <c r="D24" i="1"/>
  <c r="D26" i="1"/>
  <c r="D28" i="1"/>
  <c r="D29" i="1"/>
  <c r="D21" i="1"/>
  <c r="C23" i="1"/>
  <c r="C24" i="1"/>
  <c r="C26" i="1"/>
  <c r="C28" i="1"/>
  <c r="C29" i="1"/>
  <c r="C21" i="1"/>
  <c r="B23" i="1"/>
  <c r="B24" i="1"/>
  <c r="B26" i="1"/>
  <c r="B28" i="1"/>
  <c r="B29" i="1"/>
  <c r="B21" i="1"/>
  <c r="E10" i="6" l="1"/>
  <c r="B21" i="7"/>
  <c r="E13" i="6"/>
  <c r="E27" i="6"/>
  <c r="D15" i="4"/>
  <c r="E28" i="6"/>
  <c r="D18" i="4"/>
  <c r="E25" i="6"/>
  <c r="E24" i="6"/>
  <c r="B9" i="7"/>
  <c r="D10" i="4"/>
  <c r="B7" i="4"/>
  <c r="B9" i="6" s="1"/>
  <c r="D6" i="4"/>
  <c r="D28" i="6"/>
  <c r="D31" i="2"/>
  <c r="D24" i="6"/>
  <c r="D13" i="6"/>
  <c r="D16" i="2"/>
  <c r="F14" i="2"/>
  <c r="C16" i="2"/>
  <c r="F16" i="2" s="1"/>
  <c r="D27" i="6"/>
  <c r="D25" i="6"/>
  <c r="D20" i="6"/>
  <c r="D15" i="6"/>
  <c r="D10" i="6"/>
  <c r="B21" i="6"/>
  <c r="B26" i="2"/>
  <c r="C26" i="6" s="1"/>
  <c r="E30" i="2"/>
  <c r="B22" i="8"/>
  <c r="D23" i="7" s="1"/>
  <c r="F26" i="2"/>
  <c r="F30" i="2"/>
  <c r="D22" i="8"/>
  <c r="D24" i="8" s="1"/>
  <c r="B16" i="2"/>
  <c r="E14" i="2"/>
  <c r="B16" i="8"/>
  <c r="D16" i="7" s="1"/>
  <c r="E23" i="2"/>
  <c r="E11" i="2"/>
  <c r="F23" i="2"/>
  <c r="F11" i="2"/>
  <c r="D16" i="8"/>
  <c r="B12" i="6"/>
  <c r="E12" i="6" s="1"/>
  <c r="B8" i="6"/>
  <c r="B20" i="8"/>
  <c r="D21" i="7" s="1"/>
  <c r="D20" i="8"/>
  <c r="D9" i="7"/>
  <c r="D18" i="7"/>
  <c r="B9" i="4"/>
  <c r="C31" i="2"/>
  <c r="C32" i="2" s="1"/>
  <c r="D32" i="2" l="1"/>
  <c r="D9" i="6"/>
  <c r="B12" i="7" s="1"/>
  <c r="E9" i="6"/>
  <c r="D9" i="4"/>
  <c r="D8" i="6"/>
  <c r="B11" i="7" s="1"/>
  <c r="E8" i="6"/>
  <c r="B19" i="6"/>
  <c r="D21" i="6"/>
  <c r="B14" i="7" s="1"/>
  <c r="E21" i="6"/>
  <c r="B8" i="4"/>
  <c r="D7" i="4"/>
  <c r="B23" i="7"/>
  <c r="B25" i="7" s="1"/>
  <c r="B24" i="8"/>
  <c r="D25" i="7" s="1"/>
  <c r="B31" i="2"/>
  <c r="B14" i="6"/>
  <c r="D12" i="6"/>
  <c r="E26" i="2"/>
  <c r="F31" i="2"/>
  <c r="C16" i="6"/>
  <c r="E16" i="2"/>
  <c r="C34" i="1"/>
  <c r="B34" i="1"/>
  <c r="D8" i="9" s="1"/>
  <c r="C32" i="1"/>
  <c r="B32" i="1"/>
  <c r="D6" i="9" s="1"/>
  <c r="C8" i="1"/>
  <c r="D8" i="1"/>
  <c r="D22" i="1" s="1"/>
  <c r="B8" i="1"/>
  <c r="B11" i="1" s="1"/>
  <c r="B32" i="2" l="1"/>
  <c r="C32" i="6" s="1"/>
  <c r="B11" i="4"/>
  <c r="D14" i="6"/>
  <c r="E14" i="6"/>
  <c r="D19" i="6"/>
  <c r="B13" i="7" s="1"/>
  <c r="E19" i="6"/>
  <c r="E31" i="2"/>
  <c r="C31" i="6"/>
  <c r="D11" i="1"/>
  <c r="C33" i="1"/>
  <c r="C22" i="1"/>
  <c r="C11" i="4"/>
  <c r="B25" i="1"/>
  <c r="B13" i="1"/>
  <c r="B22" i="1"/>
  <c r="C8" i="4"/>
  <c r="D8" i="4" s="1"/>
  <c r="B33" i="1"/>
  <c r="D7" i="9" s="1"/>
  <c r="C11" i="1"/>
  <c r="D11" i="4" l="1"/>
  <c r="D13" i="1"/>
  <c r="D25" i="1"/>
  <c r="C13" i="1"/>
  <c r="C25" i="1"/>
  <c r="C13" i="4"/>
  <c r="B37" i="1"/>
  <c r="D11" i="9" s="1"/>
  <c r="B27" i="1"/>
  <c r="B16" i="1"/>
  <c r="A1" i="7"/>
  <c r="A1" i="6"/>
  <c r="A1" i="4"/>
  <c r="A1" i="5"/>
  <c r="A1" i="2"/>
  <c r="D16" i="1" l="1"/>
  <c r="D27" i="1"/>
  <c r="C16" i="1"/>
  <c r="C37" i="1"/>
  <c r="C27" i="1"/>
  <c r="B30" i="1"/>
  <c r="C16" i="4"/>
  <c r="C6" i="8"/>
  <c r="B17" i="1"/>
  <c r="C17" i="4" s="1"/>
  <c r="D17" i="1" l="1"/>
  <c r="D30" i="1"/>
  <c r="C17" i="1"/>
  <c r="E6" i="8"/>
  <c r="E16" i="8" s="1"/>
  <c r="E20" i="8" s="1"/>
  <c r="E24" i="8" s="1"/>
  <c r="E26" i="8" s="1"/>
  <c r="E31" i="8" s="1"/>
  <c r="C30" i="1"/>
  <c r="E6" i="7"/>
  <c r="C16" i="8"/>
  <c r="E28" i="8" l="1"/>
  <c r="C25" i="8"/>
  <c r="E26" i="7" s="1"/>
  <c r="C20" i="8"/>
  <c r="E16" i="7"/>
  <c r="E21" i="7" l="1"/>
  <c r="C24" i="8"/>
  <c r="E25" i="7" l="1"/>
  <c r="C26" i="8"/>
  <c r="C31" i="8" s="1"/>
  <c r="C28" i="8" l="1"/>
  <c r="E29" i="7" s="1"/>
  <c r="E27" i="7"/>
  <c r="C26" i="7"/>
  <c r="E32" i="7" l="1"/>
  <c r="E33" i="7"/>
  <c r="D12" i="4"/>
  <c r="B13" i="4"/>
  <c r="D13" i="4" s="1"/>
  <c r="B14" i="4" l="1"/>
  <c r="B22" i="6" s="1"/>
  <c r="D22" i="6" s="1"/>
  <c r="B15" i="7" s="1"/>
  <c r="B16" i="7" s="1"/>
  <c r="B23" i="6" l="1"/>
  <c r="E23" i="6" s="1"/>
  <c r="D14" i="4"/>
  <c r="E22" i="6"/>
  <c r="B16" i="4"/>
  <c r="B29" i="6" s="1"/>
  <c r="D16" i="4" l="1"/>
  <c r="D23" i="6"/>
  <c r="B26" i="6"/>
  <c r="E26" i="6" s="1"/>
  <c r="B17" i="4"/>
  <c r="D17" i="4" s="1"/>
  <c r="C6" i="7"/>
  <c r="C16" i="7" s="1"/>
  <c r="D29" i="6"/>
  <c r="E29" i="6"/>
  <c r="B30" i="6"/>
  <c r="D26" i="6" l="1"/>
  <c r="B31" i="6"/>
  <c r="E31" i="6" s="1"/>
  <c r="E7" i="6"/>
  <c r="D7" i="6"/>
  <c r="C31" i="7"/>
  <c r="B11" i="6"/>
  <c r="D30" i="6"/>
  <c r="E30" i="6"/>
  <c r="D31" i="6" l="1"/>
  <c r="E11" i="6"/>
  <c r="B16" i="6"/>
  <c r="D11" i="6"/>
  <c r="D31" i="9" l="1"/>
  <c r="F31" i="9" s="1"/>
  <c r="D16" i="6"/>
  <c r="E16" i="6"/>
  <c r="B32" i="6"/>
  <c r="C21" i="7"/>
  <c r="C25" i="7" s="1"/>
  <c r="C27" i="7" s="1"/>
  <c r="C29" i="7" l="1"/>
  <c r="C32" i="7"/>
  <c r="C33" i="7"/>
</calcChain>
</file>

<file path=xl/sharedStrings.xml><?xml version="1.0" encoding="utf-8"?>
<sst xmlns="http://schemas.openxmlformats.org/spreadsheetml/2006/main" count="369" uniqueCount="141">
  <si>
    <t>ShopNow! Financial Statements</t>
  </si>
  <si>
    <t>(in millions)</t>
  </si>
  <si>
    <t>For the years ended December 31,</t>
  </si>
  <si>
    <t>Change in Balance Sheet</t>
  </si>
  <si>
    <t>Revenue</t>
  </si>
  <si>
    <t>Cost of Goods Sold</t>
  </si>
  <si>
    <t>SG&amp;A</t>
  </si>
  <si>
    <t>Depreciation &amp; Amortization Exp.</t>
  </si>
  <si>
    <t>Interest Expense</t>
  </si>
  <si>
    <t>Income Tax Expense</t>
  </si>
  <si>
    <t>Income (Loss) from Extraordinary
  Items or Discontinued Operations</t>
  </si>
  <si>
    <t>Net Income</t>
  </si>
  <si>
    <t>Earnings Per Share</t>
  </si>
  <si>
    <t>Shares Issued and Outstanding</t>
  </si>
  <si>
    <t>SG&amp;A/Revenue</t>
  </si>
  <si>
    <t>Income Before Tax</t>
  </si>
  <si>
    <t>EBIT</t>
  </si>
  <si>
    <t>Gross Profit</t>
  </si>
  <si>
    <t>Revenue Growth (CY-PY)/PY</t>
  </si>
  <si>
    <t>Cash</t>
  </si>
  <si>
    <t>Accounts Receivable</t>
  </si>
  <si>
    <t>Inventory</t>
  </si>
  <si>
    <t>Other Current Assets</t>
  </si>
  <si>
    <t xml:space="preserve">     Total Current Assets</t>
  </si>
  <si>
    <t>PP&amp;E</t>
  </si>
  <si>
    <t>Accumulated Depreciation</t>
  </si>
  <si>
    <t xml:space="preserve">     Net PP&amp;E</t>
  </si>
  <si>
    <t>Other Noncurrent Assets</t>
  </si>
  <si>
    <t xml:space="preserve">    Total Assets</t>
  </si>
  <si>
    <t>Assets</t>
  </si>
  <si>
    <t>Liabilities and Shareholders' Equity</t>
  </si>
  <si>
    <t>Accounts Payable</t>
  </si>
  <si>
    <t>Current Portion of Long-Term Debt</t>
  </si>
  <si>
    <t>Accrued Expenses</t>
  </si>
  <si>
    <t>Income Taxes and Other</t>
  </si>
  <si>
    <t xml:space="preserve">     Total Current Liabilities</t>
  </si>
  <si>
    <t>Deferred Income Taxes and Other</t>
  </si>
  <si>
    <t>Long-Term Debt</t>
  </si>
  <si>
    <t xml:space="preserve">     Total Liabilities</t>
  </si>
  <si>
    <t>Common Stock</t>
  </si>
  <si>
    <t>Additional Paid-In Capital</t>
  </si>
  <si>
    <t>Retained Earnings</t>
  </si>
  <si>
    <t xml:space="preserve">     Shareholders' Equity</t>
  </si>
  <si>
    <t xml:space="preserve">     Total Liabilities and 
        Shareholders' Equity</t>
  </si>
  <si>
    <t>Balance Check (OK or Error)</t>
  </si>
  <si>
    <t>Cash Flow Additional Inputs</t>
  </si>
  <si>
    <t>Adjustments to Reconcile Net Income to Net Cash Flow</t>
  </si>
  <si>
    <t xml:space="preserve">  Noncash Adjustments</t>
  </si>
  <si>
    <t xml:space="preserve">  Changes in Working Capital</t>
  </si>
  <si>
    <t>Investing Activities</t>
  </si>
  <si>
    <t xml:space="preserve">     + Depreciation and Amortization</t>
  </si>
  <si>
    <t xml:space="preserve">     Decrease (Increase) in A/R</t>
  </si>
  <si>
    <t xml:space="preserve">     Decrease (Increase) in Inventory </t>
  </si>
  <si>
    <t xml:space="preserve">     Increase (Decrease) in A/P</t>
  </si>
  <si>
    <t xml:space="preserve">     Increase (Decrease) in Accrued
       Expenses</t>
  </si>
  <si>
    <t>Financing Activities</t>
  </si>
  <si>
    <t>Operating Activities</t>
  </si>
  <si>
    <t>Increase (Decrease) in Long-Term
  Debt [Source (Use) of Cash]</t>
  </si>
  <si>
    <t xml:space="preserve">  Net Cash Flow From Operating
   Activities</t>
  </si>
  <si>
    <t xml:space="preserve">  Net Cash Flow from Investing
    Activities</t>
  </si>
  <si>
    <t xml:space="preserve">  Net Cash Flow from Financing
    Activities</t>
  </si>
  <si>
    <t>Beginning Cash</t>
  </si>
  <si>
    <t>Minimum Cash Balance</t>
  </si>
  <si>
    <t>Ending Cash</t>
  </si>
  <si>
    <t>Statements of Cash Flows (Indirect Method)</t>
  </si>
  <si>
    <t>Excesss (Required) Cash</t>
  </si>
  <si>
    <t>Less Dividends Paid</t>
  </si>
  <si>
    <t>CapEx Spend</t>
  </si>
  <si>
    <t>Source</t>
  </si>
  <si>
    <t>Income Statement</t>
  </si>
  <si>
    <r>
      <rPr>
        <sz val="11"/>
        <color theme="1"/>
        <rFont val="Calibri"/>
        <family val="2"/>
      </rPr>
      <t>−</t>
    </r>
    <r>
      <rPr>
        <sz val="11"/>
        <color theme="1"/>
        <rFont val="Calibri"/>
        <family val="2"/>
        <scheme val="minor"/>
      </rPr>
      <t>Change in Balance Sheet</t>
    </r>
  </si>
  <si>
    <r>
      <rPr>
        <sz val="11"/>
        <color theme="1"/>
        <rFont val="Calibri"/>
        <family val="2"/>
      </rPr>
      <t>−</t>
    </r>
    <r>
      <rPr>
        <sz val="11"/>
        <color theme="1"/>
        <rFont val="Calibri"/>
        <family val="2"/>
        <scheme val="minor"/>
      </rPr>
      <t>Change in Balance Sheet</t>
    </r>
  </si>
  <si>
    <t xml:space="preserve">     Increase (Decrease) in Income
       Taxes and Other</t>
  </si>
  <si>
    <t>Forecast</t>
  </si>
  <si>
    <t>Actual</t>
  </si>
  <si>
    <t>Forecast for</t>
  </si>
  <si>
    <t>Actuals for</t>
  </si>
  <si>
    <t>Income Statement Assumptions</t>
  </si>
  <si>
    <t>Tax Rate</t>
  </si>
  <si>
    <t>Tax Rate: Income Tax Expense/
  Income Before Tax</t>
  </si>
  <si>
    <t>LT Interest Rate: Interest Expense/(PY Long-Term Debt+PY Current Portion of LTD)</t>
  </si>
  <si>
    <t>Depreciation Rate: Depreciation/Gross PY PP&amp;E</t>
  </si>
  <si>
    <t>SG&amp;A as a % of Revenue</t>
  </si>
  <si>
    <t>Gross Profit as a % of Revenue</t>
  </si>
  <si>
    <t>Revenue Growth Rate</t>
  </si>
  <si>
    <t>Depreciation Rate</t>
  </si>
  <si>
    <t>Long-Term Debt Interest Rate</t>
  </si>
  <si>
    <t>Balance Sheet Assumptions</t>
  </si>
  <si>
    <t>Extraordinary and Discontinued Items</t>
  </si>
  <si>
    <t>Pct.</t>
  </si>
  <si>
    <t>Amt.</t>
  </si>
  <si>
    <t>Shares</t>
  </si>
  <si>
    <t>Assumptions</t>
  </si>
  <si>
    <t>Check Sum</t>
  </si>
  <si>
    <t>Proceeds From Disposal of PP&amp;E</t>
  </si>
  <si>
    <t>Ending Cash vs. Cash on Balance Sheet Check</t>
  </si>
  <si>
    <t>CashFlowInputs</t>
  </si>
  <si>
    <t>Actual Rates</t>
  </si>
  <si>
    <t>A/R Turnover Rate</t>
  </si>
  <si>
    <t>Inventory Turnover Rate</t>
  </si>
  <si>
    <t>A/P Turnover Rate</t>
  </si>
  <si>
    <t>Accrued Expenses Turnover Rate</t>
  </si>
  <si>
    <t>Dividends/Shares Issued and
  Outstanding</t>
  </si>
  <si>
    <t>A/R Turnover Rate: Revenue/
  ((CY A/R + PY A/R)/2)</t>
  </si>
  <si>
    <t>Inventory Turnover Rate: COGS/
  ((CY Inv. + PY Inv.)/2)</t>
  </si>
  <si>
    <t>A/P Turnover Rate: COGS/
  ((CY A/P + PY A/P)/2)</t>
  </si>
  <si>
    <t>Accrued Expenses Turnover Rate:
  Revenue/((CY Accrued Exp. 
  + PY Accrued Exp.)/2)</t>
  </si>
  <si>
    <t>Taxes Payable/Tax Expense</t>
  </si>
  <si>
    <t>Ratio</t>
  </si>
  <si>
    <t>Cash Flow Assumptions</t>
  </si>
  <si>
    <t>CapEx/Revenues</t>
  </si>
  <si>
    <t>CapEx/Revenue</t>
  </si>
  <si>
    <t>Other NonCurrent Assets</t>
  </si>
  <si>
    <t xml:space="preserve">Amt. </t>
  </si>
  <si>
    <t>Amt</t>
  </si>
  <si>
    <t>PY Balance Sheet Cash</t>
  </si>
  <si>
    <t>Input Fields for Income Statements</t>
  </si>
  <si>
    <t>Year</t>
  </si>
  <si>
    <t>Balance Sheets</t>
  </si>
  <si>
    <t>Income Statements</t>
  </si>
  <si>
    <t xml:space="preserve"> Forecast</t>
  </si>
  <si>
    <t>Financial Projection Input Assumptions</t>
  </si>
  <si>
    <t>Pro Forma Income Statement</t>
  </si>
  <si>
    <t>Pro Forma Balance Sheet</t>
  </si>
  <si>
    <t>ProjectionInputs</t>
  </si>
  <si>
    <t>Pro Forma Statement of Cash Flows (Indirect Method)</t>
  </si>
  <si>
    <t>Depreciation &amp; Amortization</t>
  </si>
  <si>
    <t>Income (Loss): Extraordinary
Items / Discontinued Operations</t>
  </si>
  <si>
    <t>Income (loss): Extraordinary Items / Discontinued Operations</t>
  </si>
  <si>
    <t>Gross Margin</t>
  </si>
  <si>
    <t>Common Size Income Statements</t>
  </si>
  <si>
    <t xml:space="preserve"> </t>
  </si>
  <si>
    <t>% Change in Balance Sheet</t>
  </si>
  <si>
    <t>% Change</t>
  </si>
  <si>
    <t>Income (Loss) from Extraordinary Items or Discontinued Operations</t>
  </si>
  <si>
    <t>Check Sum Difference</t>
  </si>
  <si>
    <t>Other Investments</t>
  </si>
  <si>
    <t>New Long-Term Debt</t>
  </si>
  <si>
    <t>December 31,</t>
  </si>
  <si>
    <t>For the Year Ended December 31,</t>
  </si>
  <si>
    <t>Note: If Cell D31 displays a value other than $0, increase or reduce the value in Cell B31 by this amount until D31 is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</si>
</sst>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0.000%"/>
    <numFmt numFmtId="165" formatCode="&quot;$&quot;#,##0.00"/>
    <numFmt numFmtId="166" formatCode="&quot;$&quot;#,##0,,_);[Red]\(&quot;$&quot;#,##0,,\)"/>
    <numFmt numFmtId="167" formatCode="#,##0,,_);[Red]\(#,##0,,\)"/>
  </numFmts>
  <fonts count="8" x14ac:knownFonts="1">
    <font>
      <sz val="11"/>
      <color theme="1"/>
      <name val="Calibri"/>
      <family val="2"/>
      <scheme val="minor"/>
    </font>
    <font>
      <sz val="11"/>
      <color rgb="FF3F3F76"/>
      <name val="Calibri"/>
      <family val="2"/>
      <scheme val="minor"/>
    </font>
    <font>
      <b/>
      <sz val="11"/>
      <color theme="1"/>
      <name val="Calibri"/>
      <family val="2"/>
      <scheme val="minor"/>
    </font>
    <font>
      <sz val="11"/>
      <color theme="1"/>
      <name val="Calibri"/>
      <family val="2"/>
    </font>
    <font>
      <b/>
      <sz val="11"/>
      <color rgb="FF3F3F76"/>
      <name val="Calibri"/>
      <family val="2"/>
      <scheme val="minor"/>
    </font>
    <font>
      <i/>
      <sz val="11"/>
      <color rgb="FF7F7F7F"/>
      <name val="Calibri"/>
      <family val="2"/>
      <scheme val="minor"/>
    </font>
    <font>
      <sz val="11"/>
      <color theme="1"/>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6">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style="double">
        <color indexed="64"/>
      </bottom>
      <diagonal/>
    </border>
    <border>
      <left/>
      <right/>
      <top/>
      <bottom style="medium">
        <color indexed="64"/>
      </bottom>
      <diagonal/>
    </border>
    <border>
      <left/>
      <right/>
      <top style="thin">
        <color indexed="64"/>
      </top>
      <bottom style="thin">
        <color indexed="64"/>
      </bottom>
      <diagonal/>
    </border>
  </borders>
  <cellStyleXfs count="5">
    <xf numFmtId="0" fontId="0" fillId="0" borderId="0"/>
    <xf numFmtId="0" fontId="1" fillId="2" borderId="1" applyNumberFormat="0" applyAlignment="0" applyProtection="0"/>
    <xf numFmtId="0" fontId="5" fillId="0" borderId="0" applyNumberFormat="0" applyFill="0" applyBorder="0" applyAlignment="0" applyProtection="0"/>
    <xf numFmtId="9" fontId="6" fillId="0" borderId="0" applyFont="0" applyFill="0" applyBorder="0" applyAlignment="0" applyProtection="0"/>
    <xf numFmtId="0" fontId="7" fillId="3" borderId="1" applyNumberFormat="0" applyAlignment="0" applyProtection="0"/>
  </cellStyleXfs>
  <cellXfs count="41">
    <xf numFmtId="0" fontId="0" fillId="0" borderId="0" xfId="0"/>
    <xf numFmtId="0" fontId="2" fillId="0" borderId="0" xfId="0" applyFont="1"/>
    <xf numFmtId="0" fontId="0" fillId="0" borderId="0" xfId="0" applyAlignment="1">
      <alignment wrapText="1"/>
    </xf>
    <xf numFmtId="6" fontId="0" fillId="0" borderId="0" xfId="0" applyNumberFormat="1"/>
    <xf numFmtId="6" fontId="0" fillId="0" borderId="0" xfId="0" applyNumberFormat="1" applyBorder="1"/>
    <xf numFmtId="8" fontId="0" fillId="0" borderId="0" xfId="0" applyNumberFormat="1"/>
    <xf numFmtId="10" fontId="0" fillId="0" borderId="0" xfId="0" applyNumberFormat="1"/>
    <xf numFmtId="164" fontId="0" fillId="0" borderId="0" xfId="0" applyNumberFormat="1"/>
    <xf numFmtId="9" fontId="0" fillId="0" borderId="0" xfId="0" applyNumberFormat="1"/>
    <xf numFmtId="6" fontId="0" fillId="0" borderId="3" xfId="0" applyNumberFormat="1" applyBorder="1"/>
    <xf numFmtId="0" fontId="2" fillId="0" borderId="0" xfId="0" applyFont="1" applyAlignment="1">
      <alignment wrapText="1"/>
    </xf>
    <xf numFmtId="0" fontId="0" fillId="0" borderId="0" xfId="0" applyFont="1"/>
    <xf numFmtId="0" fontId="0" fillId="0" borderId="0" xfId="0" applyAlignment="1"/>
    <xf numFmtId="2" fontId="0" fillId="0" borderId="0" xfId="0" applyNumberFormat="1"/>
    <xf numFmtId="0" fontId="4" fillId="2" borderId="1" xfId="1" applyFont="1"/>
    <xf numFmtId="10" fontId="1" fillId="2" borderId="1" xfId="1" applyNumberFormat="1"/>
    <xf numFmtId="2" fontId="1" fillId="2" borderId="1" xfId="1" applyNumberFormat="1"/>
    <xf numFmtId="165" fontId="0" fillId="0" borderId="0" xfId="0" applyNumberFormat="1"/>
    <xf numFmtId="8" fontId="1" fillId="2" borderId="1" xfId="1" applyNumberFormat="1"/>
    <xf numFmtId="0" fontId="5" fillId="0" borderId="0" xfId="2" applyAlignment="1">
      <alignment wrapText="1"/>
    </xf>
    <xf numFmtId="0" fontId="2" fillId="0" borderId="0" xfId="0" applyFont="1" applyBorder="1"/>
    <xf numFmtId="0" fontId="0" fillId="0" borderId="0" xfId="0" applyBorder="1"/>
    <xf numFmtId="0" fontId="0" fillId="0" borderId="4" xfId="0" applyBorder="1" applyAlignment="1">
      <alignment wrapText="1"/>
    </xf>
    <xf numFmtId="0" fontId="0" fillId="0" borderId="4" xfId="0" applyBorder="1"/>
    <xf numFmtId="9" fontId="0" fillId="0" borderId="4" xfId="0" applyNumberFormat="1" applyBorder="1"/>
    <xf numFmtId="0" fontId="2" fillId="0" borderId="0" xfId="0" applyFont="1" applyBorder="1" applyAlignment="1">
      <alignment wrapText="1"/>
    </xf>
    <xf numFmtId="9" fontId="0" fillId="0" borderId="0" xfId="3" applyFont="1"/>
    <xf numFmtId="10" fontId="0" fillId="0" borderId="0" xfId="3" applyNumberFormat="1" applyFont="1"/>
    <xf numFmtId="0" fontId="2" fillId="0" borderId="0" xfId="0" applyFont="1" applyAlignment="1">
      <alignment horizontal="right"/>
    </xf>
    <xf numFmtId="0" fontId="2" fillId="0" borderId="0" xfId="0" applyFont="1" applyAlignment="1">
      <alignment horizontal="right" wrapText="1"/>
    </xf>
    <xf numFmtId="166" fontId="1" fillId="2" borderId="1" xfId="1" applyNumberFormat="1"/>
    <xf numFmtId="166" fontId="0" fillId="0" borderId="0" xfId="0" applyNumberFormat="1"/>
    <xf numFmtId="167" fontId="1" fillId="2" borderId="1" xfId="1" applyNumberFormat="1"/>
    <xf numFmtId="167" fontId="0" fillId="0" borderId="4" xfId="0" applyNumberFormat="1" applyBorder="1"/>
    <xf numFmtId="167" fontId="0" fillId="0" borderId="0" xfId="0" applyNumberFormat="1"/>
    <xf numFmtId="166" fontId="0" fillId="0" borderId="2" xfId="0" applyNumberFormat="1" applyBorder="1"/>
    <xf numFmtId="166" fontId="0" fillId="0" borderId="3" xfId="0" applyNumberFormat="1" applyBorder="1"/>
    <xf numFmtId="166" fontId="0" fillId="0" borderId="5" xfId="0" applyNumberFormat="1" applyBorder="1"/>
    <xf numFmtId="10" fontId="7" fillId="3" borderId="1" xfId="4" applyNumberFormat="1"/>
    <xf numFmtId="166" fontId="0" fillId="0" borderId="0" xfId="0" applyNumberFormat="1" applyBorder="1"/>
    <xf numFmtId="0" fontId="0" fillId="0" borderId="0" xfId="3" applyNumberFormat="1" applyFont="1"/>
  </cellXfs>
  <cellStyles count="5">
    <cellStyle name="Calculation" xfId="4" builtinId="22"/>
    <cellStyle name="Explanatory Text" xfId="2" builtinId="53"/>
    <cellStyle name="Input" xfId="1" builtinId="20"/>
    <cellStyle name="Normal" xfId="0" builtinId="0"/>
    <cellStyle name="Percent" xfId="3" builtinId="5"/>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144780</xdr:colOff>
      <xdr:row>19</xdr:row>
      <xdr:rowOff>60960</xdr:rowOff>
    </xdr:from>
    <xdr:to>
      <xdr:col>4</xdr:col>
      <xdr:colOff>121920</xdr:colOff>
      <xdr:row>24</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4780" y="3733800"/>
          <a:ext cx="5090160"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r>
            <a:rPr lang="en-US" sz="1100" b="1"/>
            <a:t>Enter or change values</a:t>
          </a:r>
          <a:r>
            <a:rPr lang="en-US" sz="1100" b="1" baseline="0"/>
            <a:t> in each of the Orange Input Fields, then view the results on the Income Statements tab.</a:t>
          </a:r>
        </a:p>
        <a:p>
          <a:endParaRPr lang="en-US" sz="1100" baseline="0"/>
        </a:p>
        <a:p>
          <a:r>
            <a:rPr lang="en-US" sz="1100" baseline="0"/>
            <a:t>The Year fields will update the years throughout the different tabs.</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99060</xdr:colOff>
      <xdr:row>33</xdr:row>
      <xdr:rowOff>91440</xdr:rowOff>
    </xdr:from>
    <xdr:to>
      <xdr:col>5</xdr:col>
      <xdr:colOff>190500</xdr:colOff>
      <xdr:row>42</xdr:row>
      <xdr:rowOff>160020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9060" y="7620000"/>
          <a:ext cx="490728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Do not change any values on this tab. Use the ProjectionInputs</a:t>
          </a:r>
          <a:r>
            <a:rPr lang="en-US" sz="1100" b="1" baseline="0">
              <a:solidFill>
                <a:schemeClr val="dk1"/>
              </a:solidFill>
              <a:effectLst/>
              <a:latin typeface="+mn-lt"/>
              <a:ea typeface="+mn-ea"/>
              <a:cs typeface="+mn-cs"/>
            </a:rPr>
            <a:t> tab to make changes.</a:t>
          </a:r>
          <a:endParaRPr lang="en-US">
            <a:effectLst/>
          </a:endParaRPr>
        </a:p>
        <a:p>
          <a:endParaRPr lang="en-US" sz="1100"/>
        </a:p>
        <a:p>
          <a:r>
            <a:rPr lang="en-US" sz="1100"/>
            <a:t>Increase</a:t>
          </a:r>
          <a:r>
            <a:rPr lang="en-US" sz="1100" baseline="0"/>
            <a:t> (Decrease) in Long-Term Debt is the combined Change in Balance Sheet amounts for the Current Portion of Long-Term Debt and the Long-Term Debt.</a:t>
          </a:r>
          <a:endParaRPr lang="en-US" sz="1100"/>
        </a:p>
        <a:p>
          <a:endParaRPr lang="en-US" sz="1100"/>
        </a:p>
        <a:p>
          <a:r>
            <a:rPr lang="en-US" sz="1100" b="0"/>
            <a:t>PY:</a:t>
          </a:r>
          <a:r>
            <a:rPr lang="en-US" sz="1100" b="0" baseline="0"/>
            <a:t> Prior Year</a:t>
          </a:r>
        </a:p>
        <a:p>
          <a:r>
            <a:rPr lang="en-US" sz="1100" b="0" baseline="0"/>
            <a:t>CY: Current Year</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38</xdr:row>
      <xdr:rowOff>129540</xdr:rowOff>
    </xdr:from>
    <xdr:to>
      <xdr:col>5</xdr:col>
      <xdr:colOff>449580</xdr:colOff>
      <xdr:row>58</xdr:row>
      <xdr:rowOff>167640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67640" y="6035040"/>
          <a:ext cx="6263640" cy="369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r>
            <a:rPr lang="en-US" sz="1100" b="1" i="0" u="none" strike="noStrike">
              <a:solidFill>
                <a:schemeClr val="dk1"/>
              </a:solidFill>
              <a:effectLst/>
              <a:latin typeface="+mn-lt"/>
              <a:ea typeface="+mn-ea"/>
              <a:cs typeface="+mn-cs"/>
            </a:rPr>
            <a:t>Do</a:t>
          </a:r>
          <a:r>
            <a:rPr lang="en-US" sz="1100" b="1" i="0" u="none" strike="noStrike" baseline="0">
              <a:solidFill>
                <a:schemeClr val="dk1"/>
              </a:solidFill>
              <a:effectLst/>
              <a:latin typeface="+mn-lt"/>
              <a:ea typeface="+mn-ea"/>
              <a:cs typeface="+mn-cs"/>
            </a:rPr>
            <a:t> not change any values on this page. Use the IncomeInputs Tab to make changes.</a:t>
          </a:r>
          <a:endParaRPr lang="en-US" sz="1100" b="1" i="0" u="none" strike="noStrike">
            <a:solidFill>
              <a:schemeClr val="dk1"/>
            </a:solidFill>
            <a:effectLst/>
            <a:latin typeface="+mn-lt"/>
            <a:ea typeface="+mn-ea"/>
            <a:cs typeface="+mn-cs"/>
          </a:endParaRPr>
        </a:p>
        <a:p>
          <a:endParaRPr lang="en-US" sz="1100" b="0" i="1" u="none" strike="noStrike">
            <a:solidFill>
              <a:schemeClr val="dk1"/>
            </a:solidFill>
            <a:effectLst/>
            <a:latin typeface="+mn-lt"/>
            <a:ea typeface="+mn-ea"/>
            <a:cs typeface="+mn-cs"/>
          </a:endParaRPr>
        </a:p>
        <a:p>
          <a:r>
            <a:rPr lang="en-US" sz="1100" b="0" i="1" u="none" strike="noStrike">
              <a:solidFill>
                <a:schemeClr val="dk1"/>
              </a:solidFill>
              <a:effectLst/>
              <a:latin typeface="+mn-lt"/>
              <a:ea typeface="+mn-ea"/>
              <a:cs typeface="+mn-cs"/>
            </a:rPr>
            <a:t>Actual Rates </a:t>
          </a:r>
          <a:r>
            <a:rPr lang="en-US" sz="1100" b="0" i="0" u="none" strike="noStrike">
              <a:solidFill>
                <a:schemeClr val="dk1"/>
              </a:solidFill>
              <a:effectLst/>
              <a:latin typeface="+mn-lt"/>
              <a:ea typeface="+mn-ea"/>
              <a:cs typeface="+mn-cs"/>
            </a:rPr>
            <a:t>can be used as is for projections or modified based on other assumptions. The latest year's percentages are repeated by reference on the ProjectionInputs tab.</a:t>
          </a:r>
          <a:r>
            <a:rPr lang="en-US"/>
            <a:t> </a:t>
          </a:r>
          <a:r>
            <a:rPr lang="en-US" sz="1100" b="0" i="1" u="none" strike="noStrike">
              <a:solidFill>
                <a:schemeClr val="dk1"/>
              </a:solidFill>
              <a:effectLst/>
              <a:latin typeface="+mn-lt"/>
              <a:ea typeface="+mn-ea"/>
              <a:cs typeface="+mn-cs"/>
            </a:rPr>
            <a:t>Actual Percentage Changes</a:t>
          </a:r>
          <a:r>
            <a:rPr lang="en-US" sz="1100" b="0" i="0" u="none" strike="noStrike">
              <a:solidFill>
                <a:schemeClr val="dk1"/>
              </a:solidFill>
              <a:effectLst/>
              <a:latin typeface="+mn-lt"/>
              <a:ea typeface="+mn-ea"/>
              <a:cs typeface="+mn-cs"/>
            </a:rPr>
            <a:t> can be used as is for projections or modified based on other assumptions. The latest year's percentages are repeated by reference on the ProjectionInputs tab.</a:t>
          </a:r>
          <a:r>
            <a:rPr lang="en-US"/>
            <a:t> </a:t>
          </a:r>
        </a:p>
        <a:p>
          <a:endParaRPr lang="en-US"/>
        </a:p>
        <a:p>
          <a:r>
            <a:rPr lang="en-US" sz="1100" b="0" i="0" u="none" strike="noStrike">
              <a:solidFill>
                <a:schemeClr val="dk1"/>
              </a:solidFill>
              <a:effectLst/>
              <a:latin typeface="+mn-lt"/>
              <a:ea typeface="+mn-ea"/>
              <a:cs typeface="+mn-cs"/>
            </a:rPr>
            <a:t>Com-Size: Common-Size Income Statement</a:t>
          </a:r>
          <a:r>
            <a:rPr lang="en-US"/>
            <a:t> </a:t>
          </a:r>
          <a:endParaRPr lang="en-US" sz="1100"/>
        </a:p>
        <a:p>
          <a:endParaRPr lang="en-US" sz="1100"/>
        </a:p>
        <a:p>
          <a:r>
            <a:rPr lang="en-US" sz="1100" b="0" i="0" u="none" strike="noStrike">
              <a:solidFill>
                <a:schemeClr val="dk1"/>
              </a:solidFill>
              <a:effectLst/>
              <a:latin typeface="+mn-lt"/>
              <a:ea typeface="+mn-ea"/>
              <a:cs typeface="+mn-cs"/>
            </a:rPr>
            <a:t>EBIT: Earnings Before Interest and Taxes</a:t>
          </a:r>
          <a:r>
            <a:rPr lang="en-US"/>
            <a:t> </a:t>
          </a:r>
        </a:p>
        <a:p>
          <a:endParaRPr lang="en-US" sz="1100"/>
        </a:p>
        <a:p>
          <a:r>
            <a:rPr lang="en-US" sz="1100" b="0" i="0" u="none" strike="noStrike">
              <a:solidFill>
                <a:schemeClr val="dk1"/>
              </a:solidFill>
              <a:effectLst/>
              <a:latin typeface="+mn-lt"/>
              <a:ea typeface="+mn-ea"/>
              <a:cs typeface="+mn-cs"/>
            </a:rPr>
            <a:t>SG&amp;A: Selling and General Administrative Expenses</a:t>
          </a:r>
          <a:r>
            <a:rPr lang="en-US"/>
            <a:t> </a:t>
          </a:r>
        </a:p>
        <a:p>
          <a:endParaRPr lang="en-US" sz="1100"/>
        </a:p>
        <a:p>
          <a:r>
            <a:rPr lang="en-US" sz="1100" b="0" i="0" u="none" strike="noStrike">
              <a:solidFill>
                <a:schemeClr val="dk1"/>
              </a:solidFill>
              <a:effectLst/>
              <a:latin typeface="+mn-lt"/>
              <a:ea typeface="+mn-ea"/>
              <a:cs typeface="+mn-cs"/>
            </a:rPr>
            <a:t>CY: Current Year</a:t>
          </a:r>
          <a:r>
            <a:rPr lang="en-US"/>
            <a:t> </a:t>
          </a:r>
        </a:p>
        <a:p>
          <a:endParaRPr lang="en-US" sz="1100"/>
        </a:p>
        <a:p>
          <a:r>
            <a:rPr lang="en-US" sz="1100" b="0" i="0" u="none" strike="noStrike">
              <a:solidFill>
                <a:schemeClr val="dk1"/>
              </a:solidFill>
              <a:effectLst/>
              <a:latin typeface="+mn-lt"/>
              <a:ea typeface="+mn-ea"/>
              <a:cs typeface="+mn-cs"/>
            </a:rPr>
            <a:t>PY: Prior Year</a:t>
          </a:r>
          <a:r>
            <a:rPr lang="en-US"/>
            <a:t> </a:t>
          </a:r>
        </a:p>
        <a:p>
          <a:endParaRPr lang="en-US" sz="1100"/>
        </a:p>
        <a:p>
          <a:r>
            <a:rPr lang="en-US" sz="1100" b="0" i="0" u="none" strike="noStrike">
              <a:solidFill>
                <a:schemeClr val="dk1"/>
              </a:solidFill>
              <a:effectLst/>
              <a:latin typeface="+mn-lt"/>
              <a:ea typeface="+mn-ea"/>
              <a:cs typeface="+mn-cs"/>
            </a:rPr>
            <a:t>PP&amp;E: Property, Plant, &amp; Equipment (from Balance Sheets)</a:t>
          </a:r>
          <a:r>
            <a:rPr lang="en-US"/>
            <a:t> </a:t>
          </a:r>
        </a:p>
        <a:p>
          <a:endParaRPr lang="en-US" sz="1100"/>
        </a:p>
        <a:p>
          <a:r>
            <a:rPr lang="en-US" sz="1100" b="0" i="0" u="none" strike="noStrike">
              <a:solidFill>
                <a:schemeClr val="dk1"/>
              </a:solidFill>
              <a:effectLst/>
              <a:latin typeface="+mn-lt"/>
              <a:ea typeface="+mn-ea"/>
              <a:cs typeface="+mn-cs"/>
            </a:rPr>
            <a:t>LTD: Long-Term Debt (from Balance Sheets)</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198120</xdr:colOff>
      <xdr:row>30</xdr:row>
      <xdr:rowOff>152400</xdr:rowOff>
    </xdr:from>
    <xdr:to>
      <xdr:col>4</xdr:col>
      <xdr:colOff>563880</xdr:colOff>
      <xdr:row>36</xdr:row>
      <xdr:rowOff>76200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8120" y="5654040"/>
          <a:ext cx="4792980" cy="1021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r>
            <a:rPr lang="en-US" sz="1100"/>
            <a:t>Enter</a:t>
          </a:r>
          <a:r>
            <a:rPr lang="en-US" sz="1100" baseline="0"/>
            <a:t> or change values in the Orange Input Fields. View the results on the BalanceSheets Tab.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175260</xdr:colOff>
      <xdr:row>40</xdr:row>
      <xdr:rowOff>60960</xdr:rowOff>
    </xdr:from>
    <xdr:to>
      <xdr:col>8</xdr:col>
      <xdr:colOff>236220</xdr:colOff>
      <xdr:row>53</xdr:row>
      <xdr:rowOff>144780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75260" y="8397240"/>
          <a:ext cx="696468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a:t>
          </a:r>
        </a:p>
        <a:p>
          <a:r>
            <a:rPr lang="en-US" sz="1100" b="1" i="0" u="none" strike="noStrike">
              <a:solidFill>
                <a:schemeClr val="dk1"/>
              </a:solidFill>
              <a:effectLst/>
              <a:latin typeface="+mn-lt"/>
              <a:ea typeface="+mn-ea"/>
              <a:cs typeface="+mn-cs"/>
            </a:rPr>
            <a:t>Do not change any values on this tab.</a:t>
          </a:r>
          <a:r>
            <a:rPr lang="en-US" sz="1100" b="1" i="0" u="none" strike="noStrike" baseline="0">
              <a:solidFill>
                <a:schemeClr val="dk1"/>
              </a:solidFill>
              <a:effectLst/>
              <a:latin typeface="+mn-lt"/>
              <a:ea typeface="+mn-ea"/>
              <a:cs typeface="+mn-cs"/>
            </a:rPr>
            <a:t> Use the BalanceInputs Tab to make any changes.</a:t>
          </a:r>
          <a:endParaRPr lang="en-US" sz="1100" b="1"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Shading in </a:t>
          </a:r>
          <a:r>
            <a:rPr lang="en-US" sz="1100" b="0" i="1" u="none" strike="noStrike">
              <a:solidFill>
                <a:schemeClr val="dk1"/>
              </a:solidFill>
              <a:effectLst/>
              <a:latin typeface="+mn-lt"/>
              <a:ea typeface="+mn-ea"/>
              <a:cs typeface="+mn-cs"/>
            </a:rPr>
            <a:t>Change in Balance Sheet</a:t>
          </a:r>
          <a:r>
            <a:rPr lang="en-US" sz="1100" b="0" i="0" u="none" strike="noStrike">
              <a:solidFill>
                <a:schemeClr val="dk1"/>
              </a:solidFill>
              <a:effectLst/>
              <a:latin typeface="+mn-lt"/>
              <a:ea typeface="+mn-ea"/>
              <a:cs typeface="+mn-cs"/>
            </a:rPr>
            <a:t> means value is used in statement of cash flows.</a:t>
          </a:r>
          <a:r>
            <a:rPr lang="en-US"/>
            <a:t> </a:t>
          </a:r>
          <a:r>
            <a:rPr lang="en-US" sz="1100" b="0" i="0" u="none" strike="noStrike">
              <a:solidFill>
                <a:schemeClr val="dk1"/>
              </a:solidFill>
              <a:effectLst/>
              <a:latin typeface="+mn-lt"/>
              <a:ea typeface="+mn-ea"/>
              <a:cs typeface="+mn-cs"/>
            </a:rPr>
            <a:t>Shading in </a:t>
          </a:r>
          <a:r>
            <a:rPr lang="en-US" sz="1100" b="0" i="1" u="none" strike="noStrike">
              <a:solidFill>
                <a:schemeClr val="dk1"/>
              </a:solidFill>
              <a:effectLst/>
              <a:latin typeface="+mn-lt"/>
              <a:ea typeface="+mn-ea"/>
              <a:cs typeface="+mn-cs"/>
            </a:rPr>
            <a:t>Change in Balance Sheet</a:t>
          </a:r>
          <a:r>
            <a:rPr lang="en-US" sz="1100" b="0" i="0" u="none" strike="noStrike">
              <a:solidFill>
                <a:schemeClr val="dk1"/>
              </a:solidFill>
              <a:effectLst/>
              <a:latin typeface="+mn-lt"/>
              <a:ea typeface="+mn-ea"/>
              <a:cs typeface="+mn-cs"/>
            </a:rPr>
            <a:t> means value is used in statement of cash flows.</a:t>
          </a:r>
          <a:r>
            <a:rPr lang="en-US"/>
            <a:t> </a:t>
          </a:r>
        </a:p>
        <a:p>
          <a:endParaRPr lang="en-US" sz="1100"/>
        </a:p>
        <a:p>
          <a:r>
            <a:rPr lang="en-US" sz="1100"/>
            <a:t>Balance Check field verifies that the Total Assets is equal to the Total Liabilities and Shareholders' Equity fields and it turns Red and says Error if it doesn't balance.</a:t>
          </a:r>
        </a:p>
        <a:p>
          <a:endParaRPr lang="en-US" sz="1100"/>
        </a:p>
        <a:p>
          <a:r>
            <a:rPr lang="en-US" sz="1100"/>
            <a:t>T</a:t>
          </a:r>
          <a:r>
            <a:rPr lang="en-US" sz="1100" baseline="0"/>
            <a:t>urnover rates are calculated using average rates: (CY+PY)/2 rather than using ending values.</a:t>
          </a:r>
          <a:endParaRPr lang="en-US" sz="1100"/>
        </a:p>
        <a:p>
          <a:r>
            <a:rPr lang="en-US" sz="1100"/>
            <a:t>CY:</a:t>
          </a:r>
          <a:r>
            <a:rPr lang="en-US" sz="1100" baseline="0"/>
            <a:t> Current Year</a:t>
          </a:r>
        </a:p>
        <a:p>
          <a:r>
            <a:rPr lang="en-US" sz="1100" baseline="0"/>
            <a:t>PY: Prior Year</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106680</xdr:colOff>
      <xdr:row>33</xdr:row>
      <xdr:rowOff>68580</xdr:rowOff>
    </xdr:from>
    <xdr:to>
      <xdr:col>4</xdr:col>
      <xdr:colOff>563880</xdr:colOff>
      <xdr:row>39</xdr:row>
      <xdr:rowOff>53340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06680" y="6469380"/>
          <a:ext cx="461772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r>
            <a:rPr lang="en-US" sz="1100">
              <a:solidFill>
                <a:schemeClr val="dk1"/>
              </a:solidFill>
              <a:effectLst/>
              <a:latin typeface="+mn-lt"/>
              <a:ea typeface="+mn-ea"/>
              <a:cs typeface="+mn-cs"/>
            </a:rPr>
            <a:t>Enter or change values</a:t>
          </a:r>
          <a:r>
            <a:rPr lang="en-US" sz="1100" baseline="0">
              <a:solidFill>
                <a:schemeClr val="dk1"/>
              </a:solidFill>
              <a:effectLst/>
              <a:latin typeface="+mn-lt"/>
              <a:ea typeface="+mn-ea"/>
              <a:cs typeface="+mn-cs"/>
            </a:rPr>
            <a:t> in each of the Orange Input Fields, then view the results on the Cash Flows tab.</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The Actual Rates fields are used for the later financial projections.</a:t>
          </a:r>
          <a:endParaRPr lang="en-US">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121920</xdr:colOff>
      <xdr:row>33</xdr:row>
      <xdr:rowOff>175260</xdr:rowOff>
    </xdr:from>
    <xdr:to>
      <xdr:col>7</xdr:col>
      <xdr:colOff>464820</xdr:colOff>
      <xdr:row>51</xdr:row>
      <xdr:rowOff>137160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21920" y="7901940"/>
          <a:ext cx="6431280" cy="3253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r>
            <a:rPr lang="en-US" sz="1100" b="1" i="0" u="none" strike="noStrike">
              <a:solidFill>
                <a:schemeClr val="dk1"/>
              </a:solidFill>
              <a:effectLst/>
              <a:latin typeface="+mn-lt"/>
              <a:ea typeface="+mn-ea"/>
              <a:cs typeface="+mn-cs"/>
            </a:rPr>
            <a:t>Do not make any changes on this tab.</a:t>
          </a:r>
          <a:r>
            <a:rPr lang="en-US" sz="1100" b="1" i="0" u="none" strike="noStrike" baseline="0">
              <a:solidFill>
                <a:schemeClr val="dk1"/>
              </a:solidFill>
              <a:effectLst/>
              <a:latin typeface="+mn-lt"/>
              <a:ea typeface="+mn-ea"/>
              <a:cs typeface="+mn-cs"/>
            </a:rPr>
            <a:t> Change  either the CashFlowInputs Tab or the inputs tabs for the IncomeInputs or BalanceInputs tabs to change this data.</a:t>
          </a:r>
          <a:endParaRPr lang="en-US" sz="1100" b="1"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 Check Sum Checks </a:t>
          </a:r>
          <a:r>
            <a:rPr lang="en-US" sz="1100" b="0" i="1" u="none" strike="noStrike">
              <a:solidFill>
                <a:schemeClr val="dk1"/>
              </a:solidFill>
              <a:effectLst/>
              <a:latin typeface="+mn-lt"/>
              <a:ea typeface="+mn-ea"/>
              <a:cs typeface="+mn-cs"/>
            </a:rPr>
            <a:t>Ending Cash</a:t>
          </a:r>
          <a:r>
            <a:rPr lang="en-US" sz="1100" b="0" i="0" u="none" strike="noStrike">
              <a:solidFill>
                <a:schemeClr val="dk1"/>
              </a:solidFill>
              <a:effectLst/>
              <a:latin typeface="+mn-lt"/>
              <a:ea typeface="+mn-ea"/>
              <a:cs typeface="+mn-cs"/>
            </a:rPr>
            <a:t> against </a:t>
          </a:r>
          <a:r>
            <a:rPr lang="en-US" sz="1100" b="0" i="1" u="none" strike="noStrike">
              <a:solidFill>
                <a:schemeClr val="dk1"/>
              </a:solidFill>
              <a:effectLst/>
              <a:latin typeface="+mn-lt"/>
              <a:ea typeface="+mn-ea"/>
              <a:cs typeface="+mn-cs"/>
            </a:rPr>
            <a:t>Cash</a:t>
          </a:r>
          <a:r>
            <a:rPr lang="en-US" sz="1100" b="0" i="0" u="none" strike="noStrike">
              <a:solidFill>
                <a:schemeClr val="dk1"/>
              </a:solidFill>
              <a:effectLst/>
              <a:latin typeface="+mn-lt"/>
              <a:ea typeface="+mn-ea"/>
              <a:cs typeface="+mn-cs"/>
            </a:rPr>
            <a:t> on the Balance Sheet for that Year and Should be OK and not in Error. To get this to balance, change various CashFlowInputs values until it balances.</a:t>
          </a:r>
          <a:r>
            <a:rPr lang="en-US"/>
            <a:t> Note that</a:t>
          </a:r>
          <a:r>
            <a:rPr lang="en-US" baseline="0"/>
            <a:t> the inputs on that page are a simplification of the real statements of cash flow, which have more variables such as bad debt expense and so on, but these statements are simplified and omit many of these considerations.</a:t>
          </a:r>
          <a:r>
            <a:rPr lang="en-US" sz="1100" b="0" i="0" u="none" strike="noStrike">
              <a:solidFill>
                <a:schemeClr val="dk1"/>
              </a:solidFill>
              <a:effectLst/>
              <a:latin typeface="+mn-lt"/>
              <a:ea typeface="+mn-ea"/>
              <a:cs typeface="+mn-cs"/>
            </a:rPr>
            <a:t>The Check Sum Checks </a:t>
          </a:r>
          <a:r>
            <a:rPr lang="en-US" sz="1100" b="0" i="1" u="none" strike="noStrike">
              <a:solidFill>
                <a:schemeClr val="dk1"/>
              </a:solidFill>
              <a:effectLst/>
              <a:latin typeface="+mn-lt"/>
              <a:ea typeface="+mn-ea"/>
              <a:cs typeface="+mn-cs"/>
            </a:rPr>
            <a:t>Ending Cash</a:t>
          </a:r>
          <a:r>
            <a:rPr lang="en-US" sz="1100" b="0" i="0" u="none" strike="noStrike">
              <a:solidFill>
                <a:schemeClr val="dk1"/>
              </a:solidFill>
              <a:effectLst/>
              <a:latin typeface="+mn-lt"/>
              <a:ea typeface="+mn-ea"/>
              <a:cs typeface="+mn-cs"/>
            </a:rPr>
            <a:t> against </a:t>
          </a:r>
          <a:r>
            <a:rPr lang="en-US" sz="1100" b="0" i="1" u="none" strike="noStrike">
              <a:solidFill>
                <a:schemeClr val="dk1"/>
              </a:solidFill>
              <a:effectLst/>
              <a:latin typeface="+mn-lt"/>
              <a:ea typeface="+mn-ea"/>
              <a:cs typeface="+mn-cs"/>
            </a:rPr>
            <a:t>Cash</a:t>
          </a:r>
          <a:r>
            <a:rPr lang="en-US" sz="1100" b="0" i="0" u="none" strike="noStrike">
              <a:solidFill>
                <a:schemeClr val="dk1"/>
              </a:solidFill>
              <a:effectLst/>
              <a:latin typeface="+mn-lt"/>
              <a:ea typeface="+mn-ea"/>
              <a:cs typeface="+mn-cs"/>
            </a:rPr>
            <a:t> on the Balance Sheet for that Year and Should be OK and not in Error. To get this to balance, change various values on the CashFlowInputs tab</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until it balances.</a:t>
          </a:r>
          <a:r>
            <a:rPr lang="en-US"/>
            <a:t> </a:t>
          </a:r>
        </a:p>
        <a:p>
          <a:endParaRPr lang="en-US"/>
        </a:p>
        <a:p>
          <a:r>
            <a:rPr lang="en-US" sz="1100"/>
            <a:t>CashFlowInputs refers to the the</a:t>
          </a:r>
          <a:r>
            <a:rPr lang="en-US" sz="1100" baseline="0"/>
            <a:t> CashFlowInputs tab. This information would be available from supporting schedules or the organization's other accounting information.</a:t>
          </a:r>
        </a:p>
        <a:p>
          <a:endParaRPr lang="en-US" sz="1100"/>
        </a:p>
        <a:p>
          <a:r>
            <a:rPr lang="en-US" sz="1100"/>
            <a:t>CapEx: Capital Expenditures</a:t>
          </a:r>
        </a:p>
        <a:p>
          <a:endParaRPr lang="en-US" sz="1100"/>
        </a:p>
        <a:p>
          <a:r>
            <a:rPr lang="en-US" sz="1100"/>
            <a:t>Increase (Decrease) in Long-Term Debt is the Current Portion of Long-Term Debt + Long-Term Debt.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167640</xdr:colOff>
      <xdr:row>40</xdr:row>
      <xdr:rowOff>30480</xdr:rowOff>
    </xdr:from>
    <xdr:to>
      <xdr:col>9</xdr:col>
      <xdr:colOff>297180</xdr:colOff>
      <xdr:row>68</xdr:row>
      <xdr:rowOff>15240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67640" y="7528560"/>
          <a:ext cx="7162800" cy="510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r>
            <a:rPr lang="en-US" sz="1100" baseline="0"/>
            <a:t> </a:t>
          </a:r>
        </a:p>
        <a:p>
          <a:r>
            <a:rPr lang="en-US" sz="1100" b="1">
              <a:solidFill>
                <a:schemeClr val="dk1"/>
              </a:solidFill>
              <a:effectLst/>
              <a:latin typeface="+mn-lt"/>
              <a:ea typeface="+mn-ea"/>
              <a:cs typeface="+mn-cs"/>
            </a:rPr>
            <a:t>Enter or change values</a:t>
          </a:r>
          <a:r>
            <a:rPr lang="en-US" sz="1100" b="1" baseline="0">
              <a:solidFill>
                <a:schemeClr val="dk1"/>
              </a:solidFill>
              <a:effectLst/>
              <a:latin typeface="+mn-lt"/>
              <a:ea typeface="+mn-ea"/>
              <a:cs typeface="+mn-cs"/>
            </a:rPr>
            <a:t> in each of the Orange Input Fields, then view the results on the ProjectedIncome, ProjectedBalance and ProjectedCash tabs.</a:t>
          </a:r>
          <a:endParaRPr lang="en-US">
            <a:effectLst/>
          </a:endParaRPr>
        </a:p>
        <a:p>
          <a:endParaRPr lang="en-US" sz="1100" b="1" baseline="0"/>
        </a:p>
        <a:p>
          <a:r>
            <a:rPr lang="en-US" sz="1100" baseline="0"/>
            <a:t>Other Current Assets: Enter a value or assume no change from the prior year.</a:t>
          </a:r>
        </a:p>
        <a:p>
          <a:endParaRPr lang="en-US" sz="1100" baseline="0"/>
        </a:p>
        <a:p>
          <a:r>
            <a:rPr lang="en-US" sz="1100" baseline="0"/>
            <a:t>Accumulated Depreciation could rise or fall from the prior year depending on what assets are retired and what assets start being depreciated. The prior 3 years show no good trend. Enter a +/− value that is not wildly different from the prior year value.</a:t>
          </a:r>
        </a:p>
        <a:p>
          <a:endParaRPr lang="en-US" sz="1100" baseline="0"/>
        </a:p>
        <a:p>
          <a:r>
            <a:rPr lang="en-US" sz="1100" baseline="0"/>
            <a:t>Other Noncurrent Assets: </a:t>
          </a:r>
          <a:r>
            <a:rPr lang="en-US" sz="1100" baseline="0">
              <a:solidFill>
                <a:schemeClr val="dk1"/>
              </a:solidFill>
              <a:effectLst/>
              <a:latin typeface="+mn-lt"/>
              <a:ea typeface="+mn-ea"/>
              <a:cs typeface="+mn-cs"/>
            </a:rPr>
            <a:t>Enter a value or assume no change from the prior year.</a:t>
          </a:r>
          <a:endParaRPr lang="en-US">
            <a:effectLst/>
          </a:endParaRPr>
        </a:p>
        <a:p>
          <a:endParaRPr lang="en-US" sz="1100" baseline="0"/>
        </a:p>
        <a:p>
          <a:r>
            <a:rPr lang="en-US" sz="1100" baseline="0"/>
            <a:t>Current Portion of Long-Term Debt is taken from the Footnotes for the most recent year's Actuals. It is not directly related to long-term debt as some debt may be retired and new debt may be added. As the footnotes do not exist for this example, enter a value that is not wildly different from prior years.</a:t>
          </a:r>
        </a:p>
        <a:p>
          <a:endParaRPr lang="en-US" sz="1100" baseline="0"/>
        </a:p>
        <a:p>
          <a:r>
            <a:rPr lang="en-US" sz="1100" baseline="0"/>
            <a:t>Current Portion of Long-Term Debt: </a:t>
          </a:r>
          <a:r>
            <a:rPr lang="en-US" sz="1100" baseline="0">
              <a:solidFill>
                <a:schemeClr val="dk1"/>
              </a:solidFill>
              <a:effectLst/>
              <a:latin typeface="+mn-lt"/>
              <a:ea typeface="+mn-ea"/>
              <a:cs typeface="+mn-cs"/>
            </a:rPr>
            <a:t>Enter a value or assume no change from the prior year.</a:t>
          </a:r>
          <a:endParaRPr lang="en-US">
            <a:effectLst/>
          </a:endParaRPr>
        </a:p>
        <a:p>
          <a:endParaRPr lang="en-US" sz="1100" baseline="0"/>
        </a:p>
        <a:p>
          <a:r>
            <a:rPr lang="en-US" sz="1100"/>
            <a:t>Common Stock: </a:t>
          </a:r>
          <a:r>
            <a:rPr lang="en-US" sz="1100" baseline="0">
              <a:solidFill>
                <a:schemeClr val="dk1"/>
              </a:solidFill>
              <a:effectLst/>
              <a:latin typeface="+mn-lt"/>
              <a:ea typeface="+mn-ea"/>
              <a:cs typeface="+mn-cs"/>
            </a:rPr>
            <a:t>Enter a value or assume no change from the prior year.</a:t>
          </a:r>
          <a:endParaRPr lang="en-US">
            <a:effectLst/>
          </a:endParaRP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t>Additional Paid-In Capital: </a:t>
          </a:r>
          <a:r>
            <a:rPr lang="en-US" sz="1100" baseline="0">
              <a:solidFill>
                <a:schemeClr val="dk1"/>
              </a:solidFill>
              <a:effectLst/>
              <a:latin typeface="+mn-lt"/>
              <a:ea typeface="+mn-ea"/>
              <a:cs typeface="+mn-cs"/>
            </a:rPr>
            <a:t>Enter a value or assume no change from the prior year.</a:t>
          </a:r>
          <a:endParaRPr lang="en-US">
            <a:effectLst/>
          </a:endParaRPr>
        </a:p>
        <a:p>
          <a:endParaRPr lang="en-US" sz="1100"/>
        </a:p>
        <a:p>
          <a:r>
            <a:rPr lang="en-US" sz="1100"/>
            <a:t>Cash in</a:t>
          </a:r>
          <a:r>
            <a:rPr lang="en-US" sz="1100" baseline="0"/>
            <a:t> cell D31 is the difference between the Total Liabilities and Shareholders' Equity and the Total Assets. If an amount other than $0 is shown, add or subtract the amount shown to the value in the input field from the current value in the B31 cash input cell to get the projected balance sheet to balance. After the input amount is correctly entered, cell D31 will display as $0.</a:t>
          </a:r>
        </a:p>
        <a:p>
          <a:endParaRPr lang="en-US" sz="1100" baseline="0"/>
        </a:p>
        <a:p>
          <a:r>
            <a:rPr lang="en-US" sz="1100" baseline="0"/>
            <a:t>For Cash Flow Assumptions amounts, the important factor is to enter values in input Cells B34 and B35 that result in the ending cash balance (cell C27 on the ProjectedCash tab) equaling the cash amount in cell B31. This is necessary because the cash flow statement is simplified.</a:t>
          </a:r>
        </a:p>
        <a:p>
          <a:endParaRPr lang="en-US" sz="1100" baseline="0"/>
        </a:p>
        <a:p>
          <a:endParaRPr lang="en-US" sz="1100"/>
        </a:p>
        <a:p>
          <a:endParaRPr lang="en-US" sz="1100"/>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167640</xdr:colOff>
      <xdr:row>21</xdr:row>
      <xdr:rowOff>106680</xdr:rowOff>
    </xdr:from>
    <xdr:to>
      <xdr:col>3</xdr:col>
      <xdr:colOff>53340</xdr:colOff>
      <xdr:row>26</xdr:row>
      <xdr:rowOff>106680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7640" y="4328160"/>
          <a:ext cx="368046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Do not change any values on this tab. Use the ProjectionInputs</a:t>
          </a:r>
          <a:r>
            <a:rPr lang="en-US" sz="1100" b="1" baseline="0">
              <a:solidFill>
                <a:schemeClr val="dk1"/>
              </a:solidFill>
              <a:effectLst/>
              <a:latin typeface="+mn-lt"/>
              <a:ea typeface="+mn-ea"/>
              <a:cs typeface="+mn-cs"/>
            </a:rPr>
            <a:t> tab to make changes.</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121920</xdr:colOff>
      <xdr:row>33</xdr:row>
      <xdr:rowOff>160020</xdr:rowOff>
    </xdr:from>
    <xdr:to>
      <xdr:col>4</xdr:col>
      <xdr:colOff>22860</xdr:colOff>
      <xdr:row>43</xdr:row>
      <xdr:rowOff>167640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21920" y="6408420"/>
          <a:ext cx="4366260" cy="1836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Do not change any values on this tab. Use the ProjectionInputs</a:t>
          </a:r>
          <a:r>
            <a:rPr lang="en-US" sz="1100" b="1" baseline="0">
              <a:solidFill>
                <a:schemeClr val="dk1"/>
              </a:solidFill>
              <a:effectLst/>
              <a:latin typeface="+mn-lt"/>
              <a:ea typeface="+mn-ea"/>
              <a:cs typeface="+mn-cs"/>
            </a:rPr>
            <a:t> tab to make changes.</a:t>
          </a:r>
          <a:endParaRPr lang="en-US">
            <a:effectLst/>
          </a:endParaRPr>
        </a:p>
        <a:p>
          <a:endParaRPr lang="en-US" sz="1100"/>
        </a:p>
        <a:p>
          <a:r>
            <a:rPr lang="en-US" sz="1100"/>
            <a:t>The Balance</a:t>
          </a:r>
          <a:r>
            <a:rPr lang="en-US" sz="1100" baseline="0"/>
            <a:t> Check field checks that Total Assets and Total Liablities and Shareholders' Equity are equal. If not "Error" appears. Otherwise "OK" appears.</a:t>
          </a:r>
          <a:endParaRPr lang="en-US" sz="1100"/>
        </a:p>
        <a:p>
          <a:endParaRPr lang="en-US" sz="1100"/>
        </a:p>
        <a:p>
          <a:r>
            <a:rPr lang="en-US" sz="1100"/>
            <a:t>Shaded cells in</a:t>
          </a:r>
          <a:r>
            <a:rPr lang="en-US" sz="1100" baseline="0"/>
            <a:t> the Change in Balance Sheet column are those cells used in the Pro Form Statement of Cash Flows.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workbookViewId="0"/>
  </sheetViews>
  <sheetFormatPr defaultRowHeight="14.5" x14ac:dyDescent="0.35"/>
  <cols>
    <col min="1" max="1" width="30.7265625" customWidth="1"/>
    <col min="2" max="2" width="8.7265625" customWidth="1"/>
    <col min="3" max="4" width="8.26953125" bestFit="1" customWidth="1"/>
  </cols>
  <sheetData>
    <row r="1" spans="1:5" x14ac:dyDescent="0.35">
      <c r="A1" s="1" t="s">
        <v>0</v>
      </c>
    </row>
    <row r="2" spans="1:5" x14ac:dyDescent="0.35">
      <c r="A2" s="1" t="s">
        <v>116</v>
      </c>
    </row>
    <row r="3" spans="1:5" x14ac:dyDescent="0.35">
      <c r="A3" t="s">
        <v>1</v>
      </c>
    </row>
    <row r="4" spans="1:5" x14ac:dyDescent="0.35">
      <c r="B4" s="1" t="s">
        <v>2</v>
      </c>
      <c r="C4" s="1"/>
      <c r="D4" s="1"/>
    </row>
    <row r="5" spans="1:5" x14ac:dyDescent="0.35">
      <c r="A5" t="s">
        <v>117</v>
      </c>
      <c r="B5" s="14">
        <v>2013</v>
      </c>
      <c r="C5" s="14">
        <v>2012</v>
      </c>
      <c r="D5" s="14">
        <v>2011</v>
      </c>
      <c r="E5" s="1"/>
    </row>
    <row r="6" spans="1:5" x14ac:dyDescent="0.35">
      <c r="A6" t="s">
        <v>4</v>
      </c>
      <c r="B6" s="30">
        <v>56206000000</v>
      </c>
      <c r="C6" s="30">
        <v>46227000000</v>
      </c>
      <c r="D6" s="30">
        <v>33669000000</v>
      </c>
      <c r="E6" s="8"/>
    </row>
    <row r="7" spans="1:5" x14ac:dyDescent="0.35">
      <c r="A7" t="s">
        <v>5</v>
      </c>
      <c r="B7" s="30">
        <v>36161000000</v>
      </c>
      <c r="C7" s="30">
        <v>32647000000</v>
      </c>
      <c r="D7" s="30">
        <v>21673000000</v>
      </c>
      <c r="E7" s="8"/>
    </row>
    <row r="8" spans="1:5" x14ac:dyDescent="0.35">
      <c r="A8" t="s">
        <v>17</v>
      </c>
      <c r="E8" s="8"/>
    </row>
    <row r="9" spans="1:5" x14ac:dyDescent="0.35">
      <c r="A9" t="s">
        <v>6</v>
      </c>
      <c r="B9" s="30">
        <v>13694000000</v>
      </c>
      <c r="C9" s="30">
        <v>9847000000</v>
      </c>
      <c r="D9" s="30">
        <v>7320000000</v>
      </c>
      <c r="E9" s="8"/>
    </row>
    <row r="10" spans="1:5" x14ac:dyDescent="0.35">
      <c r="A10" t="s">
        <v>7</v>
      </c>
      <c r="B10" s="30">
        <v>1510000000</v>
      </c>
      <c r="C10" s="30">
        <v>1207000000</v>
      </c>
      <c r="D10" s="30">
        <v>870000000</v>
      </c>
      <c r="E10" s="8"/>
    </row>
    <row r="11" spans="1:5" x14ac:dyDescent="0.35">
      <c r="A11" t="s">
        <v>16</v>
      </c>
      <c r="E11" s="8"/>
    </row>
    <row r="12" spans="1:5" x14ac:dyDescent="0.35">
      <c r="A12" t="s">
        <v>8</v>
      </c>
      <c r="B12" s="30">
        <v>684000000</v>
      </c>
      <c r="C12" s="30">
        <v>611000000</v>
      </c>
      <c r="D12" s="30">
        <v>525000000</v>
      </c>
      <c r="E12" s="8"/>
    </row>
    <row r="13" spans="1:5" x14ac:dyDescent="0.35">
      <c r="A13" t="s">
        <v>15</v>
      </c>
      <c r="E13" s="8"/>
    </row>
    <row r="14" spans="1:5" x14ac:dyDescent="0.35">
      <c r="A14" t="s">
        <v>9</v>
      </c>
      <c r="B14" s="30">
        <v>1489000000</v>
      </c>
      <c r="C14" s="30">
        <v>885000000</v>
      </c>
      <c r="D14" s="30">
        <v>765000000</v>
      </c>
      <c r="E14" s="8"/>
    </row>
    <row r="15" spans="1:5" ht="29" x14ac:dyDescent="0.35">
      <c r="A15" s="2" t="s">
        <v>10</v>
      </c>
      <c r="B15" s="30">
        <v>1575000000</v>
      </c>
      <c r="C15" s="30">
        <v>199000000</v>
      </c>
      <c r="D15" s="30">
        <v>222000000</v>
      </c>
      <c r="E15" s="8"/>
    </row>
    <row r="16" spans="1:5" ht="15" thickBot="1" x14ac:dyDescent="0.4">
      <c r="A16" t="s">
        <v>11</v>
      </c>
      <c r="B16" s="9"/>
      <c r="C16" s="9"/>
      <c r="D16" s="9"/>
      <c r="E16" s="8"/>
    </row>
    <row r="17" spans="1:5" ht="15" thickTop="1" x14ac:dyDescent="0.35">
      <c r="A17" t="s">
        <v>12</v>
      </c>
      <c r="B17" s="5"/>
      <c r="C17" s="5"/>
      <c r="D17" s="5"/>
    </row>
    <row r="18" spans="1:5" x14ac:dyDescent="0.35">
      <c r="A18" t="s">
        <v>13</v>
      </c>
      <c r="B18" s="32">
        <v>1158000000</v>
      </c>
      <c r="C18" s="32">
        <v>1094000000</v>
      </c>
      <c r="D18" s="32">
        <v>1001000000</v>
      </c>
      <c r="E18" t="s">
        <v>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3"/>
  <sheetViews>
    <sheetView workbookViewId="0"/>
  </sheetViews>
  <sheetFormatPr defaultRowHeight="14.5" x14ac:dyDescent="0.35"/>
  <cols>
    <col min="1" max="1" width="30.26953125" customWidth="1"/>
    <col min="2" max="2" width="10.7265625" customWidth="1"/>
    <col min="4" max="4" width="9.453125" customWidth="1"/>
  </cols>
  <sheetData>
    <row r="1" spans="1:6" x14ac:dyDescent="0.35">
      <c r="A1" s="1" t="str">
        <f>IncomeStatements!A1</f>
        <v>ShopNow! Financial Statements</v>
      </c>
    </row>
    <row r="2" spans="1:6" x14ac:dyDescent="0.35">
      <c r="A2" s="1" t="s">
        <v>125</v>
      </c>
    </row>
    <row r="3" spans="1:6" x14ac:dyDescent="0.35">
      <c r="A3" t="s">
        <v>1</v>
      </c>
    </row>
    <row r="4" spans="1:6" x14ac:dyDescent="0.35">
      <c r="B4" s="1" t="s">
        <v>139</v>
      </c>
    </row>
    <row r="5" spans="1:6" x14ac:dyDescent="0.35">
      <c r="A5" s="1" t="s">
        <v>56</v>
      </c>
      <c r="B5" s="1" t="s">
        <v>75</v>
      </c>
      <c r="C5" s="1">
        <f>ProjectionInputs!B4</f>
        <v>2014</v>
      </c>
      <c r="D5" s="1" t="s">
        <v>76</v>
      </c>
      <c r="E5" s="1">
        <f>IncomeInputs!$B$5</f>
        <v>2013</v>
      </c>
      <c r="F5" s="1" t="s">
        <v>68</v>
      </c>
    </row>
    <row r="6" spans="1:6" x14ac:dyDescent="0.35">
      <c r="A6" t="s">
        <v>11</v>
      </c>
      <c r="C6" s="31">
        <f>ProjectedIncome!B16</f>
        <v>3464102343.2283583</v>
      </c>
      <c r="E6" s="31">
        <f>CashFlows!C6</f>
        <v>4243000000</v>
      </c>
      <c r="F6" t="s">
        <v>69</v>
      </c>
    </row>
    <row r="7" spans="1:6" ht="29" x14ac:dyDescent="0.35">
      <c r="A7" s="2" t="s">
        <v>46</v>
      </c>
    </row>
    <row r="8" spans="1:6" x14ac:dyDescent="0.35">
      <c r="A8" t="s">
        <v>47</v>
      </c>
    </row>
    <row r="9" spans="1:6" x14ac:dyDescent="0.35">
      <c r="A9" t="s">
        <v>50</v>
      </c>
      <c r="B9" s="31">
        <f>ProjectedIncome!B10</f>
        <v>1846499340</v>
      </c>
      <c r="C9" s="31"/>
      <c r="D9" s="31">
        <f>CashFlows!B9</f>
        <v>1510000000</v>
      </c>
      <c r="F9" t="s">
        <v>69</v>
      </c>
    </row>
    <row r="10" spans="1:6" x14ac:dyDescent="0.35">
      <c r="A10" t="s">
        <v>48</v>
      </c>
      <c r="B10" s="31"/>
      <c r="C10" s="31"/>
      <c r="D10" s="31"/>
    </row>
    <row r="11" spans="1:6" x14ac:dyDescent="0.35">
      <c r="A11" t="s">
        <v>51</v>
      </c>
      <c r="B11" s="31">
        <f>-ProjectedBalance!D8</f>
        <v>-927842641.50943375</v>
      </c>
      <c r="C11" s="31"/>
      <c r="D11" s="31">
        <f>CashFlows!B11</f>
        <v>-999000000</v>
      </c>
      <c r="F11" t="s">
        <v>70</v>
      </c>
    </row>
    <row r="12" spans="1:6" x14ac:dyDescent="0.35">
      <c r="A12" t="s">
        <v>52</v>
      </c>
      <c r="B12" s="31">
        <f>-ProjectedBalance!D9</f>
        <v>-726240007.65189838</v>
      </c>
      <c r="C12" s="31"/>
      <c r="D12" s="31">
        <f>CashFlows!B12</f>
        <v>-1476000000</v>
      </c>
      <c r="F12" s="11" t="s">
        <v>71</v>
      </c>
    </row>
    <row r="13" spans="1:6" x14ac:dyDescent="0.35">
      <c r="A13" t="s">
        <v>53</v>
      </c>
      <c r="B13" s="31">
        <f>ProjectedBalance!D19</f>
        <v>842889871.29452038</v>
      </c>
      <c r="C13" s="31"/>
      <c r="D13" s="31">
        <f>CashFlows!B13</f>
        <v>1483000000</v>
      </c>
      <c r="F13" s="11" t="s">
        <v>3</v>
      </c>
    </row>
    <row r="14" spans="1:6" ht="29" x14ac:dyDescent="0.35">
      <c r="A14" s="2" t="s">
        <v>54</v>
      </c>
      <c r="B14" s="31">
        <f>ProjectedBalance!D21</f>
        <v>160156871.81026697</v>
      </c>
      <c r="C14" s="31"/>
      <c r="D14" s="31">
        <f>CashFlows!B14</f>
        <v>543000000</v>
      </c>
      <c r="F14" s="11" t="s">
        <v>3</v>
      </c>
    </row>
    <row r="15" spans="1:6" ht="29" x14ac:dyDescent="0.35">
      <c r="A15" s="2" t="s">
        <v>72</v>
      </c>
      <c r="B15" s="35">
        <f>ProjectedBalance!D22</f>
        <v>108710714.87956572</v>
      </c>
      <c r="D15" s="35">
        <f>CashFlows!B15</f>
        <v>-963000000</v>
      </c>
      <c r="F15" s="11" t="s">
        <v>3</v>
      </c>
    </row>
    <row r="16" spans="1:6" ht="29" x14ac:dyDescent="0.35">
      <c r="A16" s="2" t="s">
        <v>58</v>
      </c>
      <c r="B16" s="31">
        <f>SUM(B9:B15)</f>
        <v>1304174148.8230209</v>
      </c>
      <c r="C16" s="35">
        <f>C6+B16</f>
        <v>4768276492.0513792</v>
      </c>
      <c r="D16" s="31">
        <f>CashFlows!B16</f>
        <v>98000000</v>
      </c>
      <c r="E16" s="35">
        <f>CashFlows!C16</f>
        <v>4341000000</v>
      </c>
    </row>
    <row r="17" spans="1:6" x14ac:dyDescent="0.35">
      <c r="A17" s="1" t="s">
        <v>49</v>
      </c>
      <c r="D17" s="31"/>
    </row>
    <row r="18" spans="1:6" x14ac:dyDescent="0.35">
      <c r="A18" t="s">
        <v>67</v>
      </c>
      <c r="B18" s="31">
        <f>ProjectionInputs!B34</f>
        <v>-5665000000</v>
      </c>
      <c r="D18" s="31">
        <f>CashFlows!B18</f>
        <v>-3010000000</v>
      </c>
      <c r="F18" t="s">
        <v>124</v>
      </c>
    </row>
    <row r="19" spans="1:6" x14ac:dyDescent="0.35">
      <c r="A19" t="s">
        <v>94</v>
      </c>
      <c r="B19" s="39">
        <f>ProjectionInputs!B35</f>
        <v>0</v>
      </c>
      <c r="D19" s="39">
        <f>CashFlows!B19</f>
        <v>1657000000</v>
      </c>
      <c r="F19" t="s">
        <v>124</v>
      </c>
    </row>
    <row r="20" spans="1:6" x14ac:dyDescent="0.35">
      <c r="A20" t="s">
        <v>136</v>
      </c>
      <c r="B20" s="35">
        <f>ProjectionInputs!B36</f>
        <v>-2021000000</v>
      </c>
      <c r="D20" s="35"/>
    </row>
    <row r="21" spans="1:6" ht="29" x14ac:dyDescent="0.35">
      <c r="A21" s="2" t="s">
        <v>59</v>
      </c>
      <c r="B21" s="31">
        <f>SUM(B18:B20)</f>
        <v>-7686000000</v>
      </c>
      <c r="C21" s="35">
        <f>C16+B21</f>
        <v>-2917723507.9486208</v>
      </c>
      <c r="D21" s="31">
        <f>CashFlows!B20</f>
        <v>-1353000000</v>
      </c>
      <c r="E21" s="35">
        <f>CashFlows!C20</f>
        <v>2988000000</v>
      </c>
    </row>
    <row r="22" spans="1:6" x14ac:dyDescent="0.35">
      <c r="A22" s="10" t="s">
        <v>55</v>
      </c>
    </row>
    <row r="23" spans="1:6" ht="29" x14ac:dyDescent="0.35">
      <c r="A23" s="2" t="s">
        <v>57</v>
      </c>
      <c r="B23" s="31">
        <f>ProjectedBalance!D20+ProjectedBalance!D25</f>
        <v>928000000</v>
      </c>
      <c r="D23" s="31">
        <f>CashFlows!B22</f>
        <v>-677000000</v>
      </c>
      <c r="F23" t="s">
        <v>3</v>
      </c>
    </row>
    <row r="24" spans="1:6" x14ac:dyDescent="0.35">
      <c r="A24" t="s">
        <v>66</v>
      </c>
      <c r="B24" s="35">
        <f>ProjectionInputs!B37</f>
        <v>-454000000</v>
      </c>
      <c r="D24" s="35">
        <f>CashFlows!B23</f>
        <v>-395000000</v>
      </c>
      <c r="F24" t="s">
        <v>124</v>
      </c>
    </row>
    <row r="25" spans="1:6" ht="29" x14ac:dyDescent="0.35">
      <c r="A25" s="2" t="s">
        <v>60</v>
      </c>
      <c r="B25" s="31">
        <f>SUM(B23:B24)</f>
        <v>474000000</v>
      </c>
      <c r="C25" s="35">
        <f>C21+B25</f>
        <v>-2443723507.9486208</v>
      </c>
      <c r="D25" s="31">
        <f>CashFlows!B24</f>
        <v>-1072000000</v>
      </c>
      <c r="E25" s="35">
        <f>CashFlows!C24</f>
        <v>1916000000</v>
      </c>
    </row>
    <row r="26" spans="1:6" x14ac:dyDescent="0.35">
      <c r="A26" s="2" t="s">
        <v>61</v>
      </c>
      <c r="C26" s="35">
        <f>CashFlows!C26</f>
        <v>2694000000</v>
      </c>
      <c r="E26" s="35">
        <f>CashFlows!C25</f>
        <v>778000000</v>
      </c>
      <c r="F26" t="s">
        <v>115</v>
      </c>
    </row>
    <row r="27" spans="1:6" ht="15" thickBot="1" x14ac:dyDescent="0.4">
      <c r="A27" s="2" t="s">
        <v>63</v>
      </c>
      <c r="B27" s="3"/>
      <c r="C27" s="36">
        <f>C25+C26</f>
        <v>250276492.0513792</v>
      </c>
      <c r="E27" s="36">
        <f>CashFlows!C26</f>
        <v>2694000000</v>
      </c>
    </row>
    <row r="28" spans="1:6" ht="15" thickTop="1" x14ac:dyDescent="0.35">
      <c r="A28" s="2" t="s">
        <v>62</v>
      </c>
      <c r="C28" s="35">
        <f>ProjectionInputs!B38</f>
        <v>250000000</v>
      </c>
      <c r="E28" s="35">
        <f>CashFlows!C27</f>
        <v>250000000</v>
      </c>
      <c r="F28" t="s">
        <v>124</v>
      </c>
    </row>
    <row r="29" spans="1:6" x14ac:dyDescent="0.35">
      <c r="A29" s="2" t="s">
        <v>65</v>
      </c>
      <c r="C29" s="35">
        <f>C27-C28</f>
        <v>276492.0513792038</v>
      </c>
      <c r="E29" s="35">
        <f>CashFlows!C28</f>
        <v>2444000000</v>
      </c>
    </row>
    <row r="30" spans="1:6" x14ac:dyDescent="0.35">
      <c r="A30" s="2"/>
      <c r="E30" s="4"/>
    </row>
    <row r="31" spans="1:6" ht="29" x14ac:dyDescent="0.35">
      <c r="A31" s="2" t="s">
        <v>95</v>
      </c>
      <c r="C31" s="31">
        <f>ProjectedBalance!B7</f>
        <v>250000000</v>
      </c>
      <c r="E31" s="31">
        <f>BalanceSheets!B7</f>
        <v>2694000000</v>
      </c>
    </row>
    <row r="32" spans="1:6" x14ac:dyDescent="0.35">
      <c r="A32" s="2" t="s">
        <v>93</v>
      </c>
      <c r="C32" t="str">
        <f>IF(ABS(C$27-C$31)&gt;1000000, "Error", "OK")</f>
        <v>OK</v>
      </c>
      <c r="E32" t="str">
        <f>IF(ABS(E$27-E$31)&gt;1000000, "Error", "OK")</f>
        <v>OK</v>
      </c>
    </row>
    <row r="33" spans="1:5" x14ac:dyDescent="0.35">
      <c r="A33" s="2" t="s">
        <v>135</v>
      </c>
      <c r="C33" s="31">
        <f>C27-C31</f>
        <v>276492.0513792038</v>
      </c>
      <c r="D33" s="31"/>
      <c r="E33" s="31">
        <f t="shared" ref="E33" si="0">E27-E31</f>
        <v>0</v>
      </c>
    </row>
  </sheetData>
  <conditionalFormatting sqref="E32">
    <cfRule type="containsText" dxfId="3" priority="3" operator="containsText" text="Error">
      <formula>NOT(ISERROR(SEARCH("Error",E32)))</formula>
    </cfRule>
    <cfRule type="containsText" dxfId="2" priority="4" operator="containsText" text="OK">
      <formula>NOT(ISERROR(SEARCH("OK",E32)))</formula>
    </cfRule>
  </conditionalFormatting>
  <conditionalFormatting sqref="C32">
    <cfRule type="containsText" dxfId="1" priority="1" operator="containsText" text="Error">
      <formula>NOT(ISERROR(SEARCH("Error",C32)))</formula>
    </cfRule>
    <cfRule type="containsText" dxfId="0" priority="2" operator="containsText" text="OK">
      <formula>NOT(ISERROR(SEARCH("OK",C32)))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1"/>
  <sheetViews>
    <sheetView workbookViewId="0"/>
  </sheetViews>
  <sheetFormatPr defaultRowHeight="14.5" x14ac:dyDescent="0.35"/>
  <cols>
    <col min="1" max="1" width="31.26953125" customWidth="1"/>
  </cols>
  <sheetData>
    <row r="1" spans="1:4" ht="15" customHeight="1" x14ac:dyDescent="0.35">
      <c r="A1" s="10" t="s">
        <v>0</v>
      </c>
    </row>
    <row r="2" spans="1:4" x14ac:dyDescent="0.35">
      <c r="A2" s="10" t="s">
        <v>119</v>
      </c>
    </row>
    <row r="3" spans="1:4" x14ac:dyDescent="0.35">
      <c r="A3" s="2" t="s">
        <v>1</v>
      </c>
    </row>
    <row r="4" spans="1:4" x14ac:dyDescent="0.35">
      <c r="A4" s="2"/>
      <c r="B4" s="1" t="s">
        <v>2</v>
      </c>
      <c r="C4" s="1"/>
      <c r="D4" s="1"/>
    </row>
    <row r="5" spans="1:4" x14ac:dyDescent="0.35">
      <c r="A5" s="2"/>
      <c r="B5" s="1">
        <f>IncomeInputs!B5</f>
        <v>2013</v>
      </c>
      <c r="C5" s="1">
        <f>IncomeInputs!C5</f>
        <v>2012</v>
      </c>
      <c r="D5" s="1">
        <f>IncomeInputs!D5</f>
        <v>2011</v>
      </c>
    </row>
    <row r="6" spans="1:4" x14ac:dyDescent="0.35">
      <c r="A6" s="2" t="s">
        <v>4</v>
      </c>
      <c r="B6" s="31">
        <f>IncomeInputs!B6</f>
        <v>56206000000</v>
      </c>
      <c r="C6" s="31">
        <f>IncomeInputs!C6</f>
        <v>46227000000</v>
      </c>
      <c r="D6" s="31">
        <f>IncomeInputs!D6</f>
        <v>33669000000</v>
      </c>
    </row>
    <row r="7" spans="1:4" x14ac:dyDescent="0.35">
      <c r="A7" s="2" t="s">
        <v>5</v>
      </c>
      <c r="B7" s="35">
        <f>IncomeInputs!B7</f>
        <v>36161000000</v>
      </c>
      <c r="C7" s="35">
        <f>IncomeInputs!C7</f>
        <v>32647000000</v>
      </c>
      <c r="D7" s="35">
        <f>IncomeInputs!D7</f>
        <v>21673000000</v>
      </c>
    </row>
    <row r="8" spans="1:4" x14ac:dyDescent="0.35">
      <c r="A8" s="2" t="s">
        <v>17</v>
      </c>
      <c r="B8" s="31">
        <f>B$6-B$7</f>
        <v>20045000000</v>
      </c>
      <c r="C8" s="31">
        <f t="shared" ref="C8:D8" si="0">C$6-C$7</f>
        <v>13580000000</v>
      </c>
      <c r="D8" s="31">
        <f t="shared" si="0"/>
        <v>11996000000</v>
      </c>
    </row>
    <row r="9" spans="1:4" x14ac:dyDescent="0.35">
      <c r="A9" s="2" t="s">
        <v>6</v>
      </c>
      <c r="B9" s="31">
        <f>IncomeInputs!B9</f>
        <v>13694000000</v>
      </c>
      <c r="C9" s="31">
        <f>IncomeInputs!C9</f>
        <v>9847000000</v>
      </c>
      <c r="D9" s="31">
        <f>IncomeInputs!D9</f>
        <v>7320000000</v>
      </c>
    </row>
    <row r="10" spans="1:4" x14ac:dyDescent="0.35">
      <c r="A10" s="2" t="s">
        <v>126</v>
      </c>
      <c r="B10" s="35">
        <f>IncomeInputs!B10</f>
        <v>1510000000</v>
      </c>
      <c r="C10" s="35">
        <f>IncomeInputs!C10</f>
        <v>1207000000</v>
      </c>
      <c r="D10" s="35">
        <f>IncomeInputs!D10</f>
        <v>870000000</v>
      </c>
    </row>
    <row r="11" spans="1:4" x14ac:dyDescent="0.35">
      <c r="A11" s="2" t="s">
        <v>16</v>
      </c>
      <c r="B11" s="31">
        <f>B$8-B$9-B$10</f>
        <v>4841000000</v>
      </c>
      <c r="C11" s="31">
        <f t="shared" ref="C11:D11" si="1">C$8-C$9-C$10</f>
        <v>2526000000</v>
      </c>
      <c r="D11" s="31">
        <f t="shared" si="1"/>
        <v>3806000000</v>
      </c>
    </row>
    <row r="12" spans="1:4" x14ac:dyDescent="0.35">
      <c r="A12" s="2" t="s">
        <v>8</v>
      </c>
      <c r="B12" s="35">
        <f>IncomeInputs!B12</f>
        <v>684000000</v>
      </c>
      <c r="C12" s="35">
        <f>IncomeInputs!C12</f>
        <v>611000000</v>
      </c>
      <c r="D12" s="35">
        <f>IncomeInputs!D12</f>
        <v>525000000</v>
      </c>
    </row>
    <row r="13" spans="1:4" x14ac:dyDescent="0.35">
      <c r="A13" s="2" t="s">
        <v>15</v>
      </c>
      <c r="B13" s="31">
        <f>B$11-B$12</f>
        <v>4157000000</v>
      </c>
      <c r="C13" s="31">
        <f t="shared" ref="C13:D13" si="2">C$11-C$12</f>
        <v>1915000000</v>
      </c>
      <c r="D13" s="31">
        <f t="shared" si="2"/>
        <v>3281000000</v>
      </c>
    </row>
    <row r="14" spans="1:4" x14ac:dyDescent="0.35">
      <c r="A14" s="2" t="s">
        <v>9</v>
      </c>
      <c r="B14" s="31">
        <f>IncomeInputs!B14</f>
        <v>1489000000</v>
      </c>
      <c r="C14" s="31">
        <f>IncomeInputs!C14</f>
        <v>885000000</v>
      </c>
      <c r="D14" s="31">
        <f>IncomeInputs!D14</f>
        <v>765000000</v>
      </c>
    </row>
    <row r="15" spans="1:4" ht="31.9" customHeight="1" x14ac:dyDescent="0.35">
      <c r="A15" s="2" t="s">
        <v>127</v>
      </c>
      <c r="B15" s="31">
        <f>IncomeInputs!B15</f>
        <v>1575000000</v>
      </c>
      <c r="C15" s="31">
        <f>IncomeInputs!C15</f>
        <v>199000000</v>
      </c>
      <c r="D15" s="31">
        <f>IncomeInputs!D15</f>
        <v>222000000</v>
      </c>
    </row>
    <row r="16" spans="1:4" ht="15" thickBot="1" x14ac:dyDescent="0.4">
      <c r="A16" s="2" t="s">
        <v>11</v>
      </c>
      <c r="B16" s="36">
        <f>B$13-B$14+B$15</f>
        <v>4243000000</v>
      </c>
      <c r="C16" s="36">
        <f t="shared" ref="C16:D16" si="3">C$13-C$14+C$15</f>
        <v>1229000000</v>
      </c>
      <c r="D16" s="36">
        <f t="shared" si="3"/>
        <v>2738000000</v>
      </c>
    </row>
    <row r="17" spans="1:11" ht="15" thickTop="1" x14ac:dyDescent="0.35">
      <c r="A17" s="2" t="s">
        <v>12</v>
      </c>
      <c r="B17" s="5">
        <f>B$16/B$18</f>
        <v>3.664075993091537</v>
      </c>
      <c r="C17" s="5">
        <f t="shared" ref="C17:D17" si="4">C$16/C$18</f>
        <v>1.123400365630713</v>
      </c>
      <c r="D17" s="5">
        <f t="shared" si="4"/>
        <v>2.7352647352647352</v>
      </c>
    </row>
    <row r="18" spans="1:11" s="23" customFormat="1" ht="15" thickBot="1" x14ac:dyDescent="0.4">
      <c r="A18" s="22" t="s">
        <v>13</v>
      </c>
      <c r="B18" s="33">
        <f>IncomeInputs!B18</f>
        <v>1158000000</v>
      </c>
      <c r="C18" s="33">
        <f>IncomeInputs!C18</f>
        <v>1094000000</v>
      </c>
      <c r="D18" s="33">
        <f>IncomeInputs!D18</f>
        <v>1001000000</v>
      </c>
    </row>
    <row r="19" spans="1:11" s="21" customFormat="1" ht="30" customHeight="1" x14ac:dyDescent="0.35">
      <c r="A19" s="25" t="s">
        <v>130</v>
      </c>
      <c r="B19" s="20">
        <v>2013</v>
      </c>
      <c r="C19" s="20">
        <v>2012</v>
      </c>
      <c r="D19" s="20">
        <v>2011</v>
      </c>
    </row>
    <row r="20" spans="1:11" x14ac:dyDescent="0.35">
      <c r="A20" s="2" t="s">
        <v>4</v>
      </c>
      <c r="B20" s="8">
        <v>1</v>
      </c>
      <c r="C20" s="8">
        <v>1</v>
      </c>
      <c r="D20" s="8">
        <v>1</v>
      </c>
    </row>
    <row r="21" spans="1:11" x14ac:dyDescent="0.35">
      <c r="A21" s="2" t="s">
        <v>5</v>
      </c>
      <c r="B21" s="8">
        <f t="shared" ref="B21:B30" si="5">$B7/$B$6</f>
        <v>0.64336547699533853</v>
      </c>
      <c r="C21" s="8">
        <f t="shared" ref="C21:C30" si="6">$C7/$C$6</f>
        <v>0.706232288489411</v>
      </c>
      <c r="D21" s="8">
        <f t="shared" ref="D21:D30" si="7">$D7/$D$6</f>
        <v>0.6437078618313582</v>
      </c>
    </row>
    <row r="22" spans="1:11" x14ac:dyDescent="0.35">
      <c r="A22" s="2" t="s">
        <v>17</v>
      </c>
      <c r="B22" s="8">
        <f t="shared" si="5"/>
        <v>0.35663452300466142</v>
      </c>
      <c r="C22" s="8">
        <f t="shared" si="6"/>
        <v>0.29376771151058906</v>
      </c>
      <c r="D22" s="8">
        <f t="shared" si="7"/>
        <v>0.3562921381686418</v>
      </c>
      <c r="K22" t="s">
        <v>131</v>
      </c>
    </row>
    <row r="23" spans="1:11" x14ac:dyDescent="0.35">
      <c r="A23" s="2" t="s">
        <v>6</v>
      </c>
      <c r="B23" s="8">
        <f t="shared" si="5"/>
        <v>0.24363946909582607</v>
      </c>
      <c r="C23" s="8">
        <f t="shared" si="6"/>
        <v>0.21301403941419517</v>
      </c>
      <c r="D23" s="8">
        <f t="shared" si="7"/>
        <v>0.21741067450770737</v>
      </c>
    </row>
    <row r="24" spans="1:11" x14ac:dyDescent="0.35">
      <c r="A24" s="2" t="s">
        <v>126</v>
      </c>
      <c r="B24" s="8">
        <f t="shared" si="5"/>
        <v>2.6865459203643739E-2</v>
      </c>
      <c r="C24" s="8">
        <f t="shared" si="6"/>
        <v>2.6110281869902871E-2</v>
      </c>
      <c r="D24" s="8">
        <f t="shared" si="7"/>
        <v>2.5839793281653745E-2</v>
      </c>
    </row>
    <row r="25" spans="1:11" x14ac:dyDescent="0.35">
      <c r="A25" s="2" t="s">
        <v>16</v>
      </c>
      <c r="B25" s="8">
        <f t="shared" si="5"/>
        <v>8.6129594705191617E-2</v>
      </c>
      <c r="C25" s="8">
        <f t="shared" si="6"/>
        <v>5.4643390226491013E-2</v>
      </c>
      <c r="D25" s="8">
        <f t="shared" si="7"/>
        <v>0.11304167037928065</v>
      </c>
    </row>
    <row r="26" spans="1:11" x14ac:dyDescent="0.35">
      <c r="A26" s="2" t="s">
        <v>8</v>
      </c>
      <c r="B26" s="8">
        <f t="shared" si="5"/>
        <v>1.2169519268405508E-2</v>
      </c>
      <c r="C26" s="8">
        <f t="shared" si="6"/>
        <v>1.3217383780041966E-2</v>
      </c>
      <c r="D26" s="8">
        <f t="shared" si="7"/>
        <v>1.5592978704446226E-2</v>
      </c>
    </row>
    <row r="27" spans="1:11" x14ac:dyDescent="0.35">
      <c r="A27" s="2" t="s">
        <v>15</v>
      </c>
      <c r="B27" s="8">
        <f t="shared" si="5"/>
        <v>7.3960075436786107E-2</v>
      </c>
      <c r="C27" s="8">
        <f t="shared" si="6"/>
        <v>4.1426006446449046E-2</v>
      </c>
      <c r="D27" s="8">
        <f t="shared" si="7"/>
        <v>9.7448691674834415E-2</v>
      </c>
    </row>
    <row r="28" spans="1:11" x14ac:dyDescent="0.35">
      <c r="A28" s="2" t="s">
        <v>9</v>
      </c>
      <c r="B28" s="8">
        <f t="shared" si="5"/>
        <v>2.6491833612069887E-2</v>
      </c>
      <c r="C28" s="8">
        <f t="shared" si="6"/>
        <v>1.9144655720682718E-2</v>
      </c>
      <c r="D28" s="8">
        <f t="shared" si="7"/>
        <v>2.2721197540764501E-2</v>
      </c>
    </row>
    <row r="29" spans="1:11" ht="33.75" customHeight="1" x14ac:dyDescent="0.35">
      <c r="A29" s="2" t="s">
        <v>128</v>
      </c>
      <c r="B29" s="8">
        <f t="shared" si="5"/>
        <v>2.8021919368038998E-2</v>
      </c>
      <c r="C29" s="8">
        <f t="shared" si="6"/>
        <v>4.3048434897354363E-3</v>
      </c>
      <c r="D29" s="8">
        <f t="shared" si="7"/>
        <v>6.593602423594404E-3</v>
      </c>
    </row>
    <row r="30" spans="1:11" s="23" customFormat="1" ht="15" thickBot="1" x14ac:dyDescent="0.4">
      <c r="A30" s="22" t="s">
        <v>11</v>
      </c>
      <c r="B30" s="24">
        <f t="shared" si="5"/>
        <v>7.5490161192755229E-2</v>
      </c>
      <c r="C30" s="24">
        <f t="shared" si="6"/>
        <v>2.6586194215501763E-2</v>
      </c>
      <c r="D30" s="24">
        <f t="shared" si="7"/>
        <v>8.1321096557664327E-2</v>
      </c>
    </row>
    <row r="31" spans="1:11" ht="32.25" customHeight="1" x14ac:dyDescent="0.35">
      <c r="A31" s="10" t="s">
        <v>97</v>
      </c>
    </row>
    <row r="32" spans="1:11" x14ac:dyDescent="0.35">
      <c r="A32" s="2" t="s">
        <v>18</v>
      </c>
      <c r="B32" s="6">
        <f>(B6-C6)/C6</f>
        <v>0.21586951348778852</v>
      </c>
      <c r="C32" s="6">
        <f>(C6-D6)/D6</f>
        <v>0.37298405061035372</v>
      </c>
    </row>
    <row r="33" spans="1:3" x14ac:dyDescent="0.35">
      <c r="A33" s="2" t="s">
        <v>129</v>
      </c>
      <c r="B33" s="6">
        <f>B$8/B$6</f>
        <v>0.35663452300466142</v>
      </c>
      <c r="C33" s="6">
        <f t="shared" ref="C33" si="8">C$8/C$6</f>
        <v>0.29376771151058906</v>
      </c>
    </row>
    <row r="34" spans="1:3" x14ac:dyDescent="0.35">
      <c r="A34" s="2" t="s">
        <v>14</v>
      </c>
      <c r="B34" s="6">
        <f>B$9/B$6</f>
        <v>0.24363946909582607</v>
      </c>
      <c r="C34" s="6">
        <f t="shared" ref="C34" si="9">C$9/C$6</f>
        <v>0.21301403941419517</v>
      </c>
    </row>
    <row r="35" spans="1:3" ht="29" x14ac:dyDescent="0.35">
      <c r="A35" s="2" t="s">
        <v>81</v>
      </c>
      <c r="B35" s="6">
        <f>B10/BalanceSheets!C12</f>
        <v>6.9050667642216942E-2</v>
      </c>
      <c r="C35" s="6">
        <f>C10/BalanceSheets!D12</f>
        <v>6.4059017089480946E-2</v>
      </c>
    </row>
    <row r="36" spans="1:3" ht="45.75" customHeight="1" x14ac:dyDescent="0.35">
      <c r="A36" s="2" t="s">
        <v>80</v>
      </c>
      <c r="B36" s="6">
        <f>B12/(BalanceSheets!C25+BalanceSheets!C20)</f>
        <v>5.6421677802524127E-2</v>
      </c>
      <c r="C36" s="6">
        <f>C12/(BalanceSheets!D25+BalanceSheets!D20)</f>
        <v>6.0820226956002386E-2</v>
      </c>
    </row>
    <row r="37" spans="1:3" ht="29" x14ac:dyDescent="0.35">
      <c r="A37" s="2" t="s">
        <v>79</v>
      </c>
      <c r="B37" s="6">
        <f>B$14/B$13</f>
        <v>0.35819100312725521</v>
      </c>
      <c r="C37" s="6">
        <f t="shared" ref="C37" si="10">C$14/C$13</f>
        <v>0.46214099216710181</v>
      </c>
    </row>
    <row r="38" spans="1:3" x14ac:dyDescent="0.35">
      <c r="A38" s="2"/>
    </row>
    <row r="60" spans="10:10" x14ac:dyDescent="0.35">
      <c r="J60" s="2"/>
    </row>
    <row r="61" spans="10:10" x14ac:dyDescent="0.35">
      <c r="J61"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heetViews>
  <sheetFormatPr defaultRowHeight="14.5" x14ac:dyDescent="0.35"/>
  <cols>
    <col min="1" max="1" width="31.81640625" customWidth="1"/>
    <col min="2" max="2" width="9.54296875" customWidth="1"/>
    <col min="3" max="3" width="8.81640625" customWidth="1"/>
  </cols>
  <sheetData>
    <row r="1" spans="1:4" x14ac:dyDescent="0.35">
      <c r="A1" s="1" t="str">
        <f>IncomeStatements!A1</f>
        <v>ShopNow! Financial Statements</v>
      </c>
    </row>
    <row r="2" spans="1:4" x14ac:dyDescent="0.35">
      <c r="A2" s="1" t="s">
        <v>118</v>
      </c>
    </row>
    <row r="3" spans="1:4" x14ac:dyDescent="0.35">
      <c r="A3" t="s">
        <v>1</v>
      </c>
    </row>
    <row r="4" spans="1:4" x14ac:dyDescent="0.35">
      <c r="B4" s="1" t="s">
        <v>138</v>
      </c>
    </row>
    <row r="5" spans="1:4" x14ac:dyDescent="0.35">
      <c r="B5" s="1">
        <f>IncomeInputs!B5</f>
        <v>2013</v>
      </c>
      <c r="C5" s="1">
        <f>IncomeInputs!C5</f>
        <v>2012</v>
      </c>
      <c r="D5" s="1">
        <f>IncomeInputs!D5</f>
        <v>2011</v>
      </c>
    </row>
    <row r="6" spans="1:4" x14ac:dyDescent="0.35">
      <c r="A6" s="1" t="s">
        <v>29</v>
      </c>
      <c r="B6" s="1"/>
      <c r="C6" s="1"/>
      <c r="D6" s="1"/>
    </row>
    <row r="7" spans="1:4" x14ac:dyDescent="0.35">
      <c r="A7" t="s">
        <v>19</v>
      </c>
      <c r="B7" s="30">
        <v>2694000000</v>
      </c>
      <c r="C7" s="30">
        <v>778000000</v>
      </c>
      <c r="D7" s="30">
        <v>682000000</v>
      </c>
    </row>
    <row r="8" spans="1:4" x14ac:dyDescent="0.35">
      <c r="A8" t="s">
        <v>20</v>
      </c>
      <c r="B8" s="30">
        <v>6082000000</v>
      </c>
      <c r="C8" s="30">
        <v>5083000000</v>
      </c>
      <c r="D8" s="30">
        <v>5008000000</v>
      </c>
    </row>
    <row r="9" spans="1:4" x14ac:dyDescent="0.35">
      <c r="A9" t="s">
        <v>21</v>
      </c>
      <c r="B9" s="30">
        <v>6460000000</v>
      </c>
      <c r="C9" s="30">
        <v>4984000000</v>
      </c>
      <c r="D9" s="30">
        <v>4284000000</v>
      </c>
    </row>
    <row r="10" spans="1:4" x14ac:dyDescent="0.35">
      <c r="A10" t="s">
        <v>22</v>
      </c>
      <c r="B10" s="30">
        <v>1468000000</v>
      </c>
      <c r="C10" s="30">
        <v>3401000000</v>
      </c>
      <c r="D10" s="30">
        <v>766000000</v>
      </c>
    </row>
    <row r="11" spans="1:4" x14ac:dyDescent="0.35">
      <c r="A11" t="s">
        <v>23</v>
      </c>
    </row>
    <row r="12" spans="1:4" x14ac:dyDescent="0.35">
      <c r="A12" t="s">
        <v>24</v>
      </c>
      <c r="B12" s="30">
        <v>26726000000</v>
      </c>
      <c r="C12" s="30">
        <v>21868000000</v>
      </c>
      <c r="D12" s="30">
        <v>18842000000</v>
      </c>
    </row>
    <row r="13" spans="1:4" x14ac:dyDescent="0.35">
      <c r="A13" t="s">
        <v>25</v>
      </c>
      <c r="B13" s="30">
        <v>6494000000</v>
      </c>
      <c r="C13" s="30">
        <v>5199000000</v>
      </c>
      <c r="D13" s="30">
        <v>5066000000</v>
      </c>
    </row>
    <row r="14" spans="1:4" x14ac:dyDescent="0.35">
      <c r="A14" t="s">
        <v>26</v>
      </c>
    </row>
    <row r="15" spans="1:4" x14ac:dyDescent="0.35">
      <c r="A15" t="s">
        <v>27</v>
      </c>
      <c r="B15" s="30">
        <v>1813000000</v>
      </c>
      <c r="C15" s="30">
        <v>3642000000</v>
      </c>
      <c r="D15" s="30">
        <v>1224000000</v>
      </c>
    </row>
    <row r="16" spans="1:4" x14ac:dyDescent="0.35">
      <c r="A16" t="s">
        <v>28</v>
      </c>
    </row>
    <row r="18" spans="1:4" x14ac:dyDescent="0.35">
      <c r="A18" s="1" t="s">
        <v>30</v>
      </c>
    </row>
    <row r="19" spans="1:4" x14ac:dyDescent="0.35">
      <c r="A19" t="s">
        <v>31</v>
      </c>
      <c r="B19" s="30">
        <v>6934000000</v>
      </c>
      <c r="C19" s="30">
        <v>5451000000</v>
      </c>
      <c r="D19" s="30">
        <v>4215000000</v>
      </c>
    </row>
    <row r="20" spans="1:4" x14ac:dyDescent="0.35">
      <c r="A20" t="s">
        <v>32</v>
      </c>
      <c r="B20" s="30">
        <v>606000000</v>
      </c>
      <c r="C20" s="30">
        <v>953000000</v>
      </c>
      <c r="D20" s="30">
        <v>879000000</v>
      </c>
    </row>
    <row r="21" spans="1:4" x14ac:dyDescent="0.35">
      <c r="A21" t="s">
        <v>33</v>
      </c>
      <c r="B21" s="30">
        <v>1959000000</v>
      </c>
      <c r="C21" s="30">
        <v>1416000000</v>
      </c>
      <c r="D21" s="30">
        <v>1390000000</v>
      </c>
    </row>
    <row r="22" spans="1:4" x14ac:dyDescent="0.35">
      <c r="A22" t="s">
        <v>34</v>
      </c>
      <c r="B22" s="30">
        <v>364000000</v>
      </c>
      <c r="C22" s="30">
        <v>1327000000</v>
      </c>
      <c r="D22" s="30">
        <v>287000000</v>
      </c>
    </row>
    <row r="23" spans="1:4" x14ac:dyDescent="0.35">
      <c r="A23" t="s">
        <v>35</v>
      </c>
    </row>
    <row r="24" spans="1:4" x14ac:dyDescent="0.35">
      <c r="A24" t="s">
        <v>36</v>
      </c>
      <c r="B24" s="30">
        <v>2412000000</v>
      </c>
      <c r="C24" s="30">
        <v>1996000000</v>
      </c>
      <c r="D24" s="30">
        <v>1305000000</v>
      </c>
    </row>
    <row r="25" spans="1:4" x14ac:dyDescent="0.35">
      <c r="A25" t="s">
        <v>37</v>
      </c>
      <c r="B25" s="30">
        <v>10840000000</v>
      </c>
      <c r="C25" s="30">
        <v>11170000000</v>
      </c>
      <c r="D25" s="30">
        <v>9167000000</v>
      </c>
    </row>
    <row r="26" spans="1:4" x14ac:dyDescent="0.35">
      <c r="A26" t="s">
        <v>38</v>
      </c>
    </row>
    <row r="27" spans="1:4" x14ac:dyDescent="0.35">
      <c r="A27" t="s">
        <v>39</v>
      </c>
      <c r="B27" s="30">
        <v>88000000</v>
      </c>
      <c r="C27" s="30">
        <v>83000000</v>
      </c>
      <c r="D27" s="30">
        <v>68000000</v>
      </c>
    </row>
    <row r="28" spans="1:4" x14ac:dyDescent="0.35">
      <c r="A28" t="s">
        <v>40</v>
      </c>
      <c r="B28" s="30">
        <v>2172000000</v>
      </c>
      <c r="C28" s="30">
        <v>1683000000</v>
      </c>
      <c r="D28" s="30">
        <v>1130000000</v>
      </c>
    </row>
    <row r="29" spans="1:4" x14ac:dyDescent="0.35">
      <c r="A29" t="s">
        <v>41</v>
      </c>
      <c r="B29" s="30">
        <v>13374000000</v>
      </c>
      <c r="C29" s="30">
        <v>10478000000</v>
      </c>
      <c r="D29" s="30">
        <v>7299000000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4"/>
  <sheetViews>
    <sheetView zoomScaleNormal="100" workbookViewId="0"/>
  </sheetViews>
  <sheetFormatPr defaultRowHeight="14.5" x14ac:dyDescent="0.35"/>
  <cols>
    <col min="1" max="1" width="31.54296875" customWidth="1"/>
    <col min="2" max="2" width="10.453125" customWidth="1"/>
    <col min="5" max="5" width="11.453125" customWidth="1"/>
    <col min="6" max="6" width="11.7265625" customWidth="1"/>
    <col min="15" max="15" width="39.26953125" customWidth="1"/>
  </cols>
  <sheetData>
    <row r="1" spans="1:6" x14ac:dyDescent="0.35">
      <c r="A1" s="1" t="str">
        <f>IncomeStatements!A1</f>
        <v>ShopNow! Financial Statements</v>
      </c>
    </row>
    <row r="2" spans="1:6" x14ac:dyDescent="0.35">
      <c r="A2" s="1" t="s">
        <v>118</v>
      </c>
    </row>
    <row r="3" spans="1:6" x14ac:dyDescent="0.35">
      <c r="A3" t="s">
        <v>1</v>
      </c>
    </row>
    <row r="4" spans="1:6" x14ac:dyDescent="0.35">
      <c r="B4" s="1" t="s">
        <v>138</v>
      </c>
      <c r="E4" s="1" t="s">
        <v>3</v>
      </c>
    </row>
    <row r="5" spans="1:6" x14ac:dyDescent="0.35">
      <c r="B5" s="1">
        <f>IncomeInputs!B5</f>
        <v>2013</v>
      </c>
      <c r="C5" s="1">
        <f>IncomeInputs!C5</f>
        <v>2012</v>
      </c>
      <c r="D5" s="1">
        <f>IncomeInputs!D5</f>
        <v>2011</v>
      </c>
      <c r="E5" s="1" t="str">
        <f>IncomeInputs!C5&amp;" to "&amp;IncomeInputs!B5</f>
        <v>2012 to 2013</v>
      </c>
      <c r="F5" s="1" t="str">
        <f>IncomeInputs!D5&amp;" to "&amp;IncomeInputs!C5</f>
        <v>2011 to 2012</v>
      </c>
    </row>
    <row r="6" spans="1:6" x14ac:dyDescent="0.35">
      <c r="A6" s="1" t="s">
        <v>29</v>
      </c>
      <c r="B6" s="1"/>
      <c r="C6" s="1"/>
      <c r="D6" s="1"/>
      <c r="E6" s="1"/>
      <c r="F6" s="1"/>
    </row>
    <row r="7" spans="1:6" x14ac:dyDescent="0.35">
      <c r="A7" t="s">
        <v>19</v>
      </c>
      <c r="B7" s="31">
        <f>BalanceInputs!B7</f>
        <v>2694000000</v>
      </c>
      <c r="C7" s="31">
        <f>BalanceInputs!C7</f>
        <v>778000000</v>
      </c>
      <c r="D7" s="31">
        <f>BalanceInputs!D7</f>
        <v>682000000</v>
      </c>
      <c r="E7" s="31">
        <f t="shared" ref="E7:E16" si="0">$B7-$C7</f>
        <v>1916000000</v>
      </c>
      <c r="F7" s="31">
        <f t="shared" ref="F7:F16" si="1">$C7-$D7</f>
        <v>96000000</v>
      </c>
    </row>
    <row r="8" spans="1:6" x14ac:dyDescent="0.35">
      <c r="A8" t="s">
        <v>20</v>
      </c>
      <c r="B8" s="31">
        <f>BalanceInputs!B8</f>
        <v>6082000000</v>
      </c>
      <c r="C8" s="31">
        <f>BalanceInputs!C8</f>
        <v>5083000000</v>
      </c>
      <c r="D8" s="31">
        <f>BalanceInputs!D8</f>
        <v>5008000000</v>
      </c>
      <c r="E8" s="31">
        <f t="shared" si="0"/>
        <v>999000000</v>
      </c>
      <c r="F8" s="31">
        <f t="shared" si="1"/>
        <v>75000000</v>
      </c>
    </row>
    <row r="9" spans="1:6" x14ac:dyDescent="0.35">
      <c r="A9" t="s">
        <v>21</v>
      </c>
      <c r="B9" s="31">
        <f>BalanceInputs!B9</f>
        <v>6460000000</v>
      </c>
      <c r="C9" s="31">
        <f>BalanceInputs!C9</f>
        <v>4984000000</v>
      </c>
      <c r="D9" s="31">
        <f>BalanceInputs!D9</f>
        <v>4284000000</v>
      </c>
      <c r="E9" s="31">
        <f t="shared" si="0"/>
        <v>1476000000</v>
      </c>
      <c r="F9" s="31">
        <f t="shared" si="1"/>
        <v>700000000</v>
      </c>
    </row>
    <row r="10" spans="1:6" x14ac:dyDescent="0.35">
      <c r="A10" t="s">
        <v>22</v>
      </c>
      <c r="B10" s="35">
        <f>BalanceInputs!B10</f>
        <v>1468000000</v>
      </c>
      <c r="C10" s="35">
        <f>BalanceInputs!C10</f>
        <v>3401000000</v>
      </c>
      <c r="D10" s="35">
        <f>BalanceInputs!D10</f>
        <v>766000000</v>
      </c>
      <c r="E10" s="31">
        <f t="shared" si="0"/>
        <v>-1933000000</v>
      </c>
      <c r="F10" s="31">
        <f t="shared" si="1"/>
        <v>2635000000</v>
      </c>
    </row>
    <row r="11" spans="1:6" x14ac:dyDescent="0.35">
      <c r="A11" t="s">
        <v>23</v>
      </c>
      <c r="B11" s="31">
        <f>SUM(B$7:B$10)</f>
        <v>16704000000</v>
      </c>
      <c r="C11" s="31">
        <f t="shared" ref="C11:D11" si="2">SUM(C$7:C$10)</f>
        <v>14246000000</v>
      </c>
      <c r="D11" s="31">
        <f t="shared" si="2"/>
        <v>10740000000</v>
      </c>
      <c r="E11" s="31">
        <f t="shared" si="0"/>
        <v>2458000000</v>
      </c>
      <c r="F11" s="31">
        <f t="shared" si="1"/>
        <v>3506000000</v>
      </c>
    </row>
    <row r="12" spans="1:6" x14ac:dyDescent="0.35">
      <c r="A12" t="s">
        <v>24</v>
      </c>
      <c r="B12" s="31">
        <f>BalanceInputs!B12</f>
        <v>26726000000</v>
      </c>
      <c r="C12" s="31">
        <f>BalanceInputs!C12</f>
        <v>21868000000</v>
      </c>
      <c r="D12" s="31">
        <f>BalanceInputs!D12</f>
        <v>18842000000</v>
      </c>
      <c r="E12" s="31">
        <f t="shared" si="0"/>
        <v>4858000000</v>
      </c>
      <c r="F12" s="31">
        <f t="shared" si="1"/>
        <v>3026000000</v>
      </c>
    </row>
    <row r="13" spans="1:6" x14ac:dyDescent="0.35">
      <c r="A13" t="s">
        <v>25</v>
      </c>
      <c r="B13" s="35">
        <f>BalanceInputs!B13</f>
        <v>6494000000</v>
      </c>
      <c r="C13" s="35">
        <f>BalanceInputs!C13</f>
        <v>5199000000</v>
      </c>
      <c r="D13" s="35">
        <f>BalanceInputs!D13</f>
        <v>5066000000</v>
      </c>
      <c r="E13" s="31">
        <f t="shared" si="0"/>
        <v>1295000000</v>
      </c>
      <c r="F13" s="31">
        <f t="shared" si="1"/>
        <v>133000000</v>
      </c>
    </row>
    <row r="14" spans="1:6" x14ac:dyDescent="0.35">
      <c r="A14" t="s">
        <v>26</v>
      </c>
      <c r="B14" s="31">
        <f>B$12-B$13</f>
        <v>20232000000</v>
      </c>
      <c r="C14" s="31">
        <f t="shared" ref="C14:D14" si="3">C$12-C$13</f>
        <v>16669000000</v>
      </c>
      <c r="D14" s="31">
        <f t="shared" si="3"/>
        <v>13776000000</v>
      </c>
      <c r="E14" s="31">
        <f t="shared" si="0"/>
        <v>3563000000</v>
      </c>
      <c r="F14" s="31">
        <f t="shared" si="1"/>
        <v>2893000000</v>
      </c>
    </row>
    <row r="15" spans="1:6" x14ac:dyDescent="0.35">
      <c r="A15" t="s">
        <v>27</v>
      </c>
      <c r="B15" s="31">
        <f>BalanceInputs!B15</f>
        <v>1813000000</v>
      </c>
      <c r="C15" s="31">
        <f>BalanceInputs!C15</f>
        <v>3642000000</v>
      </c>
      <c r="D15" s="31">
        <f>BalanceInputs!D15</f>
        <v>1224000000</v>
      </c>
      <c r="E15" s="31">
        <f t="shared" si="0"/>
        <v>-1829000000</v>
      </c>
      <c r="F15" s="31">
        <f t="shared" si="1"/>
        <v>2418000000</v>
      </c>
    </row>
    <row r="16" spans="1:6" ht="15" thickBot="1" x14ac:dyDescent="0.4">
      <c r="A16" t="s">
        <v>28</v>
      </c>
      <c r="B16" s="36">
        <f>B$11+B$14+B$15</f>
        <v>38749000000</v>
      </c>
      <c r="C16" s="36">
        <f t="shared" ref="C16:D16" si="4">C$11+C$14+C$15</f>
        <v>34557000000</v>
      </c>
      <c r="D16" s="36">
        <f t="shared" si="4"/>
        <v>25740000000</v>
      </c>
      <c r="E16" s="31">
        <f t="shared" si="0"/>
        <v>4192000000</v>
      </c>
      <c r="F16" s="31">
        <f t="shared" si="1"/>
        <v>8817000000</v>
      </c>
    </row>
    <row r="17" spans="1:6" ht="9.65" customHeight="1" thickTop="1" x14ac:dyDescent="0.35">
      <c r="B17" s="31"/>
      <c r="C17" s="31"/>
      <c r="D17" s="31"/>
      <c r="E17" s="31"/>
      <c r="F17" s="31"/>
    </row>
    <row r="18" spans="1:6" x14ac:dyDescent="0.35">
      <c r="A18" s="1" t="s">
        <v>30</v>
      </c>
      <c r="B18" s="31"/>
      <c r="C18" s="31"/>
      <c r="D18" s="31"/>
      <c r="E18" s="31"/>
      <c r="F18" s="31"/>
    </row>
    <row r="19" spans="1:6" x14ac:dyDescent="0.35">
      <c r="A19" t="s">
        <v>31</v>
      </c>
      <c r="B19" s="31">
        <f>BalanceInputs!B19</f>
        <v>6934000000</v>
      </c>
      <c r="C19" s="31">
        <f>BalanceInputs!C19</f>
        <v>5451000000</v>
      </c>
      <c r="D19" s="31">
        <f>BalanceInputs!D19</f>
        <v>4215000000</v>
      </c>
      <c r="E19" s="31">
        <f t="shared" ref="E19:E31" si="5">$B19-$C19</f>
        <v>1483000000</v>
      </c>
      <c r="F19" s="31">
        <f t="shared" ref="F19:F31" si="6">$C19-$D19</f>
        <v>1236000000</v>
      </c>
    </row>
    <row r="20" spans="1:6" x14ac:dyDescent="0.35">
      <c r="A20" t="s">
        <v>32</v>
      </c>
      <c r="B20" s="31">
        <f>BalanceInputs!B20</f>
        <v>606000000</v>
      </c>
      <c r="C20" s="31">
        <f>BalanceInputs!C20</f>
        <v>953000000</v>
      </c>
      <c r="D20" s="31">
        <f>BalanceInputs!D20</f>
        <v>879000000</v>
      </c>
      <c r="E20" s="31">
        <f t="shared" si="5"/>
        <v>-347000000</v>
      </c>
      <c r="F20" s="31">
        <f t="shared" si="6"/>
        <v>74000000</v>
      </c>
    </row>
    <row r="21" spans="1:6" x14ac:dyDescent="0.35">
      <c r="A21" t="s">
        <v>33</v>
      </c>
      <c r="B21" s="31">
        <f>BalanceInputs!B21</f>
        <v>1959000000</v>
      </c>
      <c r="C21" s="31">
        <f>BalanceInputs!C21</f>
        <v>1416000000</v>
      </c>
      <c r="D21" s="31">
        <f>BalanceInputs!D21</f>
        <v>1390000000</v>
      </c>
      <c r="E21" s="31">
        <f t="shared" si="5"/>
        <v>543000000</v>
      </c>
      <c r="F21" s="31">
        <f t="shared" si="6"/>
        <v>26000000</v>
      </c>
    </row>
    <row r="22" spans="1:6" x14ac:dyDescent="0.35">
      <c r="A22" t="s">
        <v>34</v>
      </c>
      <c r="B22" s="35">
        <f>BalanceInputs!B22</f>
        <v>364000000</v>
      </c>
      <c r="C22" s="35">
        <f>BalanceInputs!C22</f>
        <v>1327000000</v>
      </c>
      <c r="D22" s="35">
        <f>BalanceInputs!D22</f>
        <v>287000000</v>
      </c>
      <c r="E22" s="31">
        <f t="shared" si="5"/>
        <v>-963000000</v>
      </c>
      <c r="F22" s="31">
        <f t="shared" si="6"/>
        <v>1040000000</v>
      </c>
    </row>
    <row r="23" spans="1:6" x14ac:dyDescent="0.35">
      <c r="A23" t="s">
        <v>35</v>
      </c>
      <c r="B23" s="31">
        <f>SUM(B$19:B$22)</f>
        <v>9863000000</v>
      </c>
      <c r="C23" s="31">
        <f t="shared" ref="C23:D23" si="7">SUM(C$19:C$22)</f>
        <v>9147000000</v>
      </c>
      <c r="D23" s="31">
        <f t="shared" si="7"/>
        <v>6771000000</v>
      </c>
      <c r="E23" s="31">
        <f t="shared" si="5"/>
        <v>716000000</v>
      </c>
      <c r="F23" s="31">
        <f t="shared" si="6"/>
        <v>2376000000</v>
      </c>
    </row>
    <row r="24" spans="1:6" x14ac:dyDescent="0.35">
      <c r="A24" t="s">
        <v>36</v>
      </c>
      <c r="B24" s="31">
        <f>BalanceInputs!B24</f>
        <v>2412000000</v>
      </c>
      <c r="C24" s="31">
        <f>BalanceInputs!C24</f>
        <v>1996000000</v>
      </c>
      <c r="D24" s="31">
        <f>BalanceInputs!D24</f>
        <v>1305000000</v>
      </c>
      <c r="E24" s="31">
        <f t="shared" si="5"/>
        <v>416000000</v>
      </c>
      <c r="F24" s="31">
        <f t="shared" si="6"/>
        <v>691000000</v>
      </c>
    </row>
    <row r="25" spans="1:6" x14ac:dyDescent="0.35">
      <c r="A25" t="s">
        <v>37</v>
      </c>
      <c r="B25" s="35">
        <f>BalanceInputs!B25</f>
        <v>10840000000</v>
      </c>
      <c r="C25" s="35">
        <f>BalanceInputs!C25</f>
        <v>11170000000</v>
      </c>
      <c r="D25" s="35">
        <f>BalanceInputs!D25</f>
        <v>9167000000</v>
      </c>
      <c r="E25" s="31">
        <f t="shared" si="5"/>
        <v>-330000000</v>
      </c>
      <c r="F25" s="31">
        <f t="shared" si="6"/>
        <v>2003000000</v>
      </c>
    </row>
    <row r="26" spans="1:6" x14ac:dyDescent="0.35">
      <c r="A26" t="s">
        <v>38</v>
      </c>
      <c r="B26" s="31">
        <f>SUM(B$23:B$25)</f>
        <v>23115000000</v>
      </c>
      <c r="C26" s="31">
        <f t="shared" ref="C26:D26" si="8">SUM(C$23:C$25)</f>
        <v>22313000000</v>
      </c>
      <c r="D26" s="31">
        <f t="shared" si="8"/>
        <v>17243000000</v>
      </c>
      <c r="E26" s="31">
        <f t="shared" si="5"/>
        <v>802000000</v>
      </c>
      <c r="F26" s="31">
        <f t="shared" si="6"/>
        <v>5070000000</v>
      </c>
    </row>
    <row r="27" spans="1:6" x14ac:dyDescent="0.35">
      <c r="A27" t="s">
        <v>39</v>
      </c>
      <c r="B27" s="31">
        <f>BalanceInputs!B27</f>
        <v>88000000</v>
      </c>
      <c r="C27" s="31">
        <f>BalanceInputs!C27</f>
        <v>83000000</v>
      </c>
      <c r="D27" s="31">
        <f>BalanceInputs!D27</f>
        <v>68000000</v>
      </c>
      <c r="E27" s="31">
        <f t="shared" si="5"/>
        <v>5000000</v>
      </c>
      <c r="F27" s="31">
        <f t="shared" si="6"/>
        <v>15000000</v>
      </c>
    </row>
    <row r="28" spans="1:6" x14ac:dyDescent="0.35">
      <c r="A28" t="s">
        <v>40</v>
      </c>
      <c r="B28" s="31">
        <f>BalanceInputs!B28</f>
        <v>2172000000</v>
      </c>
      <c r="C28" s="31">
        <f>BalanceInputs!C28</f>
        <v>1683000000</v>
      </c>
      <c r="D28" s="31">
        <f>BalanceInputs!D28</f>
        <v>1130000000</v>
      </c>
      <c r="E28" s="31">
        <f t="shared" si="5"/>
        <v>489000000</v>
      </c>
      <c r="F28" s="31">
        <f t="shared" si="6"/>
        <v>553000000</v>
      </c>
    </row>
    <row r="29" spans="1:6" x14ac:dyDescent="0.35">
      <c r="A29" t="s">
        <v>41</v>
      </c>
      <c r="B29" s="35">
        <f>BalanceInputs!B29</f>
        <v>13374000000</v>
      </c>
      <c r="C29" s="35">
        <f>BalanceInputs!C29</f>
        <v>10478000000</v>
      </c>
      <c r="D29" s="35">
        <f>BalanceInputs!D29</f>
        <v>7299000000</v>
      </c>
      <c r="E29" s="31">
        <f t="shared" si="5"/>
        <v>2896000000</v>
      </c>
      <c r="F29" s="31">
        <f t="shared" si="6"/>
        <v>3179000000</v>
      </c>
    </row>
    <row r="30" spans="1:6" x14ac:dyDescent="0.35">
      <c r="A30" t="s">
        <v>42</v>
      </c>
      <c r="B30" s="37">
        <f>SUM(B$27:B$29)</f>
        <v>15634000000</v>
      </c>
      <c r="C30" s="37">
        <f t="shared" ref="C30:D30" si="9">SUM(C$27:C$29)</f>
        <v>12244000000</v>
      </c>
      <c r="D30" s="37">
        <f t="shared" si="9"/>
        <v>8497000000</v>
      </c>
      <c r="E30" s="31">
        <f t="shared" si="5"/>
        <v>3390000000</v>
      </c>
      <c r="F30" s="31">
        <f t="shared" si="6"/>
        <v>3747000000</v>
      </c>
    </row>
    <row r="31" spans="1:6" ht="29.5" thickBot="1" x14ac:dyDescent="0.4">
      <c r="A31" s="2" t="s">
        <v>43</v>
      </c>
      <c r="B31" s="36">
        <f>SUM(B$26, B$30)</f>
        <v>38749000000</v>
      </c>
      <c r="C31" s="36">
        <f t="shared" ref="C31:D31" si="10">SUM(C$26, C$30)</f>
        <v>34557000000</v>
      </c>
      <c r="D31" s="36">
        <f t="shared" si="10"/>
        <v>25740000000</v>
      </c>
      <c r="E31" s="31">
        <f t="shared" si="5"/>
        <v>4192000000</v>
      </c>
      <c r="F31" s="31">
        <f t="shared" si="6"/>
        <v>8817000000</v>
      </c>
    </row>
    <row r="32" spans="1:6" ht="15" thickTop="1" x14ac:dyDescent="0.35">
      <c r="A32" t="s">
        <v>44</v>
      </c>
      <c r="B32" t="str">
        <f>IF(ABS(B$16-B$31)&gt;1000000, "Error", "OK")</f>
        <v>OK</v>
      </c>
      <c r="C32" t="str">
        <f>IF(ABS(C$16-C$31)&gt;1000000, "Error", "OK")</f>
        <v>OK</v>
      </c>
      <c r="D32" t="str">
        <f>IF(ABS(D$16-D$31)&gt;1000000, "Error", "OK")</f>
        <v>OK</v>
      </c>
    </row>
    <row r="33" spans="1:4" ht="11.5" customHeight="1" x14ac:dyDescent="0.35"/>
    <row r="34" spans="1:4" x14ac:dyDescent="0.35">
      <c r="A34" s="1" t="s">
        <v>97</v>
      </c>
    </row>
    <row r="35" spans="1:4" ht="29" x14ac:dyDescent="0.35">
      <c r="A35" s="2" t="s">
        <v>103</v>
      </c>
      <c r="B35" s="13">
        <f>IncomeStatements!B$6/((B$8+C$8)/2)</f>
        <v>10.068248992386923</v>
      </c>
      <c r="C35" s="13">
        <f>IncomeStatements!C$6/((C$8+D$8)/2)</f>
        <v>9.1620255673372313</v>
      </c>
      <c r="D35" s="13" t="s">
        <v>108</v>
      </c>
    </row>
    <row r="36" spans="1:4" ht="29" x14ac:dyDescent="0.35">
      <c r="A36" s="2" t="s">
        <v>104</v>
      </c>
      <c r="B36" s="13">
        <f>IncomeStatements!B$7/((B$9+C$9)/2)</f>
        <v>6.3196434813002451</v>
      </c>
      <c r="C36" s="13">
        <f>IncomeStatements!C$7/((C$9+D$9)/2)</f>
        <v>7.0451014242555026</v>
      </c>
      <c r="D36" t="s">
        <v>108</v>
      </c>
    </row>
    <row r="37" spans="1:4" ht="29" x14ac:dyDescent="0.35">
      <c r="A37" s="2" t="s">
        <v>105</v>
      </c>
      <c r="B37" s="13">
        <f>IncomeStatements!B$7/((B$19+C$19)/2)</f>
        <v>5.8394832458619295</v>
      </c>
      <c r="C37" s="13">
        <f>IncomeStatements!C$7/((C$19+D$19)/2)</f>
        <v>6.7550175874198217</v>
      </c>
      <c r="D37" t="s">
        <v>108</v>
      </c>
    </row>
    <row r="38" spans="1:4" ht="43.5" x14ac:dyDescent="0.35">
      <c r="A38" s="2" t="s">
        <v>106</v>
      </c>
      <c r="B38" s="13">
        <f>IncomeStatements!B$6/((B$21+C21)/2)</f>
        <v>33.307259259259261</v>
      </c>
      <c r="C38" s="13">
        <f>IncomeStatements!C$6/((C$21+D21)/2)</f>
        <v>32.948681397006418</v>
      </c>
      <c r="D38" t="s">
        <v>108</v>
      </c>
    </row>
    <row r="39" spans="1:4" x14ac:dyDescent="0.35">
      <c r="A39" s="2" t="s">
        <v>107</v>
      </c>
      <c r="B39" s="6">
        <f>B$22/IncomeStatements!B$14</f>
        <v>0.24445936870382806</v>
      </c>
      <c r="C39" s="6">
        <f>C$22/IncomeStatements!C$14</f>
        <v>1.4994350282485875</v>
      </c>
      <c r="D39" t="s">
        <v>89</v>
      </c>
    </row>
    <row r="53" spans="15:15" x14ac:dyDescent="0.35">
      <c r="O53" s="2"/>
    </row>
    <row r="54" spans="15:15" x14ac:dyDescent="0.35">
      <c r="O54" s="2"/>
    </row>
  </sheetData>
  <conditionalFormatting sqref="B32">
    <cfRule type="containsText" dxfId="17" priority="5" operator="containsText" text="Error">
      <formula>NOT(ISERROR(SEARCH("Error",B32)))</formula>
    </cfRule>
    <cfRule type="containsText" dxfId="16" priority="6" operator="containsText" text="OK">
      <formula>NOT(ISERROR(SEARCH("OK",B32)))</formula>
    </cfRule>
  </conditionalFormatting>
  <conditionalFormatting sqref="C32">
    <cfRule type="containsText" dxfId="15" priority="3" operator="containsText" text="Error">
      <formula>NOT(ISERROR(SEARCH("Error",C32)))</formula>
    </cfRule>
    <cfRule type="containsText" dxfId="14" priority="4" operator="containsText" text="OK">
      <formula>NOT(ISERROR(SEARCH("OK",C32)))</formula>
    </cfRule>
  </conditionalFormatting>
  <conditionalFormatting sqref="D32">
    <cfRule type="containsText" dxfId="13" priority="1" operator="containsText" text="Error">
      <formula>NOT(ISERROR(SEARCH("Error",D32)))</formula>
    </cfRule>
    <cfRule type="containsText" dxfId="12" priority="2" operator="containsText" text="OK">
      <formula>NOT(ISERROR(SEARCH("OK",D32)))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heetViews>
  <sheetFormatPr defaultRowHeight="14.5" x14ac:dyDescent="0.35"/>
  <cols>
    <col min="1" max="1" width="30.26953125" bestFit="1" customWidth="1"/>
    <col min="2" max="2" width="8" bestFit="1" customWidth="1"/>
    <col min="3" max="3" width="7.1796875" customWidth="1"/>
    <col min="4" max="4" width="8" bestFit="1" customWidth="1"/>
    <col min="5" max="5" width="5.7265625" bestFit="1" customWidth="1"/>
  </cols>
  <sheetData>
    <row r="1" spans="1:7" x14ac:dyDescent="0.35">
      <c r="A1" s="1" t="str">
        <f>IncomeStatements!A1</f>
        <v>ShopNow! Financial Statements</v>
      </c>
    </row>
    <row r="2" spans="1:7" x14ac:dyDescent="0.35">
      <c r="A2" s="1" t="s">
        <v>45</v>
      </c>
    </row>
    <row r="3" spans="1:7" x14ac:dyDescent="0.35">
      <c r="A3" t="s">
        <v>1</v>
      </c>
    </row>
    <row r="4" spans="1:7" x14ac:dyDescent="0.35">
      <c r="C4" s="1" t="s">
        <v>139</v>
      </c>
    </row>
    <row r="5" spans="1:7" x14ac:dyDescent="0.35">
      <c r="C5" s="1">
        <f>IncomeInputs!B5</f>
        <v>2013</v>
      </c>
      <c r="D5" s="1"/>
      <c r="E5" s="1">
        <f>IncomeInputs!C5</f>
        <v>2012</v>
      </c>
      <c r="G5" s="1"/>
    </row>
    <row r="6" spans="1:7" ht="5.5" customHeight="1" x14ac:dyDescent="0.35">
      <c r="A6" s="1"/>
    </row>
    <row r="7" spans="1:7" ht="4.9000000000000004" customHeight="1" x14ac:dyDescent="0.35"/>
    <row r="8" spans="1:7" ht="7.15" customHeight="1" x14ac:dyDescent="0.35">
      <c r="A8" s="2"/>
    </row>
    <row r="9" spans="1:7" ht="6" customHeight="1" x14ac:dyDescent="0.35"/>
    <row r="10" spans="1:7" ht="6.65" customHeight="1" x14ac:dyDescent="0.35"/>
    <row r="11" spans="1:7" ht="6" customHeight="1" x14ac:dyDescent="0.35"/>
    <row r="12" spans="1:7" ht="7.15" customHeight="1" x14ac:dyDescent="0.35"/>
    <row r="13" spans="1:7" ht="6.65" customHeight="1" x14ac:dyDescent="0.35"/>
    <row r="14" spans="1:7" ht="6" customHeight="1" x14ac:dyDescent="0.35"/>
    <row r="15" spans="1:7" ht="7.9" customHeight="1" x14ac:dyDescent="0.35">
      <c r="A15" s="2"/>
    </row>
    <row r="16" spans="1:7" ht="5.5" customHeight="1" x14ac:dyDescent="0.35">
      <c r="A16" s="2"/>
    </row>
    <row r="17" spans="1:5" x14ac:dyDescent="0.35">
      <c r="A17" s="1" t="s">
        <v>49</v>
      </c>
    </row>
    <row r="18" spans="1:5" x14ac:dyDescent="0.35">
      <c r="A18" t="s">
        <v>67</v>
      </c>
      <c r="B18" s="30">
        <v>-3010000000</v>
      </c>
      <c r="D18" s="30">
        <v>-5575000000</v>
      </c>
    </row>
    <row r="19" spans="1:5" x14ac:dyDescent="0.35">
      <c r="A19" t="s">
        <v>94</v>
      </c>
      <c r="B19" s="30">
        <v>1657000000</v>
      </c>
      <c r="D19" s="30">
        <v>0</v>
      </c>
    </row>
    <row r="20" spans="1:5" ht="9" customHeight="1" x14ac:dyDescent="0.35">
      <c r="A20" s="2"/>
    </row>
    <row r="21" spans="1:5" x14ac:dyDescent="0.35">
      <c r="A21" s="10" t="s">
        <v>55</v>
      </c>
    </row>
    <row r="22" spans="1:5" ht="7.15" customHeight="1" x14ac:dyDescent="0.35">
      <c r="A22" s="2"/>
    </row>
    <row r="23" spans="1:5" x14ac:dyDescent="0.35">
      <c r="A23" t="s">
        <v>66</v>
      </c>
      <c r="B23" s="30">
        <v>-395000000</v>
      </c>
      <c r="D23" s="30">
        <v>-369000000</v>
      </c>
    </row>
    <row r="24" spans="1:5" ht="29" x14ac:dyDescent="0.35">
      <c r="A24" s="2" t="s">
        <v>60</v>
      </c>
    </row>
    <row r="25" spans="1:5" ht="3" customHeight="1" x14ac:dyDescent="0.35">
      <c r="A25" s="2"/>
    </row>
    <row r="26" spans="1:5" ht="2.5" customHeight="1" x14ac:dyDescent="0.35">
      <c r="A26" s="2"/>
    </row>
    <row r="27" spans="1:5" x14ac:dyDescent="0.35">
      <c r="A27" s="2" t="s">
        <v>62</v>
      </c>
      <c r="C27" s="30">
        <v>250000000</v>
      </c>
      <c r="E27" s="30">
        <v>250000000</v>
      </c>
    </row>
    <row r="28" spans="1:5" ht="8.5" customHeight="1" x14ac:dyDescent="0.35">
      <c r="A28" s="2"/>
    </row>
    <row r="29" spans="1:5" ht="6.65" customHeight="1" x14ac:dyDescent="0.35"/>
    <row r="30" spans="1:5" x14ac:dyDescent="0.35">
      <c r="A30" s="10" t="s">
        <v>97</v>
      </c>
    </row>
    <row r="31" spans="1:5" x14ac:dyDescent="0.35">
      <c r="A31" s="2" t="s">
        <v>110</v>
      </c>
      <c r="B31" s="6">
        <f>ABS(B$18)/IncomeStatements!B$6</f>
        <v>5.3553001458918975E-2</v>
      </c>
      <c r="C31" s="6"/>
      <c r="D31" s="6">
        <f>ABS(D$18)/IncomeStatements!C$6</f>
        <v>0.12060051485062842</v>
      </c>
    </row>
    <row r="32" spans="1:5" ht="29" x14ac:dyDescent="0.35">
      <c r="A32" s="2" t="s">
        <v>102</v>
      </c>
      <c r="B32" s="17">
        <f>ABS(B$23)/IncomeStatements!B$18</f>
        <v>0.34110535405872194</v>
      </c>
      <c r="C32" s="17"/>
      <c r="D32" s="17">
        <f>ABS(D$23)/IncomeStatements!C$18</f>
        <v>0.33729433272394882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9"/>
  <sheetViews>
    <sheetView workbookViewId="0"/>
  </sheetViews>
  <sheetFormatPr defaultRowHeight="14.5" x14ac:dyDescent="0.35"/>
  <cols>
    <col min="1" max="1" width="32.453125" customWidth="1"/>
    <col min="2" max="2" width="9.54296875" customWidth="1"/>
    <col min="13" max="13" width="39" bestFit="1" customWidth="1"/>
  </cols>
  <sheetData>
    <row r="1" spans="1:6" x14ac:dyDescent="0.35">
      <c r="A1" s="1" t="str">
        <f>IncomeStatements!A1</f>
        <v>ShopNow! Financial Statements</v>
      </c>
    </row>
    <row r="2" spans="1:6" x14ac:dyDescent="0.35">
      <c r="A2" s="1" t="s">
        <v>64</v>
      </c>
    </row>
    <row r="3" spans="1:6" x14ac:dyDescent="0.35">
      <c r="A3" t="s">
        <v>1</v>
      </c>
    </row>
    <row r="4" spans="1:6" x14ac:dyDescent="0.35">
      <c r="B4" s="1" t="s">
        <v>139</v>
      </c>
      <c r="C4" s="1"/>
    </row>
    <row r="5" spans="1:6" x14ac:dyDescent="0.35">
      <c r="A5" s="1" t="s">
        <v>56</v>
      </c>
      <c r="C5" s="1">
        <f>IncomeInputs!$B$5</f>
        <v>2013</v>
      </c>
      <c r="D5" s="1"/>
      <c r="E5" s="1">
        <f>IncomeInputs!C5</f>
        <v>2012</v>
      </c>
      <c r="F5" s="1" t="s">
        <v>68</v>
      </c>
    </row>
    <row r="6" spans="1:6" x14ac:dyDescent="0.35">
      <c r="A6" t="s">
        <v>11</v>
      </c>
      <c r="C6" s="31">
        <f>IncomeStatements!B16</f>
        <v>4243000000</v>
      </c>
      <c r="D6" s="31"/>
      <c r="E6" s="31">
        <f>IncomeStatements!C16</f>
        <v>1229000000</v>
      </c>
      <c r="F6" t="s">
        <v>69</v>
      </c>
    </row>
    <row r="7" spans="1:6" ht="31.9" customHeight="1" x14ac:dyDescent="0.35">
      <c r="A7" s="2" t="s">
        <v>46</v>
      </c>
    </row>
    <row r="8" spans="1:6" x14ac:dyDescent="0.35">
      <c r="A8" t="s">
        <v>47</v>
      </c>
    </row>
    <row r="9" spans="1:6" x14ac:dyDescent="0.35">
      <c r="A9" t="s">
        <v>50</v>
      </c>
      <c r="B9" s="31">
        <f>IncomeStatements!B10</f>
        <v>1510000000</v>
      </c>
      <c r="C9" s="31"/>
      <c r="D9" s="31">
        <f>IncomeStatements!C10</f>
        <v>1207000000</v>
      </c>
      <c r="E9" s="31"/>
      <c r="F9" t="s">
        <v>69</v>
      </c>
    </row>
    <row r="10" spans="1:6" x14ac:dyDescent="0.35">
      <c r="A10" t="s">
        <v>48</v>
      </c>
      <c r="B10" s="31"/>
      <c r="C10" s="31"/>
      <c r="D10" s="31"/>
      <c r="E10" s="31"/>
    </row>
    <row r="11" spans="1:6" x14ac:dyDescent="0.35">
      <c r="A11" t="s">
        <v>51</v>
      </c>
      <c r="B11" s="31">
        <f>-BalanceSheets!E8</f>
        <v>-999000000</v>
      </c>
      <c r="C11" s="31"/>
      <c r="D11" s="31">
        <f>-BalanceSheets!F8</f>
        <v>-75000000</v>
      </c>
      <c r="E11" s="31"/>
      <c r="F11" t="s">
        <v>70</v>
      </c>
    </row>
    <row r="12" spans="1:6" x14ac:dyDescent="0.35">
      <c r="A12" t="s">
        <v>52</v>
      </c>
      <c r="B12" s="31">
        <f>-BalanceSheets!E9</f>
        <v>-1476000000</v>
      </c>
      <c r="C12" s="31"/>
      <c r="D12" s="31">
        <f>-BalanceSheets!F9</f>
        <v>-700000000</v>
      </c>
      <c r="E12" s="31"/>
      <c r="F12" s="11" t="s">
        <v>71</v>
      </c>
    </row>
    <row r="13" spans="1:6" x14ac:dyDescent="0.35">
      <c r="A13" t="s">
        <v>53</v>
      </c>
      <c r="B13" s="31">
        <f>BalanceSheets!E19</f>
        <v>1483000000</v>
      </c>
      <c r="C13" s="31"/>
      <c r="D13" s="31">
        <f>BalanceSheets!F19</f>
        <v>1236000000</v>
      </c>
      <c r="E13" s="31"/>
      <c r="F13" s="11" t="s">
        <v>3</v>
      </c>
    </row>
    <row r="14" spans="1:6" ht="27.65" customHeight="1" x14ac:dyDescent="0.35">
      <c r="A14" s="2" t="s">
        <v>54</v>
      </c>
      <c r="B14" s="31">
        <f>BalanceSheets!E21</f>
        <v>543000000</v>
      </c>
      <c r="C14" s="31"/>
      <c r="D14" s="31">
        <f>BalanceSheets!F21</f>
        <v>26000000</v>
      </c>
      <c r="E14" s="31"/>
      <c r="F14" s="11" t="s">
        <v>3</v>
      </c>
    </row>
    <row r="15" spans="1:6" ht="27.65" customHeight="1" x14ac:dyDescent="0.35">
      <c r="A15" s="2" t="s">
        <v>72</v>
      </c>
      <c r="B15" s="35">
        <f>BalanceSheets!E22</f>
        <v>-963000000</v>
      </c>
      <c r="C15" s="31"/>
      <c r="D15" s="35">
        <f>BalanceSheets!F22</f>
        <v>1040000000</v>
      </c>
      <c r="E15" s="31"/>
      <c r="F15" s="11" t="s">
        <v>3</v>
      </c>
    </row>
    <row r="16" spans="1:6" ht="29" x14ac:dyDescent="0.35">
      <c r="A16" s="2" t="s">
        <v>58</v>
      </c>
      <c r="B16" s="31">
        <f>SUM(B9:B15)</f>
        <v>98000000</v>
      </c>
      <c r="C16" s="35">
        <f>C6+B16</f>
        <v>4341000000</v>
      </c>
      <c r="D16" s="31">
        <f>SUM(D9:D15)</f>
        <v>2734000000</v>
      </c>
      <c r="E16" s="35">
        <f>E6+D16</f>
        <v>3963000000</v>
      </c>
    </row>
    <row r="17" spans="1:6" x14ac:dyDescent="0.35">
      <c r="A17" s="1" t="s">
        <v>49</v>
      </c>
      <c r="B17" s="31"/>
      <c r="C17" s="31"/>
      <c r="D17" s="31"/>
      <c r="E17" s="31"/>
    </row>
    <row r="18" spans="1:6" x14ac:dyDescent="0.35">
      <c r="A18" t="s">
        <v>67</v>
      </c>
      <c r="B18" s="31">
        <f>CashFlowInputs!B18</f>
        <v>-3010000000</v>
      </c>
      <c r="C18" s="31"/>
      <c r="D18" s="31">
        <f>CashFlowInputs!D18</f>
        <v>-5575000000</v>
      </c>
      <c r="E18" s="31"/>
      <c r="F18" t="s">
        <v>96</v>
      </c>
    </row>
    <row r="19" spans="1:6" x14ac:dyDescent="0.35">
      <c r="A19" t="s">
        <v>94</v>
      </c>
      <c r="B19" s="31">
        <f>CashFlowInputs!B19</f>
        <v>1657000000</v>
      </c>
      <c r="C19" s="31"/>
      <c r="D19" s="31">
        <f>CashFlowInputs!D19</f>
        <v>0</v>
      </c>
      <c r="E19" s="31"/>
      <c r="F19" t="s">
        <v>96</v>
      </c>
    </row>
    <row r="20" spans="1:6" ht="29" x14ac:dyDescent="0.35">
      <c r="A20" s="2" t="s">
        <v>59</v>
      </c>
      <c r="B20" s="31">
        <f>B18+B19</f>
        <v>-1353000000</v>
      </c>
      <c r="C20" s="35">
        <f>C16+B20</f>
        <v>2988000000</v>
      </c>
      <c r="D20" s="31">
        <f>D18+D19</f>
        <v>-5575000000</v>
      </c>
      <c r="E20" s="35">
        <f>E16+D20</f>
        <v>-1612000000</v>
      </c>
    </row>
    <row r="21" spans="1:6" x14ac:dyDescent="0.35">
      <c r="A21" s="10" t="s">
        <v>55</v>
      </c>
      <c r="B21" s="31"/>
      <c r="C21" s="31"/>
      <c r="D21" s="31"/>
      <c r="E21" s="31"/>
    </row>
    <row r="22" spans="1:6" ht="29.5" customHeight="1" x14ac:dyDescent="0.35">
      <c r="A22" s="2" t="s">
        <v>57</v>
      </c>
      <c r="B22" s="31">
        <f>BalanceSheets!E20+BalanceSheets!E25</f>
        <v>-677000000</v>
      </c>
      <c r="C22" s="31"/>
      <c r="D22" s="31">
        <f>BalanceSheets!F20+BalanceSheets!F25</f>
        <v>2077000000</v>
      </c>
      <c r="E22" s="31"/>
      <c r="F22" t="s">
        <v>3</v>
      </c>
    </row>
    <row r="23" spans="1:6" x14ac:dyDescent="0.35">
      <c r="A23" t="s">
        <v>66</v>
      </c>
      <c r="B23" s="35">
        <f>CashFlowInputs!B23</f>
        <v>-395000000</v>
      </c>
      <c r="C23" s="31"/>
      <c r="D23" s="35">
        <f>CashFlowInputs!D23</f>
        <v>-369000000</v>
      </c>
      <c r="E23" s="31"/>
      <c r="F23" t="s">
        <v>96</v>
      </c>
    </row>
    <row r="24" spans="1:6" ht="29" x14ac:dyDescent="0.35">
      <c r="A24" s="2" t="s">
        <v>60</v>
      </c>
      <c r="B24" s="31">
        <f>B22+B23</f>
        <v>-1072000000</v>
      </c>
      <c r="C24" s="35">
        <f>C20+B24</f>
        <v>1916000000</v>
      </c>
      <c r="D24" s="31">
        <f>D22+D23</f>
        <v>1708000000</v>
      </c>
      <c r="E24" s="35">
        <f>E20+D24</f>
        <v>96000000</v>
      </c>
    </row>
    <row r="25" spans="1:6" x14ac:dyDescent="0.35">
      <c r="A25" s="2" t="s">
        <v>61</v>
      </c>
      <c r="B25" s="31"/>
      <c r="C25" s="37">
        <f>E26</f>
        <v>778000000</v>
      </c>
      <c r="D25" s="31"/>
      <c r="E25" s="37">
        <f>BalanceSheets!D7</f>
        <v>682000000</v>
      </c>
      <c r="F25" t="s">
        <v>115</v>
      </c>
    </row>
    <row r="26" spans="1:6" ht="15" thickBot="1" x14ac:dyDescent="0.4">
      <c r="A26" s="2" t="s">
        <v>63</v>
      </c>
      <c r="B26" s="31"/>
      <c r="C26" s="36">
        <f>C24+C25</f>
        <v>2694000000</v>
      </c>
      <c r="D26" s="31"/>
      <c r="E26" s="36">
        <f>E24+E25</f>
        <v>778000000</v>
      </c>
    </row>
    <row r="27" spans="1:6" ht="15" thickTop="1" x14ac:dyDescent="0.35">
      <c r="A27" s="2" t="s">
        <v>62</v>
      </c>
      <c r="B27" s="31"/>
      <c r="C27" s="35">
        <f>CashFlowInputs!C27</f>
        <v>250000000</v>
      </c>
      <c r="D27" s="31"/>
      <c r="E27" s="35">
        <f>CashFlowInputs!E27</f>
        <v>250000000</v>
      </c>
      <c r="F27" t="s">
        <v>96</v>
      </c>
    </row>
    <row r="28" spans="1:6" x14ac:dyDescent="0.35">
      <c r="A28" s="2" t="s">
        <v>65</v>
      </c>
      <c r="B28" s="31"/>
      <c r="C28" s="35">
        <f>C26-C27</f>
        <v>2444000000</v>
      </c>
      <c r="D28" s="31"/>
      <c r="E28" s="35">
        <f>E26-E27</f>
        <v>528000000</v>
      </c>
    </row>
    <row r="29" spans="1:6" x14ac:dyDescent="0.35">
      <c r="B29" s="31"/>
      <c r="C29" s="31"/>
      <c r="D29" s="31"/>
      <c r="E29" s="31"/>
    </row>
    <row r="30" spans="1:6" ht="29" x14ac:dyDescent="0.35">
      <c r="A30" s="2" t="s">
        <v>95</v>
      </c>
      <c r="B30" s="31"/>
      <c r="C30" s="31">
        <f>BalanceSheets!B7</f>
        <v>2694000000</v>
      </c>
      <c r="D30" s="31"/>
      <c r="E30" s="31">
        <f>BalanceSheets!C7</f>
        <v>778000000</v>
      </c>
    </row>
    <row r="31" spans="1:6" x14ac:dyDescent="0.35">
      <c r="A31" s="2" t="s">
        <v>93</v>
      </c>
      <c r="C31" t="str">
        <f>IF(ABS(C$26-C$30)&gt;1000000, "Error", "OK")</f>
        <v>OK</v>
      </c>
      <c r="E31" t="str">
        <f>IF(ABS(E$26-E$30)&gt;1000000, "Error", "OK")</f>
        <v>OK</v>
      </c>
    </row>
    <row r="47" spans="13:13" x14ac:dyDescent="0.35">
      <c r="M47" s="2"/>
    </row>
    <row r="49" spans="13:13" x14ac:dyDescent="0.35">
      <c r="M49" s="2"/>
    </row>
  </sheetData>
  <conditionalFormatting sqref="E31">
    <cfRule type="containsText" dxfId="11" priority="3" operator="containsText" text="Error">
      <formula>NOT(ISERROR(SEARCH("Error",E31)))</formula>
    </cfRule>
    <cfRule type="containsText" dxfId="10" priority="4" operator="containsText" text="OK">
      <formula>NOT(ISERROR(SEARCH("OK",E31)))</formula>
    </cfRule>
  </conditionalFormatting>
  <conditionalFormatting sqref="C31">
    <cfRule type="containsText" dxfId="9" priority="1" operator="containsText" text="Error">
      <formula>NOT(ISERROR(SEARCH("Error",C31)))</formula>
    </cfRule>
    <cfRule type="containsText" dxfId="8" priority="2" operator="containsText" text="OK">
      <formula>NOT(ISERROR(SEARCH("OK",C31)))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8"/>
  <sheetViews>
    <sheetView tabSelected="1" workbookViewId="0">
      <selection activeCell="E72" sqref="E72"/>
    </sheetView>
  </sheetViews>
  <sheetFormatPr defaultRowHeight="14.5" x14ac:dyDescent="0.35"/>
  <cols>
    <col min="1" max="1" width="33.453125" customWidth="1"/>
    <col min="2" max="2" width="9.7265625" customWidth="1"/>
    <col min="3" max="3" width="6.453125" customWidth="1"/>
    <col min="4" max="4" width="8.54296875" customWidth="1"/>
  </cols>
  <sheetData>
    <row r="1" spans="1:6" x14ac:dyDescent="0.35">
      <c r="A1" s="1" t="str">
        <f>IncomeStatements!A1</f>
        <v>ShopNow! Financial Statements</v>
      </c>
    </row>
    <row r="2" spans="1:6" x14ac:dyDescent="0.35">
      <c r="A2" s="1" t="s">
        <v>121</v>
      </c>
    </row>
    <row r="3" spans="1:6" x14ac:dyDescent="0.35">
      <c r="A3" t="s">
        <v>1</v>
      </c>
    </row>
    <row r="4" spans="1:6" x14ac:dyDescent="0.35">
      <c r="B4" s="1">
        <f>IncomeInputs!$B$5+1</f>
        <v>2014</v>
      </c>
      <c r="C4" s="1" t="s">
        <v>120</v>
      </c>
    </row>
    <row r="5" spans="1:6" x14ac:dyDescent="0.35">
      <c r="A5" s="1" t="s">
        <v>77</v>
      </c>
      <c r="B5" s="1" t="s">
        <v>92</v>
      </c>
      <c r="D5" s="1" t="str">
        <f>IncomeInputs!$C$5&amp;" to "&amp;IncomeInputs!$B$5&amp;" Actuals"</f>
        <v>2012 to 2013 Actuals</v>
      </c>
      <c r="F5" s="1"/>
    </row>
    <row r="6" spans="1:6" x14ac:dyDescent="0.35">
      <c r="A6" t="s">
        <v>84</v>
      </c>
      <c r="B6" s="15">
        <v>0.25590000000000002</v>
      </c>
      <c r="C6" t="s">
        <v>89</v>
      </c>
      <c r="D6" s="6">
        <f>IncomeStatements!B32</f>
        <v>0.21586951348778852</v>
      </c>
      <c r="E6" t="s">
        <v>89</v>
      </c>
    </row>
    <row r="7" spans="1:6" x14ac:dyDescent="0.35">
      <c r="A7" t="s">
        <v>83</v>
      </c>
      <c r="B7" s="15">
        <v>0.35659999999999997</v>
      </c>
      <c r="C7" t="s">
        <v>89</v>
      </c>
      <c r="D7" s="6">
        <f>IncomeStatements!B33</f>
        <v>0.35663452300466142</v>
      </c>
      <c r="E7" t="s">
        <v>89</v>
      </c>
    </row>
    <row r="8" spans="1:6" x14ac:dyDescent="0.35">
      <c r="A8" t="s">
        <v>82</v>
      </c>
      <c r="B8" s="15">
        <v>0.24360000000000001</v>
      </c>
      <c r="C8" t="s">
        <v>89</v>
      </c>
      <c r="D8" s="6">
        <f>IncomeStatements!B34</f>
        <v>0.24363946909582607</v>
      </c>
      <c r="E8" t="s">
        <v>89</v>
      </c>
    </row>
    <row r="9" spans="1:6" x14ac:dyDescent="0.35">
      <c r="A9" t="s">
        <v>85</v>
      </c>
      <c r="B9" s="15">
        <v>6.9089999999999999E-2</v>
      </c>
      <c r="C9" t="s">
        <v>89</v>
      </c>
      <c r="D9" s="6">
        <f>IncomeStatements!B35</f>
        <v>6.9050667642216942E-2</v>
      </c>
      <c r="E9" t="s">
        <v>89</v>
      </c>
    </row>
    <row r="10" spans="1:6" x14ac:dyDescent="0.35">
      <c r="A10" s="2" t="s">
        <v>86</v>
      </c>
      <c r="B10" s="15">
        <v>5.6439999999999997E-2</v>
      </c>
      <c r="C10" t="s">
        <v>89</v>
      </c>
      <c r="D10" s="6">
        <f>IncomeStatements!B36</f>
        <v>5.6421677802524127E-2</v>
      </c>
      <c r="E10" t="s">
        <v>89</v>
      </c>
    </row>
    <row r="11" spans="1:6" x14ac:dyDescent="0.35">
      <c r="A11" t="s">
        <v>78</v>
      </c>
      <c r="B11" s="15">
        <v>0.35820000000000002</v>
      </c>
      <c r="C11" t="s">
        <v>89</v>
      </c>
      <c r="D11" s="6">
        <f>IncomeStatements!B37</f>
        <v>0.35819100312725521</v>
      </c>
      <c r="E11" t="s">
        <v>89</v>
      </c>
    </row>
    <row r="12" spans="1:6" x14ac:dyDescent="0.35">
      <c r="A12" t="s">
        <v>88</v>
      </c>
      <c r="B12" s="30">
        <v>0</v>
      </c>
      <c r="C12" t="s">
        <v>90</v>
      </c>
      <c r="D12" s="31">
        <f>IncomeStatements!B15</f>
        <v>1575000000</v>
      </c>
      <c r="E12" t="s">
        <v>90</v>
      </c>
    </row>
    <row r="13" spans="1:6" x14ac:dyDescent="0.35">
      <c r="A13" t="s">
        <v>13</v>
      </c>
      <c r="B13" s="32">
        <v>1158000000</v>
      </c>
      <c r="C13" t="s">
        <v>91</v>
      </c>
      <c r="D13" s="34">
        <f>IncomeStatements!B18</f>
        <v>1158000000</v>
      </c>
      <c r="E13" t="s">
        <v>91</v>
      </c>
    </row>
    <row r="14" spans="1:6" x14ac:dyDescent="0.35">
      <c r="D14" s="7"/>
    </row>
    <row r="15" spans="1:6" x14ac:dyDescent="0.35">
      <c r="A15" s="1" t="s">
        <v>87</v>
      </c>
      <c r="D15" s="7"/>
    </row>
    <row r="16" spans="1:6" x14ac:dyDescent="0.35">
      <c r="A16" t="s">
        <v>98</v>
      </c>
      <c r="B16" s="16">
        <v>10.07</v>
      </c>
      <c r="C16" t="s">
        <v>108</v>
      </c>
      <c r="D16" s="13">
        <f>BalanceSheets!B35</f>
        <v>10.068248992386923</v>
      </c>
      <c r="E16" t="s">
        <v>108</v>
      </c>
    </row>
    <row r="17" spans="1:6" x14ac:dyDescent="0.35">
      <c r="A17" t="s">
        <v>99</v>
      </c>
      <c r="B17" s="16">
        <v>6.32</v>
      </c>
      <c r="C17" t="s">
        <v>108</v>
      </c>
      <c r="D17" s="13">
        <f>BalanceSheets!B36</f>
        <v>6.3196434813002451</v>
      </c>
      <c r="E17" t="s">
        <v>108</v>
      </c>
    </row>
    <row r="18" spans="1:6" x14ac:dyDescent="0.35">
      <c r="A18" t="s">
        <v>22</v>
      </c>
      <c r="B18" s="30">
        <v>1468000000</v>
      </c>
      <c r="C18" t="s">
        <v>90</v>
      </c>
      <c r="D18" s="31">
        <f>BalanceSheets!B10</f>
        <v>1468000000</v>
      </c>
      <c r="E18" t="s">
        <v>90</v>
      </c>
    </row>
    <row r="19" spans="1:6" x14ac:dyDescent="0.35">
      <c r="A19" t="s">
        <v>111</v>
      </c>
      <c r="B19" s="38">
        <f>ABS(ProjectionInputs!B34)/(IncomeStatements!B6*(1+ProjectionInputs!B6))</f>
        <v>8.0253166056816747E-2</v>
      </c>
      <c r="C19" t="s">
        <v>89</v>
      </c>
      <c r="D19" s="6">
        <f>CashFlowInputs!B31</f>
        <v>5.3553001458918975E-2</v>
      </c>
      <c r="E19" t="s">
        <v>89</v>
      </c>
    </row>
    <row r="20" spans="1:6" x14ac:dyDescent="0.35">
      <c r="A20" t="s">
        <v>25</v>
      </c>
      <c r="B20" s="30">
        <v>6002000000</v>
      </c>
      <c r="C20" t="s">
        <v>90</v>
      </c>
      <c r="D20" s="31">
        <f>BalanceSheets!B13</f>
        <v>6494000000</v>
      </c>
      <c r="E20" t="s">
        <v>90</v>
      </c>
    </row>
    <row r="21" spans="1:6" x14ac:dyDescent="0.35">
      <c r="A21" t="s">
        <v>112</v>
      </c>
      <c r="B21" s="30">
        <v>1813000000</v>
      </c>
      <c r="C21" t="s">
        <v>90</v>
      </c>
      <c r="D21" s="31">
        <f>BalanceSheets!B15</f>
        <v>1813000000</v>
      </c>
      <c r="E21" t="s">
        <v>90</v>
      </c>
    </row>
    <row r="22" spans="1:6" x14ac:dyDescent="0.35">
      <c r="A22" t="s">
        <v>100</v>
      </c>
      <c r="B22" s="16">
        <v>5.84</v>
      </c>
      <c r="C22" t="s">
        <v>108</v>
      </c>
      <c r="D22" s="13">
        <f>BalanceSheets!B37</f>
        <v>5.8394832458619295</v>
      </c>
      <c r="E22" t="s">
        <v>108</v>
      </c>
    </row>
    <row r="23" spans="1:6" x14ac:dyDescent="0.35">
      <c r="A23" t="s">
        <v>32</v>
      </c>
      <c r="B23" s="30">
        <v>714000000</v>
      </c>
      <c r="C23" t="s">
        <v>113</v>
      </c>
      <c r="D23" s="31">
        <f>BalanceSheets!B20</f>
        <v>606000000</v>
      </c>
      <c r="E23" t="s">
        <v>113</v>
      </c>
    </row>
    <row r="24" spans="1:6" x14ac:dyDescent="0.35">
      <c r="A24" t="s">
        <v>137</v>
      </c>
      <c r="B24" s="30">
        <v>1534000000</v>
      </c>
      <c r="C24" t="s">
        <v>90</v>
      </c>
      <c r="D24" s="31"/>
    </row>
    <row r="25" spans="1:6" x14ac:dyDescent="0.35">
      <c r="A25" t="s">
        <v>101</v>
      </c>
      <c r="B25" s="16">
        <v>33.31</v>
      </c>
      <c r="C25" t="s">
        <v>108</v>
      </c>
      <c r="D25" s="13">
        <f>BalanceSheets!B38</f>
        <v>33.307259259259261</v>
      </c>
      <c r="E25" t="s">
        <v>108</v>
      </c>
    </row>
    <row r="26" spans="1:6" x14ac:dyDescent="0.35">
      <c r="A26" s="2" t="s">
        <v>107</v>
      </c>
      <c r="B26" s="15">
        <v>0.2445</v>
      </c>
      <c r="C26" t="s">
        <v>89</v>
      </c>
      <c r="D26" s="6">
        <f>BalanceSheets!B39</f>
        <v>0.24445936870382806</v>
      </c>
      <c r="E26" t="s">
        <v>89</v>
      </c>
    </row>
    <row r="27" spans="1:6" x14ac:dyDescent="0.35">
      <c r="A27" s="2" t="s">
        <v>36</v>
      </c>
      <c r="B27" s="30">
        <v>2670000000</v>
      </c>
      <c r="C27" t="s">
        <v>113</v>
      </c>
      <c r="D27" s="31">
        <f>BalanceSheets!B24</f>
        <v>2412000000</v>
      </c>
      <c r="E27" t="s">
        <v>113</v>
      </c>
    </row>
    <row r="28" spans="1:6" x14ac:dyDescent="0.35">
      <c r="A28" s="2" t="s">
        <v>39</v>
      </c>
      <c r="B28" s="30">
        <v>88000000</v>
      </c>
      <c r="C28" t="s">
        <v>90</v>
      </c>
      <c r="D28" s="31">
        <f>BalanceSheets!$B$27</f>
        <v>88000000</v>
      </c>
      <c r="E28" t="s">
        <v>90</v>
      </c>
    </row>
    <row r="29" spans="1:6" x14ac:dyDescent="0.35">
      <c r="A29" s="2" t="s">
        <v>40</v>
      </c>
      <c r="B29" s="30">
        <v>2172000000</v>
      </c>
      <c r="C29" t="s">
        <v>114</v>
      </c>
      <c r="D29" s="31">
        <f>BalanceSheets!$B$28</f>
        <v>2172000000</v>
      </c>
      <c r="E29" t="s">
        <v>90</v>
      </c>
    </row>
    <row r="30" spans="1:6" ht="29" x14ac:dyDescent="0.35">
      <c r="A30" s="2" t="s">
        <v>102</v>
      </c>
      <c r="B30" s="18">
        <v>0.34100000000000003</v>
      </c>
      <c r="C30" t="s">
        <v>90</v>
      </c>
      <c r="D30" s="5">
        <f>CashFlowInputs!B32</f>
        <v>0.34110535405872194</v>
      </c>
      <c r="E30" t="s">
        <v>90</v>
      </c>
    </row>
    <row r="31" spans="1:6" x14ac:dyDescent="0.35">
      <c r="A31" s="11" t="s">
        <v>19</v>
      </c>
      <c r="B31" s="30">
        <v>250000000</v>
      </c>
      <c r="D31" s="31">
        <f>ProjectedBalance!B31-ProjectedBalance!B16</f>
        <v>-100847.94862365723</v>
      </c>
      <c r="E31" t="s">
        <v>90</v>
      </c>
      <c r="F31" s="31">
        <f>B31+D31</f>
        <v>249899152.05137634</v>
      </c>
    </row>
    <row r="32" spans="1:6" ht="58" x14ac:dyDescent="0.35">
      <c r="A32" s="19" t="s">
        <v>140</v>
      </c>
    </row>
    <row r="33" spans="1:5" x14ac:dyDescent="0.35">
      <c r="A33" s="1" t="s">
        <v>109</v>
      </c>
    </row>
    <row r="34" spans="1:5" x14ac:dyDescent="0.35">
      <c r="A34" t="s">
        <v>67</v>
      </c>
      <c r="B34" s="30">
        <v>-5665000000</v>
      </c>
      <c r="C34" t="s">
        <v>90</v>
      </c>
      <c r="D34" s="31">
        <f>CashFlowInputs!B18</f>
        <v>-3010000000</v>
      </c>
      <c r="E34" t="s">
        <v>90</v>
      </c>
    </row>
    <row r="35" spans="1:5" x14ac:dyDescent="0.35">
      <c r="A35" t="s">
        <v>94</v>
      </c>
      <c r="B35" s="30">
        <v>0</v>
      </c>
      <c r="C35" t="s">
        <v>90</v>
      </c>
      <c r="D35" s="31">
        <f>CashFlowInputs!B19</f>
        <v>1657000000</v>
      </c>
      <c r="E35" t="s">
        <v>90</v>
      </c>
    </row>
    <row r="36" spans="1:5" x14ac:dyDescent="0.35">
      <c r="A36" t="s">
        <v>136</v>
      </c>
      <c r="B36" s="30">
        <v>-2021000000</v>
      </c>
      <c r="D36" s="31"/>
    </row>
    <row r="37" spans="1:5" x14ac:dyDescent="0.35">
      <c r="A37" t="s">
        <v>66</v>
      </c>
      <c r="B37" s="30">
        <v>-454000000</v>
      </c>
      <c r="C37" t="s">
        <v>90</v>
      </c>
      <c r="D37" s="31">
        <f>CashFlowInputs!B23</f>
        <v>-395000000</v>
      </c>
      <c r="E37" t="s">
        <v>90</v>
      </c>
    </row>
    <row r="38" spans="1:5" x14ac:dyDescent="0.35">
      <c r="A38" s="2" t="s">
        <v>62</v>
      </c>
      <c r="B38" s="30">
        <v>250000000</v>
      </c>
      <c r="C38" t="s">
        <v>90</v>
      </c>
      <c r="D38" s="31">
        <f>CashFlowInputs!C27</f>
        <v>250000000</v>
      </c>
      <c r="E38" t="s">
        <v>90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topLeftCell="A4" workbookViewId="0"/>
  </sheetViews>
  <sheetFormatPr defaultRowHeight="14.5" x14ac:dyDescent="0.35"/>
  <cols>
    <col min="1" max="1" width="31" customWidth="1"/>
    <col min="2" max="4" width="12.7265625" customWidth="1"/>
    <col min="9" max="9" width="12" bestFit="1" customWidth="1"/>
  </cols>
  <sheetData>
    <row r="1" spans="1:6" x14ac:dyDescent="0.35">
      <c r="A1" s="1" t="str">
        <f>IncomeStatements!A1</f>
        <v>ShopNow! Financial Statements</v>
      </c>
    </row>
    <row r="2" spans="1:6" x14ac:dyDescent="0.35">
      <c r="A2" s="1" t="s">
        <v>122</v>
      </c>
    </row>
    <row r="3" spans="1:6" x14ac:dyDescent="0.35">
      <c r="A3" t="s">
        <v>1</v>
      </c>
      <c r="B3" s="1" t="s">
        <v>2</v>
      </c>
    </row>
    <row r="4" spans="1:6" x14ac:dyDescent="0.35">
      <c r="B4" s="1">
        <f>ProjectionInputs!B4</f>
        <v>2014</v>
      </c>
      <c r="C4" s="1">
        <f>IncomeInputs!$B$5</f>
        <v>2013</v>
      </c>
    </row>
    <row r="5" spans="1:6" x14ac:dyDescent="0.35">
      <c r="B5" s="1" t="s">
        <v>73</v>
      </c>
      <c r="C5" s="1" t="s">
        <v>74</v>
      </c>
      <c r="D5" s="28" t="s">
        <v>133</v>
      </c>
    </row>
    <row r="6" spans="1:6" x14ac:dyDescent="0.35">
      <c r="A6" t="s">
        <v>4</v>
      </c>
      <c r="B6" s="31">
        <f>IncomeStatements!B6*(1+ProjectionInputs!B6)</f>
        <v>70589115400</v>
      </c>
      <c r="C6" s="31">
        <f>IncomeStatements!B6</f>
        <v>56206000000</v>
      </c>
      <c r="D6" s="8">
        <f>($B6-$C6)/$C6</f>
        <v>0.25590000000000002</v>
      </c>
    </row>
    <row r="7" spans="1:6" x14ac:dyDescent="0.35">
      <c r="A7" t="s">
        <v>5</v>
      </c>
      <c r="B7" s="35">
        <f>B6-(ProjectionInputs!B7*B6)</f>
        <v>45417036848.360001</v>
      </c>
      <c r="C7" s="35">
        <f>IncomeStatements!B7</f>
        <v>36161000000</v>
      </c>
      <c r="D7" s="8">
        <f t="shared" ref="D7:D18" si="0">($B7-$C7)/$C7</f>
        <v>0.25596739161970078</v>
      </c>
    </row>
    <row r="8" spans="1:6" x14ac:dyDescent="0.35">
      <c r="A8" t="s">
        <v>17</v>
      </c>
      <c r="B8" s="31">
        <f>B6-B7</f>
        <v>25172078551.639999</v>
      </c>
      <c r="C8" s="31">
        <f>IncomeStatements!B8</f>
        <v>20045000000</v>
      </c>
      <c r="D8" s="8">
        <f t="shared" si="0"/>
        <v>0.25577842612322271</v>
      </c>
    </row>
    <row r="9" spans="1:6" x14ac:dyDescent="0.35">
      <c r="A9" t="s">
        <v>6</v>
      </c>
      <c r="B9" s="31">
        <f>B6*ProjectionInputs!B8</f>
        <v>17195508511.440002</v>
      </c>
      <c r="C9" s="31">
        <f>IncomeStatements!B9</f>
        <v>13694000000</v>
      </c>
      <c r="D9" s="8">
        <f t="shared" si="0"/>
        <v>0.25569654676792775</v>
      </c>
    </row>
    <row r="10" spans="1:6" x14ac:dyDescent="0.35">
      <c r="A10" t="s">
        <v>7</v>
      </c>
      <c r="B10" s="35">
        <f>BalanceSheets!B12*ProjectionInputs!B9</f>
        <v>1846499340</v>
      </c>
      <c r="C10" s="35">
        <f>IncomeStatements!B10</f>
        <v>1510000000</v>
      </c>
      <c r="D10" s="8">
        <f t="shared" si="0"/>
        <v>0.2228472450331126</v>
      </c>
    </row>
    <row r="11" spans="1:6" x14ac:dyDescent="0.35">
      <c r="A11" t="s">
        <v>16</v>
      </c>
      <c r="B11" s="31">
        <f>B8-B9-B10</f>
        <v>6130070700.1999969</v>
      </c>
      <c r="C11" s="31">
        <f>IncomeStatements!B11</f>
        <v>4841000000</v>
      </c>
      <c r="D11" s="8">
        <f t="shared" si="0"/>
        <v>0.26628190460648565</v>
      </c>
    </row>
    <row r="12" spans="1:6" x14ac:dyDescent="0.35">
      <c r="A12" t="s">
        <v>8</v>
      </c>
      <c r="B12" s="35">
        <f>(BalanceSheets!B20+BalanceSheets!B25+ProjectionInputs!B24)*ProjectionInputs!B10</f>
        <v>732591200</v>
      </c>
      <c r="C12" s="35">
        <f>IncomeStatements!B12</f>
        <v>684000000</v>
      </c>
      <c r="D12" s="8">
        <f t="shared" si="0"/>
        <v>7.1039766081871347E-2</v>
      </c>
    </row>
    <row r="13" spans="1:6" x14ac:dyDescent="0.35">
      <c r="A13" t="s">
        <v>15</v>
      </c>
      <c r="B13" s="31">
        <f>B11-B12</f>
        <v>5397479500.1999969</v>
      </c>
      <c r="C13" s="31">
        <f>IncomeStatements!B13</f>
        <v>4157000000</v>
      </c>
      <c r="D13" s="8">
        <f t="shared" si="0"/>
        <v>0.29840738518162063</v>
      </c>
    </row>
    <row r="14" spans="1:6" x14ac:dyDescent="0.35">
      <c r="A14" t="s">
        <v>9</v>
      </c>
      <c r="B14" s="31">
        <f>B13*ProjectionInputs!B11</f>
        <v>1933377156.9716389</v>
      </c>
      <c r="C14" s="31">
        <f>IncomeStatements!B14</f>
        <v>1489000000</v>
      </c>
      <c r="D14" s="8">
        <f t="shared" si="0"/>
        <v>0.29843999796617793</v>
      </c>
    </row>
    <row r="15" spans="1:6" ht="29.25" customHeight="1" x14ac:dyDescent="0.35">
      <c r="A15" s="2" t="s">
        <v>134</v>
      </c>
      <c r="B15" s="31">
        <f>ProjectionInputs!B12</f>
        <v>0</v>
      </c>
      <c r="C15" s="31">
        <f>IncomeStatements!B15</f>
        <v>1575000000</v>
      </c>
      <c r="D15" s="8">
        <f t="shared" si="0"/>
        <v>-1</v>
      </c>
      <c r="F15" s="26"/>
    </row>
    <row r="16" spans="1:6" ht="15" thickBot="1" x14ac:dyDescent="0.4">
      <c r="A16" t="s">
        <v>11</v>
      </c>
      <c r="B16" s="36">
        <f>B13-B14-B15</f>
        <v>3464102343.2283583</v>
      </c>
      <c r="C16" s="36">
        <f>IncomeStatements!B16</f>
        <v>4243000000</v>
      </c>
      <c r="D16" s="8">
        <f t="shared" si="0"/>
        <v>-0.18357239141448073</v>
      </c>
    </row>
    <row r="17" spans="1:9" ht="15" thickTop="1" x14ac:dyDescent="0.35">
      <c r="A17" t="s">
        <v>12</v>
      </c>
      <c r="B17" s="5">
        <f>B16/B18</f>
        <v>2.9914528007153351</v>
      </c>
      <c r="C17" s="5">
        <f>IncomeStatements!B17</f>
        <v>3.664075993091537</v>
      </c>
      <c r="D17" s="8">
        <f t="shared" si="0"/>
        <v>-0.18357239141448073</v>
      </c>
      <c r="E17" s="26"/>
    </row>
    <row r="18" spans="1:9" x14ac:dyDescent="0.35">
      <c r="A18" t="s">
        <v>13</v>
      </c>
      <c r="B18" s="34">
        <f>ProjectionInputs!B13</f>
        <v>1158000000</v>
      </c>
      <c r="C18" s="34">
        <f>IncomeStatements!B18</f>
        <v>1158000000</v>
      </c>
      <c r="D18" s="8">
        <f t="shared" si="0"/>
        <v>0</v>
      </c>
    </row>
    <row r="22" spans="1:9" x14ac:dyDescent="0.35">
      <c r="I22" s="5"/>
    </row>
    <row r="29" spans="1:9" x14ac:dyDescent="0.35">
      <c r="I29" s="40"/>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7"/>
  <sheetViews>
    <sheetView workbookViewId="0"/>
  </sheetViews>
  <sheetFormatPr defaultRowHeight="14.5" x14ac:dyDescent="0.35"/>
  <cols>
    <col min="1" max="1" width="31.81640625" customWidth="1"/>
    <col min="2" max="2" width="10.26953125" customWidth="1"/>
    <col min="3" max="3" width="9.81640625" customWidth="1"/>
    <col min="4" max="4" width="13.7265625" customWidth="1"/>
    <col min="5" max="5" width="15.7265625" customWidth="1"/>
  </cols>
  <sheetData>
    <row r="1" spans="1:6" x14ac:dyDescent="0.35">
      <c r="A1" s="1" t="str">
        <f>IncomeStatements!A1</f>
        <v>ShopNow! Financial Statements</v>
      </c>
    </row>
    <row r="2" spans="1:6" x14ac:dyDescent="0.35">
      <c r="A2" s="1" t="s">
        <v>123</v>
      </c>
    </row>
    <row r="3" spans="1:6" x14ac:dyDescent="0.35">
      <c r="A3" t="s">
        <v>1</v>
      </c>
    </row>
    <row r="4" spans="1:6" ht="29" x14ac:dyDescent="0.35">
      <c r="B4" s="1" t="s">
        <v>138</v>
      </c>
      <c r="D4" s="29" t="s">
        <v>3</v>
      </c>
      <c r="E4" s="29" t="s">
        <v>132</v>
      </c>
    </row>
    <row r="5" spans="1:6" x14ac:dyDescent="0.35">
      <c r="B5" s="1">
        <f>ProjectionInputs!B4</f>
        <v>2014</v>
      </c>
      <c r="C5" s="1">
        <f>IncomeInputs!$B$5</f>
        <v>2013</v>
      </c>
      <c r="D5" s="28" t="str">
        <f>IncomeInputs!$B$5&amp;" to "&amp;ProjectionInputs!B4</f>
        <v>2013 to 2014</v>
      </c>
    </row>
    <row r="6" spans="1:6" x14ac:dyDescent="0.35">
      <c r="A6" s="1" t="s">
        <v>29</v>
      </c>
      <c r="B6" s="1" t="s">
        <v>73</v>
      </c>
      <c r="C6" s="1" t="s">
        <v>74</v>
      </c>
    </row>
    <row r="7" spans="1:6" x14ac:dyDescent="0.35">
      <c r="A7" t="s">
        <v>19</v>
      </c>
      <c r="B7" s="31">
        <f>ProjectionInputs!B31</f>
        <v>250000000</v>
      </c>
      <c r="C7" s="31">
        <f>BalanceSheets!B7</f>
        <v>2694000000</v>
      </c>
      <c r="D7" s="31">
        <f t="shared" ref="D7:D16" si="0">$B7-$C7</f>
        <v>-2444000000</v>
      </c>
      <c r="E7" s="26">
        <f>($B7-$C7)/$C7</f>
        <v>-0.90720118782479586</v>
      </c>
      <c r="F7" s="27"/>
    </row>
    <row r="8" spans="1:6" x14ac:dyDescent="0.35">
      <c r="A8" t="s">
        <v>20</v>
      </c>
      <c r="B8" s="31">
        <f>ProjectedIncome!B6/ProjectionInputs!B16</f>
        <v>7009842641.5094337</v>
      </c>
      <c r="C8" s="31">
        <f>BalanceSheets!B8</f>
        <v>6082000000</v>
      </c>
      <c r="D8" s="31">
        <f t="shared" si="0"/>
        <v>927842641.50943375</v>
      </c>
      <c r="E8" s="8">
        <f>($B8-$C8)/$C8</f>
        <v>0.15255551488152477</v>
      </c>
    </row>
    <row r="9" spans="1:6" x14ac:dyDescent="0.35">
      <c r="A9" t="s">
        <v>21</v>
      </c>
      <c r="B9" s="31">
        <f>ProjectedIncome!B7/ProjectionInputs!B17</f>
        <v>7186240007.6518984</v>
      </c>
      <c r="C9" s="31">
        <f>BalanceSheets!B9</f>
        <v>6460000000</v>
      </c>
      <c r="D9" s="31">
        <f t="shared" si="0"/>
        <v>726240007.65189838</v>
      </c>
      <c r="E9" s="8">
        <f t="shared" ref="E9:E31" si="1">($B9-$C9)/$C9</f>
        <v>0.11242105381608335</v>
      </c>
    </row>
    <row r="10" spans="1:6" x14ac:dyDescent="0.35">
      <c r="A10" t="s">
        <v>22</v>
      </c>
      <c r="B10" s="35">
        <f>ProjectionInputs!B18</f>
        <v>1468000000</v>
      </c>
      <c r="C10" s="35">
        <f>BalanceSheets!B10</f>
        <v>1468000000</v>
      </c>
      <c r="D10" s="31">
        <f t="shared" si="0"/>
        <v>0</v>
      </c>
      <c r="E10" s="8">
        <f t="shared" si="1"/>
        <v>0</v>
      </c>
    </row>
    <row r="11" spans="1:6" x14ac:dyDescent="0.35">
      <c r="A11" t="s">
        <v>23</v>
      </c>
      <c r="B11" s="31">
        <f>SUM(B7:B10)</f>
        <v>15914082649.161331</v>
      </c>
      <c r="C11" s="31">
        <f>BalanceSheets!B11</f>
        <v>16704000000</v>
      </c>
      <c r="D11" s="31">
        <f t="shared" si="0"/>
        <v>-789917350.83866882</v>
      </c>
      <c r="E11" s="8">
        <f t="shared" si="1"/>
        <v>-4.7289113436222989E-2</v>
      </c>
    </row>
    <row r="12" spans="1:6" x14ac:dyDescent="0.35">
      <c r="A12" t="s">
        <v>24</v>
      </c>
      <c r="B12" s="31">
        <f>BalanceSheets!B12+(ProjectedIncome!B6*ProjectionInputs!B19)</f>
        <v>32391000000</v>
      </c>
      <c r="C12" s="31">
        <f>BalanceSheets!B12</f>
        <v>26726000000</v>
      </c>
      <c r="D12" s="31">
        <f t="shared" si="0"/>
        <v>5665000000</v>
      </c>
      <c r="E12" s="8">
        <f t="shared" si="1"/>
        <v>0.2119658759260645</v>
      </c>
    </row>
    <row r="13" spans="1:6" x14ac:dyDescent="0.35">
      <c r="A13" t="s">
        <v>25</v>
      </c>
      <c r="B13" s="35">
        <f>ProjectionInputs!B20</f>
        <v>6002000000</v>
      </c>
      <c r="C13" s="35">
        <f>BalanceSheets!B13</f>
        <v>6494000000</v>
      </c>
      <c r="D13" s="31">
        <f t="shared" si="0"/>
        <v>-492000000</v>
      </c>
      <c r="E13" s="8">
        <f t="shared" si="1"/>
        <v>-7.5762242069602706E-2</v>
      </c>
    </row>
    <row r="14" spans="1:6" x14ac:dyDescent="0.35">
      <c r="A14" t="s">
        <v>26</v>
      </c>
      <c r="B14" s="31">
        <f>B12-B13</f>
        <v>26389000000</v>
      </c>
      <c r="C14" s="31">
        <f>BalanceSheets!B14</f>
        <v>20232000000</v>
      </c>
      <c r="D14" s="31">
        <f t="shared" si="0"/>
        <v>6157000000</v>
      </c>
      <c r="E14" s="8">
        <f t="shared" si="1"/>
        <v>0.30431988928430209</v>
      </c>
    </row>
    <row r="15" spans="1:6" x14ac:dyDescent="0.35">
      <c r="A15" t="s">
        <v>27</v>
      </c>
      <c r="B15" s="31">
        <f>ProjectionInputs!B21</f>
        <v>1813000000</v>
      </c>
      <c r="C15" s="31">
        <f>BalanceSheets!B15</f>
        <v>1813000000</v>
      </c>
      <c r="D15" s="31">
        <f t="shared" si="0"/>
        <v>0</v>
      </c>
      <c r="E15" s="8">
        <f t="shared" si="1"/>
        <v>0</v>
      </c>
    </row>
    <row r="16" spans="1:6" ht="15" thickBot="1" x14ac:dyDescent="0.4">
      <c r="A16" t="s">
        <v>28</v>
      </c>
      <c r="B16" s="36">
        <f>B11+B14+B15</f>
        <v>44116082649.161331</v>
      </c>
      <c r="C16" s="36">
        <f>BalanceSheets!B16</f>
        <v>38749000000</v>
      </c>
      <c r="D16" s="31">
        <f t="shared" si="0"/>
        <v>5367082649.1613312</v>
      </c>
      <c r="E16" s="8">
        <f t="shared" si="1"/>
        <v>0.13850893311211468</v>
      </c>
    </row>
    <row r="17" spans="1:5" ht="15" thickTop="1" x14ac:dyDescent="0.35">
      <c r="B17" s="31"/>
      <c r="C17" s="31"/>
      <c r="D17" s="31"/>
      <c r="E17" s="8"/>
    </row>
    <row r="18" spans="1:5" x14ac:dyDescent="0.35">
      <c r="A18" s="1" t="s">
        <v>30</v>
      </c>
      <c r="B18" s="31"/>
      <c r="C18" s="31"/>
      <c r="D18" s="31"/>
      <c r="E18" s="8"/>
    </row>
    <row r="19" spans="1:5" x14ac:dyDescent="0.35">
      <c r="A19" t="s">
        <v>31</v>
      </c>
      <c r="B19" s="31">
        <f>ProjectedIncome!B7/ProjectionInputs!B22</f>
        <v>7776889871.2945204</v>
      </c>
      <c r="C19" s="31">
        <f>BalanceSheets!B19</f>
        <v>6934000000</v>
      </c>
      <c r="D19" s="31">
        <f t="shared" ref="D19:D31" si="2">$B19-$C19</f>
        <v>842889871.29452038</v>
      </c>
      <c r="E19" s="8">
        <f t="shared" si="1"/>
        <v>0.1215589661515028</v>
      </c>
    </row>
    <row r="20" spans="1:5" x14ac:dyDescent="0.35">
      <c r="A20" t="s">
        <v>32</v>
      </c>
      <c r="B20" s="31">
        <f>ProjectionInputs!B23</f>
        <v>714000000</v>
      </c>
      <c r="C20" s="31">
        <f>BalanceSheets!B20</f>
        <v>606000000</v>
      </c>
      <c r="D20" s="31">
        <f t="shared" si="2"/>
        <v>108000000</v>
      </c>
      <c r="E20" s="8">
        <f t="shared" si="1"/>
        <v>0.17821782178217821</v>
      </c>
    </row>
    <row r="21" spans="1:5" x14ac:dyDescent="0.35">
      <c r="A21" t="s">
        <v>33</v>
      </c>
      <c r="B21" s="31">
        <f>ProjectedIncome!B6/ProjectionInputs!B25</f>
        <v>2119156871.810267</v>
      </c>
      <c r="C21" s="31">
        <f>BalanceSheets!B21</f>
        <v>1959000000</v>
      </c>
      <c r="D21" s="31">
        <f t="shared" si="2"/>
        <v>160156871.81026697</v>
      </c>
      <c r="E21" s="8">
        <f t="shared" si="1"/>
        <v>8.1754401128262877E-2</v>
      </c>
    </row>
    <row r="22" spans="1:5" x14ac:dyDescent="0.35">
      <c r="A22" t="s">
        <v>34</v>
      </c>
      <c r="B22" s="35">
        <f>ProjectedIncome!B14*ProjectionInputs!B26</f>
        <v>472710714.87956572</v>
      </c>
      <c r="C22" s="35">
        <f>BalanceSheets!B22</f>
        <v>364000000</v>
      </c>
      <c r="D22" s="31">
        <f t="shared" si="2"/>
        <v>108710714.87956572</v>
      </c>
      <c r="E22" s="8">
        <f t="shared" si="1"/>
        <v>0.29865581010869702</v>
      </c>
    </row>
    <row r="23" spans="1:5" x14ac:dyDescent="0.35">
      <c r="A23" t="s">
        <v>35</v>
      </c>
      <c r="B23" s="31">
        <f>SUM(B19:B22)</f>
        <v>11082757457.984354</v>
      </c>
      <c r="C23" s="31">
        <f>BalanceSheets!B23</f>
        <v>9863000000</v>
      </c>
      <c r="D23" s="31">
        <f t="shared" si="2"/>
        <v>1219757457.984354</v>
      </c>
      <c r="E23" s="8">
        <f t="shared" si="1"/>
        <v>0.12367002514289303</v>
      </c>
    </row>
    <row r="24" spans="1:5" x14ac:dyDescent="0.35">
      <c r="A24" t="s">
        <v>36</v>
      </c>
      <c r="B24" s="31">
        <f>ProjectionInputs!$B$27</f>
        <v>2670000000</v>
      </c>
      <c r="C24" s="31">
        <f>BalanceSheets!B24</f>
        <v>2412000000</v>
      </c>
      <c r="D24" s="31">
        <f t="shared" si="2"/>
        <v>258000000</v>
      </c>
      <c r="E24" s="8">
        <f t="shared" si="1"/>
        <v>0.10696517412935323</v>
      </c>
    </row>
    <row r="25" spans="1:5" x14ac:dyDescent="0.35">
      <c r="A25" t="s">
        <v>37</v>
      </c>
      <c r="B25" s="35">
        <f>BalanceSheets!$B$25-ProjectionInputs!$B$23+ProjectionInputs!$B$24</f>
        <v>11660000000</v>
      </c>
      <c r="C25" s="35">
        <f>BalanceSheets!B25</f>
        <v>10840000000</v>
      </c>
      <c r="D25" s="31">
        <f t="shared" si="2"/>
        <v>820000000</v>
      </c>
      <c r="E25" s="8">
        <f t="shared" si="1"/>
        <v>7.5645756457564578E-2</v>
      </c>
    </row>
    <row r="26" spans="1:5" x14ac:dyDescent="0.35">
      <c r="A26" t="s">
        <v>38</v>
      </c>
      <c r="B26" s="31">
        <f>SUM(B23:B25)</f>
        <v>25412757457.984352</v>
      </c>
      <c r="C26" s="31">
        <f>BalanceSheets!B26</f>
        <v>23115000000</v>
      </c>
      <c r="D26" s="31">
        <f t="shared" si="2"/>
        <v>2297757457.9843521</v>
      </c>
      <c r="E26" s="8">
        <f t="shared" si="1"/>
        <v>9.9405470819137018E-2</v>
      </c>
    </row>
    <row r="27" spans="1:5" x14ac:dyDescent="0.35">
      <c r="A27" t="s">
        <v>39</v>
      </c>
      <c r="B27" s="31">
        <f>ProjectionInputs!$B$28</f>
        <v>88000000</v>
      </c>
      <c r="C27" s="31">
        <f>BalanceSheets!B27</f>
        <v>88000000</v>
      </c>
      <c r="D27" s="31">
        <f t="shared" si="2"/>
        <v>0</v>
      </c>
      <c r="E27" s="8">
        <f t="shared" si="1"/>
        <v>0</v>
      </c>
    </row>
    <row r="28" spans="1:5" x14ac:dyDescent="0.35">
      <c r="A28" t="s">
        <v>40</v>
      </c>
      <c r="B28" s="31">
        <f>ProjectionInputs!$B$29</f>
        <v>2172000000</v>
      </c>
      <c r="C28" s="31">
        <f>BalanceSheets!B28</f>
        <v>2172000000</v>
      </c>
      <c r="D28" s="31">
        <f t="shared" si="2"/>
        <v>0</v>
      </c>
      <c r="E28" s="8">
        <f t="shared" si="1"/>
        <v>0</v>
      </c>
    </row>
    <row r="29" spans="1:5" x14ac:dyDescent="0.35">
      <c r="A29" t="s">
        <v>41</v>
      </c>
      <c r="B29" s="35">
        <f>BalanceSheets!B29+ProjectedIncome!B16-(ProjectionInputs!$B$30*ProjectionInputs!$B$13)</f>
        <v>16443224343.228359</v>
      </c>
      <c r="C29" s="35">
        <f>BalanceSheets!B29</f>
        <v>13374000000</v>
      </c>
      <c r="D29" s="31">
        <f t="shared" si="2"/>
        <v>3069224343.2283592</v>
      </c>
      <c r="E29" s="8">
        <f t="shared" si="1"/>
        <v>0.22949187552178549</v>
      </c>
    </row>
    <row r="30" spans="1:5" x14ac:dyDescent="0.35">
      <c r="A30" t="s">
        <v>42</v>
      </c>
      <c r="B30" s="31">
        <f>SUM(B27:B29)</f>
        <v>18703224343.228359</v>
      </c>
      <c r="C30" s="31">
        <f>BalanceSheets!B30</f>
        <v>15634000000</v>
      </c>
      <c r="D30" s="31">
        <f t="shared" si="2"/>
        <v>3069224343.2283592</v>
      </c>
      <c r="E30" s="8">
        <f t="shared" si="1"/>
        <v>0.19631727921378786</v>
      </c>
    </row>
    <row r="31" spans="1:5" ht="29.5" thickBot="1" x14ac:dyDescent="0.4">
      <c r="A31" s="2" t="s">
        <v>43</v>
      </c>
      <c r="B31" s="36">
        <f>SUM(B26,B30)</f>
        <v>44115981801.212708</v>
      </c>
      <c r="C31" s="36">
        <f>BalanceSheets!B31</f>
        <v>38749000000</v>
      </c>
      <c r="D31" s="31">
        <f t="shared" si="2"/>
        <v>5366981801.2127075</v>
      </c>
      <c r="E31" s="8">
        <f t="shared" si="1"/>
        <v>0.13850633051724451</v>
      </c>
    </row>
    <row r="32" spans="1:5" ht="15" thickTop="1" x14ac:dyDescent="0.35">
      <c r="A32" t="s">
        <v>44</v>
      </c>
      <c r="B32" t="str">
        <f>IF(ABS(B$16-B$31)&gt;1000000, "Error", "OK")</f>
        <v>OK</v>
      </c>
      <c r="C32" t="str">
        <f>BalanceSheets!B32</f>
        <v>OK</v>
      </c>
    </row>
    <row r="37" spans="2:2" x14ac:dyDescent="0.35">
      <c r="B37" s="3"/>
    </row>
  </sheetData>
  <conditionalFormatting sqref="C32">
    <cfRule type="containsText" dxfId="7" priority="3" operator="containsText" text="Error">
      <formula>NOT(ISERROR(SEARCH("Error",C32)))</formula>
    </cfRule>
    <cfRule type="containsText" dxfId="6" priority="4" operator="containsText" text="OK">
      <formula>NOT(ISERROR(SEARCH("OK",C32)))</formula>
    </cfRule>
  </conditionalFormatting>
  <conditionalFormatting sqref="B32">
    <cfRule type="containsText" dxfId="5" priority="1" operator="containsText" text="Error">
      <formula>NOT(ISERROR(SEARCH("Error",B32)))</formula>
    </cfRule>
    <cfRule type="containsText" dxfId="4" priority="2" operator="containsText" text="OK">
      <formula>NOT(ISERROR(SEARCH("OK",B32)))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A037FB9E344D4C90A8431F400EE5CF" ma:contentTypeVersion="8" ma:contentTypeDescription="Create a new document." ma:contentTypeScope="" ma:versionID="5c12a94872e75fa30f8771efcac8ae20">
  <xsd:schema xmlns:xsd="http://www.w3.org/2001/XMLSchema" xmlns:xs="http://www.w3.org/2001/XMLSchema" xmlns:p="http://schemas.microsoft.com/office/2006/metadata/properties" xmlns:ns2="69f742e2-1021-42c3-96ef-3d17fd823129" xmlns:ns3="0234f73f-4ded-4f98-ac69-d98971715957" targetNamespace="http://schemas.microsoft.com/office/2006/metadata/properties" ma:root="true" ma:fieldsID="c9553ff3bacc64ac74360dc5def5bfa2" ns2:_="" ns3:_="">
    <xsd:import namespace="69f742e2-1021-42c3-96ef-3d17fd823129"/>
    <xsd:import namespace="0234f73f-4ded-4f98-ac69-d9897171595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f742e2-1021-42c3-96ef-3d17fd8231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34f73f-4ded-4f98-ac69-d9897171595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63B537-8B2A-430D-BCE8-EA00E7C9A45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EC8C323-E7BF-4C01-96EE-E62AB76BDC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f742e2-1021-42c3-96ef-3d17fd823129"/>
    <ds:schemaRef ds:uri="0234f73f-4ded-4f98-ac69-d98971715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8F45FE-4E01-4896-8DC7-30C2D3BFCE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IncomeInputs</vt:lpstr>
      <vt:lpstr>IncomeStatements</vt:lpstr>
      <vt:lpstr>BalanceInputs</vt:lpstr>
      <vt:lpstr>BalanceSheets</vt:lpstr>
      <vt:lpstr>CashFlowInputs</vt:lpstr>
      <vt:lpstr>CashFlows</vt:lpstr>
      <vt:lpstr>ProjectionInputs</vt:lpstr>
      <vt:lpstr>ProjectedIncome</vt:lpstr>
      <vt:lpstr>ProjectedBalance</vt:lpstr>
      <vt:lpstr>ProjectedCash</vt:lpstr>
    </vt:vector>
  </TitlesOfParts>
  <Company>Holmes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chadd</dc:creator>
  <cp:lastModifiedBy>User</cp:lastModifiedBy>
  <dcterms:created xsi:type="dcterms:W3CDTF">2013-04-24T14:45:51Z</dcterms:created>
  <dcterms:modified xsi:type="dcterms:W3CDTF">2021-09-03T04:39:43Z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0x0101008DA037FB9E344D4C90A8431F400EE5CF</vt:lpwstr>
  </property>
</Properties>
</file>