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Academics\FPAC prep\"/>
    </mc:Choice>
  </mc:AlternateContent>
  <xr:revisionPtr revIDLastSave="0" documentId="8_{A32F4FF8-57F6-4474-9615-3C042C4368AC}" xr6:coauthVersionLast="47" xr6:coauthVersionMax="47" xr10:uidLastSave="{00000000-0000-0000-0000-000000000000}"/>
  <bookViews>
    <workbookView xWindow="-110" yWindow="-110" windowWidth="19420" windowHeight="10420" activeTab="2" xr2:uid="{00000000-000D-0000-FFFF-FFFF00000000}"/>
  </bookViews>
  <sheets>
    <sheet name="Flowchart" sheetId="4" r:id="rId1"/>
    <sheet name="Outputs" sheetId="1" r:id="rId2"/>
    <sheet name="Inputs" sheetId="3" r:id="rId3"/>
    <sheet name="Workings" sheetId="2" r:id="rId4"/>
  </sheets>
  <calcPr calcId="191029"/>
</workbook>
</file>

<file path=xl/calcChain.xml><?xml version="1.0" encoding="utf-8"?>
<calcChain xmlns="http://schemas.openxmlformats.org/spreadsheetml/2006/main">
  <c r="F9" i="2" l="1"/>
  <c r="G9" i="2"/>
  <c r="H9" i="2"/>
  <c r="I9" i="2"/>
  <c r="J9" i="2"/>
  <c r="K9" i="2"/>
  <c r="L9" i="2"/>
  <c r="M9" i="2"/>
  <c r="N9" i="2"/>
  <c r="O9" i="2"/>
  <c r="P9" i="2"/>
  <c r="Q9" i="2"/>
  <c r="R9" i="2"/>
  <c r="S9" i="2"/>
  <c r="T9" i="2"/>
  <c r="U9" i="2"/>
  <c r="V9" i="2"/>
  <c r="W9" i="2"/>
  <c r="X9" i="2"/>
  <c r="Y9" i="2"/>
  <c r="Z9" i="2"/>
  <c r="AA9" i="2"/>
  <c r="AB9" i="2"/>
  <c r="AC9" i="2"/>
  <c r="AD9" i="2"/>
  <c r="AE9" i="2"/>
  <c r="AF9" i="2"/>
  <c r="AG9" i="2"/>
  <c r="AH9" i="2"/>
  <c r="E9" i="2"/>
  <c r="D8" i="2"/>
  <c r="A1" i="2" l="1"/>
  <c r="A1" i="3"/>
  <c r="A1" i="1"/>
  <c r="D15" i="1" l="1"/>
  <c r="D6" i="2" l="1"/>
  <c r="E6" i="2" l="1"/>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AF6" i="2" s="1"/>
  <c r="AG6" i="2" s="1"/>
  <c r="AH6" i="2" s="1"/>
  <c r="E7" i="2" l="1"/>
  <c r="E8" i="2" s="1"/>
  <c r="E10" i="2" s="1"/>
  <c r="E11" i="2" s="1"/>
  <c r="F7" i="2"/>
  <c r="F8" i="2" s="1"/>
  <c r="F10" i="2" s="1"/>
  <c r="F11" i="2" s="1"/>
  <c r="G7" i="2"/>
  <c r="G8" i="2" s="1"/>
  <c r="G10" i="2" s="1"/>
  <c r="G11" i="2" s="1"/>
  <c r="H7" i="2" l="1"/>
  <c r="H8" i="2" s="1"/>
  <c r="H10" i="2" s="1"/>
  <c r="H11" i="2" s="1"/>
  <c r="G12" i="2"/>
  <c r="G13" i="2" s="1"/>
  <c r="G15" i="2" s="1"/>
  <c r="D10" i="2"/>
  <c r="I7" i="2" l="1"/>
  <c r="I8" i="2" s="1"/>
  <c r="I10" i="2" s="1"/>
  <c r="I11" i="2" s="1"/>
  <c r="D11" i="2"/>
  <c r="D12" i="2" s="1"/>
  <c r="D13" i="2" s="1"/>
  <c r="J7" i="2" l="1"/>
  <c r="J8" i="2" s="1"/>
  <c r="J10" i="2" s="1"/>
  <c r="J11" i="2" s="1"/>
  <c r="H12" i="2"/>
  <c r="H13" i="2" s="1"/>
  <c r="H15" i="2" s="1"/>
  <c r="D14" i="2"/>
  <c r="D16" i="2"/>
  <c r="D15" i="2"/>
  <c r="K7" i="2" l="1"/>
  <c r="K8" i="2" s="1"/>
  <c r="K10" i="2" s="1"/>
  <c r="K11" i="2" s="1"/>
  <c r="I12" i="2"/>
  <c r="I13" i="2" s="1"/>
  <c r="I15" i="2" s="1"/>
  <c r="J12" i="2"/>
  <c r="J13" i="2" s="1"/>
  <c r="J15" i="2" s="1"/>
  <c r="L7" i="2" l="1"/>
  <c r="L8" i="2" s="1"/>
  <c r="L10" i="2" s="1"/>
  <c r="L11" i="2" s="1"/>
  <c r="K12" i="2"/>
  <c r="K13" i="2" s="1"/>
  <c r="K15" i="2" s="1"/>
  <c r="M7" i="2" l="1"/>
  <c r="M8" i="2" s="1"/>
  <c r="M10" i="2" s="1"/>
  <c r="M11" i="2" s="1"/>
  <c r="L12" i="2"/>
  <c r="L13" i="2" s="1"/>
  <c r="L15" i="2" s="1"/>
  <c r="N7" i="2" l="1"/>
  <c r="N8" i="2" s="1"/>
  <c r="N10" i="2" s="1"/>
  <c r="N11" i="2" s="1"/>
  <c r="M12" i="2"/>
  <c r="M13" i="2" s="1"/>
  <c r="M15" i="2" s="1"/>
  <c r="O7" i="2" l="1"/>
  <c r="O8" i="2" s="1"/>
  <c r="O10" i="2" s="1"/>
  <c r="O11" i="2" s="1"/>
  <c r="N12" i="2"/>
  <c r="N13" i="2" s="1"/>
  <c r="N15" i="2" s="1"/>
  <c r="P7" i="2" l="1"/>
  <c r="P8" i="2" s="1"/>
  <c r="P10" i="2" s="1"/>
  <c r="P11" i="2" s="1"/>
  <c r="O12" i="2"/>
  <c r="O13" i="2" s="1"/>
  <c r="O15" i="2" s="1"/>
  <c r="Q7" i="2" l="1"/>
  <c r="Q8" i="2" s="1"/>
  <c r="Q10" i="2" s="1"/>
  <c r="Q11" i="2" s="1"/>
  <c r="P12" i="2"/>
  <c r="P13" i="2" s="1"/>
  <c r="P15" i="2" s="1"/>
  <c r="R7" i="2"/>
  <c r="R8" i="2" s="1"/>
  <c r="R10" i="2" s="1"/>
  <c r="R11" i="2" s="1"/>
  <c r="F12" i="2"/>
  <c r="F13" i="2" s="1"/>
  <c r="F15" i="2" s="1"/>
  <c r="S7" i="2" l="1"/>
  <c r="S8" i="2" s="1"/>
  <c r="S10" i="2" s="1"/>
  <c r="S11" i="2" s="1"/>
  <c r="Q12" i="2"/>
  <c r="Q13" i="2" s="1"/>
  <c r="Q15" i="2" s="1"/>
  <c r="R12" i="2"/>
  <c r="R13" i="2" s="1"/>
  <c r="R15" i="2" s="1"/>
  <c r="T7" i="2" l="1"/>
  <c r="T8" i="2" s="1"/>
  <c r="T10" i="2" s="1"/>
  <c r="T11" i="2" s="1"/>
  <c r="E12" i="2"/>
  <c r="E13" i="2" s="1"/>
  <c r="E15" i="2" l="1"/>
  <c r="F17" i="2"/>
  <c r="S12" i="2"/>
  <c r="S13" i="2" s="1"/>
  <c r="S15" i="2" s="1"/>
  <c r="U7" i="2"/>
  <c r="U8" i="2" s="1"/>
  <c r="U10" i="2" s="1"/>
  <c r="U11" i="2" s="1"/>
  <c r="J17" i="2"/>
  <c r="J18" i="2"/>
  <c r="L17" i="2"/>
  <c r="P17" i="2"/>
  <c r="N18" i="2"/>
  <c r="Q17" i="2"/>
  <c r="F18" i="2"/>
  <c r="I18" i="2"/>
  <c r="K17" i="2"/>
  <c r="E17" i="2"/>
  <c r="H18" i="2"/>
  <c r="R18" i="2"/>
  <c r="Q18" i="2"/>
  <c r="P18" i="2"/>
  <c r="M18" i="2"/>
  <c r="L18" i="2"/>
  <c r="K18" i="2"/>
  <c r="G18" i="2"/>
  <c r="R17" i="2"/>
  <c r="H17" i="2"/>
  <c r="G17" i="2"/>
  <c r="M17" i="2"/>
  <c r="E18" i="2"/>
  <c r="O17" i="2"/>
  <c r="N17" i="2"/>
  <c r="O18" i="2"/>
  <c r="I17" i="2"/>
  <c r="E14" i="2"/>
  <c r="E16" i="2"/>
  <c r="E20" i="2" l="1"/>
  <c r="E19" i="2"/>
  <c r="S17" i="2"/>
  <c r="S18" i="2"/>
  <c r="T12" i="2"/>
  <c r="T13" i="2" s="1"/>
  <c r="V7" i="2"/>
  <c r="V8" i="2" s="1"/>
  <c r="V10" i="2" s="1"/>
  <c r="V11" i="2" s="1"/>
  <c r="F16" i="2"/>
  <c r="G16" i="2" s="1"/>
  <c r="H16" i="2" s="1"/>
  <c r="I16" i="2" s="1"/>
  <c r="J16" i="2" s="1"/>
  <c r="K16" i="2" s="1"/>
  <c r="L16" i="2" s="1"/>
  <c r="M16" i="2" s="1"/>
  <c r="N16" i="2" s="1"/>
  <c r="O16" i="2" s="1"/>
  <c r="P16" i="2" s="1"/>
  <c r="Q16" i="2" s="1"/>
  <c r="R16" i="2" s="1"/>
  <c r="S16" i="2" s="1"/>
  <c r="F14" i="2"/>
  <c r="G14" i="2" s="1"/>
  <c r="H14" i="2" s="1"/>
  <c r="I14" i="2" s="1"/>
  <c r="J14" i="2" s="1"/>
  <c r="K14" i="2" s="1"/>
  <c r="L14" i="2" s="1"/>
  <c r="M14" i="2" s="1"/>
  <c r="N14" i="2" s="1"/>
  <c r="O14" i="2" s="1"/>
  <c r="P14" i="2" s="1"/>
  <c r="Q14" i="2" s="1"/>
  <c r="R14" i="2" s="1"/>
  <c r="S14" i="2" s="1"/>
  <c r="I19" i="2" l="1"/>
  <c r="M19" i="2"/>
  <c r="Q19" i="2"/>
  <c r="F19" i="2"/>
  <c r="J19" i="2"/>
  <c r="N19" i="2"/>
  <c r="R19" i="2"/>
  <c r="G19" i="2"/>
  <c r="K19" i="2"/>
  <c r="O19" i="2"/>
  <c r="S19" i="2"/>
  <c r="H19" i="2"/>
  <c r="L19" i="2"/>
  <c r="P19" i="2"/>
  <c r="S20" i="2"/>
  <c r="K20" i="2"/>
  <c r="Q20" i="2"/>
  <c r="O20" i="2"/>
  <c r="H20" i="2"/>
  <c r="F20" i="2"/>
  <c r="L20" i="2"/>
  <c r="R20" i="2"/>
  <c r="T14" i="2"/>
  <c r="J20" i="2"/>
  <c r="P20" i="2"/>
  <c r="N20" i="2"/>
  <c r="I20" i="2"/>
  <c r="G20" i="2"/>
  <c r="M20" i="2"/>
  <c r="U12" i="2"/>
  <c r="U13" i="2" s="1"/>
  <c r="U18" i="2" s="1"/>
  <c r="T15" i="2"/>
  <c r="T16" i="2" s="1"/>
  <c r="T20" i="2" s="1"/>
  <c r="T18" i="2"/>
  <c r="T17" i="2"/>
  <c r="W7" i="2"/>
  <c r="W8" i="2" s="1"/>
  <c r="W10" i="2" s="1"/>
  <c r="W11" i="2" s="1"/>
  <c r="V12" i="2"/>
  <c r="V13" i="2" s="1"/>
  <c r="T19" i="2" l="1"/>
  <c r="U14" i="2"/>
  <c r="U17" i="2"/>
  <c r="U15" i="2"/>
  <c r="U16" i="2" s="1"/>
  <c r="U20" i="2" s="1"/>
  <c r="X7" i="2"/>
  <c r="X8" i="2" s="1"/>
  <c r="X10" i="2" s="1"/>
  <c r="X11" i="2" s="1"/>
  <c r="V15" i="2"/>
  <c r="V17" i="2"/>
  <c r="V18" i="2"/>
  <c r="U19" i="2" l="1"/>
  <c r="V14" i="2"/>
  <c r="V19" i="2"/>
  <c r="V16" i="2"/>
  <c r="W12" i="2"/>
  <c r="W13" i="2" s="1"/>
  <c r="Y7" i="2"/>
  <c r="Y8" i="2" s="1"/>
  <c r="Y10" i="2" s="1"/>
  <c r="Y11" i="2" s="1"/>
  <c r="V20" i="2" l="1"/>
  <c r="W18" i="2"/>
  <c r="W15" i="2"/>
  <c r="W16" i="2" s="1"/>
  <c r="X12" i="2"/>
  <c r="X13" i="2" s="1"/>
  <c r="X17" i="2" s="1"/>
  <c r="W17" i="2"/>
  <c r="W14" i="2"/>
  <c r="Z7" i="2"/>
  <c r="Z8" i="2" s="1"/>
  <c r="Z10" i="2" s="1"/>
  <c r="Z11" i="2" s="1"/>
  <c r="Y12" i="2"/>
  <c r="Y13" i="2" s="1"/>
  <c r="W19" i="2" l="1"/>
  <c r="W20" i="2"/>
  <c r="X18" i="2"/>
  <c r="X14" i="2"/>
  <c r="X19" i="2" s="1"/>
  <c r="X15" i="2"/>
  <c r="X16" i="2" s="1"/>
  <c r="X20" i="2" s="1"/>
  <c r="AA7" i="2"/>
  <c r="AA8" i="2" s="1"/>
  <c r="AA10" i="2" s="1"/>
  <c r="AA11" i="2" s="1"/>
  <c r="Z12" i="2"/>
  <c r="Z13" i="2" s="1"/>
  <c r="Y15" i="2"/>
  <c r="Y17" i="2"/>
  <c r="Y18" i="2"/>
  <c r="Y14" i="2" l="1"/>
  <c r="Y19" i="2" s="1"/>
  <c r="Z18" i="2"/>
  <c r="Y16" i="2"/>
  <c r="Y20" i="2" s="1"/>
  <c r="AB7" i="2"/>
  <c r="AB8" i="2" s="1"/>
  <c r="AB10" i="2" s="1"/>
  <c r="AB11" i="2" s="1"/>
  <c r="AA12" i="2"/>
  <c r="AA13" i="2" s="1"/>
  <c r="Z15" i="2"/>
  <c r="Z17" i="2"/>
  <c r="Z14" i="2" l="1"/>
  <c r="Z19" i="2" s="1"/>
  <c r="Z16" i="2"/>
  <c r="Z20" i="2" s="1"/>
  <c r="AC7" i="2"/>
  <c r="AC8" i="2" s="1"/>
  <c r="AC10" i="2" s="1"/>
  <c r="AC11" i="2" s="1"/>
  <c r="AA15" i="2"/>
  <c r="AA14" i="2"/>
  <c r="AA19" i="2" s="1"/>
  <c r="AA18" i="2"/>
  <c r="AA17" i="2"/>
  <c r="AB12" i="2"/>
  <c r="AB13" i="2" s="1"/>
  <c r="AB15" i="2" l="1"/>
  <c r="AB17" i="2"/>
  <c r="AA16" i="2"/>
  <c r="AA20" i="2" s="1"/>
  <c r="AD7" i="2"/>
  <c r="AD8" i="2" s="1"/>
  <c r="AD10" i="2" s="1"/>
  <c r="AD11" i="2" s="1"/>
  <c r="AB18" i="2"/>
  <c r="AB14" i="2"/>
  <c r="AB19" i="2" l="1"/>
  <c r="AB16" i="2"/>
  <c r="AE7" i="2"/>
  <c r="AE8" i="2" s="1"/>
  <c r="AE10" i="2" s="1"/>
  <c r="AE11" i="2" s="1"/>
  <c r="AC12" i="2"/>
  <c r="AC13" i="2" s="1"/>
  <c r="AB20" i="2" l="1"/>
  <c r="AF7" i="2"/>
  <c r="AF8" i="2" s="1"/>
  <c r="AF10" i="2" s="1"/>
  <c r="AF11" i="2" s="1"/>
  <c r="AD12" i="2"/>
  <c r="AD13" i="2" s="1"/>
  <c r="AD18" i="2" s="1"/>
  <c r="AC15" i="2"/>
  <c r="AC16" i="2" s="1"/>
  <c r="AC20" i="2" s="1"/>
  <c r="AC18" i="2"/>
  <c r="AC17" i="2"/>
  <c r="AC14" i="2"/>
  <c r="AC19" i="2" s="1"/>
  <c r="AE12" i="2" l="1"/>
  <c r="AE13" i="2" s="1"/>
  <c r="AE17" i="2" s="1"/>
  <c r="AD17" i="2"/>
  <c r="D5" i="1" s="1"/>
  <c r="D9" i="1" s="1"/>
  <c r="AG7" i="2"/>
  <c r="AG8" i="2" s="1"/>
  <c r="AG10" i="2" s="1"/>
  <c r="AG11" i="2" s="1"/>
  <c r="AD15" i="2"/>
  <c r="AD16" i="2" s="1"/>
  <c r="AD20" i="2" s="1"/>
  <c r="D13" i="1" s="1"/>
  <c r="AD14" i="2"/>
  <c r="AD19" i="2" s="1"/>
  <c r="D11" i="1" s="1"/>
  <c r="AH7" i="2" l="1"/>
  <c r="AH8" i="2" s="1"/>
  <c r="AH10" i="2" s="1"/>
  <c r="AH11" i="2" s="1"/>
  <c r="AE18" i="2"/>
  <c r="AE15" i="2"/>
  <c r="AE16" i="2" s="1"/>
  <c r="AE20" i="2" s="1"/>
  <c r="AE14" i="2"/>
  <c r="AE19" i="2" s="1"/>
  <c r="AF12" i="2"/>
  <c r="AF13" i="2" s="1"/>
  <c r="AG12" i="2" l="1"/>
  <c r="AG13" i="2" s="1"/>
  <c r="AG18" i="2" s="1"/>
  <c r="AF15" i="2"/>
  <c r="AF16" i="2" s="1"/>
  <c r="AF20" i="2" s="1"/>
  <c r="AF14" i="2"/>
  <c r="AF19" i="2" s="1"/>
  <c r="AF18" i="2"/>
  <c r="AG17" i="2"/>
  <c r="AF17" i="2"/>
  <c r="AG15" i="2" l="1"/>
  <c r="AG16" i="2" s="1"/>
  <c r="AG20" i="2" s="1"/>
  <c r="AG14" i="2"/>
  <c r="AG19" i="2" s="1"/>
  <c r="AH12" i="2" l="1"/>
  <c r="AH13" i="2" s="1"/>
  <c r="AH14" i="2" s="1"/>
  <c r="AH19" i="2" s="1"/>
  <c r="AH18" i="2" l="1"/>
  <c r="D7" i="1" s="1"/>
  <c r="AH17" i="2"/>
  <c r="AH15" i="2"/>
  <c r="AH16" i="2" s="1"/>
  <c r="AH2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chadd</author>
  </authors>
  <commentList>
    <comment ref="D7" authorId="0" shapeId="0" xr:uid="{00000000-0006-0000-0300-000001000000}">
      <text>
        <r>
          <rPr>
            <b/>
            <sz val="8"/>
            <color indexed="81"/>
            <rFont val="Tahoma"/>
            <family val="2"/>
          </rPr>
          <t>chadd:</t>
        </r>
        <r>
          <rPr>
            <sz val="8"/>
            <color indexed="81"/>
            <rFont val="Tahoma"/>
            <family val="2"/>
          </rPr>
          <t xml:space="preserve">
No revenue produced this year</t>
        </r>
      </text>
    </comment>
    <comment ref="D8" authorId="0" shapeId="0" xr:uid="{00000000-0006-0000-0300-000002000000}">
      <text>
        <r>
          <rPr>
            <b/>
            <sz val="8"/>
            <color indexed="81"/>
            <rFont val="Tahoma"/>
            <family val="2"/>
          </rPr>
          <t>chadd:</t>
        </r>
        <r>
          <rPr>
            <sz val="8"/>
            <color indexed="81"/>
            <rFont val="Tahoma"/>
            <family val="2"/>
          </rPr>
          <t xml:space="preserve">
Includes purchase price and 2013 setup expenses</t>
        </r>
      </text>
    </comment>
  </commentList>
</comments>
</file>

<file path=xl/sharedStrings.xml><?xml version="1.0" encoding="utf-8"?>
<sst xmlns="http://schemas.openxmlformats.org/spreadsheetml/2006/main" count="164" uniqueCount="109">
  <si>
    <t>Purchase price</t>
  </si>
  <si>
    <t>Discount Rate</t>
  </si>
  <si>
    <t>Copper Reserves</t>
  </si>
  <si>
    <t>Extraction per Year</t>
  </si>
  <si>
    <t>Copper Base Price</t>
  </si>
  <si>
    <t>Retirement Obligation</t>
  </si>
  <si>
    <t>Cash Expenses</t>
  </si>
  <si>
    <t>Income tax rate</t>
  </si>
  <si>
    <t>Assumptions</t>
  </si>
  <si>
    <t>Year</t>
  </si>
  <si>
    <t>Cumulative CF</t>
  </si>
  <si>
    <t>Discounted CF</t>
  </si>
  <si>
    <t>NPV</t>
  </si>
  <si>
    <t>IRR</t>
  </si>
  <si>
    <t>Profitability index</t>
  </si>
  <si>
    <t>Payback period</t>
  </si>
  <si>
    <t>Discounted payback period</t>
  </si>
  <si>
    <t>Revenue</t>
  </si>
  <si>
    <t>Depreciation Expenses</t>
  </si>
  <si>
    <t>Income Before Tax</t>
  </si>
  <si>
    <t>Income After Tax</t>
  </si>
  <si>
    <t>After Tax Cash Flow</t>
  </si>
  <si>
    <t>Estimated Life of Mine</t>
  </si>
  <si>
    <t xml:space="preserve">Other Assumptions: </t>
  </si>
  <si>
    <t xml:space="preserve">Key: </t>
  </si>
  <si>
    <t>=</t>
  </si>
  <si>
    <t>Direct input</t>
  </si>
  <si>
    <t>Output</t>
  </si>
  <si>
    <t>Purchase Price</t>
  </si>
  <si>
    <t>+</t>
  </si>
  <si>
    <t>/</t>
  </si>
  <si>
    <t>*</t>
  </si>
  <si>
    <t>Copper Price for Year</t>
  </si>
  <si>
    <t>Revenue per Year</t>
  </si>
  <si>
    <t>Cash Expenses (% of Revenue)</t>
  </si>
  <si>
    <t>Cash Expenses per Year</t>
  </si>
  <si>
    <t>Depreciation per Year</t>
  </si>
  <si>
    <t>Income Tax Rate</t>
  </si>
  <si>
    <t>Income Taxes</t>
  </si>
  <si>
    <t>Cumulative Discounted CF</t>
  </si>
  <si>
    <t>-</t>
  </si>
  <si>
    <t>After-Tax Cash Flow per Year</t>
  </si>
  <si>
    <t>↓</t>
  </si>
  <si>
    <t>Discounted CF per Year</t>
  </si>
  <si>
    <t>Cumulative CF per Year</t>
  </si>
  <si>
    <t>Cumulative Disc CF per Year</t>
  </si>
  <si>
    <t>Net Present Value</t>
  </si>
  <si>
    <t>Payback Period</t>
  </si>
  <si>
    <t>Discounted Payback Period</t>
  </si>
  <si>
    <t>Internal Rate of Return</t>
  </si>
  <si>
    <t>Profitability Index</t>
  </si>
  <si>
    <t>→</t>
  </si>
  <si>
    <t>Setup Expenses</t>
  </si>
  <si>
    <t>First Year Cash Expenses</t>
  </si>
  <si>
    <t>Income Before Tax per Year</t>
  </si>
  <si>
    <t>Income Taxes per Year</t>
  </si>
  <si>
    <t>Income After Tax per Year</t>
  </si>
  <si>
    <t>Years Since Inception</t>
  </si>
  <si>
    <t xml:space="preserve">Model assumes that the site will not be productive until start of 2014. </t>
  </si>
  <si>
    <t>Copper Price Growth Rate</t>
  </si>
  <si>
    <t>Project Year</t>
  </si>
  <si>
    <t>NPV if Final Year</t>
  </si>
  <si>
    <t>IRR if Final Year</t>
  </si>
  <si>
    <t>years</t>
  </si>
  <si>
    <t>ratio</t>
  </si>
  <si>
    <t>Note: Assumes 2013 not productive</t>
  </si>
  <si>
    <t>Copper Price per MT</t>
  </si>
  <si>
    <t>US$/MT</t>
  </si>
  <si>
    <t>US$ millions</t>
  </si>
  <si>
    <t>Note: If PI is &gt; 1, project good; this is also called a benefit-cost ratio (discounted to PV))</t>
  </si>
  <si>
    <t>Base Case</t>
  </si>
  <si>
    <t>Best Case</t>
  </si>
  <si>
    <t>Worst Case</t>
  </si>
  <si>
    <t>Lo Ext, Hi Dem</t>
  </si>
  <si>
    <t>PriceSens</t>
  </si>
  <si>
    <t>MTs</t>
  </si>
  <si>
    <t>Depreciable Assets</t>
  </si>
  <si>
    <t>Depreciation Period</t>
  </si>
  <si>
    <t>Asset Salvage Value</t>
  </si>
  <si>
    <t>Years</t>
  </si>
  <si>
    <t>Salvage Value</t>
  </si>
  <si>
    <t xml:space="preserve"> =</t>
  </si>
  <si>
    <t>Estimated Annual Cash Flows (US$ millions except Copper Price per MT)</t>
  </si>
  <si>
    <t>Panama Mine Purchase Analysis Model</t>
  </si>
  <si>
    <t>Model Flow Overview</t>
  </si>
  <si>
    <t>Outputs Tab</t>
  </si>
  <si>
    <t>Inputs Tab</t>
  </si>
  <si>
    <t>Workings Tab</t>
  </si>
  <si>
    <t>Breakeven</t>
  </si>
  <si>
    <t>% Revenue</t>
  </si>
  <si>
    <t>Breakeven sensitivity analysis assumes additional purchase price is accounted for as goodwill and is not depreciable.</t>
  </si>
  <si>
    <t>Note: MT = Metric Ton (1,000 kg)</t>
  </si>
  <si>
    <t>Model assumes use of straight-line depreciation for all depreciable assets over same depreciation period using the same salvage value.</t>
  </si>
  <si>
    <t>Note: Enter inputs as whole dollars, however inputs denoted with US$ millions will display in millions.</t>
  </si>
  <si>
    <t>Prior Year Copper Price</t>
  </si>
  <si>
    <t>(</t>
  </si>
  <si>
    <t>)</t>
  </si>
  <si>
    <t>Derived input</t>
  </si>
  <si>
    <t>↓ LOOKUP</t>
  </si>
  <si>
    <t>↓          → SLN</t>
  </si>
  <si>
    <t>PV</t>
  </si>
  <si>
    <t>↓ IRR</t>
  </si>
  <si>
    <t>↓ Cumulative SUMs</t>
  </si>
  <si>
    <t>Terminal Year of Mine</t>
  </si>
  <si>
    <t>Scenario Name</t>
  </si>
  <si>
    <t>Match Result</t>
  </si>
  <si>
    <t>Select Scenario:</t>
  </si>
  <si>
    <t>Year 0 Copper Price</t>
  </si>
  <si>
    <t>↓ PERCENTRANK.INC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</si>
</sst>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
    <numFmt numFmtId="165" formatCode="[$-409]d\-mmm\-yy;@"/>
    <numFmt numFmtId="166" formatCode="&quot;$&quot;#,##0.00"/>
    <numFmt numFmtId="167" formatCode="0.00000"/>
    <numFmt numFmtId="168" formatCode="#,##0.0"/>
    <numFmt numFmtId="169" formatCode="&quot;$&quot;#,##0.0"/>
    <numFmt numFmtId="170" formatCode="&quot;$&quot;#,##0.0_);[Red]\(&quot;$&quot;#,##0.0\)"/>
    <numFmt numFmtId="171" formatCode="0.0%"/>
    <numFmt numFmtId="172" formatCode="0.000%"/>
    <numFmt numFmtId="173" formatCode="#,##0.0_);[Red]\(#,##0.0\)"/>
    <numFmt numFmtId="174" formatCode="_(* #,##0_);_(* \(#,##0\);_(* &quot;-&quot;??_);_(@_)"/>
    <numFmt numFmtId="175" formatCode="&quot;$&quot;#,##0"/>
    <numFmt numFmtId="176" formatCode="&quot;$&quot;0.0,,"/>
    <numFmt numFmtId="177" formatCode="&quot;$&quot;0.0,,;[Red]\(&quot;$&quot;0.0,,\)"/>
  </numFmts>
  <fonts count="13" x14ac:knownFonts="1">
    <font>
      <sz val="11"/>
      <color theme="1"/>
      <name val="Calibri"/>
      <family val="2"/>
      <scheme val="minor"/>
    </font>
    <font>
      <b/>
      <sz val="11"/>
      <color theme="1"/>
      <name val="Calibri"/>
      <family val="2"/>
      <scheme val="minor"/>
    </font>
    <font>
      <i/>
      <sz val="11"/>
      <color theme="1"/>
      <name val="Calibri"/>
      <family val="2"/>
      <scheme val="minor"/>
    </font>
    <font>
      <b/>
      <sz val="11"/>
      <color rgb="FF3F3F3F"/>
      <name val="Calibri"/>
      <family val="2"/>
      <scheme val="minor"/>
    </font>
    <font>
      <sz val="8"/>
      <color indexed="81"/>
      <name val="Tahoma"/>
      <family val="2"/>
    </font>
    <font>
      <b/>
      <sz val="8"/>
      <color indexed="81"/>
      <name val="Tahoma"/>
      <family val="2"/>
    </font>
    <font>
      <b/>
      <sz val="11"/>
      <color theme="1"/>
      <name val="Calibri"/>
      <family val="2"/>
    </font>
    <font>
      <sz val="11"/>
      <color theme="1"/>
      <name val="Calibri"/>
      <family val="2"/>
      <scheme val="minor"/>
    </font>
    <font>
      <i/>
      <sz val="11"/>
      <color rgb="FF7F7F7F"/>
      <name val="Calibri"/>
      <family val="2"/>
      <scheme val="minor"/>
    </font>
    <font>
      <b/>
      <i/>
      <sz val="11"/>
      <color theme="1"/>
      <name val="Calibri"/>
      <family val="2"/>
      <scheme val="minor"/>
    </font>
    <font>
      <sz val="11"/>
      <color rgb="FF3F3F76"/>
      <name val="Calibri"/>
      <family val="2"/>
      <scheme val="minor"/>
    </font>
    <font>
      <b/>
      <i/>
      <sz val="11"/>
      <color rgb="FF7F7F7F"/>
      <name val="Calibri"/>
      <family val="2"/>
      <scheme val="minor"/>
    </font>
    <font>
      <b/>
      <sz val="11"/>
      <color rgb="FFFA7D00"/>
      <name val="Calibri"/>
      <family val="2"/>
      <scheme val="minor"/>
    </font>
  </fonts>
  <fills count="4">
    <fill>
      <patternFill patternType="none"/>
    </fill>
    <fill>
      <patternFill patternType="gray125"/>
    </fill>
    <fill>
      <patternFill patternType="solid">
        <fgColor rgb="FFF2F2F2"/>
      </patternFill>
    </fill>
    <fill>
      <patternFill patternType="solid">
        <fgColor rgb="FFFFCC99"/>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double">
        <color auto="1"/>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style="double">
        <color auto="1"/>
      </right>
      <top/>
      <bottom style="thin">
        <color indexed="64"/>
      </bottom>
      <diagonal/>
    </border>
    <border>
      <left/>
      <right/>
      <top style="thin">
        <color indexed="64"/>
      </top>
      <bottom style="double">
        <color indexed="64"/>
      </bottom>
      <diagonal/>
    </border>
  </borders>
  <cellStyleXfs count="6">
    <xf numFmtId="0" fontId="0" fillId="0" borderId="0"/>
    <xf numFmtId="0" fontId="3" fillId="2" borderId="1" applyNumberFormat="0" applyAlignment="0" applyProtection="0"/>
    <xf numFmtId="43" fontId="7" fillId="0" borderId="0" applyFont="0" applyFill="0" applyBorder="0" applyAlignment="0" applyProtection="0"/>
    <xf numFmtId="0" fontId="8" fillId="0" borderId="0" applyNumberFormat="0" applyFill="0" applyBorder="0" applyAlignment="0" applyProtection="0"/>
    <xf numFmtId="0" fontId="10" fillId="3" borderId="5" applyNumberFormat="0" applyAlignment="0" applyProtection="0"/>
    <xf numFmtId="0" fontId="12" fillId="2" borderId="5" applyNumberFormat="0" applyAlignment="0" applyProtection="0"/>
  </cellStyleXfs>
  <cellXfs count="79">
    <xf numFmtId="0" fontId="0" fillId="0" borderId="0" xfId="0"/>
    <xf numFmtId="6" fontId="0" fillId="0" borderId="0" xfId="0" applyNumberFormat="1" applyFill="1"/>
    <xf numFmtId="8" fontId="0" fillId="0" borderId="0" xfId="0" applyNumberFormat="1"/>
    <xf numFmtId="8" fontId="0" fillId="0" borderId="0" xfId="0" applyNumberFormat="1" applyFill="1"/>
    <xf numFmtId="0" fontId="1" fillId="0" borderId="0" xfId="0" applyFont="1"/>
    <xf numFmtId="0" fontId="2" fillId="0" borderId="0" xfId="0" applyFont="1"/>
    <xf numFmtId="165" fontId="2" fillId="0" borderId="0" xfId="0" applyNumberFormat="1" applyFont="1"/>
    <xf numFmtId="9" fontId="0" fillId="0" borderId="0" xfId="0" applyNumberFormat="1"/>
    <xf numFmtId="2" fontId="0" fillId="0" borderId="0" xfId="0" applyNumberFormat="1"/>
    <xf numFmtId="167" fontId="0" fillId="0" borderId="0" xfId="0" applyNumberFormat="1" applyFont="1"/>
    <xf numFmtId="166" fontId="0" fillId="0" borderId="0" xfId="0" applyNumberFormat="1" applyFill="1"/>
    <xf numFmtId="168" fontId="0" fillId="0" borderId="0" xfId="0" applyNumberFormat="1" applyFont="1"/>
    <xf numFmtId="169" fontId="0" fillId="0" borderId="0" xfId="0" applyNumberFormat="1" applyFont="1"/>
    <xf numFmtId="168" fontId="2" fillId="0" borderId="0" xfId="0" applyNumberFormat="1" applyFont="1"/>
    <xf numFmtId="170" fontId="0" fillId="0" borderId="0" xfId="0" applyNumberFormat="1"/>
    <xf numFmtId="164" fontId="0" fillId="0" borderId="0" xfId="0" applyNumberFormat="1"/>
    <xf numFmtId="0" fontId="1" fillId="0" borderId="0" xfId="0" applyFont="1" applyAlignment="1">
      <alignment horizontal="center"/>
    </xf>
    <xf numFmtId="0" fontId="1" fillId="0" borderId="0" xfId="0" applyFont="1" applyAlignment="1">
      <alignment horizontal="center"/>
    </xf>
    <xf numFmtId="0" fontId="0" fillId="0" borderId="2" xfId="0" applyBorder="1" applyAlignment="1">
      <alignment horizontal="center"/>
    </xf>
    <xf numFmtId="0" fontId="3" fillId="0" borderId="0" xfId="1" applyFill="1" applyBorder="1" applyAlignment="1">
      <alignment horizontal="center"/>
    </xf>
    <xf numFmtId="0" fontId="0" fillId="0" borderId="0" xfId="0" applyFill="1" applyBorder="1" applyAlignment="1">
      <alignment horizontal="center"/>
    </xf>
    <xf numFmtId="0" fontId="0" fillId="0" borderId="2" xfId="0" applyFill="1" applyBorder="1" applyAlignment="1">
      <alignment horizontal="center"/>
    </xf>
    <xf numFmtId="0" fontId="6" fillId="0" borderId="0" xfId="0" applyFont="1" applyAlignment="1">
      <alignment horizontal="center"/>
    </xf>
    <xf numFmtId="0" fontId="0" fillId="0" borderId="0" xfId="0" applyBorder="1" applyAlignment="1">
      <alignment horizontal="center"/>
    </xf>
    <xf numFmtId="0" fontId="0" fillId="0" borderId="0" xfId="0" applyAlignment="1">
      <alignment horizontal="right"/>
    </xf>
    <xf numFmtId="0" fontId="0" fillId="0" borderId="0" xfId="0" applyFill="1" applyBorder="1"/>
    <xf numFmtId="0" fontId="1" fillId="0" borderId="3" xfId="0" applyFont="1" applyBorder="1" applyAlignment="1">
      <alignment horizontal="center"/>
    </xf>
    <xf numFmtId="0" fontId="0" fillId="0" borderId="3" xfId="0" applyBorder="1"/>
    <xf numFmtId="0" fontId="0" fillId="0" borderId="0" xfId="0" applyBorder="1"/>
    <xf numFmtId="0" fontId="1" fillId="0" borderId="0" xfId="0" applyFont="1" applyBorder="1" applyAlignment="1">
      <alignment horizontal="center"/>
    </xf>
    <xf numFmtId="0" fontId="1" fillId="0" borderId="0" xfId="0" applyFont="1" applyAlignment="1">
      <alignment horizontal="center"/>
    </xf>
    <xf numFmtId="169" fontId="0" fillId="0" borderId="0" xfId="0" applyNumberFormat="1"/>
    <xf numFmtId="1" fontId="0" fillId="0" borderId="0" xfId="0" applyNumberFormat="1" applyFont="1"/>
    <xf numFmtId="10" fontId="0" fillId="0" borderId="0" xfId="0" applyNumberFormat="1"/>
    <xf numFmtId="171" fontId="0" fillId="0" borderId="0" xfId="0" applyNumberFormat="1"/>
    <xf numFmtId="173" fontId="0" fillId="0" borderId="0" xfId="0" applyNumberFormat="1"/>
    <xf numFmtId="174" fontId="0" fillId="0" borderId="0" xfId="2" applyNumberFormat="1" applyFont="1"/>
    <xf numFmtId="5" fontId="0" fillId="0" borderId="0" xfId="2" applyNumberFormat="1" applyFont="1"/>
    <xf numFmtId="0" fontId="8" fillId="0" borderId="0" xfId="3"/>
    <xf numFmtId="171" fontId="3" fillId="2" borderId="1" xfId="1" applyNumberFormat="1"/>
    <xf numFmtId="40" fontId="3" fillId="2" borderId="1" xfId="1" applyNumberFormat="1"/>
    <xf numFmtId="164" fontId="3" fillId="2" borderId="1" xfId="1" applyNumberFormat="1"/>
    <xf numFmtId="1" fontId="3" fillId="2" borderId="1" xfId="1" applyNumberFormat="1"/>
    <xf numFmtId="0" fontId="9" fillId="0" borderId="0" xfId="0" applyFont="1"/>
    <xf numFmtId="167" fontId="1" fillId="0" borderId="0" xfId="0" applyNumberFormat="1" applyFont="1"/>
    <xf numFmtId="168" fontId="1" fillId="0" borderId="0" xfId="0" applyNumberFormat="1" applyFont="1"/>
    <xf numFmtId="7" fontId="0" fillId="0" borderId="0" xfId="2" applyNumberFormat="1" applyFont="1"/>
    <xf numFmtId="169" fontId="0" fillId="0" borderId="4" xfId="0" applyNumberFormat="1" applyFont="1" applyBorder="1"/>
    <xf numFmtId="175" fontId="0" fillId="0" borderId="4" xfId="0" applyNumberFormat="1" applyFont="1" applyBorder="1"/>
    <xf numFmtId="6" fontId="10" fillId="3" borderId="5" xfId="4" applyNumberFormat="1"/>
    <xf numFmtId="10" fontId="10" fillId="3" borderId="5" xfId="4" applyNumberFormat="1"/>
    <xf numFmtId="3" fontId="10" fillId="3" borderId="5" xfId="4" applyNumberFormat="1"/>
    <xf numFmtId="172" fontId="10" fillId="3" borderId="5" xfId="4" applyNumberFormat="1"/>
    <xf numFmtId="9" fontId="10" fillId="3" borderId="5" xfId="4" applyNumberFormat="1"/>
    <xf numFmtId="0" fontId="10" fillId="3" borderId="5" xfId="4" applyAlignment="1">
      <alignment horizontal="center"/>
    </xf>
    <xf numFmtId="0" fontId="3" fillId="2" borderId="1" xfId="1" applyAlignment="1">
      <alignment horizontal="center"/>
    </xf>
    <xf numFmtId="1" fontId="10" fillId="3" borderId="5" xfId="4" applyNumberFormat="1"/>
    <xf numFmtId="176" fontId="0" fillId="0" borderId="4" xfId="0" applyNumberFormat="1" applyFont="1" applyFill="1" applyBorder="1"/>
    <xf numFmtId="176" fontId="0" fillId="0" borderId="0" xfId="0" applyNumberFormat="1" applyFont="1"/>
    <xf numFmtId="176" fontId="0" fillId="0" borderId="0" xfId="0" applyNumberFormat="1" applyFont="1" applyFill="1"/>
    <xf numFmtId="177" fontId="0" fillId="0" borderId="0" xfId="0" applyNumberFormat="1" applyFont="1"/>
    <xf numFmtId="177" fontId="3" fillId="2" borderId="1" xfId="1" applyNumberFormat="1"/>
    <xf numFmtId="0" fontId="6" fillId="0" borderId="0" xfId="0" applyFont="1" applyAlignment="1">
      <alignment horizontal="right"/>
    </xf>
    <xf numFmtId="0" fontId="1" fillId="0" borderId="0" xfId="0" applyFont="1" applyAlignment="1">
      <alignment horizontal="left"/>
    </xf>
    <xf numFmtId="177" fontId="10" fillId="3" borderId="5" xfId="4" applyNumberFormat="1"/>
    <xf numFmtId="0" fontId="11" fillId="0" borderId="0" xfId="3" applyFont="1" applyFill="1" applyBorder="1"/>
    <xf numFmtId="177" fontId="12" fillId="2" borderId="5" xfId="5" applyNumberFormat="1"/>
    <xf numFmtId="10" fontId="12" fillId="2" borderId="5" xfId="5" applyNumberFormat="1"/>
    <xf numFmtId="3" fontId="12" fillId="2" borderId="5" xfId="5" applyNumberFormat="1"/>
    <xf numFmtId="6" fontId="12" fillId="2" borderId="5" xfId="5" applyNumberFormat="1"/>
    <xf numFmtId="172" fontId="12" fillId="2" borderId="5" xfId="5" applyNumberFormat="1"/>
    <xf numFmtId="9" fontId="12" fillId="2" borderId="5" xfId="5" applyNumberFormat="1"/>
    <xf numFmtId="1" fontId="12" fillId="2" borderId="5" xfId="5" applyNumberFormat="1"/>
    <xf numFmtId="171" fontId="12" fillId="2" borderId="5" xfId="5" applyNumberFormat="1"/>
    <xf numFmtId="0" fontId="10" fillId="3" borderId="5" xfId="4"/>
    <xf numFmtId="0" fontId="12" fillId="2" borderId="5" xfId="5"/>
    <xf numFmtId="169" fontId="0" fillId="0" borderId="7" xfId="0" applyNumberFormat="1" applyFont="1" applyBorder="1"/>
    <xf numFmtId="176" fontId="0" fillId="0" borderId="6" xfId="0" applyNumberFormat="1" applyFont="1" applyBorder="1"/>
    <xf numFmtId="177" fontId="0" fillId="0" borderId="8" xfId="0" applyNumberFormat="1" applyFont="1" applyBorder="1"/>
  </cellXfs>
  <cellStyles count="6">
    <cellStyle name="Calculation" xfId="5" builtinId="22"/>
    <cellStyle name="Comma" xfId="2" builtinId="3"/>
    <cellStyle name="Explanatory Text" xfId="3" builtinId="53"/>
    <cellStyle name="Input" xfId="4" builtinId="20"/>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0</xdr:rowOff>
    </xdr:from>
    <xdr:to>
      <xdr:col>10</xdr:col>
      <xdr:colOff>160020</xdr:colOff>
      <xdr:row>30</xdr:row>
      <xdr:rowOff>99060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3840480"/>
          <a:ext cx="686562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Model adds the retirement obligation</a:t>
          </a:r>
          <a:r>
            <a:rPr lang="en-US" sz="1100" baseline="0"/>
            <a:t> to the cash expenses for the project year that matches the Estimated Life of Mine output. Model will use the NPV, IRR, Payback Period, and Discounted Payback Period for the column in which the project year matches the Estimated Life of Mine output.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Payback period and discounted payback period use an IFERROR to return 0 if the project will never be paid back that year. </a:t>
          </a:r>
          <a:endParaRPr lang="en-US" sz="1100" baseline="0"/>
        </a:p>
        <a:p>
          <a:endParaRPr lang="en-US" sz="1100" baseline="0"/>
        </a:p>
        <a:p>
          <a:r>
            <a:rPr lang="en-US" sz="1100" baseline="0"/>
            <a:t>Depreciation is calculated to stop depreciating after Year 0 Cash Expenses are fully depreciated.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workbookViewId="0">
      <selection activeCell="C39" sqref="C39"/>
    </sheetView>
  </sheetViews>
  <sheetFormatPr defaultRowHeight="14.5" x14ac:dyDescent="0.35"/>
  <cols>
    <col min="1" max="1" width="24.81640625" bestFit="1" customWidth="1"/>
    <col min="2" max="2" width="3.54296875" customWidth="1"/>
    <col min="3" max="3" width="25.81640625" bestFit="1" customWidth="1"/>
    <col min="4" max="4" width="3.7265625" customWidth="1"/>
    <col min="5" max="5" width="1.7265625" customWidth="1"/>
    <col min="6" max="6" width="24" bestFit="1" customWidth="1"/>
    <col min="7" max="7" width="3.26953125" customWidth="1"/>
    <col min="8" max="8" width="24.81640625" bestFit="1" customWidth="1"/>
    <col min="10" max="10" width="24.81640625" bestFit="1" customWidth="1"/>
    <col min="12" max="12" width="24.81640625" bestFit="1" customWidth="1"/>
  </cols>
  <sheetData>
    <row r="1" spans="1:11" x14ac:dyDescent="0.35">
      <c r="A1" s="4" t="s">
        <v>83</v>
      </c>
      <c r="F1" s="24" t="s">
        <v>24</v>
      </c>
      <c r="G1" s="54"/>
      <c r="H1" t="s">
        <v>26</v>
      </c>
    </row>
    <row r="2" spans="1:11" x14ac:dyDescent="0.35">
      <c r="A2" s="63" t="s">
        <v>84</v>
      </c>
      <c r="B2" s="63"/>
      <c r="C2" s="63"/>
      <c r="D2" s="63"/>
      <c r="E2" s="63"/>
      <c r="G2" s="21"/>
      <c r="H2" t="s">
        <v>97</v>
      </c>
    </row>
    <row r="3" spans="1:11" x14ac:dyDescent="0.35">
      <c r="C3" s="30"/>
      <c r="D3" s="30"/>
      <c r="E3" s="30"/>
      <c r="G3" s="55"/>
      <c r="H3" t="s">
        <v>27</v>
      </c>
    </row>
    <row r="4" spans="1:11" x14ac:dyDescent="0.35">
      <c r="A4" s="54" t="s">
        <v>4</v>
      </c>
    </row>
    <row r="5" spans="1:11" x14ac:dyDescent="0.35">
      <c r="A5" s="16" t="s">
        <v>81</v>
      </c>
      <c r="K5" s="17"/>
    </row>
    <row r="6" spans="1:11" x14ac:dyDescent="0.35">
      <c r="A6" s="18" t="s">
        <v>107</v>
      </c>
      <c r="B6" s="22" t="s">
        <v>51</v>
      </c>
      <c r="C6" s="18" t="s">
        <v>94</v>
      </c>
      <c r="H6" s="54" t="s">
        <v>2</v>
      </c>
    </row>
    <row r="7" spans="1:11" x14ac:dyDescent="0.35">
      <c r="C7" s="30" t="s">
        <v>31</v>
      </c>
      <c r="H7" s="16" t="s">
        <v>30</v>
      </c>
    </row>
    <row r="8" spans="1:11" x14ac:dyDescent="0.35">
      <c r="B8" s="24" t="s">
        <v>95</v>
      </c>
      <c r="C8" s="18">
        <v>1</v>
      </c>
      <c r="H8" s="54" t="s">
        <v>3</v>
      </c>
    </row>
    <row r="9" spans="1:11" x14ac:dyDescent="0.35">
      <c r="C9" s="30" t="s">
        <v>29</v>
      </c>
      <c r="H9" s="16" t="s">
        <v>25</v>
      </c>
    </row>
    <row r="10" spans="1:11" x14ac:dyDescent="0.35">
      <c r="C10" s="54" t="s">
        <v>59</v>
      </c>
      <c r="D10" t="s">
        <v>96</v>
      </c>
      <c r="H10" s="55" t="s">
        <v>22</v>
      </c>
    </row>
    <row r="11" spans="1:11" x14ac:dyDescent="0.35">
      <c r="C11" s="16" t="s">
        <v>25</v>
      </c>
      <c r="H11" s="22" t="s">
        <v>42</v>
      </c>
    </row>
    <row r="12" spans="1:11" x14ac:dyDescent="0.35">
      <c r="B12" s="22"/>
      <c r="C12" s="18" t="s">
        <v>32</v>
      </c>
      <c r="H12" s="18" t="s">
        <v>103</v>
      </c>
    </row>
    <row r="13" spans="1:11" x14ac:dyDescent="0.35">
      <c r="C13" s="17" t="s">
        <v>31</v>
      </c>
      <c r="H13" s="30" t="s">
        <v>98</v>
      </c>
      <c r="K13" s="22"/>
    </row>
    <row r="14" spans="1:11" x14ac:dyDescent="0.35">
      <c r="B14" s="16"/>
      <c r="C14" s="54" t="s">
        <v>3</v>
      </c>
      <c r="H14" s="18" t="s">
        <v>60</v>
      </c>
      <c r="K14" s="22"/>
    </row>
    <row r="15" spans="1:11" x14ac:dyDescent="0.35">
      <c r="C15" s="16" t="s">
        <v>25</v>
      </c>
      <c r="J15" s="28"/>
      <c r="K15" s="28"/>
    </row>
    <row r="16" spans="1:11" x14ac:dyDescent="0.35">
      <c r="C16" s="18" t="s">
        <v>33</v>
      </c>
      <c r="D16" s="26" t="s">
        <v>29</v>
      </c>
      <c r="E16" s="17"/>
      <c r="F16" s="28"/>
      <c r="J16" s="23"/>
      <c r="K16" s="28"/>
    </row>
    <row r="17" spans="1:16" x14ac:dyDescent="0.35">
      <c r="C17" s="16" t="s">
        <v>31</v>
      </c>
      <c r="D17" s="27"/>
      <c r="F17" s="28"/>
      <c r="J17" s="29"/>
      <c r="K17" s="28"/>
    </row>
    <row r="18" spans="1:16" x14ac:dyDescent="0.35">
      <c r="C18" s="54" t="s">
        <v>34</v>
      </c>
      <c r="D18" s="27"/>
      <c r="F18" s="28"/>
      <c r="J18" s="23"/>
      <c r="K18" s="28"/>
    </row>
    <row r="19" spans="1:16" x14ac:dyDescent="0.35">
      <c r="C19" s="16" t="s">
        <v>25</v>
      </c>
      <c r="D19" s="27"/>
      <c r="F19" s="28"/>
      <c r="J19" s="29"/>
      <c r="K19" s="28"/>
    </row>
    <row r="20" spans="1:16" x14ac:dyDescent="0.35">
      <c r="A20" s="54" t="s">
        <v>76</v>
      </c>
      <c r="C20" s="18" t="s">
        <v>35</v>
      </c>
      <c r="D20" s="26" t="s">
        <v>40</v>
      </c>
      <c r="E20" s="22" t="s">
        <v>51</v>
      </c>
      <c r="F20" s="18" t="s">
        <v>54</v>
      </c>
      <c r="G20" s="16" t="s">
        <v>40</v>
      </c>
      <c r="H20" s="18" t="s">
        <v>55</v>
      </c>
      <c r="J20" s="28"/>
      <c r="K20" s="28"/>
    </row>
    <row r="21" spans="1:16" x14ac:dyDescent="0.35">
      <c r="A21" s="22" t="s">
        <v>42</v>
      </c>
      <c r="C21" s="16"/>
      <c r="D21" s="27"/>
      <c r="F21" s="16" t="s">
        <v>31</v>
      </c>
      <c r="H21" s="16" t="s">
        <v>25</v>
      </c>
      <c r="J21" s="28"/>
      <c r="K21" s="28"/>
    </row>
    <row r="22" spans="1:16" x14ac:dyDescent="0.35">
      <c r="A22" s="54" t="s">
        <v>80</v>
      </c>
      <c r="B22" s="30"/>
      <c r="D22" s="27"/>
      <c r="F22" s="54" t="s">
        <v>37</v>
      </c>
      <c r="H22" s="18" t="s">
        <v>56</v>
      </c>
      <c r="J22" s="28"/>
      <c r="K22" s="28"/>
    </row>
    <row r="23" spans="1:16" x14ac:dyDescent="0.35">
      <c r="A23" s="62" t="s">
        <v>99</v>
      </c>
      <c r="C23" s="16"/>
      <c r="D23" s="27"/>
      <c r="F23" s="16" t="s">
        <v>25</v>
      </c>
      <c r="H23" s="16" t="s">
        <v>29</v>
      </c>
    </row>
    <row r="24" spans="1:16" x14ac:dyDescent="0.35">
      <c r="A24" s="54" t="s">
        <v>77</v>
      </c>
      <c r="B24" s="22" t="s">
        <v>81</v>
      </c>
      <c r="C24" s="18" t="s">
        <v>36</v>
      </c>
      <c r="D24" s="26" t="s">
        <v>40</v>
      </c>
      <c r="E24" s="17"/>
      <c r="F24" s="18" t="s">
        <v>55</v>
      </c>
      <c r="H24" s="18" t="s">
        <v>36</v>
      </c>
    </row>
    <row r="25" spans="1:16" x14ac:dyDescent="0.35">
      <c r="H25" s="16" t="s">
        <v>25</v>
      </c>
    </row>
    <row r="26" spans="1:16" x14ac:dyDescent="0.35">
      <c r="H26" s="18" t="s">
        <v>41</v>
      </c>
    </row>
    <row r="27" spans="1:16" x14ac:dyDescent="0.35">
      <c r="H27" s="22" t="s">
        <v>101</v>
      </c>
    </row>
    <row r="28" spans="1:16" x14ac:dyDescent="0.35">
      <c r="B28" s="30" t="s">
        <v>100</v>
      </c>
      <c r="H28" s="55" t="s">
        <v>49</v>
      </c>
      <c r="I28" s="16"/>
    </row>
    <row r="29" spans="1:16" x14ac:dyDescent="0.35">
      <c r="A29" s="18" t="s">
        <v>41</v>
      </c>
      <c r="B29" s="16" t="s">
        <v>31</v>
      </c>
      <c r="C29" s="54" t="s">
        <v>1</v>
      </c>
      <c r="F29" s="54" t="s">
        <v>28</v>
      </c>
    </row>
    <row r="30" spans="1:16" x14ac:dyDescent="0.35">
      <c r="A30" s="22" t="s">
        <v>102</v>
      </c>
      <c r="C30" s="16" t="s">
        <v>31</v>
      </c>
      <c r="F30" s="16" t="s">
        <v>29</v>
      </c>
    </row>
    <row r="31" spans="1:16" x14ac:dyDescent="0.35">
      <c r="A31" s="18" t="s">
        <v>44</v>
      </c>
      <c r="C31" s="21" t="s">
        <v>57</v>
      </c>
      <c r="F31" s="54" t="s">
        <v>52</v>
      </c>
      <c r="M31" s="25"/>
      <c r="N31" s="20"/>
      <c r="O31" s="25"/>
      <c r="P31" s="25"/>
    </row>
    <row r="32" spans="1:16" x14ac:dyDescent="0.35">
      <c r="A32" s="22" t="s">
        <v>108</v>
      </c>
      <c r="C32" s="16" t="s">
        <v>25</v>
      </c>
      <c r="F32" s="16" t="s">
        <v>25</v>
      </c>
      <c r="M32" s="25"/>
      <c r="N32" s="19"/>
      <c r="O32" s="25"/>
      <c r="P32" s="25"/>
    </row>
    <row r="33" spans="1:16" x14ac:dyDescent="0.35">
      <c r="A33" s="55" t="s">
        <v>47</v>
      </c>
      <c r="C33" s="21" t="s">
        <v>43</v>
      </c>
      <c r="D33" s="16" t="s">
        <v>40</v>
      </c>
      <c r="E33" s="17"/>
      <c r="F33" s="18" t="s">
        <v>53</v>
      </c>
      <c r="M33" s="25"/>
      <c r="N33" s="20"/>
      <c r="O33" s="25"/>
      <c r="P33" s="25"/>
    </row>
    <row r="34" spans="1:16" x14ac:dyDescent="0.35">
      <c r="C34" s="16" t="s">
        <v>29</v>
      </c>
      <c r="F34" s="16" t="s">
        <v>25</v>
      </c>
    </row>
    <row r="35" spans="1:16" x14ac:dyDescent="0.35">
      <c r="C35" s="21" t="s">
        <v>44</v>
      </c>
      <c r="F35" s="55" t="s">
        <v>46</v>
      </c>
    </row>
    <row r="36" spans="1:16" x14ac:dyDescent="0.35">
      <c r="C36" s="16" t="s">
        <v>25</v>
      </c>
      <c r="F36" s="16" t="s">
        <v>30</v>
      </c>
    </row>
    <row r="37" spans="1:16" x14ac:dyDescent="0.35">
      <c r="C37" s="21" t="s">
        <v>45</v>
      </c>
      <c r="F37" s="54" t="s">
        <v>53</v>
      </c>
      <c r="G37" s="16" t="s">
        <v>25</v>
      </c>
      <c r="H37" s="55" t="s">
        <v>50</v>
      </c>
    </row>
    <row r="38" spans="1:16" x14ac:dyDescent="0.35">
      <c r="C38" s="22" t="s">
        <v>108</v>
      </c>
    </row>
    <row r="39" spans="1:16" x14ac:dyDescent="0.35">
      <c r="C39" s="55" t="s">
        <v>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D7" sqref="D7"/>
    </sheetView>
  </sheetViews>
  <sheetFormatPr defaultRowHeight="14.5" x14ac:dyDescent="0.35"/>
  <cols>
    <col min="5" max="5" width="15.1796875" bestFit="1" customWidth="1"/>
    <col min="7" max="7" width="11.1796875" bestFit="1" customWidth="1"/>
    <col min="9" max="9" width="8.7265625" customWidth="1"/>
  </cols>
  <sheetData>
    <row r="1" spans="1:8" s="4" customFormat="1" x14ac:dyDescent="0.35">
      <c r="A1" s="4" t="str">
        <f>Flowchart!A1</f>
        <v>Panama Mine Purchase Analysis Model</v>
      </c>
    </row>
    <row r="2" spans="1:8" s="4" customFormat="1" x14ac:dyDescent="0.35">
      <c r="A2" s="4" t="s">
        <v>85</v>
      </c>
      <c r="E2" s="4" t="s">
        <v>106</v>
      </c>
    </row>
    <row r="3" spans="1:8" s="4" customFormat="1" x14ac:dyDescent="0.35">
      <c r="E3" s="74"/>
    </row>
    <row r="4" spans="1:8" s="4" customFormat="1" x14ac:dyDescent="0.35"/>
    <row r="5" spans="1:8" x14ac:dyDescent="0.35">
      <c r="A5" s="4" t="s">
        <v>12</v>
      </c>
      <c r="D5" s="61">
        <f>LOOKUP($D$15, Workings!E5:AH5, Workings!E17:AH17)</f>
        <v>380189384.80120993</v>
      </c>
      <c r="E5" t="s">
        <v>68</v>
      </c>
      <c r="F5" s="31"/>
      <c r="G5" s="2"/>
      <c r="H5" s="2"/>
    </row>
    <row r="6" spans="1:8" x14ac:dyDescent="0.35">
      <c r="D6" s="2"/>
    </row>
    <row r="7" spans="1:8" x14ac:dyDescent="0.35">
      <c r="A7" s="4" t="s">
        <v>13</v>
      </c>
      <c r="D7" s="39">
        <f>LOOKUP($D$15, Workings!E5:AH5, Workings!E18:AH18)</f>
        <v>0.1620830804940776</v>
      </c>
      <c r="F7" s="33"/>
      <c r="H7" s="7"/>
    </row>
    <row r="8" spans="1:8" x14ac:dyDescent="0.35">
      <c r="D8" s="7"/>
    </row>
    <row r="9" spans="1:8" x14ac:dyDescent="0.35">
      <c r="A9" s="4" t="s">
        <v>14</v>
      </c>
      <c r="D9" s="40">
        <f xml:space="preserve"> 1+($D$5/(Inputs!B7+Inputs!B8))</f>
        <v>1.6336489746686831</v>
      </c>
      <c r="E9" t="s">
        <v>64</v>
      </c>
      <c r="F9" s="8"/>
    </row>
    <row r="10" spans="1:8" x14ac:dyDescent="0.35">
      <c r="A10" s="38" t="s">
        <v>69</v>
      </c>
    </row>
    <row r="11" spans="1:8" x14ac:dyDescent="0.35">
      <c r="A11" s="4" t="s">
        <v>15</v>
      </c>
      <c r="D11" s="41">
        <f>LOOKUP($D$15, Workings!E5:AH5, Workings!E19:AH19)</f>
        <v>6.881856</v>
      </c>
      <c r="E11" t="s">
        <v>63</v>
      </c>
      <c r="F11" s="15"/>
    </row>
    <row r="13" spans="1:8" x14ac:dyDescent="0.35">
      <c r="A13" s="4" t="s">
        <v>16</v>
      </c>
      <c r="D13" s="41">
        <f>LOOKUP($D$15, Workings!E5:AH5, Workings!E20:AH20)</f>
        <v>11.061336000000001</v>
      </c>
      <c r="E13" t="s">
        <v>63</v>
      </c>
      <c r="F13" s="15"/>
    </row>
    <row r="15" spans="1:8" x14ac:dyDescent="0.35">
      <c r="A15" s="4" t="s">
        <v>22</v>
      </c>
      <c r="D15" s="42">
        <f>INT(Inputs!B10/Inputs!B11)</f>
        <v>24</v>
      </c>
      <c r="E15" t="s">
        <v>63</v>
      </c>
    </row>
    <row r="16" spans="1:8" x14ac:dyDescent="0.35">
      <c r="A16" s="38" t="s">
        <v>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tabSelected="1" workbookViewId="0">
      <selection activeCell="A4" sqref="A4"/>
    </sheetView>
  </sheetViews>
  <sheetFormatPr defaultRowHeight="14.5" x14ac:dyDescent="0.35"/>
  <cols>
    <col min="1" max="1" width="23.453125" customWidth="1"/>
    <col min="2" max="2" width="14.453125" bestFit="1" customWidth="1"/>
    <col min="3" max="3" width="9.81640625" customWidth="1"/>
    <col min="4" max="4" width="1.453125" customWidth="1"/>
    <col min="5" max="5" width="9.453125" customWidth="1"/>
    <col min="6" max="6" width="12.81640625" customWidth="1"/>
    <col min="7" max="7" width="9.26953125" customWidth="1"/>
    <col min="8" max="8" width="10.453125" customWidth="1"/>
    <col min="9" max="9" width="9.26953125" customWidth="1"/>
    <col min="10" max="10" width="9.7265625" customWidth="1"/>
    <col min="11" max="27" width="9.453125" bestFit="1" customWidth="1"/>
  </cols>
  <sheetData>
    <row r="1" spans="1:10" x14ac:dyDescent="0.35">
      <c r="A1" s="4" t="str">
        <f>Flowchart!A1</f>
        <v>Panama Mine Purchase Analysis Model</v>
      </c>
    </row>
    <row r="2" spans="1:10" x14ac:dyDescent="0.35">
      <c r="A2" s="4" t="s">
        <v>86</v>
      </c>
    </row>
    <row r="3" spans="1:10" x14ac:dyDescent="0.35">
      <c r="A3" s="4"/>
      <c r="B3" s="4" t="s">
        <v>104</v>
      </c>
      <c r="C3" s="74"/>
    </row>
    <row r="4" spans="1:10" x14ac:dyDescent="0.35">
      <c r="A4" s="4"/>
      <c r="B4" s="4" t="s">
        <v>105</v>
      </c>
      <c r="C4" s="75"/>
    </row>
    <row r="5" spans="1:10" x14ac:dyDescent="0.35">
      <c r="A5" s="4"/>
      <c r="E5" s="4">
        <v>1</v>
      </c>
      <c r="F5" s="4">
        <v>2</v>
      </c>
      <c r="G5" s="4">
        <v>3</v>
      </c>
      <c r="H5" s="4">
        <v>4</v>
      </c>
      <c r="I5" s="4">
        <v>5</v>
      </c>
      <c r="J5" s="4">
        <v>6</v>
      </c>
    </row>
    <row r="6" spans="1:10" x14ac:dyDescent="0.35">
      <c r="B6" s="4" t="s">
        <v>8</v>
      </c>
      <c r="E6" s="4" t="s">
        <v>70</v>
      </c>
      <c r="F6" s="4" t="s">
        <v>73</v>
      </c>
      <c r="G6" s="4" t="s">
        <v>71</v>
      </c>
      <c r="H6" s="4" t="s">
        <v>72</v>
      </c>
      <c r="I6" s="4" t="s">
        <v>74</v>
      </c>
      <c r="J6" s="4" t="s">
        <v>88</v>
      </c>
    </row>
    <row r="7" spans="1:10" x14ac:dyDescent="0.35">
      <c r="A7" s="4" t="s">
        <v>0</v>
      </c>
      <c r="B7" s="66">
        <v>400000000</v>
      </c>
      <c r="C7" t="s">
        <v>68</v>
      </c>
      <c r="E7" s="64">
        <v>400000000</v>
      </c>
      <c r="F7" s="64">
        <v>400000000</v>
      </c>
      <c r="G7" s="64">
        <v>400000000</v>
      </c>
      <c r="H7" s="64">
        <v>400000000</v>
      </c>
      <c r="I7" s="64">
        <v>400000000</v>
      </c>
      <c r="J7" s="64">
        <v>780189384.79999995</v>
      </c>
    </row>
    <row r="8" spans="1:10" x14ac:dyDescent="0.35">
      <c r="A8" s="4" t="s">
        <v>52</v>
      </c>
      <c r="B8" s="66">
        <v>200000000</v>
      </c>
      <c r="C8" t="s">
        <v>68</v>
      </c>
      <c r="E8" s="64">
        <v>200000000</v>
      </c>
      <c r="F8" s="64">
        <v>250000000</v>
      </c>
      <c r="G8" s="64">
        <v>220000000</v>
      </c>
      <c r="H8" s="64">
        <v>200000000</v>
      </c>
      <c r="I8" s="64">
        <v>200000000</v>
      </c>
      <c r="J8" s="64">
        <v>200000000</v>
      </c>
    </row>
    <row r="9" spans="1:10" x14ac:dyDescent="0.35">
      <c r="A9" s="4" t="s">
        <v>1</v>
      </c>
      <c r="B9" s="67">
        <v>0.1</v>
      </c>
      <c r="E9" s="50">
        <v>0.1</v>
      </c>
      <c r="F9" s="50">
        <v>0.11</v>
      </c>
      <c r="G9" s="50">
        <v>0.11</v>
      </c>
      <c r="H9" s="50">
        <v>0.11</v>
      </c>
      <c r="I9" s="50">
        <v>0.1</v>
      </c>
      <c r="J9" s="50">
        <v>0.1</v>
      </c>
    </row>
    <row r="10" spans="1:10" x14ac:dyDescent="0.35">
      <c r="A10" s="4" t="s">
        <v>2</v>
      </c>
      <c r="B10" s="68">
        <v>540000</v>
      </c>
      <c r="C10" t="s">
        <v>75</v>
      </c>
      <c r="E10" s="51">
        <v>540000</v>
      </c>
      <c r="F10" s="51">
        <v>432000</v>
      </c>
      <c r="G10" s="51">
        <v>648000</v>
      </c>
      <c r="H10" s="51">
        <v>432000</v>
      </c>
      <c r="I10" s="51">
        <v>540000</v>
      </c>
      <c r="J10" s="51">
        <v>540000</v>
      </c>
    </row>
    <row r="11" spans="1:10" x14ac:dyDescent="0.35">
      <c r="A11" s="4" t="s">
        <v>3</v>
      </c>
      <c r="B11" s="68">
        <v>22500</v>
      </c>
      <c r="C11" t="s">
        <v>75</v>
      </c>
      <c r="E11" s="51">
        <v>22500</v>
      </c>
      <c r="F11" s="51">
        <v>20250</v>
      </c>
      <c r="G11" s="51">
        <v>24750</v>
      </c>
      <c r="H11" s="51">
        <v>20250</v>
      </c>
      <c r="I11" s="51">
        <v>22500</v>
      </c>
      <c r="J11" s="51">
        <v>22500</v>
      </c>
    </row>
    <row r="12" spans="1:10" x14ac:dyDescent="0.35">
      <c r="A12" s="4" t="s">
        <v>4</v>
      </c>
      <c r="B12" s="69">
        <v>8000</v>
      </c>
      <c r="C12" t="s">
        <v>67</v>
      </c>
      <c r="E12" s="49">
        <v>8000</v>
      </c>
      <c r="F12" s="49">
        <v>8000</v>
      </c>
      <c r="G12" s="49">
        <v>8000</v>
      </c>
      <c r="H12" s="49">
        <v>8000</v>
      </c>
      <c r="I12" s="49">
        <v>8000</v>
      </c>
      <c r="J12" s="49">
        <v>8000</v>
      </c>
    </row>
    <row r="13" spans="1:10" x14ac:dyDescent="0.35">
      <c r="A13" s="4" t="s">
        <v>59</v>
      </c>
      <c r="B13" s="70">
        <v>4.8750000000000002E-2</v>
      </c>
      <c r="E13" s="52">
        <v>4.8750000000000002E-2</v>
      </c>
      <c r="F13" s="52">
        <v>5.2749999999999998E-2</v>
      </c>
      <c r="G13" s="52">
        <v>5.2749999999999998E-2</v>
      </c>
      <c r="H13" s="50">
        <v>0.03</v>
      </c>
      <c r="I13" s="50">
        <v>0.03</v>
      </c>
      <c r="J13" s="52">
        <v>4.8750000000000002E-2</v>
      </c>
    </row>
    <row r="14" spans="1:10" x14ac:dyDescent="0.35">
      <c r="A14" s="4" t="s">
        <v>5</v>
      </c>
      <c r="B14" s="66">
        <v>25000000</v>
      </c>
      <c r="C14" t="s">
        <v>68</v>
      </c>
      <c r="E14" s="64">
        <v>25000000</v>
      </c>
      <c r="F14" s="64">
        <v>25000000</v>
      </c>
      <c r="G14" s="64">
        <v>25000000</v>
      </c>
      <c r="H14" s="64">
        <v>25000000</v>
      </c>
      <c r="I14" s="64">
        <v>25000000</v>
      </c>
      <c r="J14" s="64">
        <v>25000000</v>
      </c>
    </row>
    <row r="15" spans="1:10" x14ac:dyDescent="0.35">
      <c r="A15" s="4" t="s">
        <v>6</v>
      </c>
      <c r="B15" s="71">
        <v>0.4</v>
      </c>
      <c r="C15" t="s">
        <v>89</v>
      </c>
      <c r="E15" s="53">
        <v>0.4</v>
      </c>
      <c r="F15" s="53">
        <v>0.42</v>
      </c>
      <c r="G15" s="53">
        <v>0.42</v>
      </c>
      <c r="H15" s="53">
        <v>0.4</v>
      </c>
      <c r="I15" s="53">
        <v>0.4</v>
      </c>
      <c r="J15" s="53">
        <v>0.4</v>
      </c>
    </row>
    <row r="16" spans="1:10" x14ac:dyDescent="0.35">
      <c r="A16" s="4" t="s">
        <v>76</v>
      </c>
      <c r="B16" s="66">
        <v>600000000</v>
      </c>
      <c r="C16" t="s">
        <v>68</v>
      </c>
      <c r="E16" s="64">
        <v>600000000</v>
      </c>
      <c r="F16" s="64">
        <v>600000000</v>
      </c>
      <c r="G16" s="64">
        <v>600000000</v>
      </c>
      <c r="H16" s="64">
        <v>600000000</v>
      </c>
      <c r="I16" s="64">
        <v>600000000</v>
      </c>
      <c r="J16" s="64">
        <v>600000000</v>
      </c>
    </row>
    <row r="17" spans="1:10" x14ac:dyDescent="0.35">
      <c r="A17" s="4" t="s">
        <v>78</v>
      </c>
      <c r="B17" s="66">
        <v>60000000</v>
      </c>
      <c r="C17" t="s">
        <v>68</v>
      </c>
      <c r="E17" s="64">
        <v>60000000</v>
      </c>
      <c r="F17" s="64">
        <v>60000000</v>
      </c>
      <c r="G17" s="64">
        <v>60000000</v>
      </c>
      <c r="H17" s="64">
        <v>60000000</v>
      </c>
      <c r="I17" s="64">
        <v>60000000</v>
      </c>
      <c r="J17" s="64">
        <v>60000000</v>
      </c>
    </row>
    <row r="18" spans="1:10" x14ac:dyDescent="0.35">
      <c r="A18" s="4" t="s">
        <v>77</v>
      </c>
      <c r="B18" s="72">
        <v>25</v>
      </c>
      <c r="C18" t="s">
        <v>79</v>
      </c>
      <c r="E18" s="56">
        <v>25</v>
      </c>
      <c r="F18" s="56">
        <v>25</v>
      </c>
      <c r="G18" s="56">
        <v>25</v>
      </c>
      <c r="H18" s="56">
        <v>25</v>
      </c>
      <c r="I18" s="56">
        <v>25</v>
      </c>
      <c r="J18" s="56">
        <v>25</v>
      </c>
    </row>
    <row r="19" spans="1:10" x14ac:dyDescent="0.35">
      <c r="A19" s="4" t="s">
        <v>7</v>
      </c>
      <c r="B19" s="73">
        <v>0.4</v>
      </c>
      <c r="E19" s="53">
        <v>0.4</v>
      </c>
      <c r="F19" s="53">
        <v>0.4</v>
      </c>
      <c r="G19" s="53">
        <v>0.4</v>
      </c>
      <c r="H19" s="53">
        <v>0.4</v>
      </c>
      <c r="I19" s="53">
        <v>0.4</v>
      </c>
      <c r="J19" s="53">
        <v>0.4</v>
      </c>
    </row>
    <row r="21" spans="1:10" x14ac:dyDescent="0.35">
      <c r="A21" s="4" t="s">
        <v>23</v>
      </c>
      <c r="B21" s="10"/>
    </row>
    <row r="22" spans="1:10" x14ac:dyDescent="0.35">
      <c r="A22" s="65" t="s">
        <v>93</v>
      </c>
      <c r="B22" s="10"/>
    </row>
    <row r="23" spans="1:10" x14ac:dyDescent="0.35">
      <c r="A23" s="38" t="s">
        <v>58</v>
      </c>
    </row>
    <row r="24" spans="1:10" x14ac:dyDescent="0.35">
      <c r="A24" s="38" t="s">
        <v>91</v>
      </c>
      <c r="B24" s="1"/>
    </row>
    <row r="25" spans="1:10" x14ac:dyDescent="0.35">
      <c r="A25" s="38" t="s">
        <v>90</v>
      </c>
    </row>
    <row r="26" spans="1:10" x14ac:dyDescent="0.35">
      <c r="A26" s="38" t="s">
        <v>92</v>
      </c>
    </row>
    <row r="27" spans="1:10" x14ac:dyDescent="0.35">
      <c r="B27" s="1"/>
    </row>
    <row r="29" spans="1:10" x14ac:dyDescent="0.35">
      <c r="B29" s="2"/>
    </row>
    <row r="30" spans="1:10" x14ac:dyDescent="0.35">
      <c r="B30" s="2"/>
    </row>
    <row r="31" spans="1:10" x14ac:dyDescent="0.35">
      <c r="B31" s="3"/>
    </row>
    <row r="33" spans="2:2" x14ac:dyDescent="0.35">
      <c r="B33"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5"/>
  <sheetViews>
    <sheetView topLeftCell="W1" workbookViewId="0">
      <selection activeCell="H22" sqref="H22"/>
    </sheetView>
  </sheetViews>
  <sheetFormatPr defaultRowHeight="14.5" x14ac:dyDescent="0.35"/>
  <cols>
    <col min="3" max="3" width="5.54296875" customWidth="1"/>
    <col min="4" max="4" width="15.1796875" bestFit="1" customWidth="1"/>
    <col min="5" max="26" width="10" customWidth="1"/>
    <col min="27" max="28" width="10" bestFit="1" customWidth="1"/>
    <col min="29" max="33" width="10" customWidth="1"/>
    <col min="34" max="34" width="10" bestFit="1" customWidth="1"/>
  </cols>
  <sheetData>
    <row r="1" spans="1:35" x14ac:dyDescent="0.35">
      <c r="A1" s="4" t="str">
        <f>Flowchart!A1</f>
        <v>Panama Mine Purchase Analysis Model</v>
      </c>
    </row>
    <row r="2" spans="1:35" x14ac:dyDescent="0.35">
      <c r="A2" s="4" t="s">
        <v>87</v>
      </c>
    </row>
    <row r="3" spans="1:35" x14ac:dyDescent="0.35">
      <c r="A3" s="4" t="s">
        <v>82</v>
      </c>
      <c r="B3" s="4"/>
    </row>
    <row r="4" spans="1:35" s="5" customFormat="1" x14ac:dyDescent="0.35">
      <c r="A4" s="43" t="s">
        <v>9</v>
      </c>
      <c r="D4" s="6">
        <v>41639</v>
      </c>
      <c r="E4" s="6">
        <v>42004</v>
      </c>
      <c r="F4" s="6">
        <v>42369</v>
      </c>
      <c r="G4" s="6">
        <v>42735</v>
      </c>
      <c r="H4" s="6">
        <v>43100</v>
      </c>
      <c r="I4" s="6">
        <v>43465</v>
      </c>
      <c r="J4" s="6">
        <v>43830</v>
      </c>
      <c r="K4" s="6">
        <v>44196</v>
      </c>
      <c r="L4" s="6">
        <v>44561</v>
      </c>
      <c r="M4" s="6">
        <v>44926</v>
      </c>
      <c r="N4" s="6">
        <v>45291</v>
      </c>
      <c r="O4" s="6">
        <v>45657</v>
      </c>
      <c r="P4" s="6">
        <v>46022</v>
      </c>
      <c r="Q4" s="6">
        <v>46387</v>
      </c>
      <c r="R4" s="6">
        <v>46752</v>
      </c>
      <c r="S4" s="6">
        <v>47118</v>
      </c>
      <c r="T4" s="6">
        <v>47483</v>
      </c>
      <c r="U4" s="6">
        <v>47848</v>
      </c>
      <c r="V4" s="6">
        <v>48213</v>
      </c>
      <c r="W4" s="6">
        <v>48579</v>
      </c>
      <c r="X4" s="6">
        <v>48944</v>
      </c>
      <c r="Y4" s="6">
        <v>49309</v>
      </c>
      <c r="Z4" s="6">
        <v>49674</v>
      </c>
      <c r="AA4" s="6">
        <v>50040</v>
      </c>
      <c r="AB4" s="6">
        <v>50405</v>
      </c>
      <c r="AC4" s="6">
        <v>50770</v>
      </c>
      <c r="AD4" s="6">
        <v>51135</v>
      </c>
      <c r="AE4" s="6">
        <v>51501</v>
      </c>
      <c r="AF4" s="6">
        <v>51866</v>
      </c>
      <c r="AG4" s="6">
        <v>52231</v>
      </c>
      <c r="AH4" s="6">
        <v>52596</v>
      </c>
    </row>
    <row r="5" spans="1:35" s="5" customFormat="1" x14ac:dyDescent="0.35">
      <c r="A5" s="43" t="s">
        <v>60</v>
      </c>
      <c r="D5" s="32">
        <v>0</v>
      </c>
      <c r="E5" s="32">
        <v>1</v>
      </c>
      <c r="F5" s="32">
        <v>2</v>
      </c>
      <c r="G5" s="32">
        <v>3</v>
      </c>
      <c r="H5" s="32">
        <v>4</v>
      </c>
      <c r="I5" s="32">
        <v>5</v>
      </c>
      <c r="J5" s="32">
        <v>6</v>
      </c>
      <c r="K5" s="32">
        <v>7</v>
      </c>
      <c r="L5" s="32">
        <v>8</v>
      </c>
      <c r="M5" s="32">
        <v>9</v>
      </c>
      <c r="N5" s="32">
        <v>10</v>
      </c>
      <c r="O5" s="32">
        <v>11</v>
      </c>
      <c r="P5" s="32">
        <v>12</v>
      </c>
      <c r="Q5" s="32">
        <v>13</v>
      </c>
      <c r="R5" s="32">
        <v>14</v>
      </c>
      <c r="S5" s="32">
        <v>15</v>
      </c>
      <c r="T5" s="32">
        <v>16</v>
      </c>
      <c r="U5" s="32">
        <v>17</v>
      </c>
      <c r="V5" s="32">
        <v>18</v>
      </c>
      <c r="W5" s="32">
        <v>19</v>
      </c>
      <c r="X5" s="32">
        <v>20</v>
      </c>
      <c r="Y5" s="32">
        <v>21</v>
      </c>
      <c r="Z5" s="32">
        <v>22</v>
      </c>
      <c r="AA5" s="32">
        <v>23</v>
      </c>
      <c r="AB5" s="32">
        <v>24</v>
      </c>
      <c r="AC5" s="32">
        <v>25</v>
      </c>
      <c r="AD5" s="32">
        <v>26</v>
      </c>
      <c r="AE5" s="32">
        <v>27</v>
      </c>
      <c r="AF5" s="32">
        <v>28</v>
      </c>
      <c r="AG5" s="32">
        <v>29</v>
      </c>
      <c r="AH5" s="32">
        <v>30</v>
      </c>
    </row>
    <row r="6" spans="1:35" s="9" customFormat="1" x14ac:dyDescent="0.35">
      <c r="A6" s="44" t="s">
        <v>66</v>
      </c>
      <c r="D6" s="48">
        <f>Inputs!B12</f>
        <v>8000</v>
      </c>
      <c r="E6" s="37">
        <f>D$6*(1+Inputs!$B$13)</f>
        <v>8390</v>
      </c>
      <c r="F6" s="37">
        <f>E$6*(1+Inputs!$B$13)</f>
        <v>8799.0125000000007</v>
      </c>
      <c r="G6" s="37">
        <f>F$6*(1+Inputs!$B$13)</f>
        <v>9227.9643593750006</v>
      </c>
      <c r="H6" s="37">
        <f>G$6*(1+Inputs!$B$13)</f>
        <v>9677.8276218945321</v>
      </c>
      <c r="I6" s="37">
        <f>H$6*(1+Inputs!$B$13)</f>
        <v>10149.621718461891</v>
      </c>
      <c r="J6" s="37">
        <f>I$6*(1+Inputs!$B$13)</f>
        <v>10644.415777236909</v>
      </c>
      <c r="K6" s="37">
        <f>J$6*(1+Inputs!$B$13)</f>
        <v>11163.331046377209</v>
      </c>
      <c r="L6" s="37">
        <f>K$6*(1+Inputs!$B$13)</f>
        <v>11707.543434888099</v>
      </c>
      <c r="M6" s="37">
        <f>L$6*(1+Inputs!$B$13)</f>
        <v>12278.286177338894</v>
      </c>
      <c r="N6" s="37">
        <f>M$6*(1+Inputs!$B$13)</f>
        <v>12876.852628484166</v>
      </c>
      <c r="O6" s="37">
        <f>N$6*(1+Inputs!$B$13)</f>
        <v>13504.599194122771</v>
      </c>
      <c r="P6" s="37">
        <f>O$6*(1+Inputs!$B$13)</f>
        <v>14162.948404836257</v>
      </c>
      <c r="Q6" s="37">
        <f>P$6*(1+Inputs!$B$13)</f>
        <v>14853.392139572026</v>
      </c>
      <c r="R6" s="37">
        <f>Q$6*(1+Inputs!$B$13)</f>
        <v>15577.495006376164</v>
      </c>
      <c r="S6" s="37">
        <f>R$6*(1+Inputs!$B$13)</f>
        <v>16336.897887937004</v>
      </c>
      <c r="T6" s="37">
        <f>S$6*(1+Inputs!$B$13)</f>
        <v>17133.321659973935</v>
      </c>
      <c r="U6" s="37">
        <f>T$6*(1+Inputs!$B$13)</f>
        <v>17968.571090897665</v>
      </c>
      <c r="V6" s="37">
        <f>U$6*(1+Inputs!$B$13)</f>
        <v>18844.538931578929</v>
      </c>
      <c r="W6" s="37">
        <f>V$6*(1+Inputs!$B$13)</f>
        <v>19763.210204493404</v>
      </c>
      <c r="X6" s="37">
        <f>W$6*(1+Inputs!$B$13)</f>
        <v>20726.666701962458</v>
      </c>
      <c r="Y6" s="37">
        <f>X$6*(1+Inputs!$B$13)</f>
        <v>21737.091703683131</v>
      </c>
      <c r="Z6" s="37">
        <f>Y$6*(1+Inputs!$B$13)</f>
        <v>22796.774924237685</v>
      </c>
      <c r="AA6" s="37">
        <f>Z$6*(1+Inputs!$B$13)</f>
        <v>23908.117701794272</v>
      </c>
      <c r="AB6" s="37">
        <f>AA$6*(1+Inputs!$B$13)</f>
        <v>25073.638439756745</v>
      </c>
      <c r="AC6" s="37">
        <f>AB$6*(1+Inputs!$B$13)</f>
        <v>26295.97831369489</v>
      </c>
      <c r="AD6" s="37">
        <f>AC$6*(1+Inputs!$B$13)</f>
        <v>27577.907256487517</v>
      </c>
      <c r="AE6" s="37">
        <f>AD$6*(1+Inputs!$B$13)</f>
        <v>28922.330235241287</v>
      </c>
      <c r="AF6" s="37">
        <f>AE$6*(1+Inputs!$B$13)</f>
        <v>30332.2938342093</v>
      </c>
      <c r="AG6" s="37">
        <f>AF$6*(1+Inputs!$B$13)</f>
        <v>31810.993158627007</v>
      </c>
      <c r="AH6" s="37">
        <f>AG$6*(1+Inputs!$B$13)</f>
        <v>33361.779075110077</v>
      </c>
      <c r="AI6" s="36"/>
    </row>
    <row r="7" spans="1:35" s="11" customFormat="1" x14ac:dyDescent="0.35">
      <c r="A7" s="45" t="s">
        <v>17</v>
      </c>
      <c r="D7" s="47">
        <v>0</v>
      </c>
      <c r="E7" s="58">
        <f>(Inputs!$B$11*E$6)</f>
        <v>188775000</v>
      </c>
      <c r="F7" s="58">
        <f>(Inputs!$B$11*F$6)</f>
        <v>197977781.25000003</v>
      </c>
      <c r="G7" s="58">
        <f>(Inputs!$B$11*G$6)</f>
        <v>207629198.0859375</v>
      </c>
      <c r="H7" s="58">
        <f>(Inputs!$B$11*H$6)</f>
        <v>217751121.49262697</v>
      </c>
      <c r="I7" s="58">
        <f>(Inputs!$B$11*I$6)</f>
        <v>228366488.66539255</v>
      </c>
      <c r="J7" s="58">
        <f>(Inputs!$B$11*J$6)</f>
        <v>239499354.98783046</v>
      </c>
      <c r="K7" s="58">
        <f>(Inputs!$B$11*K$6)</f>
        <v>251174948.54348719</v>
      </c>
      <c r="L7" s="58">
        <f>(Inputs!$B$11*L$6)</f>
        <v>263419727.28498223</v>
      </c>
      <c r="M7" s="58">
        <f>(Inputs!$B$11*M$6)</f>
        <v>276261438.99012512</v>
      </c>
      <c r="N7" s="58">
        <f>(Inputs!$B$11*N$6)</f>
        <v>289729184.14089376</v>
      </c>
      <c r="O7" s="58">
        <f>(Inputs!$B$11*O$6)</f>
        <v>303853481.86776233</v>
      </c>
      <c r="P7" s="58">
        <f>(Inputs!$B$11*P$6)</f>
        <v>318666339.10881579</v>
      </c>
      <c r="Q7" s="58">
        <f>(Inputs!$B$11*Q$6)</f>
        <v>334201323.14037061</v>
      </c>
      <c r="R7" s="58">
        <f>(Inputs!$B$11*R$6)</f>
        <v>350493637.64346367</v>
      </c>
      <c r="S7" s="58">
        <f>(Inputs!$B$11*S$6)</f>
        <v>367580202.47858262</v>
      </c>
      <c r="T7" s="58">
        <f>(Inputs!$B$11*T$6)</f>
        <v>385499737.34941357</v>
      </c>
      <c r="U7" s="58">
        <f>(Inputs!$B$11*U$6)</f>
        <v>404292849.54519749</v>
      </c>
      <c r="V7" s="58">
        <f>(Inputs!$B$11*V$6)</f>
        <v>424002125.96052593</v>
      </c>
      <c r="W7" s="58">
        <f>(Inputs!$B$11*W$6)</f>
        <v>444672229.60110158</v>
      </c>
      <c r="X7" s="58">
        <f>(Inputs!$B$11*X$6)</f>
        <v>466350000.7941553</v>
      </c>
      <c r="Y7" s="58">
        <f>(Inputs!$B$11*Y$6)</f>
        <v>489084563.33287042</v>
      </c>
      <c r="Z7" s="58">
        <f>(Inputs!$B$11*Z$6)</f>
        <v>512927435.79534793</v>
      </c>
      <c r="AA7" s="58">
        <f>(Inputs!$B$11*AA$6)</f>
        <v>537932648.29037106</v>
      </c>
      <c r="AB7" s="58">
        <f>(Inputs!$B$11*AB$6)</f>
        <v>564156864.89452672</v>
      </c>
      <c r="AC7" s="58">
        <f>(Inputs!$B$11*AC$6)</f>
        <v>591659512.05813503</v>
      </c>
      <c r="AD7" s="58">
        <f>(Inputs!$B$11*AD$6)</f>
        <v>620502913.27096915</v>
      </c>
      <c r="AE7" s="58">
        <f>(Inputs!$B$11*AE$6)</f>
        <v>650752430.29292893</v>
      </c>
      <c r="AF7" s="58">
        <f>(Inputs!$B$11*AF$6)</f>
        <v>682476611.26970923</v>
      </c>
      <c r="AG7" s="58">
        <f>(Inputs!$B$11*AG$6)</f>
        <v>715747346.06910765</v>
      </c>
      <c r="AH7" s="58">
        <f>(Inputs!$B$11*AH$6)</f>
        <v>750640029.18997669</v>
      </c>
    </row>
    <row r="8" spans="1:35" s="9" customFormat="1" x14ac:dyDescent="0.35">
      <c r="A8" s="44" t="s">
        <v>6</v>
      </c>
      <c r="D8" s="57">
        <f>(D$7*Inputs!$B$15+Inputs!$B$7+Inputs!$B$8)</f>
        <v>600000000</v>
      </c>
      <c r="E8" s="59">
        <f>E$7*Inputs!$B$15+IF(Outputs!$D$15=E$5, Inputs!$B$14,0)</f>
        <v>75510000</v>
      </c>
      <c r="F8" s="59">
        <f>F$7*Inputs!$B$15+IF(Outputs!$D$15=F$5, Inputs!$B$14,0)</f>
        <v>79191112.500000015</v>
      </c>
      <c r="G8" s="59">
        <f>G$7*Inputs!$B$15+IF(Outputs!$D$15=G$5, Inputs!$B$14,0)</f>
        <v>83051679.234375</v>
      </c>
      <c r="H8" s="59">
        <f>H$7*Inputs!$B$15+IF(Outputs!$D$15=H$5, Inputs!$B$14,0)</f>
        <v>87100448.597050786</v>
      </c>
      <c r="I8" s="59">
        <f>I$7*Inputs!$B$15+IF(Outputs!$D$15=I$5, Inputs!$B$14,0)</f>
        <v>91346595.466157019</v>
      </c>
      <c r="J8" s="59">
        <f>J$7*Inputs!$B$15+IF(Outputs!$D$15=J$5, Inputs!$B$14,0)</f>
        <v>95799741.995132193</v>
      </c>
      <c r="K8" s="59">
        <f>K$7*Inputs!$B$15+IF(Outputs!$D$15=K$5, Inputs!$B$14,0)</f>
        <v>100469979.41739488</v>
      </c>
      <c r="L8" s="59">
        <f>L$7*Inputs!$B$15+IF(Outputs!$D$15=L$5, Inputs!$B$14,0)</f>
        <v>105367890.9139929</v>
      </c>
      <c r="M8" s="59">
        <f>M$7*Inputs!$B$15+IF(Outputs!$D$15=M$5, Inputs!$B$14,0)</f>
        <v>110504575.59605005</v>
      </c>
      <c r="N8" s="59">
        <f>N$7*Inputs!$B$15+IF(Outputs!$D$15=N$5, Inputs!$B$14,0)</f>
        <v>115891673.65635751</v>
      </c>
      <c r="O8" s="59">
        <f>O$7*Inputs!$B$15+IF(Outputs!$D$15=O$5, Inputs!$B$14,0)</f>
        <v>121541392.74710494</v>
      </c>
      <c r="P8" s="59">
        <f>P$7*Inputs!$B$15+IF(Outputs!$D$15=P$5, Inputs!$B$14,0)</f>
        <v>127466535.64352632</v>
      </c>
      <c r="Q8" s="59">
        <f>Q$7*Inputs!$B$15+IF(Outputs!$D$15=Q$5, Inputs!$B$14,0)</f>
        <v>133680529.25614825</v>
      </c>
      <c r="R8" s="59">
        <f>R$7*Inputs!$B$15+IF(Outputs!$D$15=R$5, Inputs!$B$14,0)</f>
        <v>140197455.05738547</v>
      </c>
      <c r="S8" s="59">
        <f>S$7*Inputs!$B$15+IF(Outputs!$D$15=S$5, Inputs!$B$14,0)</f>
        <v>147032080.99143305</v>
      </c>
      <c r="T8" s="59">
        <f>T$7*Inputs!$B$15+IF(Outputs!$D$15=T$5, Inputs!$B$14,0)</f>
        <v>154199894.93976542</v>
      </c>
      <c r="U8" s="59">
        <f>U$7*Inputs!$B$15+IF(Outputs!$D$15=U$5, Inputs!$B$14,0)</f>
        <v>161717139.81807899</v>
      </c>
      <c r="V8" s="59">
        <f>V$7*Inputs!$B$15+IF(Outputs!$D$15=V$5, Inputs!$B$14,0)</f>
        <v>169600850.38421038</v>
      </c>
      <c r="W8" s="59">
        <f>W$7*Inputs!$B$15+IF(Outputs!$D$15=W$5, Inputs!$B$14,0)</f>
        <v>177868891.84044063</v>
      </c>
      <c r="X8" s="59">
        <f>X$7*Inputs!$B$15+IF(Outputs!$D$15=X$5, Inputs!$B$14,0)</f>
        <v>186540000.31766212</v>
      </c>
      <c r="Y8" s="59">
        <f>Y$7*Inputs!$B$15+IF(Outputs!$D$15=Y$5, Inputs!$B$14,0)</f>
        <v>195633825.33314818</v>
      </c>
      <c r="Z8" s="59">
        <f>Z$7*Inputs!$B$15+IF(Outputs!$D$15=Z$5, Inputs!$B$14,0)</f>
        <v>205170974.3181392</v>
      </c>
      <c r="AA8" s="59">
        <f>AA$7*Inputs!$B$15+IF(Outputs!$D$15=AA$5, Inputs!$B$14,0)</f>
        <v>215173059.31614843</v>
      </c>
      <c r="AB8" s="59">
        <f>AB$7*Inputs!$B$15+IF(Outputs!$D$15=AB$5, Inputs!$B$14,0)</f>
        <v>250662745.9578107</v>
      </c>
      <c r="AC8" s="59">
        <f>AC$7*Inputs!$B$15+IF(Outputs!$D$15=AC$5, Inputs!$B$14,0)</f>
        <v>236663804.82325402</v>
      </c>
      <c r="AD8" s="59">
        <f>AD$7*Inputs!$B$15+IF(Outputs!$D$15=AD$5, Inputs!$B$14,0)</f>
        <v>248201165.30838767</v>
      </c>
      <c r="AE8" s="59">
        <f>AE$7*Inputs!$B$15+IF(Outputs!$D$15=AE$5, Inputs!$B$14,0)</f>
        <v>260300972.11717159</v>
      </c>
      <c r="AF8" s="59">
        <f>AF$7*Inputs!$B$15+IF(Outputs!$D$15=AF$5, Inputs!$B$14,0)</f>
        <v>272990644.50788373</v>
      </c>
      <c r="AG8" s="59">
        <f>AG$7*Inputs!$B$15+IF(Outputs!$D$15=AG$5, Inputs!$B$14,0)</f>
        <v>286298938.42764306</v>
      </c>
      <c r="AH8" s="59">
        <f>AH$7*Inputs!$B$15+IF(Outputs!$D$15=AH$5, Inputs!$B$14,0)</f>
        <v>300256011.6759907</v>
      </c>
    </row>
    <row r="9" spans="1:35" s="9" customFormat="1" x14ac:dyDescent="0.35">
      <c r="A9" s="44" t="s">
        <v>18</v>
      </c>
      <c r="D9" s="76">
        <v>0</v>
      </c>
      <c r="E9" s="77">
        <f>(IF(Inputs!$B$18&gt;=Workings!E$5, SLN(Inputs!$B$16, Inputs!$B$17, Inputs!$B$18), 0))</f>
        <v>21600000</v>
      </c>
      <c r="F9" s="77">
        <f>(IF(Inputs!$B$18&gt;=Workings!F$5, SLN(Inputs!$B$16, Inputs!$B$17, Inputs!$B$18), 0))</f>
        <v>21600000</v>
      </c>
      <c r="G9" s="77">
        <f>(IF(Inputs!$B$18&gt;=Workings!G$5, SLN(Inputs!$B$16, Inputs!$B$17, Inputs!$B$18), 0))</f>
        <v>21600000</v>
      </c>
      <c r="H9" s="77">
        <f>(IF(Inputs!$B$18&gt;=Workings!H$5, SLN(Inputs!$B$16, Inputs!$B$17, Inputs!$B$18), 0))</f>
        <v>21600000</v>
      </c>
      <c r="I9" s="77">
        <f>(IF(Inputs!$B$18&gt;=Workings!I$5, SLN(Inputs!$B$16, Inputs!$B$17, Inputs!$B$18), 0))</f>
        <v>21600000</v>
      </c>
      <c r="J9" s="77">
        <f>(IF(Inputs!$B$18&gt;=Workings!J$5, SLN(Inputs!$B$16, Inputs!$B$17, Inputs!$B$18), 0))</f>
        <v>21600000</v>
      </c>
      <c r="K9" s="77">
        <f>(IF(Inputs!$B$18&gt;=Workings!K$5, SLN(Inputs!$B$16, Inputs!$B$17, Inputs!$B$18), 0))</f>
        <v>21600000</v>
      </c>
      <c r="L9" s="77">
        <f>(IF(Inputs!$B$18&gt;=Workings!L$5, SLN(Inputs!$B$16, Inputs!$B$17, Inputs!$B$18), 0))</f>
        <v>21600000</v>
      </c>
      <c r="M9" s="77">
        <f>(IF(Inputs!$B$18&gt;=Workings!M$5, SLN(Inputs!$B$16, Inputs!$B$17, Inputs!$B$18), 0))</f>
        <v>21600000</v>
      </c>
      <c r="N9" s="77">
        <f>(IF(Inputs!$B$18&gt;=Workings!N$5, SLN(Inputs!$B$16, Inputs!$B$17, Inputs!$B$18), 0))</f>
        <v>21600000</v>
      </c>
      <c r="O9" s="77">
        <f>(IF(Inputs!$B$18&gt;=Workings!O$5, SLN(Inputs!$B$16, Inputs!$B$17, Inputs!$B$18), 0))</f>
        <v>21600000</v>
      </c>
      <c r="P9" s="77">
        <f>(IF(Inputs!$B$18&gt;=Workings!P$5, SLN(Inputs!$B$16, Inputs!$B$17, Inputs!$B$18), 0))</f>
        <v>21600000</v>
      </c>
      <c r="Q9" s="77">
        <f>(IF(Inputs!$B$18&gt;=Workings!Q$5, SLN(Inputs!$B$16, Inputs!$B$17, Inputs!$B$18), 0))</f>
        <v>21600000</v>
      </c>
      <c r="R9" s="77">
        <f>(IF(Inputs!$B$18&gt;=Workings!R$5, SLN(Inputs!$B$16, Inputs!$B$17, Inputs!$B$18), 0))</f>
        <v>21600000</v>
      </c>
      <c r="S9" s="77">
        <f>(IF(Inputs!$B$18&gt;=Workings!S$5, SLN(Inputs!$B$16, Inputs!$B$17, Inputs!$B$18), 0))</f>
        <v>21600000</v>
      </c>
      <c r="T9" s="77">
        <f>(IF(Inputs!$B$18&gt;=Workings!T$5, SLN(Inputs!$B$16, Inputs!$B$17, Inputs!$B$18), 0))</f>
        <v>21600000</v>
      </c>
      <c r="U9" s="77">
        <f>(IF(Inputs!$B$18&gt;=Workings!U$5, SLN(Inputs!$B$16, Inputs!$B$17, Inputs!$B$18), 0))</f>
        <v>21600000</v>
      </c>
      <c r="V9" s="77">
        <f>(IF(Inputs!$B$18&gt;=Workings!V$5, SLN(Inputs!$B$16, Inputs!$B$17, Inputs!$B$18), 0))</f>
        <v>21600000</v>
      </c>
      <c r="W9" s="77">
        <f>(IF(Inputs!$B$18&gt;=Workings!W$5, SLN(Inputs!$B$16, Inputs!$B$17, Inputs!$B$18), 0))</f>
        <v>21600000</v>
      </c>
      <c r="X9" s="77">
        <f>(IF(Inputs!$B$18&gt;=Workings!X$5, SLN(Inputs!$B$16, Inputs!$B$17, Inputs!$B$18), 0))</f>
        <v>21600000</v>
      </c>
      <c r="Y9" s="77">
        <f>(IF(Inputs!$B$18&gt;=Workings!Y$5, SLN(Inputs!$B$16, Inputs!$B$17, Inputs!$B$18), 0))</f>
        <v>21600000</v>
      </c>
      <c r="Z9" s="77">
        <f>(IF(Inputs!$B$18&gt;=Workings!Z$5, SLN(Inputs!$B$16, Inputs!$B$17, Inputs!$B$18), 0))</f>
        <v>21600000</v>
      </c>
      <c r="AA9" s="77">
        <f>(IF(Inputs!$B$18&gt;=Workings!AA$5, SLN(Inputs!$B$16, Inputs!$B$17, Inputs!$B$18), 0))</f>
        <v>21600000</v>
      </c>
      <c r="AB9" s="77">
        <f>(IF(Inputs!$B$18&gt;=Workings!AB$5, SLN(Inputs!$B$16, Inputs!$B$17, Inputs!$B$18), 0))</f>
        <v>21600000</v>
      </c>
      <c r="AC9" s="77">
        <f>(IF(Inputs!$B$18&gt;=Workings!AC$5, SLN(Inputs!$B$16, Inputs!$B$17, Inputs!$B$18), 0))</f>
        <v>21600000</v>
      </c>
      <c r="AD9" s="77">
        <f>(IF(Inputs!$B$18&gt;=Workings!AD$5, SLN(Inputs!$B$16, Inputs!$B$17, Inputs!$B$18), 0))</f>
        <v>0</v>
      </c>
      <c r="AE9" s="77">
        <f>(IF(Inputs!$B$18&gt;=Workings!AE$5, SLN(Inputs!$B$16, Inputs!$B$17, Inputs!$B$18), 0))</f>
        <v>0</v>
      </c>
      <c r="AF9" s="77">
        <f>(IF(Inputs!$B$18&gt;=Workings!AF$5, SLN(Inputs!$B$16, Inputs!$B$17, Inputs!$B$18), 0))</f>
        <v>0</v>
      </c>
      <c r="AG9" s="77">
        <f>(IF(Inputs!$B$18&gt;=Workings!AG$5, SLN(Inputs!$B$16, Inputs!$B$17, Inputs!$B$18), 0))</f>
        <v>0</v>
      </c>
      <c r="AH9" s="77">
        <f>(IF(Inputs!$B$18&gt;=Workings!AH$5, SLN(Inputs!$B$16, Inputs!$B$17, Inputs!$B$18), 0))</f>
        <v>0</v>
      </c>
    </row>
    <row r="10" spans="1:35" s="13" customFormat="1" x14ac:dyDescent="0.35">
      <c r="A10" s="45" t="s">
        <v>19</v>
      </c>
      <c r="D10" s="60">
        <f>D$7-D$8-D$9</f>
        <v>-600000000</v>
      </c>
      <c r="E10" s="60">
        <f t="shared" ref="E10:AH10" si="0">E$7-E$8-E$9</f>
        <v>91665000</v>
      </c>
      <c r="F10" s="60">
        <f t="shared" si="0"/>
        <v>97186668.750000015</v>
      </c>
      <c r="G10" s="60">
        <f t="shared" si="0"/>
        <v>102977518.8515625</v>
      </c>
      <c r="H10" s="60">
        <f t="shared" si="0"/>
        <v>109050672.89557618</v>
      </c>
      <c r="I10" s="60">
        <f t="shared" si="0"/>
        <v>115419893.19923553</v>
      </c>
      <c r="J10" s="60">
        <f t="shared" si="0"/>
        <v>122099612.99269825</v>
      </c>
      <c r="K10" s="60">
        <f t="shared" si="0"/>
        <v>129104969.12609231</v>
      </c>
      <c r="L10" s="60">
        <f t="shared" si="0"/>
        <v>136451836.37098932</v>
      </c>
      <c r="M10" s="60">
        <f t="shared" si="0"/>
        <v>144156863.39407507</v>
      </c>
      <c r="N10" s="60">
        <f t="shared" si="0"/>
        <v>152237510.48453623</v>
      </c>
      <c r="O10" s="60">
        <f t="shared" si="0"/>
        <v>160712089.12065738</v>
      </c>
      <c r="P10" s="60">
        <f t="shared" si="0"/>
        <v>169599803.46528947</v>
      </c>
      <c r="Q10" s="60">
        <f t="shared" si="0"/>
        <v>178920793.88422236</v>
      </c>
      <c r="R10" s="60">
        <f t="shared" si="0"/>
        <v>188696182.5860782</v>
      </c>
      <c r="S10" s="60">
        <f t="shared" si="0"/>
        <v>198948121.48714957</v>
      </c>
      <c r="T10" s="60">
        <f t="shared" si="0"/>
        <v>209699842.40964815</v>
      </c>
      <c r="U10" s="60">
        <f t="shared" si="0"/>
        <v>220975709.72711849</v>
      </c>
      <c r="V10" s="60">
        <f t="shared" si="0"/>
        <v>232801275.57631555</v>
      </c>
      <c r="W10" s="60">
        <f t="shared" si="0"/>
        <v>245203337.76066095</v>
      </c>
      <c r="X10" s="60">
        <f t="shared" si="0"/>
        <v>258210000.47649318</v>
      </c>
      <c r="Y10" s="60">
        <f t="shared" si="0"/>
        <v>271850737.99972224</v>
      </c>
      <c r="Z10" s="60">
        <f t="shared" si="0"/>
        <v>286156461.47720873</v>
      </c>
      <c r="AA10" s="60">
        <f t="shared" si="0"/>
        <v>301159588.97422266</v>
      </c>
      <c r="AB10" s="60">
        <f t="shared" si="0"/>
        <v>291894118.93671602</v>
      </c>
      <c r="AC10" s="60">
        <f t="shared" si="0"/>
        <v>333395707.23488104</v>
      </c>
      <c r="AD10" s="60">
        <f t="shared" si="0"/>
        <v>372301747.96258152</v>
      </c>
      <c r="AE10" s="60">
        <f t="shared" si="0"/>
        <v>390451458.17575735</v>
      </c>
      <c r="AF10" s="60">
        <f t="shared" si="0"/>
        <v>409485966.7618255</v>
      </c>
      <c r="AG10" s="60">
        <f t="shared" si="0"/>
        <v>429448407.64146459</v>
      </c>
      <c r="AH10" s="60">
        <f t="shared" si="0"/>
        <v>450384017.51398599</v>
      </c>
    </row>
    <row r="11" spans="1:35" s="13" customFormat="1" x14ac:dyDescent="0.35">
      <c r="A11" s="45" t="s">
        <v>38</v>
      </c>
      <c r="D11" s="77">
        <f>IF(D$10&gt;=0, Inputs!$B$19*D$10, 0)</f>
        <v>0</v>
      </c>
      <c r="E11" s="77">
        <f>IF(E$10&gt;=0, Inputs!$B$19*E$10, 0)</f>
        <v>36666000</v>
      </c>
      <c r="F11" s="77">
        <f>IF(F$10&gt;=0, Inputs!$B$19*F$10, 0)</f>
        <v>38874667.500000007</v>
      </c>
      <c r="G11" s="77">
        <f>IF(G$10&gt;=0, Inputs!$B$19*G$10, 0)</f>
        <v>41191007.540625006</v>
      </c>
      <c r="H11" s="77">
        <f>IF(H$10&gt;=0, Inputs!$B$19*H$10, 0)</f>
        <v>43620269.158230476</v>
      </c>
      <c r="I11" s="77">
        <f>IF(I$10&gt;=0, Inputs!$B$19*I$10, 0)</f>
        <v>46167957.279694214</v>
      </c>
      <c r="J11" s="77">
        <f>IF(J$10&gt;=0, Inputs!$B$19*J$10, 0)</f>
        <v>48839845.197079301</v>
      </c>
      <c r="K11" s="77">
        <f>IF(K$10&gt;=0, Inputs!$B$19*K$10, 0)</f>
        <v>51641987.65043693</v>
      </c>
      <c r="L11" s="77">
        <f>IF(L$10&gt;=0, Inputs!$B$19*L$10, 0)</f>
        <v>54580734.548395731</v>
      </c>
      <c r="M11" s="77">
        <f>IF(M$10&gt;=0, Inputs!$B$19*M$10, 0)</f>
        <v>57662745.357630029</v>
      </c>
      <c r="N11" s="77">
        <f>IF(N$10&gt;=0, Inputs!$B$19*N$10, 0)</f>
        <v>60895004.193814494</v>
      </c>
      <c r="O11" s="77">
        <f>IF(O$10&gt;=0, Inputs!$B$19*O$10, 0)</f>
        <v>64284835.648262955</v>
      </c>
      <c r="P11" s="77">
        <f>IF(P$10&gt;=0, Inputs!$B$19*P$10, 0)</f>
        <v>67839921.386115789</v>
      </c>
      <c r="Q11" s="77">
        <f>IF(Q$10&gt;=0, Inputs!$B$19*Q$10, 0)</f>
        <v>71568317.553688943</v>
      </c>
      <c r="R11" s="77">
        <f>IF(R$10&gt;=0, Inputs!$B$19*R$10, 0)</f>
        <v>75478473.034431279</v>
      </c>
      <c r="S11" s="77">
        <f>IF(S$10&gt;=0, Inputs!$B$19*S$10, 0)</f>
        <v>79579248.594859824</v>
      </c>
      <c r="T11" s="77">
        <f>IF(T$10&gt;=0, Inputs!$B$19*T$10, 0)</f>
        <v>83879936.96385926</v>
      </c>
      <c r="U11" s="77">
        <f>IF(U$10&gt;=0, Inputs!$B$19*U$10, 0)</f>
        <v>88390283.8908474</v>
      </c>
      <c r="V11" s="77">
        <f>IF(V$10&gt;=0, Inputs!$B$19*V$10, 0)</f>
        <v>93120510.230526224</v>
      </c>
      <c r="W11" s="77">
        <f>IF(W$10&gt;=0, Inputs!$B$19*W$10, 0)</f>
        <v>98081335.104264379</v>
      </c>
      <c r="X11" s="77">
        <f>IF(X$10&gt;=0, Inputs!$B$19*X$10, 0)</f>
        <v>103284000.19059728</v>
      </c>
      <c r="Y11" s="77">
        <f>IF(Y$10&gt;=0, Inputs!$B$19*Y$10, 0)</f>
        <v>108740295.1998889</v>
      </c>
      <c r="Z11" s="77">
        <f>IF(Z$10&gt;=0, Inputs!$B$19*Z$10, 0)</f>
        <v>114462584.59088349</v>
      </c>
      <c r="AA11" s="77">
        <f>IF(AA$10&gt;=0, Inputs!$B$19*AA$10, 0)</f>
        <v>120463835.58968908</v>
      </c>
      <c r="AB11" s="77">
        <f>IF(AB$10&gt;=0, Inputs!$B$19*AB$10, 0)</f>
        <v>116757647.57468641</v>
      </c>
      <c r="AC11" s="77">
        <f>IF(AC$10&gt;=0, Inputs!$B$19*AC$10, 0)</f>
        <v>133358282.89395243</v>
      </c>
      <c r="AD11" s="77">
        <f>IF(AD$10&gt;=0, Inputs!$B$19*AD$10, 0)</f>
        <v>148920699.18503261</v>
      </c>
      <c r="AE11" s="77">
        <f>IF(AE$10&gt;=0, Inputs!$B$19*AE$10, 0)</f>
        <v>156180583.27030295</v>
      </c>
      <c r="AF11" s="77">
        <f>IF(AF$10&gt;=0, Inputs!$B$19*AF$10, 0)</f>
        <v>163794386.70473021</v>
      </c>
      <c r="AG11" s="77">
        <f>IF(AG$10&gt;=0, Inputs!$B$19*AG$10, 0)</f>
        <v>171779363.05658585</v>
      </c>
      <c r="AH11" s="77">
        <f>IF(AH$10&gt;=0, Inputs!$B$19*AH$10, 0)</f>
        <v>180153607.0055944</v>
      </c>
    </row>
    <row r="12" spans="1:35" s="5" customFormat="1" x14ac:dyDescent="0.35">
      <c r="A12" s="44" t="s">
        <v>20</v>
      </c>
      <c r="D12" s="60">
        <f>D$10-D$11</f>
        <v>-600000000</v>
      </c>
      <c r="E12" s="60">
        <f t="shared" ref="E12:AB12" si="1">E$10-E$11</f>
        <v>54999000</v>
      </c>
      <c r="F12" s="60">
        <f t="shared" si="1"/>
        <v>58312001.250000007</v>
      </c>
      <c r="G12" s="60">
        <f t="shared" si="1"/>
        <v>61786511.310937494</v>
      </c>
      <c r="H12" s="60">
        <f t="shared" si="1"/>
        <v>65430403.737345703</v>
      </c>
      <c r="I12" s="60">
        <f t="shared" si="1"/>
        <v>69251935.919541314</v>
      </c>
      <c r="J12" s="60">
        <f t="shared" si="1"/>
        <v>73259767.795618951</v>
      </c>
      <c r="K12" s="60">
        <f t="shared" si="1"/>
        <v>77462981.475655377</v>
      </c>
      <c r="L12" s="60">
        <f t="shared" si="1"/>
        <v>81871101.8225936</v>
      </c>
      <c r="M12" s="60">
        <f t="shared" si="1"/>
        <v>86494118.036445037</v>
      </c>
      <c r="N12" s="60">
        <f t="shared" si="1"/>
        <v>91342506.290721744</v>
      </c>
      <c r="O12" s="60">
        <f t="shared" si="1"/>
        <v>96427253.472394437</v>
      </c>
      <c r="P12" s="60">
        <f t="shared" si="1"/>
        <v>101759882.07917368</v>
      </c>
      <c r="Q12" s="60">
        <f t="shared" si="1"/>
        <v>107352476.33053342</v>
      </c>
      <c r="R12" s="60">
        <f t="shared" si="1"/>
        <v>113217709.55164692</v>
      </c>
      <c r="S12" s="60">
        <f t="shared" si="1"/>
        <v>119368872.89228974</v>
      </c>
      <c r="T12" s="60">
        <f t="shared" si="1"/>
        <v>125819905.44578889</v>
      </c>
      <c r="U12" s="60">
        <f t="shared" si="1"/>
        <v>132585425.83627109</v>
      </c>
      <c r="V12" s="60">
        <f t="shared" si="1"/>
        <v>139680765.34578931</v>
      </c>
      <c r="W12" s="60">
        <f t="shared" si="1"/>
        <v>147122002.65639657</v>
      </c>
      <c r="X12" s="60">
        <f t="shared" si="1"/>
        <v>154926000.28589588</v>
      </c>
      <c r="Y12" s="60">
        <f t="shared" si="1"/>
        <v>163110442.79983336</v>
      </c>
      <c r="Z12" s="60">
        <f t="shared" si="1"/>
        <v>171693876.88632524</v>
      </c>
      <c r="AA12" s="60">
        <f t="shared" si="1"/>
        <v>180695753.38453358</v>
      </c>
      <c r="AB12" s="60">
        <f t="shared" si="1"/>
        <v>175136471.36202961</v>
      </c>
      <c r="AC12" s="60">
        <f>IF(AC$10&gt;=0, AC$10*(1-Inputs!$B$19), AC$10)</f>
        <v>200037424.34092861</v>
      </c>
      <c r="AD12" s="60">
        <f>IF(AD$10&gt;=0, AD$10*(1-Inputs!$B$19), AD$10)</f>
        <v>223381048.77754891</v>
      </c>
      <c r="AE12" s="60">
        <f>IF(AE$10&gt;=0, AE$10*(1-Inputs!$B$19), AE$10)</f>
        <v>234270874.9054544</v>
      </c>
      <c r="AF12" s="60">
        <f>IF(AF$10&gt;=0, AF$10*(1-Inputs!$B$19), AF$10)</f>
        <v>245691580.05709529</v>
      </c>
      <c r="AG12" s="60">
        <f>IF(AG$10&gt;=0, AG$10*(1-Inputs!$B$19), AG$10)</f>
        <v>257669044.58487874</v>
      </c>
      <c r="AH12" s="60">
        <f>IF(AH$10&gt;=0, AH$10*(1-Inputs!$B$19), AH$10)</f>
        <v>270230410.50839156</v>
      </c>
    </row>
    <row r="13" spans="1:35" ht="15" thickBot="1" x14ac:dyDescent="0.4">
      <c r="A13" s="4" t="s">
        <v>21</v>
      </c>
      <c r="D13" s="78">
        <f>D$9+D$12</f>
        <v>-600000000</v>
      </c>
      <c r="E13" s="78">
        <f t="shared" ref="E13:AH13" si="2">E$9+E$12</f>
        <v>76599000</v>
      </c>
      <c r="F13" s="78">
        <f t="shared" si="2"/>
        <v>79912001.25</v>
      </c>
      <c r="G13" s="78">
        <f t="shared" si="2"/>
        <v>83386511.310937494</v>
      </c>
      <c r="H13" s="78">
        <f t="shared" si="2"/>
        <v>87030403.737345695</v>
      </c>
      <c r="I13" s="78">
        <f t="shared" si="2"/>
        <v>90851935.919541314</v>
      </c>
      <c r="J13" s="78">
        <f t="shared" si="2"/>
        <v>94859767.795618951</v>
      </c>
      <c r="K13" s="78">
        <f t="shared" si="2"/>
        <v>99062981.475655377</v>
      </c>
      <c r="L13" s="78">
        <f t="shared" si="2"/>
        <v>103471101.8225936</v>
      </c>
      <c r="M13" s="78">
        <f t="shared" si="2"/>
        <v>108094118.03644504</v>
      </c>
      <c r="N13" s="78">
        <f t="shared" si="2"/>
        <v>112942506.29072174</v>
      </c>
      <c r="O13" s="78">
        <f t="shared" si="2"/>
        <v>118027253.47239444</v>
      </c>
      <c r="P13" s="78">
        <f t="shared" si="2"/>
        <v>123359882.07917368</v>
      </c>
      <c r="Q13" s="78">
        <f t="shared" si="2"/>
        <v>128952476.33053342</v>
      </c>
      <c r="R13" s="78">
        <f t="shared" si="2"/>
        <v>134817709.55164692</v>
      </c>
      <c r="S13" s="78">
        <f t="shared" si="2"/>
        <v>140968872.89228976</v>
      </c>
      <c r="T13" s="78">
        <f t="shared" si="2"/>
        <v>147419905.44578889</v>
      </c>
      <c r="U13" s="78">
        <f t="shared" si="2"/>
        <v>154185425.83627111</v>
      </c>
      <c r="V13" s="78">
        <f t="shared" si="2"/>
        <v>161280765.34578931</v>
      </c>
      <c r="W13" s="78">
        <f t="shared" si="2"/>
        <v>168722002.65639657</v>
      </c>
      <c r="X13" s="78">
        <f t="shared" si="2"/>
        <v>176526000.28589588</v>
      </c>
      <c r="Y13" s="78">
        <f t="shared" si="2"/>
        <v>184710442.79983336</v>
      </c>
      <c r="Z13" s="78">
        <f t="shared" si="2"/>
        <v>193293876.88632524</v>
      </c>
      <c r="AA13" s="78">
        <f t="shared" si="2"/>
        <v>202295753.38453358</v>
      </c>
      <c r="AB13" s="78">
        <f t="shared" si="2"/>
        <v>196736471.36202961</v>
      </c>
      <c r="AC13" s="78">
        <f t="shared" si="2"/>
        <v>221637424.34092861</v>
      </c>
      <c r="AD13" s="78">
        <f t="shared" si="2"/>
        <v>223381048.77754891</v>
      </c>
      <c r="AE13" s="78">
        <f t="shared" si="2"/>
        <v>234270874.9054544</v>
      </c>
      <c r="AF13" s="78">
        <f t="shared" si="2"/>
        <v>245691580.05709529</v>
      </c>
      <c r="AG13" s="78">
        <f t="shared" si="2"/>
        <v>257669044.58487874</v>
      </c>
      <c r="AH13" s="78">
        <f t="shared" si="2"/>
        <v>270230410.50839156</v>
      </c>
    </row>
    <row r="14" spans="1:35" ht="15" thickTop="1" x14ac:dyDescent="0.35">
      <c r="A14" s="4" t="s">
        <v>10</v>
      </c>
      <c r="D14" s="60">
        <f>D13</f>
        <v>-600000000</v>
      </c>
      <c r="E14" s="60">
        <f>SUM(E13,D14)</f>
        <v>-523401000</v>
      </c>
      <c r="F14" s="60">
        <f>SUM(F13,E14)</f>
        <v>-443488998.75</v>
      </c>
      <c r="G14" s="60">
        <f t="shared" ref="G14:AA14" si="3">SUM(G13,F14)</f>
        <v>-360102487.43906248</v>
      </c>
      <c r="H14" s="60">
        <f t="shared" si="3"/>
        <v>-273072083.70171678</v>
      </c>
      <c r="I14" s="60">
        <f t="shared" si="3"/>
        <v>-182220147.78217548</v>
      </c>
      <c r="J14" s="60">
        <f t="shared" si="3"/>
        <v>-87360379.98655653</v>
      </c>
      <c r="K14" s="60">
        <f t="shared" si="3"/>
        <v>11702601.489098847</v>
      </c>
      <c r="L14" s="60">
        <f t="shared" si="3"/>
        <v>115173703.31169245</v>
      </c>
      <c r="M14" s="60">
        <f t="shared" si="3"/>
        <v>223267821.3481375</v>
      </c>
      <c r="N14" s="60">
        <f t="shared" si="3"/>
        <v>336210327.63885927</v>
      </c>
      <c r="O14" s="60">
        <f t="shared" si="3"/>
        <v>454237581.11125374</v>
      </c>
      <c r="P14" s="60">
        <f t="shared" si="3"/>
        <v>577597463.19042742</v>
      </c>
      <c r="Q14" s="60">
        <f t="shared" si="3"/>
        <v>706549939.52096081</v>
      </c>
      <c r="R14" s="60">
        <f t="shared" si="3"/>
        <v>841367649.07260776</v>
      </c>
      <c r="S14" s="60">
        <f t="shared" si="3"/>
        <v>982336521.96489751</v>
      </c>
      <c r="T14" s="60">
        <f t="shared" si="3"/>
        <v>1129756427.4106865</v>
      </c>
      <c r="U14" s="60">
        <f t="shared" si="3"/>
        <v>1283941853.2469575</v>
      </c>
      <c r="V14" s="60">
        <f t="shared" si="3"/>
        <v>1445222618.5927467</v>
      </c>
      <c r="W14" s="60">
        <f t="shared" si="3"/>
        <v>1613944621.2491434</v>
      </c>
      <c r="X14" s="60">
        <f t="shared" si="3"/>
        <v>1790470621.5350392</v>
      </c>
      <c r="Y14" s="60">
        <f t="shared" si="3"/>
        <v>1975181064.3348725</v>
      </c>
      <c r="Z14" s="60">
        <f t="shared" si="3"/>
        <v>2168474941.2211976</v>
      </c>
      <c r="AA14" s="60">
        <f t="shared" si="3"/>
        <v>2370770694.605731</v>
      </c>
      <c r="AB14" s="60">
        <f t="shared" ref="AB14:AH14" si="4">SUM(AB13,AA14)</f>
        <v>2567507165.9677606</v>
      </c>
      <c r="AC14" s="60">
        <f t="shared" si="4"/>
        <v>2789144590.3086891</v>
      </c>
      <c r="AD14" s="60">
        <f t="shared" si="4"/>
        <v>3012525639.0862379</v>
      </c>
      <c r="AE14" s="60">
        <f t="shared" si="4"/>
        <v>3246796513.9916925</v>
      </c>
      <c r="AF14" s="60">
        <f t="shared" si="4"/>
        <v>3492488094.0487881</v>
      </c>
      <c r="AG14" s="60">
        <f t="shared" si="4"/>
        <v>3750157138.633667</v>
      </c>
      <c r="AH14" s="60">
        <f t="shared" si="4"/>
        <v>4020387549.1420584</v>
      </c>
    </row>
    <row r="15" spans="1:35" x14ac:dyDescent="0.35">
      <c r="A15" s="4" t="s">
        <v>11</v>
      </c>
      <c r="D15" s="60">
        <f>D13</f>
        <v>-600000000</v>
      </c>
      <c r="E15" s="60">
        <f>PV(Inputs!$B$9, E$5, 0, -E$13)</f>
        <v>69635454.545454547</v>
      </c>
      <c r="F15" s="60">
        <f>PV(Inputs!$B$9, F$5, 0, -F$13)</f>
        <v>66042976.239669412</v>
      </c>
      <c r="G15" s="60">
        <f>PV(Inputs!$B$9, G$5, 0, -G$13)</f>
        <v>62649520.143454149</v>
      </c>
      <c r="H15" s="60">
        <f>PV(Inputs!$B$9, H$5, 0, -H$13)</f>
        <v>59442936.778461628</v>
      </c>
      <c r="I15" s="60">
        <f>PV(Inputs!$B$9, I$5, 0, -I$13)</f>
        <v>56411904.253647156</v>
      </c>
      <c r="J15" s="60">
        <f>PV(Inputs!$B$9, J$5, 0, -J$13)</f>
        <v>53545865.931581758</v>
      </c>
      <c r="K15" s="60">
        <f>PV(Inputs!$B$9, K$5, 0, -K$13)</f>
        <v>50834973.16037064</v>
      </c>
      <c r="L15" s="60">
        <f>PV(Inputs!$B$9, L$5, 0, -L$13)</f>
        <v>48270032.638672687</v>
      </c>
      <c r="M15" s="60">
        <f>PV(Inputs!$B$9, M$5, 0, -M$13)</f>
        <v>45842458.019330576</v>
      </c>
      <c r="N15" s="60">
        <f>PV(Inputs!$B$9, N$5, 0, -N$13)</f>
        <v>43544225.391740412</v>
      </c>
      <c r="O15" s="60">
        <f>PV(Inputs!$B$9, O$5, 0, -O$13)</f>
        <v>41367832.314618215</v>
      </c>
      <c r="P15" s="60">
        <f>PV(Inputs!$B$9, P$5, 0, -P$13)</f>
        <v>39306260.099540271</v>
      </c>
      <c r="Q15" s="60">
        <f>PV(Inputs!$B$9, Q$5, 0, -Q$13)</f>
        <v>37352939.071793869</v>
      </c>
      <c r="R15" s="60">
        <f>PV(Inputs!$B$9, R$5, 0, -R$13)</f>
        <v>35501716.558907934</v>
      </c>
      <c r="S15" s="60">
        <f>PV(Inputs!$B$9, S$5, 0, -S$13)</f>
        <v>33746827.378946349</v>
      </c>
      <c r="T15" s="60">
        <f>PV(Inputs!$B$9, T$5, 0, -T$13)</f>
        <v>32082866.620432448</v>
      </c>
      <c r="U15" s="60">
        <f>PV(Inputs!$B$9, U$5, 0, -U$13)</f>
        <v>30504764.523803383</v>
      </c>
      <c r="V15" s="60">
        <f>PV(Inputs!$B$9, V$5, 0, -V$13)</f>
        <v>29007763.290725507</v>
      </c>
      <c r="W15" s="60">
        <f>PV(Inputs!$B$9, W$5, 0, -W$13)</f>
        <v>27587395.662580553</v>
      </c>
      <c r="X15" s="60">
        <f>PV(Inputs!$B$9, X$5, 0, -X$13)</f>
        <v>26239465.123086553</v>
      </c>
      <c r="Y15" s="60">
        <f>PV(Inputs!$B$9, Y$5, 0, -Y$13)</f>
        <v>24960027.5924666</v>
      </c>
      <c r="Z15" s="60">
        <f>PV(Inputs!$B$9, Z$5, 0, -Z$13)</f>
        <v>23745374.491930172</v>
      </c>
      <c r="AA15" s="60">
        <f>PV(Inputs!$B$9, AA$5, 0, -AA$13)</f>
        <v>22592017.06758412</v>
      </c>
      <c r="AB15" s="60">
        <f>PV(Inputs!$B$9, AB$5, 0, -AB$13)</f>
        <v>19973787.902411092</v>
      </c>
      <c r="AC15" s="60">
        <f>PV(Inputs!$B$9, AC$5, 0, -AC$13)</f>
        <v>20456247.312939521</v>
      </c>
      <c r="AD15" s="60">
        <f>PV(Inputs!$B$9, AD$5, 0, -AD$13)</f>
        <v>18742888.06433028</v>
      </c>
      <c r="AE15" s="60">
        <f>PV(Inputs!$B$9, AE$5, 0, -AE$13)</f>
        <v>17869639.87042398</v>
      </c>
      <c r="AF15" s="60">
        <f>PV(Inputs!$B$9, AF$5, 0, -AF$13)</f>
        <v>17037077.103733771</v>
      </c>
      <c r="AG15" s="60">
        <f>PV(Inputs!$B$9, AG$5, 0, -AG$13)</f>
        <v>16243304.193218905</v>
      </c>
      <c r="AH15" s="60">
        <f>PV(Inputs!$B$9, AH$5, 0, -AH$13)</f>
        <v>15486513.884216657</v>
      </c>
    </row>
    <row r="16" spans="1:35" x14ac:dyDescent="0.35">
      <c r="A16" s="4" t="s">
        <v>39</v>
      </c>
      <c r="D16" s="60">
        <f>D13</f>
        <v>-600000000</v>
      </c>
      <c r="E16" s="60">
        <f>SUM(D16, E15)</f>
        <v>-530364545.45454544</v>
      </c>
      <c r="F16" s="60">
        <f t="shared" ref="F16:AA16" si="5">SUM(E16, F15)</f>
        <v>-464321569.21487606</v>
      </c>
      <c r="G16" s="60">
        <f t="shared" si="5"/>
        <v>-401672049.07142192</v>
      </c>
      <c r="H16" s="60">
        <f t="shared" si="5"/>
        <v>-342229112.29296029</v>
      </c>
      <c r="I16" s="60">
        <f t="shared" si="5"/>
        <v>-285817208.03931314</v>
      </c>
      <c r="J16" s="60">
        <f t="shared" si="5"/>
        <v>-232271342.10773137</v>
      </c>
      <c r="K16" s="60">
        <f t="shared" si="5"/>
        <v>-181436368.94736072</v>
      </c>
      <c r="L16" s="60">
        <f t="shared" si="5"/>
        <v>-133166336.30868804</v>
      </c>
      <c r="M16" s="60">
        <f t="shared" si="5"/>
        <v>-87323878.289357468</v>
      </c>
      <c r="N16" s="60">
        <f t="shared" si="5"/>
        <v>-43779652.897617057</v>
      </c>
      <c r="O16" s="60">
        <f t="shared" si="5"/>
        <v>-2411820.582998842</v>
      </c>
      <c r="P16" s="60">
        <f t="shared" si="5"/>
        <v>36894439.516541429</v>
      </c>
      <c r="Q16" s="60">
        <f t="shared" si="5"/>
        <v>74247378.588335305</v>
      </c>
      <c r="R16" s="60">
        <f t="shared" si="5"/>
        <v>109749095.14724323</v>
      </c>
      <c r="S16" s="60">
        <f t="shared" si="5"/>
        <v>143495922.52618957</v>
      </c>
      <c r="T16" s="60">
        <f t="shared" si="5"/>
        <v>175578789.146622</v>
      </c>
      <c r="U16" s="60">
        <f t="shared" si="5"/>
        <v>206083553.67042539</v>
      </c>
      <c r="V16" s="60">
        <f t="shared" si="5"/>
        <v>235091316.96115088</v>
      </c>
      <c r="W16" s="60">
        <f t="shared" si="5"/>
        <v>262678712.62373143</v>
      </c>
      <c r="X16" s="60">
        <f t="shared" si="5"/>
        <v>288918177.74681801</v>
      </c>
      <c r="Y16" s="60">
        <f t="shared" si="5"/>
        <v>313878205.3392846</v>
      </c>
      <c r="Z16" s="60">
        <f t="shared" si="5"/>
        <v>337623579.83121479</v>
      </c>
      <c r="AA16" s="60">
        <f t="shared" si="5"/>
        <v>360215596.89879888</v>
      </c>
      <c r="AB16" s="60">
        <f>SUM(AA16, AB15)</f>
        <v>380189384.80120999</v>
      </c>
      <c r="AC16" s="60">
        <f t="shared" ref="AC16:AH16" si="6">SUM(AB16, AC15)</f>
        <v>400645632.11414951</v>
      </c>
      <c r="AD16" s="60">
        <f t="shared" si="6"/>
        <v>419388520.17847979</v>
      </c>
      <c r="AE16" s="60">
        <f t="shared" si="6"/>
        <v>437258160.04890376</v>
      </c>
      <c r="AF16" s="60">
        <f t="shared" si="6"/>
        <v>454295237.15263754</v>
      </c>
      <c r="AG16" s="60">
        <f t="shared" si="6"/>
        <v>470538541.34585643</v>
      </c>
      <c r="AH16" s="60">
        <f t="shared" si="6"/>
        <v>486025055.23007309</v>
      </c>
    </row>
    <row r="17" spans="1:34" x14ac:dyDescent="0.35">
      <c r="A17" s="4" t="s">
        <v>61</v>
      </c>
      <c r="D17" s="60"/>
      <c r="E17" s="60">
        <f xml:space="preserve"> NPV(Inputs!$B$9,Workings!$E$13:'Workings'!E$13) +Workings!$D$13</f>
        <v>-530364545.45454544</v>
      </c>
      <c r="F17" s="60">
        <f xml:space="preserve"> NPV(Inputs!$B$9,Workings!$E$13:'Workings'!F$13) +Workings!$D$13</f>
        <v>-464321569.21487606</v>
      </c>
      <c r="G17" s="60">
        <f xml:space="preserve"> NPV(Inputs!$B$9,Workings!$E$13:'Workings'!G$13) +Workings!$D$13</f>
        <v>-401672049.07142186</v>
      </c>
      <c r="H17" s="60">
        <f xml:space="preserve"> NPV(Inputs!$B$9,Workings!$E$13:'Workings'!H$13) +Workings!$D$13</f>
        <v>-342229112.29296029</v>
      </c>
      <c r="I17" s="60">
        <f xml:space="preserve"> NPV(Inputs!$B$9,Workings!$E$13:'Workings'!I$13) +Workings!$D$13</f>
        <v>-285817208.03931308</v>
      </c>
      <c r="J17" s="60">
        <f xml:space="preserve"> NPV(Inputs!$B$9,Workings!$E$13:'Workings'!J$13) +Workings!$D$13</f>
        <v>-232271342.10773134</v>
      </c>
      <c r="K17" s="60">
        <f xml:space="preserve"> NPV(Inputs!$B$9,Workings!$E$13:'Workings'!K$13) +Workings!$D$13</f>
        <v>-181436368.94736069</v>
      </c>
      <c r="L17" s="60">
        <f xml:space="preserve"> NPV(Inputs!$B$9,Workings!$E$13:'Workings'!L$13) +Workings!$D$13</f>
        <v>-133166336.30868804</v>
      </c>
      <c r="M17" s="60">
        <f xml:space="preserve"> NPV(Inputs!$B$9,Workings!$E$13:'Workings'!M$13) +Workings!$D$13</f>
        <v>-87323878.289357483</v>
      </c>
      <c r="N17" s="60">
        <f xml:space="preserve"> NPV(Inputs!$B$9,Workings!$E$13:'Workings'!N$13) +Workings!$D$13</f>
        <v>-43779652.897617102</v>
      </c>
      <c r="O17" s="60">
        <f xml:space="preserve"> NPV(Inputs!$B$9,Workings!$E$13:'Workings'!O$13) +Workings!$D$13</f>
        <v>-2411820.5829988718</v>
      </c>
      <c r="P17" s="60">
        <f xml:space="preserve"> NPV(Inputs!$B$9,Workings!$E$13:'Workings'!P$13) +Workings!$D$13</f>
        <v>36894439.516541362</v>
      </c>
      <c r="Q17" s="60">
        <f xml:space="preserve"> NPV(Inputs!$B$9,Workings!$E$13:'Workings'!Q$13) +Workings!$D$13</f>
        <v>74247378.588335276</v>
      </c>
      <c r="R17" s="60">
        <f xml:space="preserve"> NPV(Inputs!$B$9,Workings!$E$13:'Workings'!R$13) +Workings!$D$13</f>
        <v>109749095.14724314</v>
      </c>
      <c r="S17" s="60">
        <f xml:space="preserve"> NPV(Inputs!$B$9,Workings!$E$13:'Workings'!S$13) +Workings!$D$13</f>
        <v>143495922.52618945</v>
      </c>
      <c r="T17" s="60">
        <f xml:space="preserve"> NPV(Inputs!$B$9,Workings!$E$13:'Workings'!T$13) +Workings!$D$13</f>
        <v>175578789.14662194</v>
      </c>
      <c r="U17" s="60">
        <f xml:space="preserve"> NPV(Inputs!$B$9,Workings!$E$13:'Workings'!U$13) +Workings!$D$13</f>
        <v>206083553.6704253</v>
      </c>
      <c r="V17" s="60">
        <f xml:space="preserve"> NPV(Inputs!$B$9,Workings!$E$13:'Workings'!V$13) +Workings!$D$13</f>
        <v>235091316.96115088</v>
      </c>
      <c r="W17" s="60">
        <f xml:space="preserve"> NPV(Inputs!$B$9,Workings!$E$13:'Workings'!W$13) +Workings!$D$13</f>
        <v>262678712.62373137</v>
      </c>
      <c r="X17" s="60">
        <f xml:space="preserve"> NPV(Inputs!$B$9,Workings!$E$13:'Workings'!X$13) +Workings!$D$13</f>
        <v>288918177.74681783</v>
      </c>
      <c r="Y17" s="60">
        <f xml:space="preserve"> NPV(Inputs!$B$9,Workings!$E$13:'Workings'!Y$13) +Workings!$D$13</f>
        <v>313878205.33928454</v>
      </c>
      <c r="Z17" s="60">
        <f xml:space="preserve"> NPV(Inputs!$B$9,Workings!$E$13:'Workings'!Z$13) +Workings!$D$13</f>
        <v>337623579.83121479</v>
      </c>
      <c r="AA17" s="60">
        <f xml:space="preserve"> NPV(Inputs!$B$9,Workings!$E$13:'Workings'!AA$13) +Workings!$D$13</f>
        <v>360215596.89879882</v>
      </c>
      <c r="AB17" s="60">
        <f xml:space="preserve"> NPV(Inputs!$B$9,Workings!$E$13:'Workings'!AB$13) +Workings!$D$13</f>
        <v>380189384.80120993</v>
      </c>
      <c r="AC17" s="60">
        <f xml:space="preserve"> NPV(Inputs!$B$9,Workings!$E$13:'Workings'!AC$13) +Workings!$D$13</f>
        <v>400645632.11414957</v>
      </c>
      <c r="AD17" s="60">
        <f xml:space="preserve"> NPV(Inputs!$B$9,Workings!$E$13:'Workings'!AD$13) +Workings!$D$13</f>
        <v>419388520.17847979</v>
      </c>
      <c r="AE17" s="60">
        <f xml:space="preserve"> NPV(Inputs!$B$9,Workings!$E$13:'Workings'!AE$13) +Workings!$D$13</f>
        <v>437258160.04890394</v>
      </c>
      <c r="AF17" s="60">
        <f xml:space="preserve"> NPV(Inputs!$B$9,Workings!$E$13:'Workings'!AF$13) +Workings!$D$13</f>
        <v>454295237.15263772</v>
      </c>
      <c r="AG17" s="60">
        <f xml:space="preserve"> NPV(Inputs!$B$9,Workings!$E$13:'Workings'!AG$13) +Workings!$D$13</f>
        <v>470538541.34585655</v>
      </c>
      <c r="AH17" s="60">
        <f xml:space="preserve"> NPV(Inputs!$B$9,Workings!$E$13:'Workings'!AH$13) +Workings!$D$13</f>
        <v>486025055.23007321</v>
      </c>
    </row>
    <row r="18" spans="1:34" x14ac:dyDescent="0.35">
      <c r="A18" s="4" t="s">
        <v>62</v>
      </c>
      <c r="D18" s="14"/>
      <c r="E18" s="34">
        <f>IRR($D$13:E$13)</f>
        <v>-0.87233499999999997</v>
      </c>
      <c r="F18" s="34">
        <f>IRR($D$13:F$13)</f>
        <v>-0.56567963676255195</v>
      </c>
      <c r="G18" s="34">
        <f>IRR($D$13:G$13)</f>
        <v>-0.34502545254568484</v>
      </c>
      <c r="H18" s="34">
        <f>IRR($D$13:H$13)</f>
        <v>-0.20191327317379826</v>
      </c>
      <c r="I18" s="34">
        <f>IRR($D$13:I$13)</f>
        <v>-0.10703460784355978</v>
      </c>
      <c r="J18" s="34">
        <f>IRR($D$13:J$13)</f>
        <v>-4.1786428414633203E-2</v>
      </c>
      <c r="K18" s="34">
        <f>IRR($D$13:K$13)</f>
        <v>4.6519576061385681E-3</v>
      </c>
      <c r="L18" s="34">
        <f>IRR($D$13:L$13)</f>
        <v>3.8689532278963323E-2</v>
      </c>
      <c r="M18" s="34">
        <f>IRR($D$13:M$13)</f>
        <v>6.4262214382815763E-2</v>
      </c>
      <c r="N18" s="34">
        <f>IRR($D$13:N$13)</f>
        <v>8.3878552827114872E-2</v>
      </c>
      <c r="O18" s="34">
        <f>IRR($D$13:O$13)</f>
        <v>9.9192592501630372E-2</v>
      </c>
      <c r="P18" s="34">
        <f>IRR($D$13:P$13)</f>
        <v>0.11132824353363047</v>
      </c>
      <c r="Q18" s="34">
        <f>IRR($D$13:Q$13)</f>
        <v>0.12106961398565996</v>
      </c>
      <c r="R18" s="34">
        <f>IRR($D$13:R$13)</f>
        <v>0.1289765552421005</v>
      </c>
      <c r="S18" s="34">
        <f>IRR($D$13:S$13)</f>
        <v>0.13545702441246155</v>
      </c>
      <c r="T18" s="34">
        <f>IRR($D$13:T$13)</f>
        <v>0.14081369408317812</v>
      </c>
      <c r="U18" s="34">
        <f>IRR($D$13:U$13)</f>
        <v>0.14527474206498692</v>
      </c>
      <c r="V18" s="34">
        <f>IRR($D$13:V$13)</f>
        <v>0.14901465740004993</v>
      </c>
      <c r="W18" s="34">
        <f>IRR($D$13:W$13)</f>
        <v>0.15216859008399153</v>
      </c>
      <c r="X18" s="34">
        <f>IRR($D$13:X$13)</f>
        <v>0.1548424322366293</v>
      </c>
      <c r="Y18" s="34">
        <f>IRR($D$13:Y$13)</f>
        <v>0.15712001987958901</v>
      </c>
      <c r="Z18" s="34">
        <f>IRR($D$13:Z$13)</f>
        <v>0.15906835655980434</v>
      </c>
      <c r="AA18" s="34">
        <f>IRR($D$13:AA$13)</f>
        <v>0.16074145510869409</v>
      </c>
      <c r="AB18" s="34">
        <f>IRR($D$13:AB$13)</f>
        <v>0.1620830804940776</v>
      </c>
      <c r="AC18" s="34">
        <f>IRR($D$13:AC$13)</f>
        <v>0.16333312012490331</v>
      </c>
      <c r="AD18" s="34">
        <f>IRR($D$13:AD$13)</f>
        <v>0.16437707569734683</v>
      </c>
      <c r="AE18" s="34">
        <f>IRR($D$13:AE$13)</f>
        <v>0.16528710549605719</v>
      </c>
      <c r="AF18" s="34">
        <f>IRR($D$13:AF$13)</f>
        <v>0.16608208446885309</v>
      </c>
      <c r="AG18" s="34">
        <f>IRR($D$13:AG$13)</f>
        <v>0.16677791846231482</v>
      </c>
      <c r="AH18" s="34">
        <f>IRR($D$13:AH$13)</f>
        <v>0.16738806725268729</v>
      </c>
    </row>
    <row r="19" spans="1:34" x14ac:dyDescent="0.35">
      <c r="A19" s="4" t="s">
        <v>47</v>
      </c>
      <c r="D19" s="14"/>
      <c r="E19" s="35">
        <f>IFERROR((_xlfn.PERCENTRANK.INC($D$14:E$14, 0, 6)*E$5),0)</f>
        <v>0</v>
      </c>
      <c r="F19" s="35">
        <f>IFERROR((_xlfn.PERCENTRANK.INC($D$14:F$14, 0, 6)*F$5),0)</f>
        <v>0</v>
      </c>
      <c r="G19" s="35">
        <f>IFERROR((_xlfn.PERCENTRANK.INC($D$14:G$14, 0, 6)*G$5),0)</f>
        <v>0</v>
      </c>
      <c r="H19" s="35">
        <f>IFERROR((_xlfn.PERCENTRANK.INC($D$14:H$14, 0, 6)*H$5),0)</f>
        <v>0</v>
      </c>
      <c r="I19" s="35">
        <f>IFERROR((_xlfn.PERCENTRANK.INC($D$14:I$14, 0, 6)*I$5),0)</f>
        <v>0</v>
      </c>
      <c r="J19" s="35">
        <f>IFERROR((_xlfn.PERCENTRANK.INC($D$14:J$14, 0, 6)*J$5),0)</f>
        <v>0</v>
      </c>
      <c r="K19" s="35">
        <f>IFERROR((_xlfn.PERCENTRANK.INC($D$14:K$14, 0, 6)*K$5),0)</f>
        <v>6.8818609999999998</v>
      </c>
      <c r="L19" s="35">
        <f>IFERROR((_xlfn.PERCENTRANK.INC($D$14:L$14, 0, 6)*L$5),0)</f>
        <v>6.8818640000000002</v>
      </c>
      <c r="M19" s="35">
        <f>IFERROR((_xlfn.PERCENTRANK.INC($D$14:M$14, 0, 6)*M$5),0)</f>
        <v>6.8818589999999995</v>
      </c>
      <c r="N19" s="35">
        <f>IFERROR((_xlfn.PERCENTRANK.INC($D$14:N$14, 0, 6)*N$5),0)</f>
        <v>6.8818599999999996</v>
      </c>
      <c r="O19" s="35">
        <f>IFERROR((_xlfn.PERCENTRANK.INC($D$14:O$14, 0, 6)*O$5),0)</f>
        <v>6.8818639999999993</v>
      </c>
      <c r="P19" s="35">
        <f>IFERROR((_xlfn.PERCENTRANK.INC($D$14:P$14, 0, 6)*P$5),0)</f>
        <v>6.881856</v>
      </c>
      <c r="Q19" s="35">
        <f>IFERROR((_xlfn.PERCENTRANK.INC($D$14:Q$14, 0, 6)*Q$5),0)</f>
        <v>6.8818619999999999</v>
      </c>
      <c r="R19" s="35">
        <f>IFERROR((_xlfn.PERCENTRANK.INC($D$14:R$14, 0, 6)*R$5),0)</f>
        <v>6.8818540000000006</v>
      </c>
      <c r="S19" s="35">
        <f>IFERROR((_xlfn.PERCENTRANK.INC($D$14:S$14, 0, 6)*S$5),0)</f>
        <v>6.8818650000000003</v>
      </c>
      <c r="T19" s="35">
        <f>IFERROR((_xlfn.PERCENTRANK.INC($D$14:T$14, 0, 6)*T$5),0)</f>
        <v>6.881856</v>
      </c>
      <c r="U19" s="35">
        <f>IFERROR((_xlfn.PERCENTRANK.INC($D$14:U$14, 0, 6)*U$5),0)</f>
        <v>6.8818549999999998</v>
      </c>
      <c r="V19" s="35">
        <f>IFERROR((_xlfn.PERCENTRANK.INC($D$14:V$14, 0, 6)*V$5),0)</f>
        <v>6.88185</v>
      </c>
      <c r="W19" s="35">
        <f>IFERROR((_xlfn.PERCENTRANK.INC($D$14:W$14, 0, 6)*W$5),0)</f>
        <v>6.8818570000000001</v>
      </c>
      <c r="X19" s="35">
        <f>IFERROR((_xlfn.PERCENTRANK.INC($D$14:X$14, 0, 6)*X$5),0)</f>
        <v>6.8818599999999996</v>
      </c>
      <c r="Y19" s="35">
        <f>IFERROR((_xlfn.PERCENTRANK.INC($D$14:Y$14, 0, 6)*Y$5),0)</f>
        <v>6.8818470000000005</v>
      </c>
      <c r="Z19" s="35">
        <f>IFERROR((_xlfn.PERCENTRANK.INC($D$14:Z$14, 0, 6)*Z$5),0)</f>
        <v>6.8818639999999993</v>
      </c>
      <c r="AA19" s="35">
        <f>IFERROR((_xlfn.PERCENTRANK.INC($D$14:AA$14, 0, 6)*AA$5),0)</f>
        <v>6.8818530000000004</v>
      </c>
      <c r="AB19" s="35">
        <f>IFERROR((_xlfn.PERCENTRANK.INC($D$14:AB$14, 0, 6)*AB$5),0)</f>
        <v>6.881856</v>
      </c>
      <c r="AC19" s="35">
        <f>IFERROR((_xlfn.PERCENTRANK.INC($D$14:AC$14, 0, 6)*AC$5),0)</f>
        <v>6.88185</v>
      </c>
      <c r="AD19" s="35">
        <f>IFERROR((_xlfn.PERCENTRANK.INC($D$14:AD$14, 0, 6)*AD$5),0)</f>
        <v>6.8818619999999999</v>
      </c>
      <c r="AE19" s="35">
        <f>IFERROR((_xlfn.PERCENTRANK.INC($D$14:AE$14, 0, 6)*AE$5),0)</f>
        <v>6.8818410000000005</v>
      </c>
      <c r="AF19" s="35">
        <f>IFERROR((_xlfn.PERCENTRANK.INC($D$14:AF$14, 0, 6)*AF$5),0)</f>
        <v>6.8818400000000004</v>
      </c>
      <c r="AG19" s="35">
        <f>IFERROR((_xlfn.PERCENTRANK.INC($D$14:AG$14, 0, 6)*AG$5),0)</f>
        <v>6.8818449999999993</v>
      </c>
      <c r="AH19" s="35">
        <f>IFERROR((_xlfn.PERCENTRANK.INC($D$14:AH$14, 0, 6)*AH$5),0)</f>
        <v>6.88185</v>
      </c>
    </row>
    <row r="20" spans="1:34" x14ac:dyDescent="0.35">
      <c r="A20" s="4" t="s">
        <v>48</v>
      </c>
      <c r="D20" s="14"/>
      <c r="E20" s="35">
        <f>IFERROR((_xlfn.PERCENTRANK.INC($D$16:E$16, 0, 6)*E$5),0)</f>
        <v>0</v>
      </c>
      <c r="F20" s="35">
        <f>IFERROR((_xlfn.PERCENTRANK.INC($D$16:F$16, 0, 6)*F$5),0)</f>
        <v>0</v>
      </c>
      <c r="G20" s="35">
        <f>IFERROR((_xlfn.PERCENTRANK.INC($D$16:G$16, 0, 6)*G$5),0)</f>
        <v>0</v>
      </c>
      <c r="H20" s="35">
        <f>IFERROR((_xlfn.PERCENTRANK.INC($D$16:H$16, 0, 6)*H$5),0)</f>
        <v>0</v>
      </c>
      <c r="I20" s="35">
        <f>IFERROR((_xlfn.PERCENTRANK.INC($D$16:I$16, 0, 6)*I$5),0)</f>
        <v>0</v>
      </c>
      <c r="J20" s="35">
        <f>IFERROR((_xlfn.PERCENTRANK.INC($D$16:J$16, 0, 6)*J$5),0)</f>
        <v>0</v>
      </c>
      <c r="K20" s="35">
        <f>IFERROR((_xlfn.PERCENTRANK.INC($D$16:K$16, 0, 6)*K$5),0)</f>
        <v>0</v>
      </c>
      <c r="L20" s="35">
        <f>IFERROR((_xlfn.PERCENTRANK.INC($D$16:L$16, 0, 6)*L$5),0)</f>
        <v>0</v>
      </c>
      <c r="M20" s="35">
        <f>IFERROR((_xlfn.PERCENTRANK.INC($D$16:M$16, 0, 6)*M$5),0)</f>
        <v>0</v>
      </c>
      <c r="N20" s="35">
        <f>IFERROR((_xlfn.PERCENTRANK.INC($D$16:N$16, 0, 6)*N$5),0)</f>
        <v>0</v>
      </c>
      <c r="O20" s="35">
        <f>IFERROR((_xlfn.PERCENTRANK.INC($D$16:O$16, 0, 6)*O$5),0)</f>
        <v>0</v>
      </c>
      <c r="P20" s="35">
        <f>IFERROR((_xlfn.PERCENTRANK.INC($D$16:P$16, 0, 6)*P$5),0)</f>
        <v>11.061348000000001</v>
      </c>
      <c r="Q20" s="35">
        <f>IFERROR((_xlfn.PERCENTRANK.INC($D$16:Q$16, 0, 6)*Q$5),0)</f>
        <v>11.061349</v>
      </c>
      <c r="R20" s="35">
        <f>IFERROR((_xlfn.PERCENTRANK.INC($D$16:R$16, 0, 6)*R$5),0)</f>
        <v>11.061358</v>
      </c>
      <c r="S20" s="35">
        <f>IFERROR((_xlfn.PERCENTRANK.INC($D$16:S$16, 0, 6)*S$5),0)</f>
        <v>11.061345000000001</v>
      </c>
      <c r="T20" s="35">
        <f>IFERROR((_xlfn.PERCENTRANK.INC($D$16:T$16, 0, 6)*T$5),0)</f>
        <v>11.061344</v>
      </c>
      <c r="U20" s="35">
        <f>IFERROR((_xlfn.PERCENTRANK.INC($D$16:U$16, 0, 6)*U$5),0)</f>
        <v>11.061356</v>
      </c>
      <c r="V20" s="35">
        <f>IFERROR((_xlfn.PERCENTRANK.INC($D$16:V$16, 0, 6)*V$5),0)</f>
        <v>11.061342</v>
      </c>
      <c r="W20" s="35">
        <f>IFERROR((_xlfn.PERCENTRANK.INC($D$16:W$16, 0, 6)*W$5),0)</f>
        <v>11.061344</v>
      </c>
      <c r="X20" s="35">
        <f>IFERROR((_xlfn.PERCENTRANK.INC($D$16:X$16, 0, 6)*X$5),0)</f>
        <v>11.06134</v>
      </c>
      <c r="Y20" s="35">
        <f>IFERROR((_xlfn.PERCENTRANK.INC($D$16:Y$16, 0, 6)*Y$5),0)</f>
        <v>11.061350999999998</v>
      </c>
      <c r="Z20" s="35">
        <f>IFERROR((_xlfn.PERCENTRANK.INC($D$16:Z$16, 0, 6)*Z$5),0)</f>
        <v>11.061358</v>
      </c>
      <c r="AA20" s="35">
        <f>IFERROR((_xlfn.PERCENTRANK.INC($D$16:AA$16, 0, 6)*AA$5),0)</f>
        <v>11.061344</v>
      </c>
      <c r="AB20" s="35">
        <f>IFERROR((_xlfn.PERCENTRANK.INC($D$16:AB$16, 0, 6)*AB$5),0)</f>
        <v>11.061336000000001</v>
      </c>
      <c r="AC20" s="35">
        <f>IFERROR((_xlfn.PERCENTRANK.INC($D$16:AC$16, 0, 6)*AC$5),0)</f>
        <v>11.061350000000001</v>
      </c>
      <c r="AD20" s="35">
        <f>IFERROR((_xlfn.PERCENTRANK.INC($D$16:AD$16, 0, 6)*AD$5),0)</f>
        <v>11.061335999999999</v>
      </c>
      <c r="AE20" s="35">
        <f>IFERROR((_xlfn.PERCENTRANK.INC($D$16:AE$16, 0, 6)*AE$5),0)</f>
        <v>11.061333000000001</v>
      </c>
      <c r="AF20" s="35">
        <f>IFERROR((_xlfn.PERCENTRANK.INC($D$16:AF$16, 0, 6)*AF$5),0)</f>
        <v>11.061344</v>
      </c>
      <c r="AG20" s="35">
        <f>IFERROR((_xlfn.PERCENTRANK.INC($D$16:AG$16, 0, 6)*AG$5),0)</f>
        <v>11.061354</v>
      </c>
      <c r="AH20" s="35">
        <f>IFERROR((_xlfn.PERCENTRANK.INC($D$16:AH$16, 0, 6)*AH$5),0)</f>
        <v>11.06133</v>
      </c>
    </row>
    <row r="25" spans="1:34" x14ac:dyDescent="0.35">
      <c r="M25" s="37"/>
    </row>
    <row r="26" spans="1:34" x14ac:dyDescent="0.35">
      <c r="L26" s="15"/>
    </row>
    <row r="29" spans="1:34" x14ac:dyDescent="0.35">
      <c r="M29" s="46"/>
    </row>
    <row r="35" spans="5:5" x14ac:dyDescent="0.35">
      <c r="E35" s="12"/>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Flowchart</vt:lpstr>
      <vt:lpstr>Outputs</vt:lpstr>
      <vt:lpstr>Inputs</vt:lpstr>
      <vt:lpstr>Workings</vt:lpstr>
    </vt:vector>
  </TitlesOfParts>
  <Company>Holmes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chadd</dc:creator>
  <cp:lastModifiedBy>User</cp:lastModifiedBy>
  <dcterms:created xsi:type="dcterms:W3CDTF">2013-02-26T00:25:43Z</dcterms:created>
  <dcterms:modified xsi:type="dcterms:W3CDTF">2021-09-03T03:42:31Z</dcterms:modified>
</cp:coreProperties>
</file>